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y Ujezd\Desktop\"/>
    </mc:Choice>
  </mc:AlternateContent>
  <xr:revisionPtr revIDLastSave="0" documentId="8_{E9A2C6D0-3524-4B35-9A94-C4797BC791AB}" xr6:coauthVersionLast="47" xr6:coauthVersionMax="47" xr10:uidLastSave="{00000000-0000-0000-0000-000000000000}"/>
  <bookViews>
    <workbookView xWindow="-120" yWindow="-120" windowWidth="29040" windowHeight="15720" tabRatio="955" xr2:uid="{00000000-000D-0000-FFFF-FFFF00000000}"/>
  </bookViews>
  <sheets>
    <sheet name="Krycí list rozpočtu" sheetId="1" r:id="rId1"/>
    <sheet name="VORN" sheetId="2" r:id="rId2"/>
    <sheet name="Rozpočet - objekty" sheetId="3" r:id="rId3"/>
    <sheet name="Rozpočet - skupiny" sheetId="4" r:id="rId4"/>
    <sheet name="Stavební rozpočet" sheetId="5" r:id="rId5"/>
    <sheet name="REKAPITULACE VZT" sheetId="7" r:id="rId6"/>
    <sheet name="ROZPOČET VZT" sheetId="6" r:id="rId7"/>
    <sheet name="TOP" sheetId="8" r:id="rId8"/>
    <sheet name="Rekapitulace NN" sheetId="9" r:id="rId9"/>
    <sheet name="Soupis položek+" sheetId="10" r:id="rId10"/>
    <sheet name="Rekapitulace ROZVADĚČE SUMA" sheetId="11" r:id="rId11"/>
    <sheet name="MAR rekapitulace" sheetId="12" r:id="rId12"/>
    <sheet name="MAR Materiál" sheetId="13" r:id="rId13"/>
    <sheet name="MAR montáž" sheetId="25" r:id="rId14"/>
  </sheets>
  <externalReferences>
    <externalReference r:id="rId15"/>
    <externalReference r:id="rId16"/>
  </externalReferences>
  <definedNames>
    <definedName name="_xlnm.Print_Titles" localSheetId="4">'Stavební rozpočet'!$1:$11</definedName>
    <definedName name="_xlnm.Print_Area" localSheetId="4">'Stavební rozpočet'!$A$1:$P$1592</definedName>
    <definedName name="_xlnm.Print_Area" localSheetId="7">TOP!$A$1:$J$106</definedName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78" i="5" l="1"/>
  <c r="BW1078" i="5" s="1"/>
  <c r="J670" i="5"/>
  <c r="BJ1078" i="5"/>
  <c r="AH1078" i="5" s="1"/>
  <c r="BD1078" i="5"/>
  <c r="AP1078" i="5"/>
  <c r="BI1078" i="5" s="1"/>
  <c r="AO1078" i="5"/>
  <c r="AW1078" i="5" s="1"/>
  <c r="AL1078" i="5"/>
  <c r="AK1078" i="5"/>
  <c r="AJ1078" i="5"/>
  <c r="Z1078" i="5"/>
  <c r="O1078" i="5"/>
  <c r="BF1078" i="5" s="1"/>
  <c r="L1078" i="5"/>
  <c r="M1078" i="5" s="1"/>
  <c r="O670" i="5"/>
  <c r="BF670" i="5" s="1"/>
  <c r="O668" i="5"/>
  <c r="L670" i="5"/>
  <c r="M670" i="5" s="1"/>
  <c r="K670" i="5"/>
  <c r="BJ670" i="5"/>
  <c r="AH670" i="5" s="1"/>
  <c r="BD670" i="5"/>
  <c r="AP670" i="5"/>
  <c r="BI670" i="5" s="1"/>
  <c r="AO670" i="5"/>
  <c r="BH670" i="5" s="1"/>
  <c r="AL670" i="5"/>
  <c r="AK670" i="5"/>
  <c r="AJ670" i="5"/>
  <c r="D39" i="7"/>
  <c r="D38" i="7"/>
  <c r="D37" i="7"/>
  <c r="D36" i="7"/>
  <c r="D35" i="7"/>
  <c r="D34" i="7"/>
  <c r="D33" i="7"/>
  <c r="D32" i="7"/>
  <c r="I35" i="2"/>
  <c r="C7" i="7"/>
  <c r="AX1078" i="5" l="1"/>
  <c r="BC1078" i="5" s="1"/>
  <c r="AG1078" i="5"/>
  <c r="AC1078" i="5"/>
  <c r="AE1078" i="5"/>
  <c r="BH1078" i="5"/>
  <c r="K1078" i="5"/>
  <c r="BW670" i="5"/>
  <c r="AW670" i="5"/>
  <c r="Z670" i="5"/>
  <c r="AX670" i="5"/>
  <c r="AF670" i="5"/>
  <c r="AD670" i="5"/>
  <c r="AB670" i="5"/>
  <c r="AG670" i="5"/>
  <c r="AE670" i="5"/>
  <c r="AC670" i="5"/>
  <c r="F4" i="6"/>
  <c r="J106" i="8"/>
  <c r="J105" i="8"/>
  <c r="J104" i="8"/>
  <c r="F15" i="11"/>
  <c r="F42" i="11"/>
  <c r="F39" i="11"/>
  <c r="F71" i="11"/>
  <c r="F8" i="11"/>
  <c r="F11" i="11"/>
  <c r="F38" i="11"/>
  <c r="F9" i="11"/>
  <c r="F12" i="11" s="1"/>
  <c r="AV1078" i="5" l="1"/>
  <c r="AF1078" i="5"/>
  <c r="AD1078" i="5"/>
  <c r="AB1078" i="5"/>
  <c r="AV670" i="5"/>
  <c r="BC670" i="5"/>
  <c r="I10" i="1"/>
  <c r="I10" i="2"/>
  <c r="H8" i="3"/>
  <c r="H8" i="4"/>
  <c r="E18" i="12"/>
  <c r="G42" i="13"/>
  <c r="G41" i="13"/>
  <c r="G40" i="13"/>
  <c r="G36" i="13"/>
  <c r="G35" i="13"/>
  <c r="G31" i="13"/>
  <c r="G30" i="13"/>
  <c r="G29" i="13"/>
  <c r="G28" i="13"/>
  <c r="G24" i="13"/>
  <c r="G23" i="13"/>
  <c r="G19" i="13"/>
  <c r="G18" i="13"/>
  <c r="G17" i="13"/>
  <c r="G13" i="13"/>
  <c r="G12" i="13"/>
  <c r="G50" i="25"/>
  <c r="G49" i="25"/>
  <c r="G48" i="25"/>
  <c r="G47" i="25"/>
  <c r="G46" i="25"/>
  <c r="G45" i="25"/>
  <c r="G44" i="25"/>
  <c r="G43" i="25"/>
  <c r="G42" i="25"/>
  <c r="G41" i="25"/>
  <c r="G40" i="25"/>
  <c r="G36" i="25"/>
  <c r="G35" i="25"/>
  <c r="G31" i="25"/>
  <c r="G30" i="25"/>
  <c r="G29" i="25"/>
  <c r="G28" i="25"/>
  <c r="G24" i="25"/>
  <c r="G23" i="25"/>
  <c r="G22" i="25"/>
  <c r="G18" i="25"/>
  <c r="G17" i="25"/>
  <c r="G16" i="25"/>
  <c r="G12" i="25"/>
  <c r="G11" i="25"/>
  <c r="G10" i="25"/>
  <c r="F25" i="10"/>
  <c r="G25" i="10" s="1"/>
  <c r="F24" i="10"/>
  <c r="G24" i="10" s="1"/>
  <c r="I291" i="11"/>
  <c r="G291" i="11"/>
  <c r="I290" i="11"/>
  <c r="G290" i="11"/>
  <c r="I289" i="11"/>
  <c r="G289" i="11"/>
  <c r="I288" i="11"/>
  <c r="G288" i="11"/>
  <c r="I287" i="11"/>
  <c r="G287" i="11"/>
  <c r="I286" i="11"/>
  <c r="G286" i="11"/>
  <c r="I285" i="11"/>
  <c r="G285" i="11"/>
  <c r="I284" i="11"/>
  <c r="G284" i="11"/>
  <c r="I283" i="11"/>
  <c r="I292" i="11" s="1"/>
  <c r="G283" i="11"/>
  <c r="I282" i="11"/>
  <c r="G282" i="11"/>
  <c r="F273" i="11"/>
  <c r="I263" i="11"/>
  <c r="G263" i="11"/>
  <c r="I262" i="11"/>
  <c r="G262" i="11"/>
  <c r="I261" i="11"/>
  <c r="G261" i="11"/>
  <c r="I260" i="11"/>
  <c r="G260" i="11"/>
  <c r="I259" i="11"/>
  <c r="G259" i="11"/>
  <c r="I258" i="11"/>
  <c r="G258" i="11"/>
  <c r="I257" i="11"/>
  <c r="G257" i="11"/>
  <c r="I256" i="11"/>
  <c r="G256" i="11"/>
  <c r="I255" i="11"/>
  <c r="I264" i="11" s="1"/>
  <c r="G255" i="11"/>
  <c r="I254" i="11"/>
  <c r="G254" i="11"/>
  <c r="F245" i="11"/>
  <c r="I234" i="11"/>
  <c r="G234" i="11"/>
  <c r="I233" i="11"/>
  <c r="G233" i="11"/>
  <c r="I232" i="11"/>
  <c r="G232" i="11"/>
  <c r="I231" i="11"/>
  <c r="G231" i="11"/>
  <c r="I230" i="11"/>
  <c r="G230" i="11"/>
  <c r="I229" i="11"/>
  <c r="G229" i="11"/>
  <c r="I228" i="11"/>
  <c r="G228" i="11"/>
  <c r="I227" i="11"/>
  <c r="G227" i="11"/>
  <c r="I226" i="11"/>
  <c r="G226" i="11"/>
  <c r="I225" i="11"/>
  <c r="G225" i="11"/>
  <c r="I224" i="11"/>
  <c r="G224" i="11"/>
  <c r="I223" i="11"/>
  <c r="G223" i="11"/>
  <c r="I222" i="11"/>
  <c r="G222" i="11"/>
  <c r="F213" i="11"/>
  <c r="I203" i="11"/>
  <c r="G203" i="11"/>
  <c r="I202" i="11"/>
  <c r="G202" i="11"/>
  <c r="I201" i="11"/>
  <c r="G201" i="11"/>
  <c r="I200" i="11"/>
  <c r="G200" i="11"/>
  <c r="I199" i="11"/>
  <c r="G199" i="11"/>
  <c r="I198" i="11"/>
  <c r="G198" i="11"/>
  <c r="I197" i="11"/>
  <c r="G197" i="11"/>
  <c r="I196" i="11"/>
  <c r="G196" i="11"/>
  <c r="I195" i="11"/>
  <c r="G195" i="11"/>
  <c r="I194" i="11"/>
  <c r="G194" i="11"/>
  <c r="F185" i="11"/>
  <c r="I175" i="11"/>
  <c r="G175" i="11"/>
  <c r="I174" i="11"/>
  <c r="G174" i="11"/>
  <c r="I173" i="11"/>
  <c r="G173" i="11"/>
  <c r="I172" i="11"/>
  <c r="G172" i="11"/>
  <c r="I171" i="11"/>
  <c r="G171" i="11"/>
  <c r="I170" i="11"/>
  <c r="G170" i="11"/>
  <c r="I169" i="11"/>
  <c r="G169" i="11"/>
  <c r="I168" i="11"/>
  <c r="G168" i="11"/>
  <c r="I167" i="11"/>
  <c r="G167" i="11"/>
  <c r="F157" i="11"/>
  <c r="I147" i="11"/>
  <c r="G147" i="11"/>
  <c r="I146" i="11"/>
  <c r="G146" i="11"/>
  <c r="I145" i="11"/>
  <c r="G145" i="11"/>
  <c r="I144" i="11"/>
  <c r="G144" i="11"/>
  <c r="I143" i="11"/>
  <c r="G143" i="11"/>
  <c r="I142" i="11"/>
  <c r="G142" i="11"/>
  <c r="I141" i="11"/>
  <c r="G141" i="11"/>
  <c r="I140" i="11"/>
  <c r="G140" i="11"/>
  <c r="I139" i="11"/>
  <c r="G139" i="11"/>
  <c r="F130" i="11"/>
  <c r="I120" i="11"/>
  <c r="G120" i="11"/>
  <c r="I119" i="11"/>
  <c r="G119" i="11"/>
  <c r="I118" i="11"/>
  <c r="G118" i="11"/>
  <c r="I117" i="11"/>
  <c r="G117" i="11"/>
  <c r="I116" i="11"/>
  <c r="G116" i="11"/>
  <c r="I115" i="11"/>
  <c r="G115" i="11"/>
  <c r="I114" i="11"/>
  <c r="G114" i="11"/>
  <c r="I113" i="11"/>
  <c r="G113" i="11"/>
  <c r="I112" i="11"/>
  <c r="G112" i="11"/>
  <c r="I111" i="11"/>
  <c r="G111" i="11"/>
  <c r="I110" i="11"/>
  <c r="G110" i="11"/>
  <c r="I109" i="11"/>
  <c r="G109" i="11"/>
  <c r="I108" i="11"/>
  <c r="G108" i="11"/>
  <c r="F99" i="11"/>
  <c r="I88" i="11"/>
  <c r="G88" i="11"/>
  <c r="I87" i="11"/>
  <c r="G87" i="11"/>
  <c r="I86" i="11"/>
  <c r="G86" i="11"/>
  <c r="I85" i="11"/>
  <c r="G85" i="11"/>
  <c r="I84" i="11"/>
  <c r="G84" i="11"/>
  <c r="I83" i="11"/>
  <c r="G83" i="11"/>
  <c r="I82" i="11"/>
  <c r="G82" i="11"/>
  <c r="I81" i="11"/>
  <c r="G81" i="11"/>
  <c r="I80" i="11"/>
  <c r="G80" i="11"/>
  <c r="I79" i="11"/>
  <c r="G79" i="11"/>
  <c r="F70" i="11"/>
  <c r="I59" i="11"/>
  <c r="G59" i="11"/>
  <c r="I58" i="11"/>
  <c r="G58" i="11"/>
  <c r="I57" i="11"/>
  <c r="G57" i="11"/>
  <c r="I56" i="11"/>
  <c r="G56" i="11"/>
  <c r="I55" i="11"/>
  <c r="G55" i="11"/>
  <c r="I54" i="11"/>
  <c r="G54" i="11"/>
  <c r="I53" i="11"/>
  <c r="G53" i="11"/>
  <c r="I50" i="11"/>
  <c r="I51" i="11" s="1"/>
  <c r="G50" i="11"/>
  <c r="G51" i="11" s="1"/>
  <c r="I47" i="11"/>
  <c r="I48" i="11" s="1"/>
  <c r="G47" i="11"/>
  <c r="G48" i="11" s="1"/>
  <c r="I27" i="11"/>
  <c r="G27" i="11"/>
  <c r="I26" i="11"/>
  <c r="G26" i="11"/>
  <c r="I25" i="11"/>
  <c r="G25" i="11"/>
  <c r="I24" i="11"/>
  <c r="G24" i="11"/>
  <c r="I23" i="11"/>
  <c r="G23" i="11"/>
  <c r="I22" i="11"/>
  <c r="G22" i="11"/>
  <c r="I21" i="11"/>
  <c r="G21" i="11"/>
  <c r="I20" i="11"/>
  <c r="G20" i="11"/>
  <c r="I280" i="10"/>
  <c r="G280" i="10"/>
  <c r="F281" i="10" s="1"/>
  <c r="I277" i="10"/>
  <c r="G277" i="10"/>
  <c r="I276" i="10"/>
  <c r="G276" i="10"/>
  <c r="I275" i="10"/>
  <c r="G275" i="10"/>
  <c r="I272" i="10"/>
  <c r="G272" i="10"/>
  <c r="I271" i="10"/>
  <c r="G271" i="10"/>
  <c r="I270" i="10"/>
  <c r="G270" i="10"/>
  <c r="I269" i="10"/>
  <c r="G269" i="10"/>
  <c r="I268" i="10"/>
  <c r="G268" i="10"/>
  <c r="I267" i="10"/>
  <c r="G267" i="10"/>
  <c r="F265" i="10"/>
  <c r="I264" i="10"/>
  <c r="G264" i="10"/>
  <c r="I263" i="10"/>
  <c r="G263" i="10"/>
  <c r="I258" i="10"/>
  <c r="G258" i="10"/>
  <c r="I257" i="10"/>
  <c r="G257" i="10"/>
  <c r="I256" i="10"/>
  <c r="G256" i="10"/>
  <c r="I255" i="10"/>
  <c r="G255" i="10"/>
  <c r="I254" i="10"/>
  <c r="G254" i="10"/>
  <c r="I253" i="10"/>
  <c r="I260" i="10" s="1"/>
  <c r="G253" i="10"/>
  <c r="I248" i="10"/>
  <c r="G248" i="10"/>
  <c r="I247" i="10"/>
  <c r="G247" i="10"/>
  <c r="I246" i="10"/>
  <c r="G246" i="10"/>
  <c r="I245" i="10"/>
  <c r="G245" i="10"/>
  <c r="I244" i="10"/>
  <c r="G244" i="10"/>
  <c r="I241" i="10"/>
  <c r="G241" i="10"/>
  <c r="I240" i="10"/>
  <c r="G240" i="10"/>
  <c r="I239" i="10"/>
  <c r="G239" i="10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G230" i="10"/>
  <c r="I229" i="10"/>
  <c r="G229" i="10"/>
  <c r="I228" i="10"/>
  <c r="G228" i="10"/>
  <c r="I227" i="10"/>
  <c r="G227" i="10"/>
  <c r="I226" i="10"/>
  <c r="G226" i="10"/>
  <c r="I225" i="10"/>
  <c r="G225" i="10"/>
  <c r="I222" i="10"/>
  <c r="G222" i="10"/>
  <c r="I221" i="10"/>
  <c r="G221" i="10"/>
  <c r="I220" i="10"/>
  <c r="G220" i="10"/>
  <c r="I219" i="10"/>
  <c r="G219" i="10"/>
  <c r="I218" i="10"/>
  <c r="G218" i="10"/>
  <c r="I217" i="10"/>
  <c r="G217" i="10"/>
  <c r="I216" i="10"/>
  <c r="G216" i="10"/>
  <c r="I215" i="10"/>
  <c r="G215" i="10"/>
  <c r="I214" i="10"/>
  <c r="G214" i="10"/>
  <c r="I213" i="10"/>
  <c r="G213" i="10"/>
  <c r="I212" i="10"/>
  <c r="G212" i="10"/>
  <c r="I211" i="10"/>
  <c r="G211" i="10"/>
  <c r="I210" i="10"/>
  <c r="G210" i="10"/>
  <c r="I209" i="10"/>
  <c r="G209" i="10"/>
  <c r="I208" i="10"/>
  <c r="G208" i="10"/>
  <c r="I207" i="10"/>
  <c r="G207" i="10"/>
  <c r="I206" i="10"/>
  <c r="G206" i="10"/>
  <c r="I205" i="10"/>
  <c r="G205" i="10"/>
  <c r="I204" i="10"/>
  <c r="G204" i="10"/>
  <c r="I203" i="10"/>
  <c r="G203" i="10"/>
  <c r="I202" i="10"/>
  <c r="G202" i="10"/>
  <c r="I201" i="10"/>
  <c r="G201" i="10"/>
  <c r="I198" i="10"/>
  <c r="G198" i="10"/>
  <c r="I197" i="10"/>
  <c r="G197" i="10"/>
  <c r="I196" i="10"/>
  <c r="G196" i="10"/>
  <c r="I195" i="10"/>
  <c r="G195" i="10"/>
  <c r="I194" i="10"/>
  <c r="G194" i="10"/>
  <c r="I193" i="10"/>
  <c r="G193" i="10"/>
  <c r="I192" i="10"/>
  <c r="G192" i="10"/>
  <c r="I191" i="10"/>
  <c r="G191" i="10"/>
  <c r="I190" i="10"/>
  <c r="G190" i="10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I183" i="10"/>
  <c r="G183" i="10"/>
  <c r="I182" i="10"/>
  <c r="G182" i="10"/>
  <c r="I181" i="10"/>
  <c r="G181" i="10"/>
  <c r="I180" i="10"/>
  <c r="G180" i="10"/>
  <c r="I179" i="10"/>
  <c r="G179" i="10"/>
  <c r="I178" i="10"/>
  <c r="G178" i="10"/>
  <c r="I177" i="10"/>
  <c r="G177" i="10"/>
  <c r="I176" i="10"/>
  <c r="G176" i="10"/>
  <c r="I175" i="10"/>
  <c r="G175" i="10"/>
  <c r="I174" i="10"/>
  <c r="G174" i="10"/>
  <c r="I171" i="10"/>
  <c r="G171" i="10"/>
  <c r="I170" i="10"/>
  <c r="G170" i="10"/>
  <c r="I169" i="10"/>
  <c r="G169" i="10"/>
  <c r="I168" i="10"/>
  <c r="G168" i="10"/>
  <c r="I167" i="10"/>
  <c r="G167" i="10"/>
  <c r="I166" i="10"/>
  <c r="G166" i="10"/>
  <c r="I165" i="10"/>
  <c r="G165" i="10"/>
  <c r="I164" i="10"/>
  <c r="G164" i="10"/>
  <c r="I163" i="10"/>
  <c r="G163" i="10"/>
  <c r="I162" i="10"/>
  <c r="G162" i="10"/>
  <c r="I161" i="10"/>
  <c r="G161" i="10"/>
  <c r="I160" i="10"/>
  <c r="G160" i="10"/>
  <c r="I159" i="10"/>
  <c r="G159" i="10"/>
  <c r="I157" i="10"/>
  <c r="G157" i="10"/>
  <c r="I156" i="10"/>
  <c r="G156" i="10"/>
  <c r="I155" i="10"/>
  <c r="G155" i="10"/>
  <c r="I154" i="10"/>
  <c r="G154" i="10"/>
  <c r="I153" i="10"/>
  <c r="G153" i="10"/>
  <c r="I152" i="10"/>
  <c r="G152" i="10"/>
  <c r="I151" i="10"/>
  <c r="G151" i="10"/>
  <c r="I150" i="10"/>
  <c r="G150" i="10"/>
  <c r="I149" i="10"/>
  <c r="G149" i="10"/>
  <c r="I148" i="10"/>
  <c r="G148" i="10"/>
  <c r="I147" i="10"/>
  <c r="G147" i="10"/>
  <c r="I146" i="10"/>
  <c r="G146" i="10"/>
  <c r="I142" i="10"/>
  <c r="G142" i="10"/>
  <c r="I141" i="10"/>
  <c r="G141" i="10"/>
  <c r="I140" i="10"/>
  <c r="I144" i="10" s="1"/>
  <c r="G140" i="10"/>
  <c r="N135" i="10"/>
  <c r="I135" i="10"/>
  <c r="G135" i="10"/>
  <c r="I134" i="10"/>
  <c r="G134" i="10"/>
  <c r="I133" i="10"/>
  <c r="G133" i="10"/>
  <c r="I132" i="10"/>
  <c r="G132" i="10"/>
  <c r="N131" i="10"/>
  <c r="I131" i="10"/>
  <c r="G131" i="10"/>
  <c r="I130" i="10"/>
  <c r="G130" i="10"/>
  <c r="I129" i="10"/>
  <c r="G129" i="10"/>
  <c r="I126" i="10"/>
  <c r="G126" i="10"/>
  <c r="I125" i="10"/>
  <c r="G125" i="10"/>
  <c r="I124" i="10"/>
  <c r="G124" i="10"/>
  <c r="I123" i="10"/>
  <c r="G123" i="10"/>
  <c r="I122" i="10"/>
  <c r="G122" i="10"/>
  <c r="I121" i="10"/>
  <c r="G121" i="10"/>
  <c r="I120" i="10"/>
  <c r="G120" i="10"/>
  <c r="N119" i="10"/>
  <c r="I119" i="10"/>
  <c r="G119" i="10"/>
  <c r="N118" i="10"/>
  <c r="I118" i="10"/>
  <c r="G118" i="10"/>
  <c r="N117" i="10"/>
  <c r="I117" i="10"/>
  <c r="G117" i="10"/>
  <c r="N116" i="10"/>
  <c r="I116" i="10"/>
  <c r="G116" i="10"/>
  <c r="N115" i="10"/>
  <c r="I115" i="10"/>
  <c r="G115" i="10"/>
  <c r="N114" i="10"/>
  <c r="I114" i="10"/>
  <c r="G114" i="10"/>
  <c r="N113" i="10"/>
  <c r="I113" i="10"/>
  <c r="G113" i="10"/>
  <c r="I110" i="10"/>
  <c r="G110" i="10"/>
  <c r="I109" i="10"/>
  <c r="G109" i="10"/>
  <c r="I108" i="10"/>
  <c r="G108" i="10"/>
  <c r="I107" i="10"/>
  <c r="G107" i="10"/>
  <c r="I106" i="10"/>
  <c r="G106" i="10"/>
  <c r="I105" i="10"/>
  <c r="G105" i="10"/>
  <c r="I104" i="10"/>
  <c r="G104" i="10"/>
  <c r="I103" i="10"/>
  <c r="G103" i="10"/>
  <c r="N102" i="10"/>
  <c r="I102" i="10"/>
  <c r="G102" i="10"/>
  <c r="N101" i="10"/>
  <c r="I101" i="10"/>
  <c r="G101" i="10"/>
  <c r="N100" i="10"/>
  <c r="I100" i="10"/>
  <c r="G100" i="10"/>
  <c r="N99" i="10"/>
  <c r="I99" i="10"/>
  <c r="G99" i="10"/>
  <c r="N98" i="10"/>
  <c r="I98" i="10"/>
  <c r="G98" i="10"/>
  <c r="N97" i="10"/>
  <c r="I97" i="10"/>
  <c r="G97" i="10"/>
  <c r="N96" i="10"/>
  <c r="I96" i="10"/>
  <c r="G96" i="10"/>
  <c r="N95" i="10"/>
  <c r="I95" i="10"/>
  <c r="G95" i="10"/>
  <c r="N94" i="10"/>
  <c r="I94" i="10"/>
  <c r="G94" i="10"/>
  <c r="N93" i="10"/>
  <c r="I93" i="10"/>
  <c r="G93" i="10"/>
  <c r="I90" i="10"/>
  <c r="G90" i="10"/>
  <c r="I89" i="10"/>
  <c r="G89" i="10"/>
  <c r="I88" i="10"/>
  <c r="G88" i="10"/>
  <c r="I87" i="10"/>
  <c r="G87" i="10"/>
  <c r="I86" i="10"/>
  <c r="G86" i="10"/>
  <c r="I85" i="10"/>
  <c r="G85" i="10"/>
  <c r="I84" i="10"/>
  <c r="G84" i="10"/>
  <c r="I83" i="10"/>
  <c r="G83" i="10"/>
  <c r="I82" i="10"/>
  <c r="G82" i="10"/>
  <c r="I81" i="10"/>
  <c r="G81" i="10"/>
  <c r="I80" i="10"/>
  <c r="G80" i="10"/>
  <c r="I79" i="10"/>
  <c r="G79" i="10"/>
  <c r="I78" i="10"/>
  <c r="G78" i="10"/>
  <c r="N77" i="10"/>
  <c r="I77" i="10"/>
  <c r="G77" i="10"/>
  <c r="N76" i="10"/>
  <c r="I76" i="10"/>
  <c r="G76" i="10"/>
  <c r="N75" i="10"/>
  <c r="I75" i="10"/>
  <c r="G75" i="10"/>
  <c r="N74" i="10"/>
  <c r="I74" i="10"/>
  <c r="G74" i="10"/>
  <c r="N73" i="10"/>
  <c r="I73" i="10"/>
  <c r="G73" i="10"/>
  <c r="N72" i="10"/>
  <c r="I72" i="10"/>
  <c r="G72" i="10"/>
  <c r="N71" i="10"/>
  <c r="I71" i="10"/>
  <c r="G71" i="10"/>
  <c r="N70" i="10"/>
  <c r="I70" i="10"/>
  <c r="G70" i="10"/>
  <c r="I67" i="10"/>
  <c r="G67" i="10"/>
  <c r="I66" i="10"/>
  <c r="G66" i="10"/>
  <c r="I65" i="10"/>
  <c r="G65" i="10"/>
  <c r="I64" i="10"/>
  <c r="G64" i="10"/>
  <c r="N63" i="10"/>
  <c r="I63" i="10"/>
  <c r="G63" i="10"/>
  <c r="N62" i="10"/>
  <c r="I62" i="10"/>
  <c r="G62" i="10"/>
  <c r="N61" i="10"/>
  <c r="I61" i="10"/>
  <c r="G61" i="10"/>
  <c r="N60" i="10"/>
  <c r="I60" i="10"/>
  <c r="G60" i="10"/>
  <c r="N59" i="10"/>
  <c r="I59" i="10"/>
  <c r="G59" i="10"/>
  <c r="N58" i="10"/>
  <c r="I58" i="10"/>
  <c r="I137" i="10" s="1"/>
  <c r="G58" i="10"/>
  <c r="F54" i="10"/>
  <c r="I53" i="10"/>
  <c r="G53" i="10"/>
  <c r="I50" i="10"/>
  <c r="G50" i="10"/>
  <c r="I49" i="10"/>
  <c r="G49" i="10"/>
  <c r="I48" i="10"/>
  <c r="G48" i="10"/>
  <c r="I45" i="10"/>
  <c r="G45" i="10"/>
  <c r="I44" i="10"/>
  <c r="G44" i="10"/>
  <c r="I43" i="10"/>
  <c r="G43" i="10"/>
  <c r="I42" i="10"/>
  <c r="G42" i="10"/>
  <c r="I41" i="10"/>
  <c r="G41" i="10"/>
  <c r="I40" i="10"/>
  <c r="G40" i="10"/>
  <c r="I39" i="10"/>
  <c r="G39" i="10"/>
  <c r="I36" i="10"/>
  <c r="G36" i="10"/>
  <c r="I35" i="10"/>
  <c r="G35" i="10"/>
  <c r="F37" i="10" s="1"/>
  <c r="I33" i="10"/>
  <c r="I32" i="10"/>
  <c r="I31" i="10"/>
  <c r="I30" i="10"/>
  <c r="I29" i="10"/>
  <c r="I28" i="10"/>
  <c r="I27" i="10"/>
  <c r="I26" i="10"/>
  <c r="I25" i="10"/>
  <c r="I24" i="10"/>
  <c r="G20" i="10"/>
  <c r="F21" i="10" s="1"/>
  <c r="G17" i="10"/>
  <c r="F18" i="10" s="1"/>
  <c r="F15" i="10"/>
  <c r="I14" i="10"/>
  <c r="G14" i="10"/>
  <c r="F12" i="10"/>
  <c r="I11" i="10"/>
  <c r="G11" i="10"/>
  <c r="G8" i="10"/>
  <c r="F9" i="10" s="1"/>
  <c r="F36" i="9"/>
  <c r="G36" i="9" s="1"/>
  <c r="F32" i="9"/>
  <c r="G32" i="9" s="1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G8" i="8"/>
  <c r="J7" i="8"/>
  <c r="I6" i="8"/>
  <c r="H99" i="8" s="1"/>
  <c r="H6" i="8"/>
  <c r="H98" i="8" s="1"/>
  <c r="C39" i="7"/>
  <c r="D7" i="7"/>
  <c r="A28" i="7"/>
  <c r="A27" i="7"/>
  <c r="A23" i="7"/>
  <c r="C22" i="7"/>
  <c r="A21" i="7"/>
  <c r="A20" i="7"/>
  <c r="C16" i="7"/>
  <c r="C15" i="7"/>
  <c r="C14" i="7"/>
  <c r="C13" i="7"/>
  <c r="A9" i="7"/>
  <c r="A8" i="7"/>
  <c r="A7" i="7"/>
  <c r="A6" i="7"/>
  <c r="C4" i="7"/>
  <c r="J376" i="6"/>
  <c r="I376" i="6"/>
  <c r="L375" i="6"/>
  <c r="J375" i="6"/>
  <c r="I375" i="6"/>
  <c r="H375" i="6"/>
  <c r="F375" i="6"/>
  <c r="L374" i="6"/>
  <c r="I374" i="6"/>
  <c r="H374" i="6"/>
  <c r="F374" i="6"/>
  <c r="J374" i="6" s="1"/>
  <c r="L373" i="6"/>
  <c r="I373" i="6"/>
  <c r="H373" i="6"/>
  <c r="F373" i="6"/>
  <c r="J373" i="6" s="1"/>
  <c r="L372" i="6"/>
  <c r="J372" i="6"/>
  <c r="I372" i="6"/>
  <c r="H372" i="6"/>
  <c r="F372" i="6"/>
  <c r="L371" i="6"/>
  <c r="I371" i="6"/>
  <c r="H371" i="6"/>
  <c r="F371" i="6"/>
  <c r="J371" i="6" s="1"/>
  <c r="L370" i="6"/>
  <c r="I370" i="6"/>
  <c r="H370" i="6"/>
  <c r="F370" i="6"/>
  <c r="J370" i="6" s="1"/>
  <c r="L369" i="6"/>
  <c r="I369" i="6"/>
  <c r="H369" i="6"/>
  <c r="F369" i="6"/>
  <c r="J368" i="6"/>
  <c r="I368" i="6"/>
  <c r="L364" i="6"/>
  <c r="I364" i="6"/>
  <c r="H364" i="6"/>
  <c r="F364" i="6"/>
  <c r="L363" i="6"/>
  <c r="I363" i="6"/>
  <c r="H363" i="6"/>
  <c r="J363" i="6" s="1"/>
  <c r="F363" i="6"/>
  <c r="L362" i="6"/>
  <c r="I362" i="6"/>
  <c r="H362" i="6"/>
  <c r="F362" i="6"/>
  <c r="J362" i="6" s="1"/>
  <c r="L361" i="6"/>
  <c r="J361" i="6"/>
  <c r="I361" i="6"/>
  <c r="H361" i="6"/>
  <c r="F361" i="6"/>
  <c r="L360" i="6"/>
  <c r="L365" i="6" s="1"/>
  <c r="I360" i="6"/>
  <c r="H360" i="6"/>
  <c r="F360" i="6"/>
  <c r="J360" i="6" s="1"/>
  <c r="L359" i="6"/>
  <c r="I359" i="6"/>
  <c r="H359" i="6"/>
  <c r="H365" i="6" s="1"/>
  <c r="F359" i="6"/>
  <c r="J359" i="6" s="1"/>
  <c r="L354" i="6"/>
  <c r="I354" i="6"/>
  <c r="H354" i="6"/>
  <c r="F354" i="6"/>
  <c r="J354" i="6" s="1"/>
  <c r="L352" i="6"/>
  <c r="I352" i="6"/>
  <c r="H352" i="6"/>
  <c r="J352" i="6" s="1"/>
  <c r="F352" i="6"/>
  <c r="L350" i="6"/>
  <c r="I350" i="6"/>
  <c r="H350" i="6"/>
  <c r="F350" i="6"/>
  <c r="L349" i="6"/>
  <c r="I349" i="6"/>
  <c r="H349" i="6"/>
  <c r="F349" i="6"/>
  <c r="L348" i="6"/>
  <c r="I348" i="6"/>
  <c r="H348" i="6"/>
  <c r="F348" i="6"/>
  <c r="L346" i="6"/>
  <c r="I346" i="6"/>
  <c r="H346" i="6"/>
  <c r="F346" i="6"/>
  <c r="L344" i="6"/>
  <c r="I344" i="6"/>
  <c r="H344" i="6"/>
  <c r="F344" i="6"/>
  <c r="J344" i="6" s="1"/>
  <c r="L342" i="6"/>
  <c r="I342" i="6"/>
  <c r="H342" i="6"/>
  <c r="F342" i="6"/>
  <c r="L341" i="6"/>
  <c r="I341" i="6"/>
  <c r="H341" i="6"/>
  <c r="F341" i="6"/>
  <c r="J341" i="6" s="1"/>
  <c r="L337" i="6"/>
  <c r="J337" i="6"/>
  <c r="I337" i="6"/>
  <c r="H337" i="6"/>
  <c r="F337" i="6"/>
  <c r="L336" i="6"/>
  <c r="I336" i="6"/>
  <c r="H336" i="6"/>
  <c r="F336" i="6"/>
  <c r="L335" i="6"/>
  <c r="I335" i="6"/>
  <c r="H335" i="6"/>
  <c r="F335" i="6"/>
  <c r="J335" i="6" s="1"/>
  <c r="L333" i="6"/>
  <c r="J333" i="6"/>
  <c r="I333" i="6"/>
  <c r="H333" i="6"/>
  <c r="F333" i="6"/>
  <c r="L330" i="6"/>
  <c r="I330" i="6"/>
  <c r="H330" i="6"/>
  <c r="F330" i="6"/>
  <c r="L328" i="6"/>
  <c r="I328" i="6"/>
  <c r="H328" i="6"/>
  <c r="F328" i="6"/>
  <c r="J328" i="6" s="1"/>
  <c r="L327" i="6"/>
  <c r="I327" i="6"/>
  <c r="H327" i="6"/>
  <c r="J327" i="6" s="1"/>
  <c r="F327" i="6"/>
  <c r="J325" i="6"/>
  <c r="I325" i="6"/>
  <c r="L324" i="6"/>
  <c r="I324" i="6"/>
  <c r="H324" i="6"/>
  <c r="F324" i="6"/>
  <c r="J324" i="6" s="1"/>
  <c r="L323" i="6"/>
  <c r="I323" i="6"/>
  <c r="H323" i="6"/>
  <c r="F323" i="6"/>
  <c r="J323" i="6" s="1"/>
  <c r="L322" i="6"/>
  <c r="J322" i="6"/>
  <c r="I322" i="6"/>
  <c r="H322" i="6"/>
  <c r="F322" i="6"/>
  <c r="L321" i="6"/>
  <c r="I321" i="6"/>
  <c r="H321" i="6"/>
  <c r="F321" i="6"/>
  <c r="J321" i="6" s="1"/>
  <c r="L320" i="6"/>
  <c r="L355" i="6" s="1"/>
  <c r="I320" i="6"/>
  <c r="H320" i="6"/>
  <c r="F320" i="6"/>
  <c r="J320" i="6" s="1"/>
  <c r="L319" i="6"/>
  <c r="I319" i="6"/>
  <c r="H319" i="6"/>
  <c r="J319" i="6" s="1"/>
  <c r="F319" i="6"/>
  <c r="L318" i="6"/>
  <c r="I318" i="6"/>
  <c r="H318" i="6"/>
  <c r="F318" i="6"/>
  <c r="L312" i="6"/>
  <c r="I312" i="6"/>
  <c r="H312" i="6"/>
  <c r="F312" i="6"/>
  <c r="J312" i="6" s="1"/>
  <c r="L310" i="6"/>
  <c r="I310" i="6"/>
  <c r="H310" i="6"/>
  <c r="F310" i="6"/>
  <c r="J310" i="6" s="1"/>
  <c r="L309" i="6"/>
  <c r="I309" i="6"/>
  <c r="H309" i="6"/>
  <c r="J309" i="6" s="1"/>
  <c r="F309" i="6"/>
  <c r="L308" i="6"/>
  <c r="I308" i="6"/>
  <c r="H308" i="6"/>
  <c r="F308" i="6"/>
  <c r="J308" i="6" s="1"/>
  <c r="L306" i="6"/>
  <c r="J306" i="6"/>
  <c r="I306" i="6"/>
  <c r="H306" i="6"/>
  <c r="F306" i="6"/>
  <c r="L304" i="6"/>
  <c r="I304" i="6"/>
  <c r="H304" i="6"/>
  <c r="F304" i="6"/>
  <c r="J304" i="6" s="1"/>
  <c r="L302" i="6"/>
  <c r="I302" i="6"/>
  <c r="H302" i="6"/>
  <c r="F302" i="6"/>
  <c r="J302" i="6" s="1"/>
  <c r="L301" i="6"/>
  <c r="I301" i="6"/>
  <c r="H301" i="6"/>
  <c r="F301" i="6"/>
  <c r="J301" i="6" s="1"/>
  <c r="L297" i="6"/>
  <c r="I297" i="6"/>
  <c r="H297" i="6"/>
  <c r="F297" i="6"/>
  <c r="J297" i="6" s="1"/>
  <c r="L296" i="6"/>
  <c r="I296" i="6"/>
  <c r="H296" i="6"/>
  <c r="F296" i="6"/>
  <c r="L295" i="6"/>
  <c r="I295" i="6"/>
  <c r="H295" i="6"/>
  <c r="J295" i="6" s="1"/>
  <c r="F295" i="6"/>
  <c r="L293" i="6"/>
  <c r="I293" i="6"/>
  <c r="H293" i="6"/>
  <c r="F293" i="6"/>
  <c r="L291" i="6"/>
  <c r="I291" i="6"/>
  <c r="H291" i="6"/>
  <c r="F291" i="6"/>
  <c r="J291" i="6" s="1"/>
  <c r="L289" i="6"/>
  <c r="I289" i="6"/>
  <c r="H289" i="6"/>
  <c r="F289" i="6"/>
  <c r="L288" i="6"/>
  <c r="I288" i="6"/>
  <c r="H288" i="6"/>
  <c r="F288" i="6"/>
  <c r="J288" i="6" s="1"/>
  <c r="J286" i="6"/>
  <c r="I286" i="6"/>
  <c r="L285" i="6"/>
  <c r="I285" i="6"/>
  <c r="H285" i="6"/>
  <c r="F285" i="6"/>
  <c r="J285" i="6" s="1"/>
  <c r="L284" i="6"/>
  <c r="I284" i="6"/>
  <c r="H284" i="6"/>
  <c r="J284" i="6" s="1"/>
  <c r="F284" i="6"/>
  <c r="L283" i="6"/>
  <c r="I283" i="6"/>
  <c r="H283" i="6"/>
  <c r="F283" i="6"/>
  <c r="J283" i="6" s="1"/>
  <c r="L282" i="6"/>
  <c r="I282" i="6"/>
  <c r="H282" i="6"/>
  <c r="F282" i="6"/>
  <c r="J282" i="6" s="1"/>
  <c r="L281" i="6"/>
  <c r="L313" i="6" s="1"/>
  <c r="I281" i="6"/>
  <c r="H281" i="6"/>
  <c r="F281" i="6"/>
  <c r="J281" i="6" s="1"/>
  <c r="L280" i="6"/>
  <c r="I280" i="6"/>
  <c r="H280" i="6"/>
  <c r="F280" i="6"/>
  <c r="J280" i="6" s="1"/>
  <c r="L279" i="6"/>
  <c r="I279" i="6"/>
  <c r="H279" i="6"/>
  <c r="H313" i="6" s="1"/>
  <c r="C37" i="7" s="1"/>
  <c r="F279" i="6"/>
  <c r="L273" i="6"/>
  <c r="I273" i="6"/>
  <c r="H273" i="6"/>
  <c r="F273" i="6"/>
  <c r="J273" i="6" s="1"/>
  <c r="L271" i="6"/>
  <c r="I271" i="6"/>
  <c r="H271" i="6"/>
  <c r="F271" i="6"/>
  <c r="L270" i="6"/>
  <c r="I270" i="6"/>
  <c r="H270" i="6"/>
  <c r="F270" i="6"/>
  <c r="L269" i="6"/>
  <c r="I269" i="6"/>
  <c r="H269" i="6"/>
  <c r="J269" i="6" s="1"/>
  <c r="F269" i="6"/>
  <c r="L267" i="6"/>
  <c r="I267" i="6"/>
  <c r="H267" i="6"/>
  <c r="F267" i="6"/>
  <c r="J267" i="6" s="1"/>
  <c r="L266" i="6"/>
  <c r="I266" i="6"/>
  <c r="H266" i="6"/>
  <c r="F266" i="6"/>
  <c r="J266" i="6" s="1"/>
  <c r="L263" i="6"/>
  <c r="I263" i="6"/>
  <c r="H263" i="6"/>
  <c r="F263" i="6"/>
  <c r="L261" i="6"/>
  <c r="I261" i="6"/>
  <c r="H261" i="6"/>
  <c r="F261" i="6"/>
  <c r="L260" i="6"/>
  <c r="J260" i="6"/>
  <c r="I260" i="6"/>
  <c r="H260" i="6"/>
  <c r="F260" i="6"/>
  <c r="L259" i="6"/>
  <c r="I259" i="6"/>
  <c r="H259" i="6"/>
  <c r="F259" i="6"/>
  <c r="J259" i="6" s="1"/>
  <c r="L257" i="6"/>
  <c r="I257" i="6"/>
  <c r="H257" i="6"/>
  <c r="F257" i="6"/>
  <c r="L256" i="6"/>
  <c r="I256" i="6"/>
  <c r="H256" i="6"/>
  <c r="F256" i="6"/>
  <c r="J256" i="6" s="1"/>
  <c r="L254" i="6"/>
  <c r="I254" i="6"/>
  <c r="H254" i="6"/>
  <c r="F254" i="6"/>
  <c r="L253" i="6"/>
  <c r="I253" i="6"/>
  <c r="H253" i="6"/>
  <c r="F253" i="6"/>
  <c r="J253" i="6" s="1"/>
  <c r="L252" i="6"/>
  <c r="I252" i="6"/>
  <c r="H252" i="6"/>
  <c r="F252" i="6"/>
  <c r="L250" i="6"/>
  <c r="I250" i="6"/>
  <c r="H250" i="6"/>
  <c r="F250" i="6"/>
  <c r="J250" i="6" s="1"/>
  <c r="L249" i="6"/>
  <c r="J249" i="6"/>
  <c r="I249" i="6"/>
  <c r="H249" i="6"/>
  <c r="F249" i="6"/>
  <c r="L248" i="6"/>
  <c r="I248" i="6"/>
  <c r="H248" i="6"/>
  <c r="F248" i="6"/>
  <c r="J248" i="6" s="1"/>
  <c r="L247" i="6"/>
  <c r="I247" i="6"/>
  <c r="H247" i="6"/>
  <c r="J247" i="6" s="1"/>
  <c r="F247" i="6"/>
  <c r="L246" i="6"/>
  <c r="L274" i="6" s="1"/>
  <c r="I246" i="6"/>
  <c r="H246" i="6"/>
  <c r="H274" i="6" s="1"/>
  <c r="C36" i="7" s="1"/>
  <c r="F246" i="6"/>
  <c r="L240" i="6"/>
  <c r="I240" i="6"/>
  <c r="H240" i="6"/>
  <c r="F240" i="6"/>
  <c r="J240" i="6" s="1"/>
  <c r="L238" i="6"/>
  <c r="I238" i="6"/>
  <c r="H238" i="6"/>
  <c r="F238" i="6"/>
  <c r="J238" i="6" s="1"/>
  <c r="L236" i="6"/>
  <c r="I236" i="6"/>
  <c r="H236" i="6"/>
  <c r="F236" i="6"/>
  <c r="L235" i="6"/>
  <c r="I235" i="6"/>
  <c r="H235" i="6"/>
  <c r="F235" i="6"/>
  <c r="L234" i="6"/>
  <c r="I234" i="6"/>
  <c r="H234" i="6"/>
  <c r="F234" i="6"/>
  <c r="L232" i="6"/>
  <c r="I232" i="6"/>
  <c r="H232" i="6"/>
  <c r="F232" i="6"/>
  <c r="J232" i="6" s="1"/>
  <c r="L230" i="6"/>
  <c r="I230" i="6"/>
  <c r="H230" i="6"/>
  <c r="F230" i="6"/>
  <c r="L229" i="6"/>
  <c r="I229" i="6"/>
  <c r="H229" i="6"/>
  <c r="F229" i="6"/>
  <c r="L228" i="6"/>
  <c r="I228" i="6"/>
  <c r="H228" i="6"/>
  <c r="F228" i="6"/>
  <c r="L226" i="6"/>
  <c r="I226" i="6"/>
  <c r="H226" i="6"/>
  <c r="F226" i="6"/>
  <c r="J226" i="6" s="1"/>
  <c r="L225" i="6"/>
  <c r="I225" i="6"/>
  <c r="H225" i="6"/>
  <c r="F225" i="6"/>
  <c r="J225" i="6" s="1"/>
  <c r="L221" i="6"/>
  <c r="I221" i="6"/>
  <c r="H221" i="6"/>
  <c r="F221" i="6"/>
  <c r="L219" i="6"/>
  <c r="I219" i="6"/>
  <c r="H219" i="6"/>
  <c r="F219" i="6"/>
  <c r="L218" i="6"/>
  <c r="I218" i="6"/>
  <c r="H218" i="6"/>
  <c r="F218" i="6"/>
  <c r="L216" i="6"/>
  <c r="I216" i="6"/>
  <c r="H216" i="6"/>
  <c r="F216" i="6"/>
  <c r="L214" i="6"/>
  <c r="I214" i="6"/>
  <c r="H214" i="6"/>
  <c r="F214" i="6"/>
  <c r="L212" i="6"/>
  <c r="I212" i="6"/>
  <c r="H212" i="6"/>
  <c r="J212" i="6" s="1"/>
  <c r="F212" i="6"/>
  <c r="L210" i="6"/>
  <c r="I210" i="6"/>
  <c r="H210" i="6"/>
  <c r="F210" i="6"/>
  <c r="J210" i="6" s="1"/>
  <c r="L209" i="6"/>
  <c r="I209" i="6"/>
  <c r="H209" i="6"/>
  <c r="F209" i="6"/>
  <c r="L207" i="6"/>
  <c r="I207" i="6"/>
  <c r="H207" i="6"/>
  <c r="F207" i="6"/>
  <c r="J207" i="6" s="1"/>
  <c r="L205" i="6"/>
  <c r="I205" i="6"/>
  <c r="H205" i="6"/>
  <c r="F205" i="6"/>
  <c r="L202" i="6"/>
  <c r="I202" i="6"/>
  <c r="H202" i="6"/>
  <c r="F202" i="6"/>
  <c r="J202" i="6" s="1"/>
  <c r="L201" i="6"/>
  <c r="I201" i="6"/>
  <c r="H201" i="6"/>
  <c r="F201" i="6"/>
  <c r="L200" i="6"/>
  <c r="I200" i="6"/>
  <c r="H200" i="6"/>
  <c r="F200" i="6"/>
  <c r="J200" i="6" s="1"/>
  <c r="L199" i="6"/>
  <c r="J199" i="6"/>
  <c r="I199" i="6"/>
  <c r="H199" i="6"/>
  <c r="F199" i="6"/>
  <c r="L198" i="6"/>
  <c r="I198" i="6"/>
  <c r="H198" i="6"/>
  <c r="F198" i="6"/>
  <c r="J198" i="6" s="1"/>
  <c r="L197" i="6"/>
  <c r="I197" i="6"/>
  <c r="H197" i="6"/>
  <c r="J197" i="6" s="1"/>
  <c r="F197" i="6"/>
  <c r="L196" i="6"/>
  <c r="L241" i="6" s="1"/>
  <c r="J196" i="6"/>
  <c r="I196" i="6"/>
  <c r="H196" i="6"/>
  <c r="F196" i="6"/>
  <c r="L190" i="6"/>
  <c r="I190" i="6"/>
  <c r="H190" i="6"/>
  <c r="F190" i="6"/>
  <c r="J190" i="6" s="1"/>
  <c r="L188" i="6"/>
  <c r="I188" i="6"/>
  <c r="H188" i="6"/>
  <c r="F188" i="6"/>
  <c r="J188" i="6" s="1"/>
  <c r="L187" i="6"/>
  <c r="I187" i="6"/>
  <c r="H187" i="6"/>
  <c r="F187" i="6"/>
  <c r="J187" i="6" s="1"/>
  <c r="L186" i="6"/>
  <c r="I186" i="6"/>
  <c r="H186" i="6"/>
  <c r="F186" i="6"/>
  <c r="J186" i="6" s="1"/>
  <c r="L185" i="6"/>
  <c r="I185" i="6"/>
  <c r="H185" i="6"/>
  <c r="F185" i="6"/>
  <c r="J185" i="6" s="1"/>
  <c r="L183" i="6"/>
  <c r="I183" i="6"/>
  <c r="H183" i="6"/>
  <c r="F183" i="6"/>
  <c r="J183" i="6" s="1"/>
  <c r="L182" i="6"/>
  <c r="I182" i="6"/>
  <c r="H182" i="6"/>
  <c r="F182" i="6"/>
  <c r="L181" i="6"/>
  <c r="I181" i="6"/>
  <c r="H181" i="6"/>
  <c r="F181" i="6"/>
  <c r="J181" i="6" s="1"/>
  <c r="L180" i="6"/>
  <c r="I180" i="6"/>
  <c r="H180" i="6"/>
  <c r="J180" i="6" s="1"/>
  <c r="F180" i="6"/>
  <c r="L178" i="6"/>
  <c r="I178" i="6"/>
  <c r="H178" i="6"/>
  <c r="F178" i="6"/>
  <c r="J178" i="6" s="1"/>
  <c r="L177" i="6"/>
  <c r="I177" i="6"/>
  <c r="H177" i="6"/>
  <c r="F177" i="6"/>
  <c r="J177" i="6" s="1"/>
  <c r="L175" i="6"/>
  <c r="I175" i="6"/>
  <c r="H175" i="6"/>
  <c r="F175" i="6"/>
  <c r="J175" i="6" s="1"/>
  <c r="L173" i="6"/>
  <c r="I173" i="6"/>
  <c r="H173" i="6"/>
  <c r="F173" i="6"/>
  <c r="J173" i="6" s="1"/>
  <c r="L171" i="6"/>
  <c r="I171" i="6"/>
  <c r="H171" i="6"/>
  <c r="F171" i="6"/>
  <c r="J171" i="6" s="1"/>
  <c r="L170" i="6"/>
  <c r="I170" i="6"/>
  <c r="H170" i="6"/>
  <c r="F170" i="6"/>
  <c r="L169" i="6"/>
  <c r="I169" i="6"/>
  <c r="H169" i="6"/>
  <c r="F169" i="6"/>
  <c r="J169" i="6" s="1"/>
  <c r="L165" i="6"/>
  <c r="J165" i="6"/>
  <c r="I165" i="6"/>
  <c r="H165" i="6"/>
  <c r="F165" i="6"/>
  <c r="L164" i="6"/>
  <c r="I164" i="6"/>
  <c r="H164" i="6"/>
  <c r="F164" i="6"/>
  <c r="J164" i="6" s="1"/>
  <c r="L162" i="6"/>
  <c r="I162" i="6"/>
  <c r="H162" i="6"/>
  <c r="J162" i="6" s="1"/>
  <c r="F162" i="6"/>
  <c r="L160" i="6"/>
  <c r="I160" i="6"/>
  <c r="H160" i="6"/>
  <c r="F160" i="6"/>
  <c r="J160" i="6" s="1"/>
  <c r="L157" i="6"/>
  <c r="I157" i="6"/>
  <c r="H157" i="6"/>
  <c r="F157" i="6"/>
  <c r="J157" i="6" s="1"/>
  <c r="L154" i="6"/>
  <c r="I154" i="6"/>
  <c r="H154" i="6"/>
  <c r="F154" i="6"/>
  <c r="J154" i="6" s="1"/>
  <c r="L151" i="6"/>
  <c r="I151" i="6"/>
  <c r="H151" i="6"/>
  <c r="F151" i="6"/>
  <c r="L148" i="6"/>
  <c r="I148" i="6"/>
  <c r="H148" i="6"/>
  <c r="F148" i="6"/>
  <c r="L146" i="6"/>
  <c r="J146" i="6"/>
  <c r="I146" i="6"/>
  <c r="H146" i="6"/>
  <c r="F146" i="6"/>
  <c r="L144" i="6"/>
  <c r="I144" i="6"/>
  <c r="H144" i="6"/>
  <c r="F144" i="6"/>
  <c r="J144" i="6" s="1"/>
  <c r="L143" i="6"/>
  <c r="I143" i="6"/>
  <c r="H143" i="6"/>
  <c r="F143" i="6"/>
  <c r="L142" i="6"/>
  <c r="I142" i="6"/>
  <c r="H142" i="6"/>
  <c r="J142" i="6" s="1"/>
  <c r="F142" i="6"/>
  <c r="L140" i="6"/>
  <c r="I140" i="6"/>
  <c r="H140" i="6"/>
  <c r="F140" i="6"/>
  <c r="J140" i="6" s="1"/>
  <c r="L139" i="6"/>
  <c r="I139" i="6"/>
  <c r="H139" i="6"/>
  <c r="F139" i="6"/>
  <c r="J139" i="6" s="1"/>
  <c r="L137" i="6"/>
  <c r="I137" i="6"/>
  <c r="H137" i="6"/>
  <c r="F137" i="6"/>
  <c r="L135" i="6"/>
  <c r="I135" i="6"/>
  <c r="H135" i="6"/>
  <c r="F135" i="6"/>
  <c r="J135" i="6" s="1"/>
  <c r="L134" i="6"/>
  <c r="I134" i="6"/>
  <c r="H134" i="6"/>
  <c r="F134" i="6"/>
  <c r="J134" i="6" s="1"/>
  <c r="L133" i="6"/>
  <c r="I133" i="6"/>
  <c r="H133" i="6"/>
  <c r="F133" i="6"/>
  <c r="J133" i="6" s="1"/>
  <c r="L131" i="6"/>
  <c r="I131" i="6"/>
  <c r="H131" i="6"/>
  <c r="F131" i="6"/>
  <c r="J131" i="6" s="1"/>
  <c r="L130" i="6"/>
  <c r="I130" i="6"/>
  <c r="H130" i="6"/>
  <c r="F130" i="6"/>
  <c r="J130" i="6" s="1"/>
  <c r="L129" i="6"/>
  <c r="I129" i="6"/>
  <c r="H129" i="6"/>
  <c r="F129" i="6"/>
  <c r="J129" i="6" s="1"/>
  <c r="L128" i="6"/>
  <c r="I128" i="6"/>
  <c r="H128" i="6"/>
  <c r="F128" i="6"/>
  <c r="J128" i="6" s="1"/>
  <c r="L127" i="6"/>
  <c r="I127" i="6"/>
  <c r="H127" i="6"/>
  <c r="F127" i="6"/>
  <c r="L126" i="6"/>
  <c r="I126" i="6"/>
  <c r="H126" i="6"/>
  <c r="F126" i="6"/>
  <c r="L125" i="6"/>
  <c r="L191" i="6" s="1"/>
  <c r="I125" i="6"/>
  <c r="H125" i="6"/>
  <c r="F125" i="6"/>
  <c r="L119" i="6"/>
  <c r="I119" i="6"/>
  <c r="H119" i="6"/>
  <c r="F119" i="6"/>
  <c r="J119" i="6" s="1"/>
  <c r="L117" i="6"/>
  <c r="I117" i="6"/>
  <c r="H117" i="6"/>
  <c r="J117" i="6" s="1"/>
  <c r="F117" i="6"/>
  <c r="L115" i="6"/>
  <c r="I115" i="6"/>
  <c r="H115" i="6"/>
  <c r="F115" i="6"/>
  <c r="L114" i="6"/>
  <c r="I114" i="6"/>
  <c r="H114" i="6"/>
  <c r="J114" i="6" s="1"/>
  <c r="F114" i="6"/>
  <c r="L113" i="6"/>
  <c r="I113" i="6"/>
  <c r="H113" i="6"/>
  <c r="F113" i="6"/>
  <c r="J113" i="6" s="1"/>
  <c r="L112" i="6"/>
  <c r="I112" i="6"/>
  <c r="H112" i="6"/>
  <c r="F112" i="6"/>
  <c r="J112" i="6" s="1"/>
  <c r="L110" i="6"/>
  <c r="I110" i="6"/>
  <c r="H110" i="6"/>
  <c r="F110" i="6"/>
  <c r="J110" i="6" s="1"/>
  <c r="L108" i="6"/>
  <c r="I108" i="6"/>
  <c r="H108" i="6"/>
  <c r="F108" i="6"/>
  <c r="J108" i="6" s="1"/>
  <c r="L107" i="6"/>
  <c r="I107" i="6"/>
  <c r="H107" i="6"/>
  <c r="F107" i="6"/>
  <c r="J107" i="6" s="1"/>
  <c r="L105" i="6"/>
  <c r="I105" i="6"/>
  <c r="H105" i="6"/>
  <c r="J105" i="6" s="1"/>
  <c r="F105" i="6"/>
  <c r="L104" i="6"/>
  <c r="I104" i="6"/>
  <c r="H104" i="6"/>
  <c r="F104" i="6"/>
  <c r="J104" i="6" s="1"/>
  <c r="L103" i="6"/>
  <c r="I103" i="6"/>
  <c r="H103" i="6"/>
  <c r="F103" i="6"/>
  <c r="J103" i="6" s="1"/>
  <c r="L100" i="6"/>
  <c r="I100" i="6"/>
  <c r="H100" i="6"/>
  <c r="F100" i="6"/>
  <c r="J100" i="6" s="1"/>
  <c r="L98" i="6"/>
  <c r="I98" i="6"/>
  <c r="H98" i="6"/>
  <c r="F98" i="6"/>
  <c r="J98" i="6" s="1"/>
  <c r="L96" i="6"/>
  <c r="I96" i="6"/>
  <c r="H96" i="6"/>
  <c r="F96" i="6"/>
  <c r="J96" i="6" s="1"/>
  <c r="L95" i="6"/>
  <c r="I95" i="6"/>
  <c r="H95" i="6"/>
  <c r="F95" i="6"/>
  <c r="J95" i="6" s="1"/>
  <c r="L94" i="6"/>
  <c r="I94" i="6"/>
  <c r="H94" i="6"/>
  <c r="F94" i="6"/>
  <c r="J94" i="6" s="1"/>
  <c r="L93" i="6"/>
  <c r="I93" i="6"/>
  <c r="H93" i="6"/>
  <c r="J93" i="6" s="1"/>
  <c r="F93" i="6"/>
  <c r="L92" i="6"/>
  <c r="I92" i="6"/>
  <c r="H92" i="6"/>
  <c r="F92" i="6"/>
  <c r="J92" i="6" s="1"/>
  <c r="L90" i="6"/>
  <c r="J90" i="6"/>
  <c r="I90" i="6"/>
  <c r="H90" i="6"/>
  <c r="F90" i="6"/>
  <c r="L88" i="6"/>
  <c r="I88" i="6"/>
  <c r="H88" i="6"/>
  <c r="F88" i="6"/>
  <c r="L86" i="6"/>
  <c r="I86" i="6"/>
  <c r="H86" i="6"/>
  <c r="F86" i="6"/>
  <c r="J86" i="6" s="1"/>
  <c r="L84" i="6"/>
  <c r="J84" i="6"/>
  <c r="I84" i="6"/>
  <c r="H84" i="6"/>
  <c r="F84" i="6"/>
  <c r="L83" i="6"/>
  <c r="I83" i="6"/>
  <c r="H83" i="6"/>
  <c r="F83" i="6"/>
  <c r="J83" i="6" s="1"/>
  <c r="L82" i="6"/>
  <c r="I82" i="6"/>
  <c r="H82" i="6"/>
  <c r="F82" i="6"/>
  <c r="J82" i="6" s="1"/>
  <c r="L80" i="6"/>
  <c r="I80" i="6"/>
  <c r="H80" i="6"/>
  <c r="F80" i="6"/>
  <c r="L79" i="6"/>
  <c r="I79" i="6"/>
  <c r="H79" i="6"/>
  <c r="F79" i="6"/>
  <c r="J79" i="6" s="1"/>
  <c r="L78" i="6"/>
  <c r="I78" i="6"/>
  <c r="H78" i="6"/>
  <c r="F78" i="6"/>
  <c r="J78" i="6" s="1"/>
  <c r="L77" i="6"/>
  <c r="L120" i="6" s="1"/>
  <c r="I77" i="6"/>
  <c r="H77" i="6"/>
  <c r="F77" i="6"/>
  <c r="J77" i="6" s="1"/>
  <c r="L76" i="6"/>
  <c r="I76" i="6"/>
  <c r="H76" i="6"/>
  <c r="F76" i="6"/>
  <c r="L75" i="6"/>
  <c r="J75" i="6"/>
  <c r="I75" i="6"/>
  <c r="H75" i="6"/>
  <c r="F75" i="6"/>
  <c r="L74" i="6"/>
  <c r="I74" i="6"/>
  <c r="H74" i="6"/>
  <c r="H120" i="6" s="1"/>
  <c r="C33" i="7" s="1"/>
  <c r="F74" i="6"/>
  <c r="L68" i="6"/>
  <c r="I68" i="6"/>
  <c r="H68" i="6"/>
  <c r="F68" i="6"/>
  <c r="J68" i="6" s="1"/>
  <c r="L66" i="6"/>
  <c r="I66" i="6"/>
  <c r="H66" i="6"/>
  <c r="J66" i="6" s="1"/>
  <c r="F66" i="6"/>
  <c r="L65" i="6"/>
  <c r="I65" i="6"/>
  <c r="H65" i="6"/>
  <c r="J65" i="6" s="1"/>
  <c r="F65" i="6"/>
  <c r="L63" i="6"/>
  <c r="I63" i="6"/>
  <c r="H63" i="6"/>
  <c r="F63" i="6"/>
  <c r="J63" i="6" s="1"/>
  <c r="L62" i="6"/>
  <c r="I62" i="6"/>
  <c r="H62" i="6"/>
  <c r="F62" i="6"/>
  <c r="L61" i="6"/>
  <c r="I61" i="6"/>
  <c r="H61" i="6"/>
  <c r="F61" i="6"/>
  <c r="L60" i="6"/>
  <c r="I60" i="6"/>
  <c r="H60" i="6"/>
  <c r="F60" i="6"/>
  <c r="L59" i="6"/>
  <c r="J59" i="6"/>
  <c r="I59" i="6"/>
  <c r="H59" i="6"/>
  <c r="F59" i="6"/>
  <c r="L58" i="6"/>
  <c r="I58" i="6"/>
  <c r="H58" i="6"/>
  <c r="F58" i="6"/>
  <c r="J58" i="6" s="1"/>
  <c r="L57" i="6"/>
  <c r="I57" i="6"/>
  <c r="H57" i="6"/>
  <c r="J57" i="6" s="1"/>
  <c r="F57" i="6"/>
  <c r="L55" i="6"/>
  <c r="I55" i="6"/>
  <c r="H55" i="6"/>
  <c r="F55" i="6"/>
  <c r="J55" i="6" s="1"/>
  <c r="L53" i="6"/>
  <c r="I53" i="6"/>
  <c r="H53" i="6"/>
  <c r="F53" i="6"/>
  <c r="J53" i="6" s="1"/>
  <c r="L51" i="6"/>
  <c r="I51" i="6"/>
  <c r="H51" i="6"/>
  <c r="F51" i="6"/>
  <c r="J51" i="6" s="1"/>
  <c r="L50" i="6"/>
  <c r="I50" i="6"/>
  <c r="H50" i="6"/>
  <c r="F50" i="6"/>
  <c r="L49" i="6"/>
  <c r="I49" i="6"/>
  <c r="H49" i="6"/>
  <c r="F49" i="6"/>
  <c r="J49" i="6" s="1"/>
  <c r="L45" i="6"/>
  <c r="J45" i="6"/>
  <c r="I45" i="6"/>
  <c r="H45" i="6"/>
  <c r="F45" i="6"/>
  <c r="L43" i="6"/>
  <c r="I43" i="6"/>
  <c r="H43" i="6"/>
  <c r="F43" i="6"/>
  <c r="J43" i="6" s="1"/>
  <c r="L42" i="6"/>
  <c r="I42" i="6"/>
  <c r="H42" i="6"/>
  <c r="J42" i="6" s="1"/>
  <c r="F42" i="6"/>
  <c r="L40" i="6"/>
  <c r="I40" i="6"/>
  <c r="H40" i="6"/>
  <c r="J40" i="6" s="1"/>
  <c r="F40" i="6"/>
  <c r="L37" i="6"/>
  <c r="I37" i="6"/>
  <c r="H37" i="6"/>
  <c r="F37" i="6"/>
  <c r="L34" i="6"/>
  <c r="I34" i="6"/>
  <c r="H34" i="6"/>
  <c r="F34" i="6"/>
  <c r="L32" i="6"/>
  <c r="I32" i="6"/>
  <c r="H32" i="6"/>
  <c r="F32" i="6"/>
  <c r="L30" i="6"/>
  <c r="I30" i="6"/>
  <c r="H30" i="6"/>
  <c r="F30" i="6"/>
  <c r="L28" i="6"/>
  <c r="I28" i="6"/>
  <c r="H28" i="6"/>
  <c r="F28" i="6"/>
  <c r="L27" i="6"/>
  <c r="I27" i="6"/>
  <c r="H27" i="6"/>
  <c r="F27" i="6"/>
  <c r="L25" i="6"/>
  <c r="I25" i="6"/>
  <c r="H25" i="6"/>
  <c r="F25" i="6"/>
  <c r="L24" i="6"/>
  <c r="I24" i="6"/>
  <c r="H24" i="6"/>
  <c r="F24" i="6"/>
  <c r="L23" i="6"/>
  <c r="I23" i="6"/>
  <c r="H23" i="6"/>
  <c r="F23" i="6"/>
  <c r="L22" i="6"/>
  <c r="I22" i="6"/>
  <c r="H22" i="6"/>
  <c r="F22" i="6"/>
  <c r="L21" i="6"/>
  <c r="I21" i="6"/>
  <c r="H21" i="6"/>
  <c r="F21" i="6"/>
  <c r="L19" i="6"/>
  <c r="I19" i="6"/>
  <c r="H19" i="6"/>
  <c r="F19" i="6"/>
  <c r="L17" i="6"/>
  <c r="I17" i="6"/>
  <c r="H17" i="6"/>
  <c r="J17" i="6" s="1"/>
  <c r="F17" i="6"/>
  <c r="L15" i="6"/>
  <c r="I15" i="6"/>
  <c r="H15" i="6"/>
  <c r="F15" i="6"/>
  <c r="J15" i="6" s="1"/>
  <c r="L14" i="6"/>
  <c r="I14" i="6"/>
  <c r="H14" i="6"/>
  <c r="J14" i="6" s="1"/>
  <c r="F14" i="6"/>
  <c r="L13" i="6"/>
  <c r="I13" i="6"/>
  <c r="H13" i="6"/>
  <c r="F13" i="6"/>
  <c r="J13" i="6" s="1"/>
  <c r="L12" i="6"/>
  <c r="I12" i="6"/>
  <c r="H12" i="6"/>
  <c r="F12" i="6"/>
  <c r="L10" i="6"/>
  <c r="L69" i="6" s="1"/>
  <c r="I10" i="6"/>
  <c r="H10" i="6"/>
  <c r="F10" i="6"/>
  <c r="J10" i="6" s="1"/>
  <c r="L9" i="6"/>
  <c r="I9" i="6"/>
  <c r="H9" i="6"/>
  <c r="F9" i="6"/>
  <c r="L8" i="6"/>
  <c r="I8" i="6"/>
  <c r="H8" i="6"/>
  <c r="F8" i="6"/>
  <c r="J8" i="6" s="1"/>
  <c r="L7" i="6"/>
  <c r="J7" i="6"/>
  <c r="I7" i="6"/>
  <c r="H7" i="6"/>
  <c r="F7" i="6"/>
  <c r="L6" i="6"/>
  <c r="I6" i="6"/>
  <c r="H6" i="6"/>
  <c r="F6" i="6"/>
  <c r="J6" i="6" s="1"/>
  <c r="L5" i="6"/>
  <c r="I5" i="6"/>
  <c r="H5" i="6"/>
  <c r="J5" i="6" s="1"/>
  <c r="F5" i="6"/>
  <c r="L4" i="6"/>
  <c r="J4" i="6"/>
  <c r="I4" i="6"/>
  <c r="H4" i="6"/>
  <c r="F69" i="6"/>
  <c r="B32" i="7" s="1"/>
  <c r="J12" i="6" l="1"/>
  <c r="J60" i="6"/>
  <c r="J62" i="6"/>
  <c r="J148" i="6"/>
  <c r="J205" i="6"/>
  <c r="J209" i="6"/>
  <c r="J246" i="6"/>
  <c r="J261" i="6"/>
  <c r="J336" i="6"/>
  <c r="J23" i="6"/>
  <c r="J28" i="6"/>
  <c r="J37" i="6"/>
  <c r="J219" i="6"/>
  <c r="J228" i="6"/>
  <c r="J234" i="6"/>
  <c r="J236" i="6"/>
  <c r="J271" i="6"/>
  <c r="J348" i="6"/>
  <c r="J350" i="6"/>
  <c r="H191" i="6"/>
  <c r="C34" i="7" s="1"/>
  <c r="H69" i="6"/>
  <c r="C32" i="7" s="1"/>
  <c r="J88" i="6"/>
  <c r="J143" i="6"/>
  <c r="H241" i="6"/>
  <c r="C35" i="7" s="1"/>
  <c r="J254" i="6"/>
  <c r="J257" i="6"/>
  <c r="J289" i="6"/>
  <c r="J293" i="6"/>
  <c r="J296" i="6"/>
  <c r="J330" i="6"/>
  <c r="J125" i="6"/>
  <c r="J19" i="6"/>
  <c r="J22" i="6"/>
  <c r="J24" i="6"/>
  <c r="J27" i="6"/>
  <c r="J30" i="6"/>
  <c r="J34" i="6"/>
  <c r="J115" i="6"/>
  <c r="J214" i="6"/>
  <c r="J218" i="6"/>
  <c r="J221" i="6"/>
  <c r="J229" i="6"/>
  <c r="J235" i="6"/>
  <c r="J270" i="6"/>
  <c r="J346" i="6"/>
  <c r="J349" i="6"/>
  <c r="J76" i="6"/>
  <c r="J25" i="6"/>
  <c r="J80" i="6"/>
  <c r="J369" i="6"/>
  <c r="J21" i="6"/>
  <c r="J127" i="6"/>
  <c r="J182" i="6"/>
  <c r="J230" i="6"/>
  <c r="J32" i="6"/>
  <c r="J69" i="6" s="1"/>
  <c r="J137" i="6"/>
  <c r="F355" i="6"/>
  <c r="B38" i="7" s="1"/>
  <c r="F365" i="6"/>
  <c r="F313" i="6"/>
  <c r="J50" i="6"/>
  <c r="J151" i="6"/>
  <c r="J201" i="6"/>
  <c r="J252" i="6"/>
  <c r="J342" i="6"/>
  <c r="F191" i="6"/>
  <c r="B34" i="7" s="1"/>
  <c r="J9" i="6"/>
  <c r="J61" i="6"/>
  <c r="F120" i="6"/>
  <c r="B33" i="7" s="1"/>
  <c r="J170" i="6"/>
  <c r="J216" i="6"/>
  <c r="J263" i="6"/>
  <c r="J279" i="6"/>
  <c r="AP1115" i="5"/>
  <c r="AO1115" i="5"/>
  <c r="F46" i="10"/>
  <c r="G264" i="11"/>
  <c r="F241" i="11" s="1"/>
  <c r="E242" i="11" s="1"/>
  <c r="F242" i="11" s="1"/>
  <c r="F243" i="11" s="1"/>
  <c r="F246" i="11" s="1"/>
  <c r="F249" i="11" s="1"/>
  <c r="F32" i="10" s="1"/>
  <c r="G32" i="10" s="1"/>
  <c r="G292" i="11"/>
  <c r="F269" i="11" s="1"/>
  <c r="E270" i="11" s="1"/>
  <c r="F270" i="11" s="1"/>
  <c r="F271" i="11" s="1"/>
  <c r="F274" i="11" s="1"/>
  <c r="F277" i="11" s="1"/>
  <c r="F33" i="10" s="1"/>
  <c r="G33" i="10" s="1"/>
  <c r="G60" i="25"/>
  <c r="N137" i="10"/>
  <c r="E13" i="9" s="1"/>
  <c r="F13" i="9" s="1"/>
  <c r="F127" i="10"/>
  <c r="F273" i="10"/>
  <c r="F111" i="10"/>
  <c r="I55" i="10"/>
  <c r="F68" i="10"/>
  <c r="F91" i="10"/>
  <c r="G250" i="10"/>
  <c r="F16" i="9" s="1"/>
  <c r="F172" i="10"/>
  <c r="F242" i="10"/>
  <c r="F259" i="10"/>
  <c r="F136" i="10"/>
  <c r="G144" i="10"/>
  <c r="F15" i="9" s="1"/>
  <c r="I250" i="10"/>
  <c r="F278" i="10"/>
  <c r="G137" i="10"/>
  <c r="F12" i="9" s="1"/>
  <c r="E14" i="9" s="1"/>
  <c r="F14" i="9" s="1"/>
  <c r="F199" i="10"/>
  <c r="F249" i="10"/>
  <c r="G282" i="10"/>
  <c r="F22" i="9" s="1"/>
  <c r="F51" i="10"/>
  <c r="F223" i="10"/>
  <c r="I282" i="10"/>
  <c r="G52" i="13"/>
  <c r="I176" i="11"/>
  <c r="I60" i="11"/>
  <c r="I121" i="11"/>
  <c r="G204" i="11"/>
  <c r="F181" i="11" s="1"/>
  <c r="E182" i="11" s="1"/>
  <c r="F182" i="11" s="1"/>
  <c r="G60" i="11"/>
  <c r="F34" i="11" s="1"/>
  <c r="E35" i="11" s="1"/>
  <c r="F35" i="11" s="1"/>
  <c r="F36" i="11" s="1"/>
  <c r="G121" i="11"/>
  <c r="F95" i="11" s="1"/>
  <c r="E96" i="11" s="1"/>
  <c r="F96" i="11" s="1"/>
  <c r="F97" i="11" s="1"/>
  <c r="F100" i="11" s="1"/>
  <c r="F103" i="11" s="1"/>
  <c r="F27" i="10" s="1"/>
  <c r="G27" i="10" s="1"/>
  <c r="G176" i="11"/>
  <c r="F153" i="11" s="1"/>
  <c r="E154" i="11" s="1"/>
  <c r="F154" i="11" s="1"/>
  <c r="F155" i="11" s="1"/>
  <c r="F158" i="11" s="1"/>
  <c r="F161" i="11" s="1"/>
  <c r="F29" i="10" s="1"/>
  <c r="G29" i="10" s="1"/>
  <c r="I204" i="11"/>
  <c r="I89" i="11"/>
  <c r="G235" i="11"/>
  <c r="F209" i="11" s="1"/>
  <c r="I235" i="11"/>
  <c r="F183" i="11"/>
  <c r="F186" i="11" s="1"/>
  <c r="F189" i="11" s="1"/>
  <c r="F30" i="10" s="1"/>
  <c r="G30" i="10" s="1"/>
  <c r="G148" i="11"/>
  <c r="F126" i="11" s="1"/>
  <c r="E127" i="11" s="1"/>
  <c r="F127" i="11" s="1"/>
  <c r="G89" i="11"/>
  <c r="F66" i="11" s="1"/>
  <c r="E67" i="11" s="1"/>
  <c r="F67" i="11" s="1"/>
  <c r="F68" i="11" s="1"/>
  <c r="F74" i="11"/>
  <c r="F26" i="10" s="1"/>
  <c r="G26" i="10" s="1"/>
  <c r="I148" i="11"/>
  <c r="E210" i="11"/>
  <c r="F210" i="11" s="1"/>
  <c r="F211" i="11" s="1"/>
  <c r="F214" i="11" s="1"/>
  <c r="F217" i="11" s="1"/>
  <c r="F31" i="10" s="1"/>
  <c r="G31" i="10" s="1"/>
  <c r="G28" i="11"/>
  <c r="F7" i="11" s="1"/>
  <c r="E8" i="11" s="1"/>
  <c r="I28" i="11"/>
  <c r="G260" i="10"/>
  <c r="F17" i="9" s="1"/>
  <c r="E19" i="9" s="1"/>
  <c r="F19" i="9" s="1"/>
  <c r="F143" i="10"/>
  <c r="J96" i="8"/>
  <c r="J274" i="6"/>
  <c r="J126" i="6"/>
  <c r="J318" i="6"/>
  <c r="J74" i="6"/>
  <c r="J364" i="6"/>
  <c r="J365" i="6" s="1"/>
  <c r="H355" i="6"/>
  <c r="C38" i="7" s="1"/>
  <c r="F241" i="6"/>
  <c r="B35" i="7" s="1"/>
  <c r="F274" i="6"/>
  <c r="B36" i="7" s="1"/>
  <c r="D19" i="12" l="1"/>
  <c r="E19" i="12" s="1"/>
  <c r="J241" i="6"/>
  <c r="C3" i="7"/>
  <c r="C5" i="7" s="1"/>
  <c r="J120" i="6"/>
  <c r="J355" i="6"/>
  <c r="J191" i="6"/>
  <c r="J313" i="6"/>
  <c r="B37" i="7"/>
  <c r="B3" i="7"/>
  <c r="B39" i="7"/>
  <c r="C11" i="7"/>
  <c r="H1115" i="5"/>
  <c r="F128" i="11"/>
  <c r="F131" i="11" s="1"/>
  <c r="F134" i="11" s="1"/>
  <c r="F28" i="10" s="1"/>
  <c r="G28" i="10" s="1"/>
  <c r="G55" i="10" s="1"/>
  <c r="F9" i="9" s="1"/>
  <c r="E11" i="9" s="1"/>
  <c r="F11" i="9" s="1"/>
  <c r="AO1371" i="5"/>
  <c r="C17" i="12"/>
  <c r="C21" i="12" s="1"/>
  <c r="AP1371" i="5"/>
  <c r="D17" i="12"/>
  <c r="G16" i="9"/>
  <c r="E18" i="9" s="1"/>
  <c r="F18" i="9" s="1"/>
  <c r="C9" i="7" l="1"/>
  <c r="C8" i="7"/>
  <c r="B5" i="7"/>
  <c r="B6" i="7"/>
  <c r="E10" i="9"/>
  <c r="F10" i="9" s="1"/>
  <c r="F41" i="9" s="1"/>
  <c r="AO1119" i="5" s="1"/>
  <c r="F21" i="9"/>
  <c r="E26" i="9" s="1"/>
  <c r="F26" i="9" s="1"/>
  <c r="C22" i="12"/>
  <c r="C23" i="12" s="1"/>
  <c r="D21" i="12"/>
  <c r="D22" i="12" s="1"/>
  <c r="D23" i="12" s="1"/>
  <c r="E17" i="12"/>
  <c r="E21" i="12" s="1"/>
  <c r="C10" i="7" l="1"/>
  <c r="C12" i="7" s="1"/>
  <c r="C17" i="7" s="1"/>
  <c r="C43" i="7" s="1"/>
  <c r="AP1111" i="5" s="1"/>
  <c r="B10" i="7"/>
  <c r="B17" i="7" s="1"/>
  <c r="E25" i="9"/>
  <c r="F25" i="9" s="1"/>
  <c r="F27" i="9" s="1"/>
  <c r="F42" i="9" s="1"/>
  <c r="F20" i="9"/>
  <c r="F23" i="9" s="1"/>
  <c r="G23" i="9" s="1"/>
  <c r="E22" i="12"/>
  <c r="E23" i="12" s="1"/>
  <c r="H1371" i="5"/>
  <c r="B42" i="7" l="1"/>
  <c r="C26" i="7"/>
  <c r="G27" i="9"/>
  <c r="F38" i="9" s="1"/>
  <c r="F43" i="9"/>
  <c r="H1119" i="5" s="1"/>
  <c r="AP1119" i="5"/>
  <c r="C2" i="1"/>
  <c r="F2" i="1"/>
  <c r="C4" i="1"/>
  <c r="F4" i="1"/>
  <c r="C6" i="1"/>
  <c r="F6" i="1"/>
  <c r="C8" i="1"/>
  <c r="F8" i="1"/>
  <c r="C10" i="1"/>
  <c r="F10" i="1"/>
  <c r="F14" i="1"/>
  <c r="F22" i="1" s="1"/>
  <c r="I19" i="1"/>
  <c r="C2" i="2"/>
  <c r="F2" i="2"/>
  <c r="C4" i="2"/>
  <c r="F4" i="2"/>
  <c r="C6" i="2"/>
  <c r="F6" i="2"/>
  <c r="C8" i="2"/>
  <c r="F8" i="2"/>
  <c r="C10" i="2"/>
  <c r="F10" i="2"/>
  <c r="I15" i="2"/>
  <c r="I18" i="2" s="1"/>
  <c r="I16" i="2"/>
  <c r="F15" i="1" s="1"/>
  <c r="I17" i="2"/>
  <c r="F16" i="1" s="1"/>
  <c r="I22" i="2"/>
  <c r="I15" i="1" s="1"/>
  <c r="I23" i="2"/>
  <c r="I16" i="1" s="1"/>
  <c r="I24" i="2"/>
  <c r="I17" i="1" s="1"/>
  <c r="I25" i="2"/>
  <c r="I18" i="1" s="1"/>
  <c r="I26" i="2"/>
  <c r="I36" i="2"/>
  <c r="I37" i="2"/>
  <c r="I38" i="2"/>
  <c r="I39" i="2"/>
  <c r="I40" i="2"/>
  <c r="I41" i="2"/>
  <c r="I42" i="2"/>
  <c r="I43" i="2"/>
  <c r="I44" i="2"/>
  <c r="D2" i="3"/>
  <c r="H2" i="3"/>
  <c r="J2" i="3"/>
  <c r="D4" i="3"/>
  <c r="H4" i="3"/>
  <c r="J4" i="3"/>
  <c r="D6" i="3"/>
  <c r="H6" i="3"/>
  <c r="J6" i="3"/>
  <c r="D8" i="3"/>
  <c r="J8" i="3"/>
  <c r="D2" i="4"/>
  <c r="H2" i="4"/>
  <c r="J2" i="4"/>
  <c r="D4" i="4"/>
  <c r="H4" i="4"/>
  <c r="J4" i="4"/>
  <c r="D6" i="4"/>
  <c r="H6" i="4"/>
  <c r="J6" i="4"/>
  <c r="D8" i="4"/>
  <c r="J8" i="4"/>
  <c r="AS1" i="5"/>
  <c r="AT1" i="5"/>
  <c r="AU1" i="5"/>
  <c r="L14" i="5"/>
  <c r="O14" i="5"/>
  <c r="AF14" i="5"/>
  <c r="AG14" i="5"/>
  <c r="AH14" i="5"/>
  <c r="AJ14" i="5"/>
  <c r="AO14" i="5"/>
  <c r="J14" i="5" s="1"/>
  <c r="AP14" i="5"/>
  <c r="BI14" i="5" s="1"/>
  <c r="BD14" i="5"/>
  <c r="BF14" i="5"/>
  <c r="BJ14" i="5"/>
  <c r="Z14" i="5" s="1"/>
  <c r="BW14" i="5"/>
  <c r="L21" i="5"/>
  <c r="AL21" i="5" s="1"/>
  <c r="O21" i="5"/>
  <c r="BF21" i="5" s="1"/>
  <c r="Z21" i="5"/>
  <c r="AG21" i="5"/>
  <c r="AH21" i="5"/>
  <c r="AJ21" i="5"/>
  <c r="AK21" i="5"/>
  <c r="AO21" i="5"/>
  <c r="J21" i="5" s="1"/>
  <c r="AP21" i="5"/>
  <c r="BI21" i="5" s="1"/>
  <c r="AC21" i="5" s="1"/>
  <c r="BD21" i="5"/>
  <c r="BJ21" i="5"/>
  <c r="BW21" i="5"/>
  <c r="L23" i="5"/>
  <c r="AK23" i="5" s="1"/>
  <c r="O23" i="5"/>
  <c r="BF23" i="5" s="1"/>
  <c r="Z23" i="5"/>
  <c r="AJ23" i="5"/>
  <c r="AO23" i="5"/>
  <c r="AW23" i="5" s="1"/>
  <c r="AP23" i="5"/>
  <c r="BI23" i="5" s="1"/>
  <c r="BD23" i="5"/>
  <c r="BJ23" i="5"/>
  <c r="AH23" i="5" s="1"/>
  <c r="BW23" i="5"/>
  <c r="L25" i="5"/>
  <c r="AL25" i="5" s="1"/>
  <c r="O25" i="5"/>
  <c r="BF25" i="5" s="1"/>
  <c r="Z25" i="5"/>
  <c r="AC25" i="5"/>
  <c r="AH25" i="5"/>
  <c r="AJ25" i="5"/>
  <c r="AK25" i="5"/>
  <c r="AO25" i="5"/>
  <c r="AP25" i="5"/>
  <c r="AX25" i="5" s="1"/>
  <c r="BD25" i="5"/>
  <c r="BJ25" i="5"/>
  <c r="BW25" i="5"/>
  <c r="L27" i="5"/>
  <c r="AK27" i="5" s="1"/>
  <c r="O27" i="5"/>
  <c r="BF27" i="5" s="1"/>
  <c r="AF27" i="5"/>
  <c r="AJ27" i="5"/>
  <c r="AO27" i="5"/>
  <c r="J27" i="5" s="1"/>
  <c r="AP27" i="5"/>
  <c r="BI27" i="5" s="1"/>
  <c r="AE27" i="5" s="1"/>
  <c r="BD27" i="5"/>
  <c r="BJ27" i="5"/>
  <c r="BW27" i="5"/>
  <c r="L29" i="5"/>
  <c r="O29" i="5"/>
  <c r="BF29" i="5" s="1"/>
  <c r="Z29" i="5"/>
  <c r="AC29" i="5"/>
  <c r="AH29" i="5"/>
  <c r="AJ29" i="5"/>
  <c r="AK29" i="5"/>
  <c r="AO29" i="5"/>
  <c r="BH29" i="5" s="1"/>
  <c r="AP29" i="5"/>
  <c r="AX29" i="5" s="1"/>
  <c r="BD29" i="5"/>
  <c r="BI29" i="5"/>
  <c r="BJ29" i="5"/>
  <c r="BW29" i="5"/>
  <c r="L31" i="5"/>
  <c r="AK31" i="5" s="1"/>
  <c r="O31" i="5"/>
  <c r="BF31" i="5" s="1"/>
  <c r="Z31" i="5"/>
  <c r="AH31" i="5"/>
  <c r="AJ31" i="5"/>
  <c r="AL31" i="5"/>
  <c r="AO31" i="5"/>
  <c r="AP31" i="5"/>
  <c r="AX31" i="5" s="1"/>
  <c r="BD31" i="5"/>
  <c r="BJ31" i="5"/>
  <c r="BW31" i="5"/>
  <c r="L33" i="5"/>
  <c r="AL33" i="5" s="1"/>
  <c r="O33" i="5"/>
  <c r="BF33" i="5" s="1"/>
  <c r="Z33" i="5"/>
  <c r="AB33" i="5"/>
  <c r="AG33" i="5"/>
  <c r="AH33" i="5"/>
  <c r="AJ33" i="5"/>
  <c r="AK33" i="5"/>
  <c r="AO33" i="5"/>
  <c r="J33" i="5" s="1"/>
  <c r="AP33" i="5"/>
  <c r="AX33" i="5" s="1"/>
  <c r="BD33" i="5"/>
  <c r="BJ33" i="5"/>
  <c r="BW33" i="5"/>
  <c r="L36" i="5"/>
  <c r="AK36" i="5" s="1"/>
  <c r="O36" i="5"/>
  <c r="BF36" i="5" s="1"/>
  <c r="AC36" i="5"/>
  <c r="AG36" i="5"/>
  <c r="AJ36" i="5"/>
  <c r="AO36" i="5"/>
  <c r="BH36" i="5" s="1"/>
  <c r="AP36" i="5"/>
  <c r="K36" i="5" s="1"/>
  <c r="BD36" i="5"/>
  <c r="BJ36" i="5"/>
  <c r="BW36" i="5"/>
  <c r="L38" i="5"/>
  <c r="O38" i="5"/>
  <c r="Z38" i="5"/>
  <c r="AB38" i="5"/>
  <c r="AG38" i="5"/>
  <c r="AH38" i="5"/>
  <c r="AJ38" i="5"/>
  <c r="AK38" i="5"/>
  <c r="AL38" i="5"/>
  <c r="AO38" i="5"/>
  <c r="AP38" i="5"/>
  <c r="AX38" i="5" s="1"/>
  <c r="BD38" i="5"/>
  <c r="BJ38" i="5"/>
  <c r="BW38" i="5"/>
  <c r="L41" i="5"/>
  <c r="O41" i="5"/>
  <c r="BF41" i="5" s="1"/>
  <c r="Z41" i="5"/>
  <c r="AB41" i="5"/>
  <c r="AC41" i="5"/>
  <c r="AJ41" i="5"/>
  <c r="AS40" i="5" s="1"/>
  <c r="AK41" i="5"/>
  <c r="AT40" i="5" s="1"/>
  <c r="AO41" i="5"/>
  <c r="AP41" i="5"/>
  <c r="AX41" i="5" s="1"/>
  <c r="BD41" i="5"/>
  <c r="BJ41" i="5"/>
  <c r="AH41" i="5" s="1"/>
  <c r="BW41" i="5"/>
  <c r="L44" i="5"/>
  <c r="O44" i="5"/>
  <c r="AB44" i="5"/>
  <c r="AC44" i="5"/>
  <c r="AF44" i="5"/>
  <c r="AG44" i="5"/>
  <c r="AJ44" i="5"/>
  <c r="AO44" i="5"/>
  <c r="J44" i="5" s="1"/>
  <c r="AP44" i="5"/>
  <c r="K44" i="5" s="1"/>
  <c r="BD44" i="5"/>
  <c r="BJ44" i="5"/>
  <c r="BW44" i="5"/>
  <c r="L46" i="5"/>
  <c r="AK46" i="5" s="1"/>
  <c r="O46" i="5"/>
  <c r="BF46" i="5" s="1"/>
  <c r="AJ46" i="5"/>
  <c r="AO46" i="5"/>
  <c r="AP46" i="5"/>
  <c r="BD46" i="5"/>
  <c r="BJ46" i="5"/>
  <c r="BW46" i="5"/>
  <c r="L49" i="5"/>
  <c r="AL49" i="5" s="1"/>
  <c r="O49" i="5"/>
  <c r="BF49" i="5" s="1"/>
  <c r="AF49" i="5"/>
  <c r="AG49" i="5"/>
  <c r="AH49" i="5"/>
  <c r="AO49" i="5"/>
  <c r="J49" i="5" s="1"/>
  <c r="AP49" i="5"/>
  <c r="K49" i="5" s="1"/>
  <c r="BD49" i="5"/>
  <c r="BJ49" i="5"/>
  <c r="Z49" i="5" s="1"/>
  <c r="BW49" i="5"/>
  <c r="L52" i="5"/>
  <c r="O52" i="5"/>
  <c r="Z52" i="5"/>
  <c r="AE52" i="5"/>
  <c r="AJ52" i="5"/>
  <c r="AK52" i="5"/>
  <c r="AO52" i="5"/>
  <c r="AW52" i="5" s="1"/>
  <c r="AP52" i="5"/>
  <c r="AX52" i="5" s="1"/>
  <c r="BD52" i="5"/>
  <c r="BF52" i="5"/>
  <c r="BJ52" i="5"/>
  <c r="AH52" i="5" s="1"/>
  <c r="BW52" i="5"/>
  <c r="L60" i="5"/>
  <c r="O60" i="5"/>
  <c r="BF60" i="5" s="1"/>
  <c r="Z60" i="5"/>
  <c r="AF60" i="5"/>
  <c r="AH60" i="5"/>
  <c r="AO60" i="5"/>
  <c r="J60" i="5" s="1"/>
  <c r="AP60" i="5"/>
  <c r="K60" i="5" s="1"/>
  <c r="BD60" i="5"/>
  <c r="BJ60" i="5"/>
  <c r="BW60" i="5"/>
  <c r="L62" i="5"/>
  <c r="AL62" i="5" s="1"/>
  <c r="O62" i="5"/>
  <c r="Z62" i="5"/>
  <c r="AD62" i="5"/>
  <c r="AJ62" i="5"/>
  <c r="AO62" i="5"/>
  <c r="BH62" i="5" s="1"/>
  <c r="AB62" i="5" s="1"/>
  <c r="AP62" i="5"/>
  <c r="AX62" i="5" s="1"/>
  <c r="BD62" i="5"/>
  <c r="BF62" i="5"/>
  <c r="BJ62" i="5"/>
  <c r="AH62" i="5" s="1"/>
  <c r="BW62" i="5"/>
  <c r="L65" i="5"/>
  <c r="O65" i="5"/>
  <c r="AE65" i="5"/>
  <c r="AF65" i="5"/>
  <c r="AG65" i="5"/>
  <c r="AJ65" i="5"/>
  <c r="AO65" i="5"/>
  <c r="J65" i="5" s="1"/>
  <c r="AP65" i="5"/>
  <c r="AX65" i="5" s="1"/>
  <c r="BD65" i="5"/>
  <c r="BF65" i="5"/>
  <c r="BJ65" i="5"/>
  <c r="BW65" i="5"/>
  <c r="L67" i="5"/>
  <c r="AL67" i="5" s="1"/>
  <c r="O67" i="5"/>
  <c r="BF67" i="5" s="1"/>
  <c r="AJ67" i="5"/>
  <c r="AK67" i="5"/>
  <c r="AO67" i="5"/>
  <c r="J67" i="5" s="1"/>
  <c r="AP67" i="5"/>
  <c r="K67" i="5" s="1"/>
  <c r="BD67" i="5"/>
  <c r="BJ67" i="5"/>
  <c r="BW67" i="5"/>
  <c r="L69" i="5"/>
  <c r="O69" i="5"/>
  <c r="BF69" i="5" s="1"/>
  <c r="Z69" i="5"/>
  <c r="AF69" i="5"/>
  <c r="AH69" i="5"/>
  <c r="AO69" i="5"/>
  <c r="J69" i="5" s="1"/>
  <c r="AP69" i="5"/>
  <c r="BD69" i="5"/>
  <c r="BJ69" i="5"/>
  <c r="BW69" i="5"/>
  <c r="L71" i="5"/>
  <c r="O71" i="5"/>
  <c r="BF71" i="5" s="1"/>
  <c r="AD71" i="5"/>
  <c r="AF71" i="5"/>
  <c r="AK71" i="5"/>
  <c r="AO71" i="5"/>
  <c r="BH71" i="5" s="1"/>
  <c r="AB71" i="5" s="1"/>
  <c r="AP71" i="5"/>
  <c r="BD71" i="5"/>
  <c r="BJ71" i="5"/>
  <c r="AH71" i="5" s="1"/>
  <c r="BW71" i="5"/>
  <c r="L73" i="5"/>
  <c r="O73" i="5"/>
  <c r="BF73" i="5" s="1"/>
  <c r="AF73" i="5"/>
  <c r="AH73" i="5"/>
  <c r="AJ73" i="5"/>
  <c r="AO73" i="5"/>
  <c r="J73" i="5" s="1"/>
  <c r="AP73" i="5"/>
  <c r="AX73" i="5" s="1"/>
  <c r="BD73" i="5"/>
  <c r="BJ73" i="5"/>
  <c r="Z73" i="5" s="1"/>
  <c r="BW73" i="5"/>
  <c r="L75" i="5"/>
  <c r="AL75" i="5" s="1"/>
  <c r="O75" i="5"/>
  <c r="Z75" i="5"/>
  <c r="AD75" i="5"/>
  <c r="AJ75" i="5"/>
  <c r="AK75" i="5"/>
  <c r="AO75" i="5"/>
  <c r="AW75" i="5" s="1"/>
  <c r="AP75" i="5"/>
  <c r="K75" i="5" s="1"/>
  <c r="BD75" i="5"/>
  <c r="BF75" i="5"/>
  <c r="BJ75" i="5"/>
  <c r="AH75" i="5" s="1"/>
  <c r="BW75" i="5"/>
  <c r="L77" i="5"/>
  <c r="AL77" i="5" s="1"/>
  <c r="O77" i="5"/>
  <c r="BF77" i="5" s="1"/>
  <c r="Z77" i="5"/>
  <c r="AF77" i="5"/>
  <c r="AH77" i="5"/>
  <c r="AK77" i="5"/>
  <c r="AO77" i="5"/>
  <c r="J77" i="5" s="1"/>
  <c r="AP77" i="5"/>
  <c r="K77" i="5" s="1"/>
  <c r="BD77" i="5"/>
  <c r="BJ77" i="5"/>
  <c r="BW77" i="5"/>
  <c r="L80" i="5"/>
  <c r="O80" i="5"/>
  <c r="BF80" i="5" s="1"/>
  <c r="Z80" i="5"/>
  <c r="AD80" i="5"/>
  <c r="AE80" i="5"/>
  <c r="AF80" i="5"/>
  <c r="AG80" i="5"/>
  <c r="AJ80" i="5"/>
  <c r="AO80" i="5"/>
  <c r="BH80" i="5" s="1"/>
  <c r="AB80" i="5" s="1"/>
  <c r="AP80" i="5"/>
  <c r="AX80" i="5" s="1"/>
  <c r="BD80" i="5"/>
  <c r="BJ80" i="5"/>
  <c r="AH80" i="5" s="1"/>
  <c r="BW80" i="5"/>
  <c r="L82" i="5"/>
  <c r="O82" i="5"/>
  <c r="BF82" i="5" s="1"/>
  <c r="AE82" i="5"/>
  <c r="AF82" i="5"/>
  <c r="AG82" i="5"/>
  <c r="AH82" i="5"/>
  <c r="AO82" i="5"/>
  <c r="J82" i="5" s="1"/>
  <c r="AP82" i="5"/>
  <c r="K82" i="5" s="1"/>
  <c r="BD82" i="5"/>
  <c r="BJ82" i="5"/>
  <c r="Z82" i="5" s="1"/>
  <c r="BW82" i="5"/>
  <c r="L86" i="5"/>
  <c r="AL86" i="5" s="1"/>
  <c r="O86" i="5"/>
  <c r="BF86" i="5" s="1"/>
  <c r="Z86" i="5"/>
  <c r="AJ86" i="5"/>
  <c r="AK86" i="5"/>
  <c r="AO86" i="5"/>
  <c r="J86" i="5" s="1"/>
  <c r="AP86" i="5"/>
  <c r="BD86" i="5"/>
  <c r="BJ86" i="5"/>
  <c r="AH86" i="5" s="1"/>
  <c r="BW86" i="5"/>
  <c r="L88" i="5"/>
  <c r="AL88" i="5" s="1"/>
  <c r="O88" i="5"/>
  <c r="BF88" i="5" s="1"/>
  <c r="AF88" i="5"/>
  <c r="AJ88" i="5"/>
  <c r="AK88" i="5"/>
  <c r="AO88" i="5"/>
  <c r="J88" i="5" s="1"/>
  <c r="AP88" i="5"/>
  <c r="K88" i="5" s="1"/>
  <c r="BD88" i="5"/>
  <c r="BJ88" i="5"/>
  <c r="BW88" i="5"/>
  <c r="L92" i="5"/>
  <c r="O92" i="5"/>
  <c r="AB92" i="5"/>
  <c r="AC92" i="5"/>
  <c r="AE92" i="5"/>
  <c r="AG92" i="5"/>
  <c r="AK92" i="5"/>
  <c r="AL92" i="5"/>
  <c r="AO92" i="5"/>
  <c r="AP92" i="5"/>
  <c r="K92" i="5" s="1"/>
  <c r="BD92" i="5"/>
  <c r="BF92" i="5"/>
  <c r="BH92" i="5"/>
  <c r="BJ92" i="5"/>
  <c r="AH92" i="5" s="1"/>
  <c r="BW92" i="5"/>
  <c r="L94" i="5"/>
  <c r="O94" i="5"/>
  <c r="BF94" i="5" s="1"/>
  <c r="AG94" i="5"/>
  <c r="AH94" i="5"/>
  <c r="AK94" i="5"/>
  <c r="AO94" i="5"/>
  <c r="AW94" i="5" s="1"/>
  <c r="AP94" i="5"/>
  <c r="K94" i="5" s="1"/>
  <c r="BD94" i="5"/>
  <c r="BJ94" i="5"/>
  <c r="Z94" i="5" s="1"/>
  <c r="BW94" i="5"/>
  <c r="L96" i="5"/>
  <c r="AK96" i="5" s="1"/>
  <c r="O96" i="5"/>
  <c r="BF96" i="5" s="1"/>
  <c r="AB96" i="5"/>
  <c r="AF96" i="5"/>
  <c r="AJ96" i="5"/>
  <c r="AO96" i="5"/>
  <c r="J96" i="5" s="1"/>
  <c r="AP96" i="5"/>
  <c r="BD96" i="5"/>
  <c r="BJ96" i="5"/>
  <c r="BW96" i="5"/>
  <c r="L98" i="5"/>
  <c r="O98" i="5"/>
  <c r="BF98" i="5" s="1"/>
  <c r="AJ98" i="5"/>
  <c r="AK98" i="5"/>
  <c r="AO98" i="5"/>
  <c r="AP98" i="5"/>
  <c r="AX98" i="5" s="1"/>
  <c r="BD98" i="5"/>
  <c r="BJ98" i="5"/>
  <c r="AH98" i="5" s="1"/>
  <c r="BW98" i="5"/>
  <c r="L100" i="5"/>
  <c r="O100" i="5"/>
  <c r="BF100" i="5" s="1"/>
  <c r="AB100" i="5"/>
  <c r="AF100" i="5"/>
  <c r="AH100" i="5"/>
  <c r="AJ100" i="5"/>
  <c r="AO100" i="5"/>
  <c r="AP100" i="5"/>
  <c r="AX100" i="5" s="1"/>
  <c r="BD100" i="5"/>
  <c r="BJ100" i="5"/>
  <c r="Z100" i="5" s="1"/>
  <c r="BW100" i="5"/>
  <c r="L102" i="5"/>
  <c r="O102" i="5"/>
  <c r="BF102" i="5" s="1"/>
  <c r="AG102" i="5"/>
  <c r="AJ102" i="5"/>
  <c r="AK102" i="5"/>
  <c r="AL102" i="5"/>
  <c r="AO102" i="5"/>
  <c r="J102" i="5" s="1"/>
  <c r="AP102" i="5"/>
  <c r="AX102" i="5" s="1"/>
  <c r="BD102" i="5"/>
  <c r="BJ102" i="5"/>
  <c r="AH102" i="5" s="1"/>
  <c r="BW102" i="5"/>
  <c r="L104" i="5"/>
  <c r="AL104" i="5" s="1"/>
  <c r="O104" i="5"/>
  <c r="BF104" i="5" s="1"/>
  <c r="AB104" i="5"/>
  <c r="AF104" i="5"/>
  <c r="AG104" i="5"/>
  <c r="AH104" i="5"/>
  <c r="AO104" i="5"/>
  <c r="AP104" i="5"/>
  <c r="BI104" i="5" s="1"/>
  <c r="AC104" i="5" s="1"/>
  <c r="BD104" i="5"/>
  <c r="BJ104" i="5"/>
  <c r="Z104" i="5" s="1"/>
  <c r="BW104" i="5"/>
  <c r="L108" i="5"/>
  <c r="O108" i="5"/>
  <c r="BF108" i="5" s="1"/>
  <c r="L16" i="4" s="1"/>
  <c r="AF108" i="5"/>
  <c r="AH108" i="5"/>
  <c r="AO108" i="5"/>
  <c r="BH108" i="5" s="1"/>
  <c r="AB108" i="5" s="1"/>
  <c r="AP108" i="5"/>
  <c r="K108" i="5" s="1"/>
  <c r="K107" i="5" s="1"/>
  <c r="BD108" i="5"/>
  <c r="BJ108" i="5"/>
  <c r="Z108" i="5" s="1"/>
  <c r="BW108" i="5"/>
  <c r="L111" i="5"/>
  <c r="O111" i="5"/>
  <c r="BF111" i="5" s="1"/>
  <c r="AJ111" i="5"/>
  <c r="AK111" i="5"/>
  <c r="AO111" i="5"/>
  <c r="AP111" i="5"/>
  <c r="K111" i="5" s="1"/>
  <c r="BD111" i="5"/>
  <c r="BJ111" i="5"/>
  <c r="AH111" i="5" s="1"/>
  <c r="BW111" i="5"/>
  <c r="L113" i="5"/>
  <c r="O113" i="5"/>
  <c r="BF113" i="5" s="1"/>
  <c r="AK113" i="5"/>
  <c r="AO113" i="5"/>
  <c r="J113" i="5" s="1"/>
  <c r="AP113" i="5"/>
  <c r="BD113" i="5"/>
  <c r="BJ113" i="5"/>
  <c r="BW113" i="5"/>
  <c r="M113" i="5" s="1"/>
  <c r="L116" i="5"/>
  <c r="AL116" i="5" s="1"/>
  <c r="AU115" i="5" s="1"/>
  <c r="O116" i="5"/>
  <c r="Z116" i="5"/>
  <c r="AH116" i="5"/>
  <c r="AK116" i="5"/>
  <c r="AT115" i="5" s="1"/>
  <c r="AO116" i="5"/>
  <c r="BH116" i="5" s="1"/>
  <c r="AP116" i="5"/>
  <c r="K116" i="5" s="1"/>
  <c r="K115" i="5" s="1"/>
  <c r="BD116" i="5"/>
  <c r="BJ116" i="5"/>
  <c r="BW116" i="5"/>
  <c r="L120" i="5"/>
  <c r="O120" i="5"/>
  <c r="AO120" i="5"/>
  <c r="AP120" i="5"/>
  <c r="BI120" i="5" s="1"/>
  <c r="BD120" i="5"/>
  <c r="BJ120" i="5"/>
  <c r="BW120" i="5"/>
  <c r="L122" i="5"/>
  <c r="O122" i="5"/>
  <c r="AH122" i="5"/>
  <c r="AO122" i="5"/>
  <c r="AP122" i="5"/>
  <c r="K122" i="5" s="1"/>
  <c r="BD122" i="5"/>
  <c r="BF122" i="5"/>
  <c r="BJ122" i="5"/>
  <c r="Z122" i="5" s="1"/>
  <c r="BW122" i="5"/>
  <c r="L125" i="5"/>
  <c r="O125" i="5"/>
  <c r="AG125" i="5"/>
  <c r="AH125" i="5"/>
  <c r="AO125" i="5"/>
  <c r="AW125" i="5" s="1"/>
  <c r="AP125" i="5"/>
  <c r="AX125" i="5" s="1"/>
  <c r="BD125" i="5"/>
  <c r="BJ125" i="5"/>
  <c r="Z125" i="5" s="1"/>
  <c r="BW125" i="5"/>
  <c r="L128" i="5"/>
  <c r="O128" i="5"/>
  <c r="BF128" i="5" s="1"/>
  <c r="AJ128" i="5"/>
  <c r="AK128" i="5"/>
  <c r="AO128" i="5"/>
  <c r="BH128" i="5" s="1"/>
  <c r="AP128" i="5"/>
  <c r="K128" i="5" s="1"/>
  <c r="BD128" i="5"/>
  <c r="BJ128" i="5"/>
  <c r="AH128" i="5" s="1"/>
  <c r="BW128" i="5"/>
  <c r="L130" i="5"/>
  <c r="O130" i="5"/>
  <c r="BF130" i="5" s="1"/>
  <c r="AH130" i="5"/>
  <c r="AO130" i="5"/>
  <c r="AP130" i="5"/>
  <c r="BD130" i="5"/>
  <c r="BJ130" i="5"/>
  <c r="Z130" i="5" s="1"/>
  <c r="BW130" i="5"/>
  <c r="L133" i="5"/>
  <c r="O133" i="5"/>
  <c r="AJ133" i="5"/>
  <c r="AO133" i="5"/>
  <c r="AP133" i="5"/>
  <c r="BD133" i="5"/>
  <c r="BJ133" i="5"/>
  <c r="Z133" i="5" s="1"/>
  <c r="BW133" i="5"/>
  <c r="L135" i="5"/>
  <c r="O135" i="5"/>
  <c r="BF135" i="5" s="1"/>
  <c r="Z135" i="5"/>
  <c r="AO135" i="5"/>
  <c r="AW135" i="5" s="1"/>
  <c r="AP135" i="5"/>
  <c r="K135" i="5" s="1"/>
  <c r="BD135" i="5"/>
  <c r="BJ135" i="5"/>
  <c r="AH135" i="5" s="1"/>
  <c r="BW135" i="5"/>
  <c r="L137" i="5"/>
  <c r="O137" i="5"/>
  <c r="BF137" i="5" s="1"/>
  <c r="Z137" i="5"/>
  <c r="AC137" i="5"/>
  <c r="AG137" i="5"/>
  <c r="AH137" i="5"/>
  <c r="AJ137" i="5"/>
  <c r="AK137" i="5"/>
  <c r="AL137" i="5"/>
  <c r="AO137" i="5"/>
  <c r="AW137" i="5" s="1"/>
  <c r="AP137" i="5"/>
  <c r="K137" i="5" s="1"/>
  <c r="BD137" i="5"/>
  <c r="BJ137" i="5"/>
  <c r="BW137" i="5"/>
  <c r="L139" i="5"/>
  <c r="O139" i="5"/>
  <c r="BF139" i="5" s="1"/>
  <c r="AO139" i="5"/>
  <c r="AP139" i="5"/>
  <c r="BD139" i="5"/>
  <c r="BJ139" i="5"/>
  <c r="Z139" i="5" s="1"/>
  <c r="BW139" i="5"/>
  <c r="L143" i="5"/>
  <c r="AL143" i="5" s="1"/>
  <c r="O143" i="5"/>
  <c r="Z143" i="5"/>
  <c r="AC143" i="5"/>
  <c r="AH143" i="5"/>
  <c r="AJ143" i="5"/>
  <c r="AK143" i="5"/>
  <c r="AO143" i="5"/>
  <c r="AP143" i="5"/>
  <c r="BD143" i="5"/>
  <c r="BJ143" i="5"/>
  <c r="BW143" i="5"/>
  <c r="L145" i="5"/>
  <c r="O145" i="5"/>
  <c r="Z145" i="5"/>
  <c r="AF145" i="5"/>
  <c r="AG145" i="5"/>
  <c r="AH145" i="5"/>
  <c r="AO145" i="5"/>
  <c r="J145" i="5" s="1"/>
  <c r="AP145" i="5"/>
  <c r="K145" i="5" s="1"/>
  <c r="BD145" i="5"/>
  <c r="BF145" i="5"/>
  <c r="BJ145" i="5"/>
  <c r="BW145" i="5"/>
  <c r="L148" i="5"/>
  <c r="O148" i="5"/>
  <c r="Z148" i="5"/>
  <c r="AH148" i="5"/>
  <c r="AJ148" i="5"/>
  <c r="AK148" i="5"/>
  <c r="AO148" i="5"/>
  <c r="BH148" i="5" s="1"/>
  <c r="AP148" i="5"/>
  <c r="BD148" i="5"/>
  <c r="BF148" i="5"/>
  <c r="BJ148" i="5"/>
  <c r="BW148" i="5"/>
  <c r="L150" i="5"/>
  <c r="AK150" i="5" s="1"/>
  <c r="O150" i="5"/>
  <c r="BF150" i="5" s="1"/>
  <c r="Z150" i="5"/>
  <c r="AC150" i="5"/>
  <c r="AJ150" i="5"/>
  <c r="AO150" i="5"/>
  <c r="J150" i="5" s="1"/>
  <c r="AP150" i="5"/>
  <c r="AX150" i="5" s="1"/>
  <c r="BD150" i="5"/>
  <c r="BJ150" i="5"/>
  <c r="AH150" i="5" s="1"/>
  <c r="BW150" i="5"/>
  <c r="L154" i="5"/>
  <c r="AL154" i="5" s="1"/>
  <c r="O154" i="5"/>
  <c r="Z154" i="5"/>
  <c r="AH154" i="5"/>
  <c r="AJ154" i="5"/>
  <c r="AK154" i="5"/>
  <c r="AO154" i="5"/>
  <c r="AW154" i="5" s="1"/>
  <c r="AP154" i="5"/>
  <c r="BD154" i="5"/>
  <c r="BJ154" i="5"/>
  <c r="BW154" i="5"/>
  <c r="L156" i="5"/>
  <c r="O156" i="5"/>
  <c r="BF156" i="5" s="1"/>
  <c r="AC156" i="5"/>
  <c r="AG156" i="5"/>
  <c r="AH156" i="5"/>
  <c r="AO156" i="5"/>
  <c r="AP156" i="5"/>
  <c r="K156" i="5" s="1"/>
  <c r="BD156" i="5"/>
  <c r="BJ156" i="5"/>
  <c r="Z156" i="5" s="1"/>
  <c r="BW156" i="5"/>
  <c r="L160" i="5"/>
  <c r="L159" i="5" s="1"/>
  <c r="O160" i="5"/>
  <c r="O159" i="5" s="1"/>
  <c r="Z160" i="5"/>
  <c r="AG160" i="5"/>
  <c r="AH160" i="5"/>
  <c r="AJ160" i="5"/>
  <c r="AS159" i="5" s="1"/>
  <c r="AK160" i="5"/>
  <c r="AT159" i="5" s="1"/>
  <c r="AO160" i="5"/>
  <c r="BH160" i="5" s="1"/>
  <c r="AP160" i="5"/>
  <c r="AX160" i="5" s="1"/>
  <c r="BD160" i="5"/>
  <c r="BJ160" i="5"/>
  <c r="BW160" i="5"/>
  <c r="L163" i="5"/>
  <c r="O163" i="5"/>
  <c r="AE163" i="5"/>
  <c r="AF163" i="5"/>
  <c r="AG163" i="5"/>
  <c r="AJ163" i="5"/>
  <c r="AO163" i="5"/>
  <c r="AP163" i="5"/>
  <c r="BD163" i="5"/>
  <c r="BJ163" i="5"/>
  <c r="BW163" i="5"/>
  <c r="L165" i="5"/>
  <c r="AL165" i="5" s="1"/>
  <c r="O165" i="5"/>
  <c r="BF165" i="5" s="1"/>
  <c r="Z165" i="5"/>
  <c r="AH165" i="5"/>
  <c r="AJ165" i="5"/>
  <c r="AK165" i="5"/>
  <c r="AO165" i="5"/>
  <c r="AP165" i="5"/>
  <c r="BD165" i="5"/>
  <c r="BJ165" i="5"/>
  <c r="BW165" i="5"/>
  <c r="L168" i="5"/>
  <c r="O168" i="5"/>
  <c r="O167" i="5" s="1"/>
  <c r="Z168" i="5"/>
  <c r="AH168" i="5"/>
  <c r="AJ168" i="5"/>
  <c r="AS167" i="5" s="1"/>
  <c r="AO168" i="5"/>
  <c r="AP168" i="5"/>
  <c r="BD168" i="5"/>
  <c r="BJ168" i="5"/>
  <c r="BW168" i="5"/>
  <c r="L172" i="5"/>
  <c r="L171" i="5" s="1"/>
  <c r="O172" i="5"/>
  <c r="AB172" i="5"/>
  <c r="AD172" i="5"/>
  <c r="AH172" i="5"/>
  <c r="AJ172" i="5"/>
  <c r="AS171" i="5" s="1"/>
  <c r="AK172" i="5"/>
  <c r="AT171" i="5" s="1"/>
  <c r="AO172" i="5"/>
  <c r="AP172" i="5"/>
  <c r="BD172" i="5"/>
  <c r="BJ172" i="5"/>
  <c r="Z172" i="5" s="1"/>
  <c r="BW172" i="5"/>
  <c r="L175" i="5"/>
  <c r="O175" i="5"/>
  <c r="AD175" i="5"/>
  <c r="AF175" i="5"/>
  <c r="AH175" i="5"/>
  <c r="AJ175" i="5"/>
  <c r="AO175" i="5"/>
  <c r="AP175" i="5"/>
  <c r="BD175" i="5"/>
  <c r="BJ175" i="5"/>
  <c r="Z175" i="5" s="1"/>
  <c r="BW175" i="5"/>
  <c r="L177" i="5"/>
  <c r="O177" i="5"/>
  <c r="BF177" i="5" s="1"/>
  <c r="AE177" i="5"/>
  <c r="AG177" i="5"/>
  <c r="AH177" i="5"/>
  <c r="AJ177" i="5"/>
  <c r="AK177" i="5"/>
  <c r="AO177" i="5"/>
  <c r="J177" i="5" s="1"/>
  <c r="AP177" i="5"/>
  <c r="AX177" i="5" s="1"/>
  <c r="BD177" i="5"/>
  <c r="BJ177" i="5"/>
  <c r="Z177" i="5" s="1"/>
  <c r="BW177" i="5"/>
  <c r="L179" i="5"/>
  <c r="AK179" i="5" s="1"/>
  <c r="O179" i="5"/>
  <c r="BF179" i="5" s="1"/>
  <c r="AD179" i="5"/>
  <c r="AF179" i="5"/>
  <c r="AH179" i="5"/>
  <c r="AJ179" i="5"/>
  <c r="AO179" i="5"/>
  <c r="AW179" i="5" s="1"/>
  <c r="AP179" i="5"/>
  <c r="AX179" i="5" s="1"/>
  <c r="BD179" i="5"/>
  <c r="BJ179" i="5"/>
  <c r="Z179" i="5" s="1"/>
  <c r="BW179" i="5"/>
  <c r="L181" i="5"/>
  <c r="AL181" i="5" s="1"/>
  <c r="O181" i="5"/>
  <c r="BF181" i="5" s="1"/>
  <c r="AH181" i="5"/>
  <c r="AJ181" i="5"/>
  <c r="AK181" i="5"/>
  <c r="AO181" i="5"/>
  <c r="J181" i="5" s="1"/>
  <c r="AP181" i="5"/>
  <c r="BD181" i="5"/>
  <c r="BJ181" i="5"/>
  <c r="Z181" i="5" s="1"/>
  <c r="BW181" i="5"/>
  <c r="L185" i="5"/>
  <c r="O185" i="5"/>
  <c r="AD185" i="5"/>
  <c r="AF185" i="5"/>
  <c r="AG185" i="5"/>
  <c r="AJ185" i="5"/>
  <c r="AO185" i="5"/>
  <c r="J185" i="5" s="1"/>
  <c r="AP185" i="5"/>
  <c r="K185" i="5" s="1"/>
  <c r="BD185" i="5"/>
  <c r="BJ185" i="5"/>
  <c r="BW185" i="5"/>
  <c r="L188" i="5"/>
  <c r="AJ188" i="5" s="1"/>
  <c r="O188" i="5"/>
  <c r="BF188" i="5" s="1"/>
  <c r="AF188" i="5"/>
  <c r="AO188" i="5"/>
  <c r="AP188" i="5"/>
  <c r="BD188" i="5"/>
  <c r="BJ188" i="5"/>
  <c r="BW188" i="5"/>
  <c r="L193" i="5"/>
  <c r="AL193" i="5" s="1"/>
  <c r="AU192" i="5" s="1"/>
  <c r="O193" i="5"/>
  <c r="O192" i="5" s="1"/>
  <c r="AG193" i="5"/>
  <c r="AO193" i="5"/>
  <c r="AP193" i="5"/>
  <c r="K193" i="5" s="1"/>
  <c r="K192" i="5" s="1"/>
  <c r="BD193" i="5"/>
  <c r="BJ193" i="5"/>
  <c r="AH193" i="5" s="1"/>
  <c r="BW193" i="5"/>
  <c r="L196" i="5"/>
  <c r="O196" i="5"/>
  <c r="AE196" i="5"/>
  <c r="AK196" i="5"/>
  <c r="AO196" i="5"/>
  <c r="AW196" i="5" s="1"/>
  <c r="AP196" i="5"/>
  <c r="K196" i="5" s="1"/>
  <c r="BD196" i="5"/>
  <c r="BJ196" i="5"/>
  <c r="Z196" i="5" s="1"/>
  <c r="BW196" i="5"/>
  <c r="L199" i="5"/>
  <c r="O199" i="5"/>
  <c r="BF199" i="5" s="1"/>
  <c r="Z199" i="5"/>
  <c r="AD199" i="5"/>
  <c r="AG199" i="5"/>
  <c r="AJ199" i="5"/>
  <c r="AK199" i="5"/>
  <c r="AO199" i="5"/>
  <c r="J199" i="5" s="1"/>
  <c r="AP199" i="5"/>
  <c r="K199" i="5" s="1"/>
  <c r="BD199" i="5"/>
  <c r="BJ199" i="5"/>
  <c r="AH199" i="5" s="1"/>
  <c r="BW199" i="5"/>
  <c r="L203" i="5"/>
  <c r="O203" i="5"/>
  <c r="AG203" i="5"/>
  <c r="AH203" i="5"/>
  <c r="AO203" i="5"/>
  <c r="AP203" i="5"/>
  <c r="K203" i="5" s="1"/>
  <c r="K202" i="5" s="1"/>
  <c r="BD203" i="5"/>
  <c r="BJ203" i="5"/>
  <c r="Z203" i="5" s="1"/>
  <c r="BW203" i="5"/>
  <c r="L206" i="5"/>
  <c r="AL206" i="5" s="1"/>
  <c r="O206" i="5"/>
  <c r="BF206" i="5" s="1"/>
  <c r="Z206" i="5"/>
  <c r="AG206" i="5"/>
  <c r="AH206" i="5"/>
  <c r="AJ206" i="5"/>
  <c r="AK206" i="5"/>
  <c r="AO206" i="5"/>
  <c r="BH206" i="5" s="1"/>
  <c r="AP206" i="5"/>
  <c r="K206" i="5" s="1"/>
  <c r="BD206" i="5"/>
  <c r="BJ206" i="5"/>
  <c r="BW206" i="5"/>
  <c r="L209" i="5"/>
  <c r="O209" i="5"/>
  <c r="AE209" i="5"/>
  <c r="AF209" i="5"/>
  <c r="AG209" i="5"/>
  <c r="AH209" i="5"/>
  <c r="AO209" i="5"/>
  <c r="J209" i="5" s="1"/>
  <c r="AP209" i="5"/>
  <c r="K209" i="5" s="1"/>
  <c r="BD209" i="5"/>
  <c r="BJ209" i="5"/>
  <c r="Z209" i="5" s="1"/>
  <c r="BW209" i="5"/>
  <c r="L212" i="5"/>
  <c r="O212" i="5"/>
  <c r="BF212" i="5" s="1"/>
  <c r="AD212" i="5"/>
  <c r="AF212" i="5"/>
  <c r="AG212" i="5"/>
  <c r="AJ212" i="5"/>
  <c r="AO212" i="5"/>
  <c r="J212" i="5" s="1"/>
  <c r="AP212" i="5"/>
  <c r="K212" i="5" s="1"/>
  <c r="BD212" i="5"/>
  <c r="BJ212" i="5"/>
  <c r="BW212" i="5"/>
  <c r="L214" i="5"/>
  <c r="AJ214" i="5" s="1"/>
  <c r="O214" i="5"/>
  <c r="BF214" i="5" s="1"/>
  <c r="AF214" i="5"/>
  <c r="AO214" i="5"/>
  <c r="J214" i="5" s="1"/>
  <c r="AP214" i="5"/>
  <c r="AX214" i="5" s="1"/>
  <c r="BD214" i="5"/>
  <c r="BJ214" i="5"/>
  <c r="BW214" i="5"/>
  <c r="L216" i="5"/>
  <c r="AL216" i="5" s="1"/>
  <c r="O216" i="5"/>
  <c r="BF216" i="5" s="1"/>
  <c r="AG216" i="5"/>
  <c r="AK216" i="5"/>
  <c r="AO216" i="5"/>
  <c r="AP216" i="5"/>
  <c r="K216" i="5" s="1"/>
  <c r="BD216" i="5"/>
  <c r="BJ216" i="5"/>
  <c r="BW216" i="5"/>
  <c r="L218" i="5"/>
  <c r="O218" i="5"/>
  <c r="BF218" i="5" s="1"/>
  <c r="AH218" i="5"/>
  <c r="AK218" i="5"/>
  <c r="AO218" i="5"/>
  <c r="AP218" i="5"/>
  <c r="K218" i="5" s="1"/>
  <c r="BD218" i="5"/>
  <c r="BJ218" i="5"/>
  <c r="Z218" i="5" s="1"/>
  <c r="BW218" i="5"/>
  <c r="M218" i="5" s="1"/>
  <c r="L220" i="5"/>
  <c r="O220" i="5"/>
  <c r="BF220" i="5" s="1"/>
  <c r="Z220" i="5"/>
  <c r="AG220" i="5"/>
  <c r="AH220" i="5"/>
  <c r="AO220" i="5"/>
  <c r="AP220" i="5"/>
  <c r="K220" i="5" s="1"/>
  <c r="BD220" i="5"/>
  <c r="BJ220" i="5"/>
  <c r="BW220" i="5"/>
  <c r="L222" i="5"/>
  <c r="AJ222" i="5" s="1"/>
  <c r="O222" i="5"/>
  <c r="BF222" i="5" s="1"/>
  <c r="AD222" i="5"/>
  <c r="AF222" i="5"/>
  <c r="AO222" i="5"/>
  <c r="BH222" i="5" s="1"/>
  <c r="AB222" i="5" s="1"/>
  <c r="AP222" i="5"/>
  <c r="BD222" i="5"/>
  <c r="BJ222" i="5"/>
  <c r="Z222" i="5" s="1"/>
  <c r="BW222" i="5"/>
  <c r="L224" i="5"/>
  <c r="AJ224" i="5" s="1"/>
  <c r="O224" i="5"/>
  <c r="BF224" i="5" s="1"/>
  <c r="AG224" i="5"/>
  <c r="AH224" i="5"/>
  <c r="AO224" i="5"/>
  <c r="J224" i="5" s="1"/>
  <c r="AP224" i="5"/>
  <c r="K224" i="5" s="1"/>
  <c r="BD224" i="5"/>
  <c r="BJ224" i="5"/>
  <c r="Z224" i="5" s="1"/>
  <c r="BW224" i="5"/>
  <c r="L226" i="5"/>
  <c r="O226" i="5"/>
  <c r="BF226" i="5" s="1"/>
  <c r="AK226" i="5"/>
  <c r="AO226" i="5"/>
  <c r="AW226" i="5" s="1"/>
  <c r="AP226" i="5"/>
  <c r="K226" i="5" s="1"/>
  <c r="BD226" i="5"/>
  <c r="BJ226" i="5"/>
  <c r="Z226" i="5" s="1"/>
  <c r="BW226" i="5"/>
  <c r="L229" i="5"/>
  <c r="AL229" i="5" s="1"/>
  <c r="O229" i="5"/>
  <c r="Z229" i="5"/>
  <c r="AG229" i="5"/>
  <c r="AK229" i="5"/>
  <c r="AO229" i="5"/>
  <c r="AP229" i="5"/>
  <c r="K229" i="5" s="1"/>
  <c r="BD229" i="5"/>
  <c r="BF229" i="5"/>
  <c r="BJ229" i="5"/>
  <c r="AH229" i="5" s="1"/>
  <c r="BW229" i="5"/>
  <c r="L231" i="5"/>
  <c r="O231" i="5"/>
  <c r="BF231" i="5" s="1"/>
  <c r="AH231" i="5"/>
  <c r="AK231" i="5"/>
  <c r="AO231" i="5"/>
  <c r="AP231" i="5"/>
  <c r="K231" i="5" s="1"/>
  <c r="BD231" i="5"/>
  <c r="BJ231" i="5"/>
  <c r="Z231" i="5" s="1"/>
  <c r="BW231" i="5"/>
  <c r="L234" i="5"/>
  <c r="AL234" i="5" s="1"/>
  <c r="O234" i="5"/>
  <c r="BF234" i="5" s="1"/>
  <c r="Z234" i="5"/>
  <c r="AG234" i="5"/>
  <c r="AH234" i="5"/>
  <c r="AJ234" i="5"/>
  <c r="AK234" i="5"/>
  <c r="AO234" i="5"/>
  <c r="AP234" i="5"/>
  <c r="AX234" i="5" s="1"/>
  <c r="BD234" i="5"/>
  <c r="BJ234" i="5"/>
  <c r="BW234" i="5"/>
  <c r="L237" i="5"/>
  <c r="O237" i="5"/>
  <c r="AE237" i="5"/>
  <c r="AF237" i="5"/>
  <c r="AG237" i="5"/>
  <c r="AH237" i="5"/>
  <c r="AK237" i="5"/>
  <c r="AO237" i="5"/>
  <c r="AP237" i="5"/>
  <c r="BD237" i="5"/>
  <c r="BJ237" i="5"/>
  <c r="Z237" i="5" s="1"/>
  <c r="BW237" i="5"/>
  <c r="L240" i="5"/>
  <c r="O240" i="5"/>
  <c r="BF240" i="5" s="1"/>
  <c r="AD240" i="5"/>
  <c r="AF240" i="5"/>
  <c r="AG240" i="5"/>
  <c r="AJ240" i="5"/>
  <c r="AO240" i="5"/>
  <c r="AW240" i="5" s="1"/>
  <c r="AP240" i="5"/>
  <c r="K240" i="5" s="1"/>
  <c r="BD240" i="5"/>
  <c r="BI240" i="5"/>
  <c r="AE240" i="5" s="1"/>
  <c r="BJ240" i="5"/>
  <c r="BW240" i="5"/>
  <c r="L243" i="5"/>
  <c r="AJ243" i="5" s="1"/>
  <c r="O243" i="5"/>
  <c r="BF243" i="5" s="1"/>
  <c r="AO243" i="5"/>
  <c r="AP243" i="5"/>
  <c r="BD243" i="5"/>
  <c r="BJ243" i="5"/>
  <c r="BW243" i="5"/>
  <c r="L247" i="5"/>
  <c r="AL247" i="5" s="1"/>
  <c r="O247" i="5"/>
  <c r="BF247" i="5" s="1"/>
  <c r="AO247" i="5"/>
  <c r="AP247" i="5"/>
  <c r="BI247" i="5" s="1"/>
  <c r="BD247" i="5"/>
  <c r="BJ247" i="5"/>
  <c r="AH247" i="5" s="1"/>
  <c r="BW247" i="5"/>
  <c r="L251" i="5"/>
  <c r="O251" i="5"/>
  <c r="BF251" i="5" s="1"/>
  <c r="Z251" i="5"/>
  <c r="AG251" i="5"/>
  <c r="AH251" i="5"/>
  <c r="AJ251" i="5"/>
  <c r="AK251" i="5"/>
  <c r="AO251" i="5"/>
  <c r="J251" i="5" s="1"/>
  <c r="AP251" i="5"/>
  <c r="K251" i="5" s="1"/>
  <c r="BD251" i="5"/>
  <c r="BJ251" i="5"/>
  <c r="BW251" i="5"/>
  <c r="L254" i="5"/>
  <c r="AJ254" i="5" s="1"/>
  <c r="O254" i="5"/>
  <c r="BF254" i="5" s="1"/>
  <c r="AD254" i="5"/>
  <c r="AO254" i="5"/>
  <c r="AP254" i="5"/>
  <c r="AX254" i="5" s="1"/>
  <c r="BD254" i="5"/>
  <c r="BJ254" i="5"/>
  <c r="AH254" i="5" s="1"/>
  <c r="BW254" i="5"/>
  <c r="L256" i="5"/>
  <c r="AL256" i="5" s="1"/>
  <c r="O256" i="5"/>
  <c r="BF256" i="5" s="1"/>
  <c r="Z256" i="5"/>
  <c r="AG256" i="5"/>
  <c r="AH256" i="5"/>
  <c r="AJ256" i="5"/>
  <c r="AK256" i="5"/>
  <c r="AO256" i="5"/>
  <c r="AP256" i="5"/>
  <c r="K256" i="5" s="1"/>
  <c r="BD256" i="5"/>
  <c r="BJ256" i="5"/>
  <c r="BW256" i="5"/>
  <c r="L258" i="5"/>
  <c r="AJ258" i="5" s="1"/>
  <c r="O258" i="5"/>
  <c r="BF258" i="5" s="1"/>
  <c r="AO258" i="5"/>
  <c r="J258" i="5" s="1"/>
  <c r="AP258" i="5"/>
  <c r="BD258" i="5"/>
  <c r="BJ258" i="5"/>
  <c r="AH258" i="5" s="1"/>
  <c r="BW258" i="5"/>
  <c r="L260" i="5"/>
  <c r="AL260" i="5" s="1"/>
  <c r="O260" i="5"/>
  <c r="BF260" i="5" s="1"/>
  <c r="Z260" i="5"/>
  <c r="AG260" i="5"/>
  <c r="AH260" i="5"/>
  <c r="AJ260" i="5"/>
  <c r="AK260" i="5"/>
  <c r="AO260" i="5"/>
  <c r="J260" i="5" s="1"/>
  <c r="AP260" i="5"/>
  <c r="K260" i="5" s="1"/>
  <c r="BD260" i="5"/>
  <c r="BJ260" i="5"/>
  <c r="BW260" i="5"/>
  <c r="L265" i="5"/>
  <c r="AJ265" i="5" s="1"/>
  <c r="O265" i="5"/>
  <c r="BF265" i="5" s="1"/>
  <c r="AO265" i="5"/>
  <c r="AP265" i="5"/>
  <c r="BD265" i="5"/>
  <c r="BJ265" i="5"/>
  <c r="AH265" i="5" s="1"/>
  <c r="BW265" i="5"/>
  <c r="L269" i="5"/>
  <c r="AL269" i="5" s="1"/>
  <c r="O269" i="5"/>
  <c r="BF269" i="5" s="1"/>
  <c r="Z269" i="5"/>
  <c r="AG269" i="5"/>
  <c r="AH269" i="5"/>
  <c r="AJ269" i="5"/>
  <c r="AK269" i="5"/>
  <c r="AO269" i="5"/>
  <c r="J269" i="5" s="1"/>
  <c r="AP269" i="5"/>
  <c r="K269" i="5" s="1"/>
  <c r="BD269" i="5"/>
  <c r="BJ269" i="5"/>
  <c r="BW269" i="5"/>
  <c r="L272" i="5"/>
  <c r="AJ272" i="5" s="1"/>
  <c r="O272" i="5"/>
  <c r="BF272" i="5" s="1"/>
  <c r="AE272" i="5"/>
  <c r="AO272" i="5"/>
  <c r="J272" i="5" s="1"/>
  <c r="AP272" i="5"/>
  <c r="AX272" i="5" s="1"/>
  <c r="BD272" i="5"/>
  <c r="BJ272" i="5"/>
  <c r="AH272" i="5" s="1"/>
  <c r="BW272" i="5"/>
  <c r="L275" i="5"/>
  <c r="O275" i="5"/>
  <c r="BF275" i="5" s="1"/>
  <c r="Z275" i="5"/>
  <c r="AG275" i="5"/>
  <c r="AH275" i="5"/>
  <c r="AJ275" i="5"/>
  <c r="AK275" i="5"/>
  <c r="AO275" i="5"/>
  <c r="J275" i="5" s="1"/>
  <c r="AP275" i="5"/>
  <c r="K275" i="5" s="1"/>
  <c r="BD275" i="5"/>
  <c r="BJ275" i="5"/>
  <c r="BW275" i="5"/>
  <c r="L277" i="5"/>
  <c r="AJ277" i="5" s="1"/>
  <c r="O277" i="5"/>
  <c r="BF277" i="5" s="1"/>
  <c r="AD277" i="5"/>
  <c r="AO277" i="5"/>
  <c r="AP277" i="5"/>
  <c r="BI277" i="5" s="1"/>
  <c r="BD277" i="5"/>
  <c r="BJ277" i="5"/>
  <c r="AH277" i="5" s="1"/>
  <c r="BW277" i="5"/>
  <c r="L279" i="5"/>
  <c r="O279" i="5"/>
  <c r="BF279" i="5" s="1"/>
  <c r="Z279" i="5"/>
  <c r="AG279" i="5"/>
  <c r="AH279" i="5"/>
  <c r="AJ279" i="5"/>
  <c r="AK279" i="5"/>
  <c r="AO279" i="5"/>
  <c r="J279" i="5" s="1"/>
  <c r="AP279" i="5"/>
  <c r="K279" i="5" s="1"/>
  <c r="BD279" i="5"/>
  <c r="BJ279" i="5"/>
  <c r="BW279" i="5"/>
  <c r="L281" i="5"/>
  <c r="AL281" i="5" s="1"/>
  <c r="O281" i="5"/>
  <c r="BF281" i="5" s="1"/>
  <c r="AO281" i="5"/>
  <c r="AP281" i="5"/>
  <c r="BD281" i="5"/>
  <c r="BJ281" i="5"/>
  <c r="BW281" i="5"/>
  <c r="L283" i="5"/>
  <c r="AL283" i="5" s="1"/>
  <c r="O283" i="5"/>
  <c r="BF283" i="5" s="1"/>
  <c r="Z283" i="5"/>
  <c r="AG283" i="5"/>
  <c r="AH283" i="5"/>
  <c r="AJ283" i="5"/>
  <c r="AK283" i="5"/>
  <c r="AO283" i="5"/>
  <c r="J283" i="5" s="1"/>
  <c r="AP283" i="5"/>
  <c r="K283" i="5" s="1"/>
  <c r="BD283" i="5"/>
  <c r="BJ283" i="5"/>
  <c r="BW283" i="5"/>
  <c r="L285" i="5"/>
  <c r="O285" i="5"/>
  <c r="AE285" i="5"/>
  <c r="AG285" i="5"/>
  <c r="AO285" i="5"/>
  <c r="AP285" i="5"/>
  <c r="BD285" i="5"/>
  <c r="BF285" i="5"/>
  <c r="BJ285" i="5"/>
  <c r="BW285" i="5"/>
  <c r="L287" i="5"/>
  <c r="AL287" i="5" s="1"/>
  <c r="O287" i="5"/>
  <c r="BF287" i="5" s="1"/>
  <c r="Z287" i="5"/>
  <c r="AG287" i="5"/>
  <c r="AH287" i="5"/>
  <c r="AJ287" i="5"/>
  <c r="AK287" i="5"/>
  <c r="AO287" i="5"/>
  <c r="J287" i="5" s="1"/>
  <c r="AP287" i="5"/>
  <c r="K287" i="5" s="1"/>
  <c r="BD287" i="5"/>
  <c r="BJ287" i="5"/>
  <c r="BW287" i="5"/>
  <c r="L290" i="5"/>
  <c r="O290" i="5"/>
  <c r="BF290" i="5" s="1"/>
  <c r="AO290" i="5"/>
  <c r="J290" i="5" s="1"/>
  <c r="AP290" i="5"/>
  <c r="BD290" i="5"/>
  <c r="BJ290" i="5"/>
  <c r="BW290" i="5"/>
  <c r="L292" i="5"/>
  <c r="O292" i="5"/>
  <c r="BF292" i="5" s="1"/>
  <c r="Z292" i="5"/>
  <c r="AG292" i="5"/>
  <c r="AH292" i="5"/>
  <c r="AJ292" i="5"/>
  <c r="AK292" i="5"/>
  <c r="AO292" i="5"/>
  <c r="J292" i="5" s="1"/>
  <c r="AP292" i="5"/>
  <c r="K292" i="5" s="1"/>
  <c r="BD292" i="5"/>
  <c r="BJ292" i="5"/>
  <c r="BW292" i="5"/>
  <c r="L296" i="5"/>
  <c r="AL296" i="5" s="1"/>
  <c r="O296" i="5"/>
  <c r="BF296" i="5" s="1"/>
  <c r="AD296" i="5"/>
  <c r="AO296" i="5"/>
  <c r="AP296" i="5"/>
  <c r="BD296" i="5"/>
  <c r="BJ296" i="5"/>
  <c r="BW296" i="5"/>
  <c r="L299" i="5"/>
  <c r="O299" i="5"/>
  <c r="BF299" i="5" s="1"/>
  <c r="Z299" i="5"/>
  <c r="AG299" i="5"/>
  <c r="AH299" i="5"/>
  <c r="AJ299" i="5"/>
  <c r="AK299" i="5"/>
  <c r="AO299" i="5"/>
  <c r="AP299" i="5"/>
  <c r="BD299" i="5"/>
  <c r="BJ299" i="5"/>
  <c r="BW299" i="5"/>
  <c r="L301" i="5"/>
  <c r="AL301" i="5" s="1"/>
  <c r="O301" i="5"/>
  <c r="BF301" i="5" s="1"/>
  <c r="AO301" i="5"/>
  <c r="J301" i="5" s="1"/>
  <c r="AP301" i="5"/>
  <c r="AX301" i="5" s="1"/>
  <c r="BD301" i="5"/>
  <c r="BJ301" i="5"/>
  <c r="BW301" i="5"/>
  <c r="L303" i="5"/>
  <c r="AL303" i="5" s="1"/>
  <c r="O303" i="5"/>
  <c r="BF303" i="5" s="1"/>
  <c r="Z303" i="5"/>
  <c r="AG303" i="5"/>
  <c r="AH303" i="5"/>
  <c r="AJ303" i="5"/>
  <c r="AK303" i="5"/>
  <c r="AO303" i="5"/>
  <c r="J303" i="5" s="1"/>
  <c r="AP303" i="5"/>
  <c r="K303" i="5" s="1"/>
  <c r="BD303" i="5"/>
  <c r="BJ303" i="5"/>
  <c r="BW303" i="5"/>
  <c r="L305" i="5"/>
  <c r="O305" i="5"/>
  <c r="BF305" i="5" s="1"/>
  <c r="AD305" i="5"/>
  <c r="AO305" i="5"/>
  <c r="BH305" i="5" s="1"/>
  <c r="AP305" i="5"/>
  <c r="AW305" i="5"/>
  <c r="BD305" i="5"/>
  <c r="BJ305" i="5"/>
  <c r="BW305" i="5"/>
  <c r="L307" i="5"/>
  <c r="O307" i="5"/>
  <c r="BF307" i="5" s="1"/>
  <c r="Z307" i="5"/>
  <c r="AG307" i="5"/>
  <c r="AH307" i="5"/>
  <c r="AJ307" i="5"/>
  <c r="AK307" i="5"/>
  <c r="AO307" i="5"/>
  <c r="AP307" i="5"/>
  <c r="K307" i="5" s="1"/>
  <c r="BD307" i="5"/>
  <c r="BJ307" i="5"/>
  <c r="BW307" i="5"/>
  <c r="L309" i="5"/>
  <c r="AK309" i="5" s="1"/>
  <c r="O309" i="5"/>
  <c r="AE309" i="5"/>
  <c r="AH309" i="5"/>
  <c r="AJ309" i="5"/>
  <c r="AO309" i="5"/>
  <c r="BH309" i="5" s="1"/>
  <c r="AF309" i="5" s="1"/>
  <c r="AP309" i="5"/>
  <c r="AX309" i="5" s="1"/>
  <c r="BD309" i="5"/>
  <c r="BF309" i="5"/>
  <c r="BJ309" i="5"/>
  <c r="Z309" i="5" s="1"/>
  <c r="BW309" i="5"/>
  <c r="L311" i="5"/>
  <c r="M311" i="5" s="1"/>
  <c r="O311" i="5"/>
  <c r="BF311" i="5" s="1"/>
  <c r="Z311" i="5"/>
  <c r="AE311" i="5"/>
  <c r="AG311" i="5"/>
  <c r="AH311" i="5"/>
  <c r="AJ311" i="5"/>
  <c r="AK311" i="5"/>
  <c r="AL311" i="5"/>
  <c r="AO311" i="5"/>
  <c r="AP311" i="5"/>
  <c r="BD311" i="5"/>
  <c r="BJ311" i="5"/>
  <c r="BW311" i="5"/>
  <c r="L314" i="5"/>
  <c r="L313" i="5" s="1"/>
  <c r="O314" i="5"/>
  <c r="Z314" i="5"/>
  <c r="AE314" i="5"/>
  <c r="AG314" i="5"/>
  <c r="AO314" i="5"/>
  <c r="J314" i="5" s="1"/>
  <c r="J313" i="5" s="1"/>
  <c r="AP314" i="5"/>
  <c r="K314" i="5" s="1"/>
  <c r="K313" i="5" s="1"/>
  <c r="BD314" i="5"/>
  <c r="BJ314" i="5"/>
  <c r="AH314" i="5" s="1"/>
  <c r="BW314" i="5"/>
  <c r="L318" i="5"/>
  <c r="L317" i="5" s="1"/>
  <c r="O318" i="5"/>
  <c r="O317" i="5" s="1"/>
  <c r="Z318" i="5"/>
  <c r="AD318" i="5"/>
  <c r="AH318" i="5"/>
  <c r="AJ318" i="5"/>
  <c r="AS317" i="5" s="1"/>
  <c r="AK318" i="5"/>
  <c r="AT317" i="5" s="1"/>
  <c r="AO318" i="5"/>
  <c r="BH318" i="5" s="1"/>
  <c r="AP318" i="5"/>
  <c r="AX318" i="5" s="1"/>
  <c r="BD318" i="5"/>
  <c r="BJ318" i="5"/>
  <c r="BW318" i="5"/>
  <c r="L321" i="5"/>
  <c r="AK321" i="5" s="1"/>
  <c r="O321" i="5"/>
  <c r="AJ321" i="5"/>
  <c r="AO321" i="5"/>
  <c r="AP321" i="5"/>
  <c r="BD321" i="5"/>
  <c r="BJ321" i="5"/>
  <c r="BW321" i="5"/>
  <c r="L324" i="5"/>
  <c r="AL324" i="5" s="1"/>
  <c r="O324" i="5"/>
  <c r="BF324" i="5" s="1"/>
  <c r="Z324" i="5"/>
  <c r="AE324" i="5"/>
  <c r="AG324" i="5"/>
  <c r="AH324" i="5"/>
  <c r="AJ324" i="5"/>
  <c r="AK324" i="5"/>
  <c r="AO324" i="5"/>
  <c r="AP324" i="5"/>
  <c r="BI324" i="5" s="1"/>
  <c r="AC324" i="5" s="1"/>
  <c r="BD324" i="5"/>
  <c r="BJ324" i="5"/>
  <c r="BW324" i="5"/>
  <c r="L326" i="5"/>
  <c r="AK326" i="5" s="1"/>
  <c r="O326" i="5"/>
  <c r="BF326" i="5" s="1"/>
  <c r="AD326" i="5"/>
  <c r="AJ326" i="5"/>
  <c r="AO326" i="5"/>
  <c r="AW326" i="5" s="1"/>
  <c r="AP326" i="5"/>
  <c r="BD326" i="5"/>
  <c r="BJ326" i="5"/>
  <c r="Z326" i="5" s="1"/>
  <c r="BW326" i="5"/>
  <c r="M326" i="5" s="1"/>
  <c r="L329" i="5"/>
  <c r="O329" i="5"/>
  <c r="BF329" i="5" s="1"/>
  <c r="Z329" i="5"/>
  <c r="AE329" i="5"/>
  <c r="AG329" i="5"/>
  <c r="AH329" i="5"/>
  <c r="AJ329" i="5"/>
  <c r="AK329" i="5"/>
  <c r="AO329" i="5"/>
  <c r="AP329" i="5"/>
  <c r="BI329" i="5" s="1"/>
  <c r="AC329" i="5" s="1"/>
  <c r="BD329" i="5"/>
  <c r="BJ329" i="5"/>
  <c r="BW329" i="5"/>
  <c r="L331" i="5"/>
  <c r="AK331" i="5" s="1"/>
  <c r="O331" i="5"/>
  <c r="BF331" i="5" s="1"/>
  <c r="AJ331" i="5"/>
  <c r="AO331" i="5"/>
  <c r="AW331" i="5" s="1"/>
  <c r="AP331" i="5"/>
  <c r="BI331" i="5" s="1"/>
  <c r="BD331" i="5"/>
  <c r="BJ331" i="5"/>
  <c r="BW331" i="5"/>
  <c r="L333" i="5"/>
  <c r="AL333" i="5" s="1"/>
  <c r="O333" i="5"/>
  <c r="BF333" i="5" s="1"/>
  <c r="Z333" i="5"/>
  <c r="AE333" i="5"/>
  <c r="AG333" i="5"/>
  <c r="AH333" i="5"/>
  <c r="AJ333" i="5"/>
  <c r="AK333" i="5"/>
  <c r="AO333" i="5"/>
  <c r="J333" i="5" s="1"/>
  <c r="AP333" i="5"/>
  <c r="BD333" i="5"/>
  <c r="BJ333" i="5"/>
  <c r="BW333" i="5"/>
  <c r="L336" i="5"/>
  <c r="AK336" i="5" s="1"/>
  <c r="AT335" i="5" s="1"/>
  <c r="O336" i="5"/>
  <c r="AE336" i="5"/>
  <c r="AJ336" i="5"/>
  <c r="AS335" i="5" s="1"/>
  <c r="AO336" i="5"/>
  <c r="BH336" i="5" s="1"/>
  <c r="AP336" i="5"/>
  <c r="AX336" i="5" s="1"/>
  <c r="BD336" i="5"/>
  <c r="BJ336" i="5"/>
  <c r="AH336" i="5" s="1"/>
  <c r="BW336" i="5"/>
  <c r="L339" i="5"/>
  <c r="O339" i="5"/>
  <c r="Z339" i="5"/>
  <c r="AH339" i="5"/>
  <c r="AJ339" i="5"/>
  <c r="AK339" i="5"/>
  <c r="AO339" i="5"/>
  <c r="J339" i="5" s="1"/>
  <c r="AP339" i="5"/>
  <c r="K339" i="5" s="1"/>
  <c r="BD339" i="5"/>
  <c r="BF339" i="5"/>
  <c r="BJ339" i="5"/>
  <c r="BW339" i="5"/>
  <c r="L341" i="5"/>
  <c r="O341" i="5"/>
  <c r="BF341" i="5" s="1"/>
  <c r="Z341" i="5"/>
  <c r="AE341" i="5"/>
  <c r="AG341" i="5"/>
  <c r="AH341" i="5"/>
  <c r="AL341" i="5"/>
  <c r="AO341" i="5"/>
  <c r="J341" i="5" s="1"/>
  <c r="AP341" i="5"/>
  <c r="K341" i="5" s="1"/>
  <c r="BD341" i="5"/>
  <c r="BJ341" i="5"/>
  <c r="BW341" i="5"/>
  <c r="L343" i="5"/>
  <c r="AL343" i="5" s="1"/>
  <c r="O343" i="5"/>
  <c r="BF343" i="5" s="1"/>
  <c r="AH343" i="5"/>
  <c r="AJ343" i="5"/>
  <c r="AK343" i="5"/>
  <c r="AO343" i="5"/>
  <c r="BH343" i="5" s="1"/>
  <c r="AP343" i="5"/>
  <c r="AX343" i="5" s="1"/>
  <c r="BD343" i="5"/>
  <c r="BJ343" i="5"/>
  <c r="Z343" i="5" s="1"/>
  <c r="BW343" i="5"/>
  <c r="M343" i="5" s="1"/>
  <c r="L345" i="5"/>
  <c r="O345" i="5"/>
  <c r="BF345" i="5" s="1"/>
  <c r="Z345" i="5"/>
  <c r="AF345" i="5"/>
  <c r="AJ345" i="5"/>
  <c r="AO345" i="5"/>
  <c r="AW345" i="5" s="1"/>
  <c r="AP345" i="5"/>
  <c r="BD345" i="5"/>
  <c r="BJ345" i="5"/>
  <c r="AH345" i="5" s="1"/>
  <c r="BW345" i="5"/>
  <c r="L347" i="5"/>
  <c r="AL347" i="5" s="1"/>
  <c r="O347" i="5"/>
  <c r="BF347" i="5" s="1"/>
  <c r="Z347" i="5"/>
  <c r="AK347" i="5"/>
  <c r="AO347" i="5"/>
  <c r="AP347" i="5"/>
  <c r="BD347" i="5"/>
  <c r="BJ347" i="5"/>
  <c r="AH347" i="5" s="1"/>
  <c r="BW347" i="5"/>
  <c r="L349" i="5"/>
  <c r="O349" i="5"/>
  <c r="BF349" i="5" s="1"/>
  <c r="AF349" i="5"/>
  <c r="AJ349" i="5"/>
  <c r="AO349" i="5"/>
  <c r="AW349" i="5" s="1"/>
  <c r="AP349" i="5"/>
  <c r="AX349" i="5" s="1"/>
  <c r="BD349" i="5"/>
  <c r="BJ349" i="5"/>
  <c r="BW349" i="5"/>
  <c r="L351" i="5"/>
  <c r="O351" i="5"/>
  <c r="BF351" i="5" s="1"/>
  <c r="AD351" i="5"/>
  <c r="AO351" i="5"/>
  <c r="AP351" i="5"/>
  <c r="BD351" i="5"/>
  <c r="BJ351" i="5"/>
  <c r="AH351" i="5" s="1"/>
  <c r="BW351" i="5"/>
  <c r="L353" i="5"/>
  <c r="AL353" i="5" s="1"/>
  <c r="O353" i="5"/>
  <c r="Z353" i="5"/>
  <c r="AF353" i="5"/>
  <c r="AH353" i="5"/>
  <c r="AJ353" i="5"/>
  <c r="AO353" i="5"/>
  <c r="AW353" i="5" s="1"/>
  <c r="AP353" i="5"/>
  <c r="BI353" i="5" s="1"/>
  <c r="AX353" i="5"/>
  <c r="BD353" i="5"/>
  <c r="BF353" i="5"/>
  <c r="BJ353" i="5"/>
  <c r="BW353" i="5"/>
  <c r="L355" i="5"/>
  <c r="O355" i="5"/>
  <c r="BF355" i="5" s="1"/>
  <c r="AE355" i="5"/>
  <c r="AF355" i="5"/>
  <c r="AO355" i="5"/>
  <c r="AP355" i="5"/>
  <c r="BD355" i="5"/>
  <c r="BJ355" i="5"/>
  <c r="AH355" i="5" s="1"/>
  <c r="BW355" i="5"/>
  <c r="L357" i="5"/>
  <c r="AK357" i="5" s="1"/>
  <c r="O357" i="5"/>
  <c r="BF357" i="5" s="1"/>
  <c r="AF357" i="5"/>
  <c r="AO357" i="5"/>
  <c r="AW357" i="5" s="1"/>
  <c r="AP357" i="5"/>
  <c r="BD357" i="5"/>
  <c r="BJ357" i="5"/>
  <c r="AH357" i="5" s="1"/>
  <c r="BW357" i="5"/>
  <c r="L359" i="5"/>
  <c r="O359" i="5"/>
  <c r="BF359" i="5" s="1"/>
  <c r="AO359" i="5"/>
  <c r="AW359" i="5" s="1"/>
  <c r="AP359" i="5"/>
  <c r="BD359" i="5"/>
  <c r="BJ359" i="5"/>
  <c r="AH359" i="5" s="1"/>
  <c r="BW359" i="5"/>
  <c r="L361" i="5"/>
  <c r="O361" i="5"/>
  <c r="BF361" i="5" s="1"/>
  <c r="AF361" i="5"/>
  <c r="AJ361" i="5"/>
  <c r="AO361" i="5"/>
  <c r="AW361" i="5" s="1"/>
  <c r="AP361" i="5"/>
  <c r="BD361" i="5"/>
  <c r="BJ361" i="5"/>
  <c r="BW361" i="5"/>
  <c r="L363" i="5"/>
  <c r="AL363" i="5" s="1"/>
  <c r="O363" i="5"/>
  <c r="BF363" i="5" s="1"/>
  <c r="Z363" i="5"/>
  <c r="AK363" i="5"/>
  <c r="AO363" i="5"/>
  <c r="J363" i="5" s="1"/>
  <c r="AP363" i="5"/>
  <c r="BD363" i="5"/>
  <c r="BJ363" i="5"/>
  <c r="AH363" i="5" s="1"/>
  <c r="BW363" i="5"/>
  <c r="L365" i="5"/>
  <c r="O365" i="5"/>
  <c r="BF365" i="5" s="1"/>
  <c r="AF365" i="5"/>
  <c r="AO365" i="5"/>
  <c r="BH365" i="5" s="1"/>
  <c r="AD365" i="5" s="1"/>
  <c r="AP365" i="5"/>
  <c r="AX365" i="5" s="1"/>
  <c r="BD365" i="5"/>
  <c r="BJ365" i="5"/>
  <c r="BW365" i="5"/>
  <c r="L367" i="5"/>
  <c r="O367" i="5"/>
  <c r="BF367" i="5" s="1"/>
  <c r="AO367" i="5"/>
  <c r="J367" i="5" s="1"/>
  <c r="AP367" i="5"/>
  <c r="K367" i="5" s="1"/>
  <c r="BD367" i="5"/>
  <c r="BJ367" i="5"/>
  <c r="BW367" i="5"/>
  <c r="L369" i="5"/>
  <c r="O369" i="5"/>
  <c r="BF369" i="5" s="1"/>
  <c r="AJ369" i="5"/>
  <c r="AK369" i="5"/>
  <c r="AO369" i="5"/>
  <c r="BH369" i="5" s="1"/>
  <c r="AP369" i="5"/>
  <c r="BD369" i="5"/>
  <c r="BJ369" i="5"/>
  <c r="BW369" i="5"/>
  <c r="L371" i="5"/>
  <c r="AL371" i="5" s="1"/>
  <c r="O371" i="5"/>
  <c r="BF371" i="5" s="1"/>
  <c r="Z371" i="5"/>
  <c r="AE371" i="5"/>
  <c r="AJ371" i="5"/>
  <c r="AK371" i="5"/>
  <c r="AO371" i="5"/>
  <c r="AP371" i="5"/>
  <c r="AX371" i="5" s="1"/>
  <c r="BD371" i="5"/>
  <c r="BJ371" i="5"/>
  <c r="AH371" i="5" s="1"/>
  <c r="BW371" i="5"/>
  <c r="L373" i="5"/>
  <c r="AL373" i="5" s="1"/>
  <c r="O373" i="5"/>
  <c r="BF373" i="5" s="1"/>
  <c r="AJ373" i="5"/>
  <c r="AK373" i="5"/>
  <c r="AO373" i="5"/>
  <c r="AW373" i="5" s="1"/>
  <c r="AP373" i="5"/>
  <c r="BI373" i="5" s="1"/>
  <c r="BD373" i="5"/>
  <c r="BJ373" i="5"/>
  <c r="BW373" i="5"/>
  <c r="L375" i="5"/>
  <c r="O375" i="5"/>
  <c r="BF375" i="5" s="1"/>
  <c r="Z375" i="5"/>
  <c r="AG375" i="5"/>
  <c r="AH375" i="5"/>
  <c r="AJ375" i="5"/>
  <c r="AO375" i="5"/>
  <c r="J375" i="5" s="1"/>
  <c r="AP375" i="5"/>
  <c r="BD375" i="5"/>
  <c r="BJ375" i="5"/>
  <c r="BW375" i="5"/>
  <c r="L377" i="5"/>
  <c r="AL377" i="5" s="1"/>
  <c r="O377" i="5"/>
  <c r="BF377" i="5" s="1"/>
  <c r="AD377" i="5"/>
  <c r="AO377" i="5"/>
  <c r="AW377" i="5" s="1"/>
  <c r="AP377" i="5"/>
  <c r="BI377" i="5" s="1"/>
  <c r="BD377" i="5"/>
  <c r="BJ377" i="5"/>
  <c r="BW377" i="5"/>
  <c r="L379" i="5"/>
  <c r="O379" i="5"/>
  <c r="BF379" i="5" s="1"/>
  <c r="AG379" i="5"/>
  <c r="AH379" i="5"/>
  <c r="AO379" i="5"/>
  <c r="J379" i="5" s="1"/>
  <c r="AP379" i="5"/>
  <c r="AX379" i="5" s="1"/>
  <c r="BD379" i="5"/>
  <c r="BJ379" i="5"/>
  <c r="Z379" i="5" s="1"/>
  <c r="BW379" i="5"/>
  <c r="L381" i="5"/>
  <c r="AL381" i="5" s="1"/>
  <c r="O381" i="5"/>
  <c r="BF381" i="5" s="1"/>
  <c r="AD381" i="5"/>
  <c r="AJ381" i="5"/>
  <c r="AO381" i="5"/>
  <c r="AP381" i="5"/>
  <c r="AX381" i="5" s="1"/>
  <c r="BD381" i="5"/>
  <c r="BJ381" i="5"/>
  <c r="BW381" i="5"/>
  <c r="L386" i="5"/>
  <c r="O386" i="5"/>
  <c r="BF386" i="5" s="1"/>
  <c r="AO386" i="5"/>
  <c r="AW386" i="5" s="1"/>
  <c r="AP386" i="5"/>
  <c r="AX386" i="5" s="1"/>
  <c r="BD386" i="5"/>
  <c r="BJ386" i="5"/>
  <c r="BW386" i="5"/>
  <c r="L388" i="5"/>
  <c r="O388" i="5"/>
  <c r="BF388" i="5" s="1"/>
  <c r="AG388" i="5"/>
  <c r="AJ388" i="5"/>
  <c r="AO388" i="5"/>
  <c r="AP388" i="5"/>
  <c r="K388" i="5" s="1"/>
  <c r="BD388" i="5"/>
  <c r="BJ388" i="5"/>
  <c r="Z388" i="5" s="1"/>
  <c r="BW388" i="5"/>
  <c r="L390" i="5"/>
  <c r="O390" i="5"/>
  <c r="BF390" i="5" s="1"/>
  <c r="AO390" i="5"/>
  <c r="AP390" i="5"/>
  <c r="BD390" i="5"/>
  <c r="BJ390" i="5"/>
  <c r="Z390" i="5" s="1"/>
  <c r="BW390" i="5"/>
  <c r="L392" i="5"/>
  <c r="O392" i="5"/>
  <c r="BF392" i="5" s="1"/>
  <c r="Z392" i="5"/>
  <c r="AG392" i="5"/>
  <c r="AH392" i="5"/>
  <c r="AK392" i="5"/>
  <c r="AO392" i="5"/>
  <c r="AW392" i="5" s="1"/>
  <c r="AP392" i="5"/>
  <c r="K392" i="5" s="1"/>
  <c r="BD392" i="5"/>
  <c r="BI392" i="5"/>
  <c r="AE392" i="5" s="1"/>
  <c r="BJ392" i="5"/>
  <c r="BW392" i="5"/>
  <c r="L394" i="5"/>
  <c r="O394" i="5"/>
  <c r="BF394" i="5" s="1"/>
  <c r="AK394" i="5"/>
  <c r="AO394" i="5"/>
  <c r="AP394" i="5"/>
  <c r="BI394" i="5" s="1"/>
  <c r="BD394" i="5"/>
  <c r="BJ394" i="5"/>
  <c r="BW394" i="5"/>
  <c r="L396" i="5"/>
  <c r="O396" i="5"/>
  <c r="BF396" i="5" s="1"/>
  <c r="Z396" i="5"/>
  <c r="AG396" i="5"/>
  <c r="AH396" i="5"/>
  <c r="AJ396" i="5"/>
  <c r="AK396" i="5"/>
  <c r="AO396" i="5"/>
  <c r="AW396" i="5" s="1"/>
  <c r="AP396" i="5"/>
  <c r="K396" i="5" s="1"/>
  <c r="BD396" i="5"/>
  <c r="BJ396" i="5"/>
  <c r="BW396" i="5"/>
  <c r="L398" i="5"/>
  <c r="O398" i="5"/>
  <c r="BF398" i="5" s="1"/>
  <c r="AO398" i="5"/>
  <c r="AP398" i="5"/>
  <c r="AX398" i="5" s="1"/>
  <c r="BD398" i="5"/>
  <c r="BJ398" i="5"/>
  <c r="Z398" i="5" s="1"/>
  <c r="BW398" i="5"/>
  <c r="L400" i="5"/>
  <c r="O400" i="5"/>
  <c r="BF400" i="5" s="1"/>
  <c r="AD400" i="5"/>
  <c r="AF400" i="5"/>
  <c r="AG400" i="5"/>
  <c r="AH400" i="5"/>
  <c r="AO400" i="5"/>
  <c r="AP400" i="5"/>
  <c r="BD400" i="5"/>
  <c r="BJ400" i="5"/>
  <c r="Z400" i="5" s="1"/>
  <c r="BW400" i="5"/>
  <c r="L402" i="5"/>
  <c r="O402" i="5"/>
  <c r="BF402" i="5" s="1"/>
  <c r="AF402" i="5"/>
  <c r="AK402" i="5"/>
  <c r="AO402" i="5"/>
  <c r="AW402" i="5" s="1"/>
  <c r="AP402" i="5"/>
  <c r="BI402" i="5" s="1"/>
  <c r="BD402" i="5"/>
  <c r="BJ402" i="5"/>
  <c r="BW402" i="5"/>
  <c r="L404" i="5"/>
  <c r="AJ404" i="5" s="1"/>
  <c r="O404" i="5"/>
  <c r="BF404" i="5" s="1"/>
  <c r="AG404" i="5"/>
  <c r="AO404" i="5"/>
  <c r="AP404" i="5"/>
  <c r="K404" i="5" s="1"/>
  <c r="BD404" i="5"/>
  <c r="BJ404" i="5"/>
  <c r="BW404" i="5"/>
  <c r="L406" i="5"/>
  <c r="O406" i="5"/>
  <c r="BF406" i="5" s="1"/>
  <c r="AH406" i="5"/>
  <c r="AO406" i="5"/>
  <c r="AP406" i="5"/>
  <c r="AX406" i="5" s="1"/>
  <c r="BD406" i="5"/>
  <c r="BJ406" i="5"/>
  <c r="Z406" i="5" s="1"/>
  <c r="BW406" i="5"/>
  <c r="L408" i="5"/>
  <c r="O408" i="5"/>
  <c r="BF408" i="5" s="1"/>
  <c r="Z408" i="5"/>
  <c r="AG408" i="5"/>
  <c r="AJ408" i="5"/>
  <c r="AK408" i="5"/>
  <c r="AO408" i="5"/>
  <c r="AP408" i="5"/>
  <c r="K408" i="5" s="1"/>
  <c r="BD408" i="5"/>
  <c r="BJ408" i="5"/>
  <c r="AH408" i="5" s="1"/>
  <c r="BW408" i="5"/>
  <c r="L410" i="5"/>
  <c r="O410" i="5"/>
  <c r="BF410" i="5" s="1"/>
  <c r="AE410" i="5"/>
  <c r="AF410" i="5"/>
  <c r="AK410" i="5"/>
  <c r="AO410" i="5"/>
  <c r="AW410" i="5" s="1"/>
  <c r="AP410" i="5"/>
  <c r="BI410" i="5" s="1"/>
  <c r="BD410" i="5"/>
  <c r="BJ410" i="5"/>
  <c r="BW410" i="5"/>
  <c r="L412" i="5"/>
  <c r="O412" i="5"/>
  <c r="BF412" i="5" s="1"/>
  <c r="Z412" i="5"/>
  <c r="AG412" i="5"/>
  <c r="AJ412" i="5"/>
  <c r="AK412" i="5"/>
  <c r="AO412" i="5"/>
  <c r="BH412" i="5" s="1"/>
  <c r="AB412" i="5" s="1"/>
  <c r="AP412" i="5"/>
  <c r="K412" i="5" s="1"/>
  <c r="BD412" i="5"/>
  <c r="BJ412" i="5"/>
  <c r="AH412" i="5" s="1"/>
  <c r="BW412" i="5"/>
  <c r="L414" i="5"/>
  <c r="O414" i="5"/>
  <c r="BF414" i="5" s="1"/>
  <c r="AD414" i="5"/>
  <c r="AH414" i="5"/>
  <c r="AK414" i="5"/>
  <c r="AO414" i="5"/>
  <c r="AW414" i="5" s="1"/>
  <c r="AP414" i="5"/>
  <c r="AX414" i="5" s="1"/>
  <c r="BD414" i="5"/>
  <c r="BJ414" i="5"/>
  <c r="Z414" i="5" s="1"/>
  <c r="BW414" i="5"/>
  <c r="L417" i="5"/>
  <c r="AJ417" i="5" s="1"/>
  <c r="O417" i="5"/>
  <c r="BF417" i="5" s="1"/>
  <c r="AC417" i="5"/>
  <c r="AG417" i="5"/>
  <c r="AO417" i="5"/>
  <c r="AP417" i="5"/>
  <c r="K417" i="5" s="1"/>
  <c r="AX417" i="5"/>
  <c r="BD417" i="5"/>
  <c r="BJ417" i="5"/>
  <c r="BW417" i="5"/>
  <c r="L421" i="5"/>
  <c r="O421" i="5"/>
  <c r="BF421" i="5" s="1"/>
  <c r="AH421" i="5"/>
  <c r="AO421" i="5"/>
  <c r="AP421" i="5"/>
  <c r="AX421" i="5" s="1"/>
  <c r="BD421" i="5"/>
  <c r="BJ421" i="5"/>
  <c r="Z421" i="5" s="1"/>
  <c r="BW421" i="5"/>
  <c r="L424" i="5"/>
  <c r="AJ424" i="5" s="1"/>
  <c r="O424" i="5"/>
  <c r="BF424" i="5" s="1"/>
  <c r="AC424" i="5"/>
  <c r="AG424" i="5"/>
  <c r="AK424" i="5"/>
  <c r="AO424" i="5"/>
  <c r="AP424" i="5"/>
  <c r="BD424" i="5"/>
  <c r="BJ424" i="5"/>
  <c r="BW424" i="5"/>
  <c r="L427" i="5"/>
  <c r="O427" i="5"/>
  <c r="BF427" i="5" s="1"/>
  <c r="AF427" i="5"/>
  <c r="AK427" i="5"/>
  <c r="AO427" i="5"/>
  <c r="AP427" i="5"/>
  <c r="BD427" i="5"/>
  <c r="BJ427" i="5"/>
  <c r="BW427" i="5"/>
  <c r="L429" i="5"/>
  <c r="O429" i="5"/>
  <c r="BF429" i="5" s="1"/>
  <c r="Z429" i="5"/>
  <c r="AC429" i="5"/>
  <c r="AG429" i="5"/>
  <c r="AJ429" i="5"/>
  <c r="AK429" i="5"/>
  <c r="AO429" i="5"/>
  <c r="AP429" i="5"/>
  <c r="BD429" i="5"/>
  <c r="BH429" i="5"/>
  <c r="BJ429" i="5"/>
  <c r="AH429" i="5" s="1"/>
  <c r="BW429" i="5"/>
  <c r="L432" i="5"/>
  <c r="O432" i="5"/>
  <c r="BF432" i="5" s="1"/>
  <c r="AB432" i="5"/>
  <c r="AH432" i="5"/>
  <c r="AK432" i="5"/>
  <c r="AO432" i="5"/>
  <c r="AW432" i="5" s="1"/>
  <c r="AP432" i="5"/>
  <c r="BD432" i="5"/>
  <c r="BJ432" i="5"/>
  <c r="Z432" i="5" s="1"/>
  <c r="BW432" i="5"/>
  <c r="L434" i="5"/>
  <c r="O434" i="5"/>
  <c r="BF434" i="5" s="1"/>
  <c r="Z434" i="5"/>
  <c r="AC434" i="5"/>
  <c r="AG434" i="5"/>
  <c r="AH434" i="5"/>
  <c r="AJ434" i="5"/>
  <c r="AO434" i="5"/>
  <c r="AW434" i="5" s="1"/>
  <c r="AP434" i="5"/>
  <c r="K434" i="5" s="1"/>
  <c r="BD434" i="5"/>
  <c r="BH434" i="5"/>
  <c r="BJ434" i="5"/>
  <c r="BW434" i="5"/>
  <c r="L437" i="5"/>
  <c r="O437" i="5"/>
  <c r="BF437" i="5" s="1"/>
  <c r="AB437" i="5"/>
  <c r="AH437" i="5"/>
  <c r="AK437" i="5"/>
  <c r="AO437" i="5"/>
  <c r="AW437" i="5" s="1"/>
  <c r="AP437" i="5"/>
  <c r="BD437" i="5"/>
  <c r="BJ437" i="5"/>
  <c r="Z437" i="5" s="1"/>
  <c r="BW437" i="5"/>
  <c r="L439" i="5"/>
  <c r="O439" i="5"/>
  <c r="BF439" i="5" s="1"/>
  <c r="AB439" i="5"/>
  <c r="AC439" i="5"/>
  <c r="AG439" i="5"/>
  <c r="AH439" i="5"/>
  <c r="AO439" i="5"/>
  <c r="AW439" i="5" s="1"/>
  <c r="AP439" i="5"/>
  <c r="K439" i="5" s="1"/>
  <c r="BD439" i="5"/>
  <c r="BJ439" i="5"/>
  <c r="Z439" i="5" s="1"/>
  <c r="BW439" i="5"/>
  <c r="L441" i="5"/>
  <c r="O441" i="5"/>
  <c r="BF441" i="5" s="1"/>
  <c r="AH441" i="5"/>
  <c r="AO441" i="5"/>
  <c r="AP441" i="5"/>
  <c r="BD441" i="5"/>
  <c r="BJ441" i="5"/>
  <c r="Z441" i="5" s="1"/>
  <c r="BW441" i="5"/>
  <c r="L443" i="5"/>
  <c r="O443" i="5"/>
  <c r="BF443" i="5" s="1"/>
  <c r="Z443" i="5"/>
  <c r="AC443" i="5"/>
  <c r="AF443" i="5"/>
  <c r="AG443" i="5"/>
  <c r="AH443" i="5"/>
  <c r="AO443" i="5"/>
  <c r="AW443" i="5" s="1"/>
  <c r="AP443" i="5"/>
  <c r="K443" i="5" s="1"/>
  <c r="BD443" i="5"/>
  <c r="BJ443" i="5"/>
  <c r="BW443" i="5"/>
  <c r="L446" i="5"/>
  <c r="O446" i="5"/>
  <c r="BF446" i="5" s="1"/>
  <c r="AK446" i="5"/>
  <c r="AO446" i="5"/>
  <c r="AP446" i="5"/>
  <c r="BD446" i="5"/>
  <c r="BJ446" i="5"/>
  <c r="BW446" i="5"/>
  <c r="L448" i="5"/>
  <c r="O448" i="5"/>
  <c r="BF448" i="5" s="1"/>
  <c r="Z448" i="5"/>
  <c r="AC448" i="5"/>
  <c r="AG448" i="5"/>
  <c r="AH448" i="5"/>
  <c r="AJ448" i="5"/>
  <c r="AO448" i="5"/>
  <c r="AW448" i="5" s="1"/>
  <c r="AP448" i="5"/>
  <c r="K448" i="5" s="1"/>
  <c r="BD448" i="5"/>
  <c r="BJ448" i="5"/>
  <c r="BW448" i="5"/>
  <c r="L451" i="5"/>
  <c r="O451" i="5"/>
  <c r="AF451" i="5"/>
  <c r="AH451" i="5"/>
  <c r="AK451" i="5"/>
  <c r="AO451" i="5"/>
  <c r="AW451" i="5" s="1"/>
  <c r="AP451" i="5"/>
  <c r="BD451" i="5"/>
  <c r="BJ451" i="5"/>
  <c r="Z451" i="5" s="1"/>
  <c r="BW451" i="5"/>
  <c r="L453" i="5"/>
  <c r="O453" i="5"/>
  <c r="BF453" i="5" s="1"/>
  <c r="AC453" i="5"/>
  <c r="AG453" i="5"/>
  <c r="AO453" i="5"/>
  <c r="AP453" i="5"/>
  <c r="BD453" i="5"/>
  <c r="BJ453" i="5"/>
  <c r="Z453" i="5" s="1"/>
  <c r="BW453" i="5"/>
  <c r="L456" i="5"/>
  <c r="O456" i="5"/>
  <c r="BF456" i="5" s="1"/>
  <c r="AH456" i="5"/>
  <c r="AO456" i="5"/>
  <c r="AP456" i="5"/>
  <c r="BD456" i="5"/>
  <c r="BJ456" i="5"/>
  <c r="Z456" i="5" s="1"/>
  <c r="BW456" i="5"/>
  <c r="L458" i="5"/>
  <c r="O458" i="5"/>
  <c r="BF458" i="5" s="1"/>
  <c r="Z458" i="5"/>
  <c r="AC458" i="5"/>
  <c r="AF458" i="5"/>
  <c r="AG458" i="5"/>
  <c r="AH458" i="5"/>
  <c r="AO458" i="5"/>
  <c r="AP458" i="5"/>
  <c r="AX458" i="5" s="1"/>
  <c r="BD458" i="5"/>
  <c r="BJ458" i="5"/>
  <c r="BW458" i="5"/>
  <c r="L461" i="5"/>
  <c r="O461" i="5"/>
  <c r="BF461" i="5" s="1"/>
  <c r="AG461" i="5"/>
  <c r="AH461" i="5"/>
  <c r="AO461" i="5"/>
  <c r="AW461" i="5" s="1"/>
  <c r="AP461" i="5"/>
  <c r="BD461" i="5"/>
  <c r="BJ461" i="5"/>
  <c r="Z461" i="5" s="1"/>
  <c r="BW461" i="5"/>
  <c r="L464" i="5"/>
  <c r="AL464" i="5" s="1"/>
  <c r="O464" i="5"/>
  <c r="BF464" i="5" s="1"/>
  <c r="Z464" i="5"/>
  <c r="AC464" i="5"/>
  <c r="AG464" i="5"/>
  <c r="AJ464" i="5"/>
  <c r="AK464" i="5"/>
  <c r="AO464" i="5"/>
  <c r="AW464" i="5" s="1"/>
  <c r="AP464" i="5"/>
  <c r="AX464" i="5" s="1"/>
  <c r="BD464" i="5"/>
  <c r="BJ464" i="5"/>
  <c r="AH464" i="5" s="1"/>
  <c r="BW464" i="5"/>
  <c r="L467" i="5"/>
  <c r="O467" i="5"/>
  <c r="BF467" i="5" s="1"/>
  <c r="AO467" i="5"/>
  <c r="BH467" i="5" s="1"/>
  <c r="AD467" i="5" s="1"/>
  <c r="AP467" i="5"/>
  <c r="AX467" i="5" s="1"/>
  <c r="BD467" i="5"/>
  <c r="BJ467" i="5"/>
  <c r="Z467" i="5" s="1"/>
  <c r="BW467" i="5"/>
  <c r="L470" i="5"/>
  <c r="O470" i="5"/>
  <c r="BF470" i="5" s="1"/>
  <c r="AB470" i="5"/>
  <c r="AC470" i="5"/>
  <c r="AG470" i="5"/>
  <c r="AO470" i="5"/>
  <c r="AW470" i="5" s="1"/>
  <c r="AP470" i="5"/>
  <c r="K470" i="5" s="1"/>
  <c r="BD470" i="5"/>
  <c r="BJ470" i="5"/>
  <c r="BW470" i="5"/>
  <c r="L472" i="5"/>
  <c r="O472" i="5"/>
  <c r="BF472" i="5" s="1"/>
  <c r="AO472" i="5"/>
  <c r="AP472" i="5"/>
  <c r="AX472" i="5" s="1"/>
  <c r="BD472" i="5"/>
  <c r="BJ472" i="5"/>
  <c r="BW472" i="5"/>
  <c r="L475" i="5"/>
  <c r="O475" i="5"/>
  <c r="BF475" i="5" s="1"/>
  <c r="AC475" i="5"/>
  <c r="AF475" i="5"/>
  <c r="AG475" i="5"/>
  <c r="AJ475" i="5"/>
  <c r="AO475" i="5"/>
  <c r="AW475" i="5" s="1"/>
  <c r="AP475" i="5"/>
  <c r="BD475" i="5"/>
  <c r="BJ475" i="5"/>
  <c r="BW475" i="5"/>
  <c r="L477" i="5"/>
  <c r="O477" i="5"/>
  <c r="BF477" i="5" s="1"/>
  <c r="AG477" i="5"/>
  <c r="AH477" i="5"/>
  <c r="AO477" i="5"/>
  <c r="J477" i="5" s="1"/>
  <c r="AP477" i="5"/>
  <c r="AX477" i="5" s="1"/>
  <c r="BD477" i="5"/>
  <c r="BH477" i="5"/>
  <c r="AB477" i="5" s="1"/>
  <c r="BJ477" i="5"/>
  <c r="Z477" i="5" s="1"/>
  <c r="BW477" i="5"/>
  <c r="L480" i="5"/>
  <c r="O480" i="5"/>
  <c r="BF480" i="5" s="1"/>
  <c r="Z480" i="5"/>
  <c r="AB480" i="5"/>
  <c r="AC480" i="5"/>
  <c r="AG480" i="5"/>
  <c r="AH480" i="5"/>
  <c r="AJ480" i="5"/>
  <c r="AL480" i="5"/>
  <c r="AO480" i="5"/>
  <c r="AP480" i="5"/>
  <c r="K480" i="5" s="1"/>
  <c r="BD480" i="5"/>
  <c r="BI480" i="5"/>
  <c r="AE480" i="5" s="1"/>
  <c r="BJ480" i="5"/>
  <c r="BW480" i="5"/>
  <c r="L482" i="5"/>
  <c r="AJ482" i="5" s="1"/>
  <c r="O482" i="5"/>
  <c r="BF482" i="5" s="1"/>
  <c r="AF482" i="5"/>
  <c r="AO482" i="5"/>
  <c r="J482" i="5" s="1"/>
  <c r="AP482" i="5"/>
  <c r="BD482" i="5"/>
  <c r="BJ482" i="5"/>
  <c r="Z482" i="5" s="1"/>
  <c r="BW482" i="5"/>
  <c r="L486" i="5"/>
  <c r="O486" i="5"/>
  <c r="AB486" i="5"/>
  <c r="AC486" i="5"/>
  <c r="AF486" i="5"/>
  <c r="AG486" i="5"/>
  <c r="AJ486" i="5"/>
  <c r="AO486" i="5"/>
  <c r="AP486" i="5"/>
  <c r="BD486" i="5"/>
  <c r="BJ486" i="5"/>
  <c r="BW486" i="5"/>
  <c r="L488" i="5"/>
  <c r="AJ488" i="5" s="1"/>
  <c r="O488" i="5"/>
  <c r="BF488" i="5" s="1"/>
  <c r="AB488" i="5"/>
  <c r="AC488" i="5"/>
  <c r="AF488" i="5"/>
  <c r="AO488" i="5"/>
  <c r="J488" i="5" s="1"/>
  <c r="AP488" i="5"/>
  <c r="BD488" i="5"/>
  <c r="BJ488" i="5"/>
  <c r="BW488" i="5"/>
  <c r="L491" i="5"/>
  <c r="AL491" i="5" s="1"/>
  <c r="O491" i="5"/>
  <c r="BF491" i="5" s="1"/>
  <c r="Z491" i="5"/>
  <c r="AB491" i="5"/>
  <c r="AJ491" i="5"/>
  <c r="AK491" i="5"/>
  <c r="AO491" i="5"/>
  <c r="AW491" i="5" s="1"/>
  <c r="AP491" i="5"/>
  <c r="BD491" i="5"/>
  <c r="BJ491" i="5"/>
  <c r="AH491" i="5" s="1"/>
  <c r="BW491" i="5"/>
  <c r="L493" i="5"/>
  <c r="O493" i="5"/>
  <c r="BF493" i="5" s="1"/>
  <c r="AB493" i="5"/>
  <c r="AF493" i="5"/>
  <c r="AJ493" i="5"/>
  <c r="AO493" i="5"/>
  <c r="J493" i="5" s="1"/>
  <c r="AP493" i="5"/>
  <c r="BD493" i="5"/>
  <c r="BJ493" i="5"/>
  <c r="AH493" i="5" s="1"/>
  <c r="BW493" i="5"/>
  <c r="L496" i="5"/>
  <c r="AL496" i="5" s="1"/>
  <c r="O496" i="5"/>
  <c r="BF496" i="5" s="1"/>
  <c r="Z496" i="5"/>
  <c r="AB496" i="5"/>
  <c r="AJ496" i="5"/>
  <c r="AK496" i="5"/>
  <c r="AO496" i="5"/>
  <c r="AW496" i="5" s="1"/>
  <c r="AP496" i="5"/>
  <c r="BD496" i="5"/>
  <c r="BJ496" i="5"/>
  <c r="AH496" i="5" s="1"/>
  <c r="BW496" i="5"/>
  <c r="L499" i="5"/>
  <c r="O499" i="5"/>
  <c r="BF499" i="5" s="1"/>
  <c r="Z499" i="5"/>
  <c r="AB499" i="5"/>
  <c r="AF499" i="5"/>
  <c r="AO499" i="5"/>
  <c r="J499" i="5" s="1"/>
  <c r="AP499" i="5"/>
  <c r="AX499" i="5" s="1"/>
  <c r="BD499" i="5"/>
  <c r="BJ499" i="5"/>
  <c r="AH499" i="5" s="1"/>
  <c r="BW499" i="5"/>
  <c r="L502" i="5"/>
  <c r="O502" i="5"/>
  <c r="Z502" i="5"/>
  <c r="AB502" i="5"/>
  <c r="AJ502" i="5"/>
  <c r="AK502" i="5"/>
  <c r="AO502" i="5"/>
  <c r="AP502" i="5"/>
  <c r="BD502" i="5"/>
  <c r="BF502" i="5"/>
  <c r="BJ502" i="5"/>
  <c r="AH502" i="5" s="1"/>
  <c r="BW502" i="5"/>
  <c r="L505" i="5"/>
  <c r="O505" i="5"/>
  <c r="BF505" i="5" s="1"/>
  <c r="AB505" i="5"/>
  <c r="AF505" i="5"/>
  <c r="AG505" i="5"/>
  <c r="AJ505" i="5"/>
  <c r="AO505" i="5"/>
  <c r="J505" i="5" s="1"/>
  <c r="AP505" i="5"/>
  <c r="AX505" i="5" s="1"/>
  <c r="BD505" i="5"/>
  <c r="BJ505" i="5"/>
  <c r="BW505" i="5"/>
  <c r="L507" i="5"/>
  <c r="O507" i="5"/>
  <c r="BF507" i="5" s="1"/>
  <c r="Z507" i="5"/>
  <c r="AB507" i="5"/>
  <c r="AC507" i="5"/>
  <c r="AJ507" i="5"/>
  <c r="AK507" i="5"/>
  <c r="AO507" i="5"/>
  <c r="AW507" i="5" s="1"/>
  <c r="AP507" i="5"/>
  <c r="AX507" i="5" s="1"/>
  <c r="BD507" i="5"/>
  <c r="BJ507" i="5"/>
  <c r="AH507" i="5" s="1"/>
  <c r="BW507" i="5"/>
  <c r="L510" i="5"/>
  <c r="O510" i="5"/>
  <c r="BF510" i="5" s="1"/>
  <c r="AB510" i="5"/>
  <c r="AF510" i="5"/>
  <c r="AJ510" i="5"/>
  <c r="AO510" i="5"/>
  <c r="J510" i="5" s="1"/>
  <c r="AP510" i="5"/>
  <c r="AX510" i="5" s="1"/>
  <c r="BD510" i="5"/>
  <c r="BJ510" i="5"/>
  <c r="BW510" i="5"/>
  <c r="L513" i="5"/>
  <c r="O513" i="5"/>
  <c r="Z513" i="5"/>
  <c r="AB513" i="5"/>
  <c r="AJ513" i="5"/>
  <c r="AK513" i="5"/>
  <c r="AO513" i="5"/>
  <c r="AP513" i="5"/>
  <c r="BD513" i="5"/>
  <c r="BF513" i="5"/>
  <c r="BJ513" i="5"/>
  <c r="AH513" i="5" s="1"/>
  <c r="BW513" i="5"/>
  <c r="L515" i="5"/>
  <c r="O515" i="5"/>
  <c r="BF515" i="5" s="1"/>
  <c r="AB515" i="5"/>
  <c r="AF515" i="5"/>
  <c r="AJ515" i="5"/>
  <c r="AO515" i="5"/>
  <c r="J515" i="5" s="1"/>
  <c r="AP515" i="5"/>
  <c r="BD515" i="5"/>
  <c r="BJ515" i="5"/>
  <c r="AH515" i="5" s="1"/>
  <c r="BW515" i="5"/>
  <c r="L519" i="5"/>
  <c r="O519" i="5"/>
  <c r="Z519" i="5"/>
  <c r="AB519" i="5"/>
  <c r="AJ519" i="5"/>
  <c r="AK519" i="5"/>
  <c r="AO519" i="5"/>
  <c r="AP519" i="5"/>
  <c r="BD519" i="5"/>
  <c r="BF519" i="5"/>
  <c r="BJ519" i="5"/>
  <c r="AH519" i="5" s="1"/>
  <c r="BW519" i="5"/>
  <c r="L522" i="5"/>
  <c r="O522" i="5"/>
  <c r="BF522" i="5" s="1"/>
  <c r="Z522" i="5"/>
  <c r="AB522" i="5"/>
  <c r="AF522" i="5"/>
  <c r="AJ522" i="5"/>
  <c r="AO522" i="5"/>
  <c r="J522" i="5" s="1"/>
  <c r="AP522" i="5"/>
  <c r="BD522" i="5"/>
  <c r="BJ522" i="5"/>
  <c r="AH522" i="5" s="1"/>
  <c r="BW522" i="5"/>
  <c r="L524" i="5"/>
  <c r="O524" i="5"/>
  <c r="Z524" i="5"/>
  <c r="AB524" i="5"/>
  <c r="AJ524" i="5"/>
  <c r="AK524" i="5"/>
  <c r="AO524" i="5"/>
  <c r="AW524" i="5" s="1"/>
  <c r="AP524" i="5"/>
  <c r="BD524" i="5"/>
  <c r="BF524" i="5"/>
  <c r="BJ524" i="5"/>
  <c r="AH524" i="5" s="1"/>
  <c r="BW524" i="5"/>
  <c r="L526" i="5"/>
  <c r="O526" i="5"/>
  <c r="BF526" i="5" s="1"/>
  <c r="Z526" i="5"/>
  <c r="AB526" i="5"/>
  <c r="AF526" i="5"/>
  <c r="AO526" i="5"/>
  <c r="AP526" i="5"/>
  <c r="AX526" i="5" s="1"/>
  <c r="BD526" i="5"/>
  <c r="BJ526" i="5"/>
  <c r="AH526" i="5" s="1"/>
  <c r="BW526" i="5"/>
  <c r="L528" i="5"/>
  <c r="O528" i="5"/>
  <c r="BF528" i="5" s="1"/>
  <c r="Z528" i="5"/>
  <c r="AB528" i="5"/>
  <c r="AJ528" i="5"/>
  <c r="AK528" i="5"/>
  <c r="AO528" i="5"/>
  <c r="AW528" i="5" s="1"/>
  <c r="AP528" i="5"/>
  <c r="AX528" i="5" s="1"/>
  <c r="BD528" i="5"/>
  <c r="BJ528" i="5"/>
  <c r="AH528" i="5" s="1"/>
  <c r="BW528" i="5"/>
  <c r="L530" i="5"/>
  <c r="O530" i="5"/>
  <c r="BF530" i="5" s="1"/>
  <c r="AB530" i="5"/>
  <c r="AF530" i="5"/>
  <c r="AJ530" i="5"/>
  <c r="AO530" i="5"/>
  <c r="AP530" i="5"/>
  <c r="AX530" i="5" s="1"/>
  <c r="BD530" i="5"/>
  <c r="BJ530" i="5"/>
  <c r="BW530" i="5"/>
  <c r="M530" i="5" s="1"/>
  <c r="L532" i="5"/>
  <c r="AL532" i="5" s="1"/>
  <c r="O532" i="5"/>
  <c r="BF532" i="5" s="1"/>
  <c r="Z532" i="5"/>
  <c r="AB532" i="5"/>
  <c r="AJ532" i="5"/>
  <c r="AK532" i="5"/>
  <c r="AO532" i="5"/>
  <c r="AW532" i="5" s="1"/>
  <c r="AP532" i="5"/>
  <c r="BD532" i="5"/>
  <c r="BJ532" i="5"/>
  <c r="AH532" i="5" s="1"/>
  <c r="BW532" i="5"/>
  <c r="L534" i="5"/>
  <c r="O534" i="5"/>
  <c r="BF534" i="5" s="1"/>
  <c r="AB534" i="5"/>
  <c r="AF534" i="5"/>
  <c r="AJ534" i="5"/>
  <c r="AO534" i="5"/>
  <c r="J534" i="5" s="1"/>
  <c r="AP534" i="5"/>
  <c r="K534" i="5" s="1"/>
  <c r="BD534" i="5"/>
  <c r="BJ534" i="5"/>
  <c r="AH534" i="5" s="1"/>
  <c r="BW534" i="5"/>
  <c r="L536" i="5"/>
  <c r="AL536" i="5" s="1"/>
  <c r="O536" i="5"/>
  <c r="BF536" i="5" s="1"/>
  <c r="Z536" i="5"/>
  <c r="AB536" i="5"/>
  <c r="AJ536" i="5"/>
  <c r="AK536" i="5"/>
  <c r="AO536" i="5"/>
  <c r="AW536" i="5" s="1"/>
  <c r="AP536" i="5"/>
  <c r="BD536" i="5"/>
  <c r="BH536" i="5"/>
  <c r="AF536" i="5" s="1"/>
  <c r="BJ536" i="5"/>
  <c r="AH536" i="5" s="1"/>
  <c r="BW536" i="5"/>
  <c r="L538" i="5"/>
  <c r="O538" i="5"/>
  <c r="BF538" i="5" s="1"/>
  <c r="Z538" i="5"/>
  <c r="AB538" i="5"/>
  <c r="AF538" i="5"/>
  <c r="AO538" i="5"/>
  <c r="J538" i="5" s="1"/>
  <c r="AP538" i="5"/>
  <c r="AX538" i="5" s="1"/>
  <c r="BD538" i="5"/>
  <c r="BJ538" i="5"/>
  <c r="AH538" i="5" s="1"/>
  <c r="BW538" i="5"/>
  <c r="L541" i="5"/>
  <c r="O541" i="5"/>
  <c r="BF541" i="5" s="1"/>
  <c r="Z541" i="5"/>
  <c r="AB541" i="5"/>
  <c r="AJ541" i="5"/>
  <c r="AK541" i="5"/>
  <c r="AO541" i="5"/>
  <c r="AW541" i="5" s="1"/>
  <c r="AP541" i="5"/>
  <c r="AX541" i="5" s="1"/>
  <c r="BD541" i="5"/>
  <c r="BJ541" i="5"/>
  <c r="AH541" i="5" s="1"/>
  <c r="BW541" i="5"/>
  <c r="L543" i="5"/>
  <c r="O543" i="5"/>
  <c r="BF543" i="5" s="1"/>
  <c r="AB543" i="5"/>
  <c r="AF543" i="5"/>
  <c r="AO543" i="5"/>
  <c r="J543" i="5" s="1"/>
  <c r="AP543" i="5"/>
  <c r="AX543" i="5" s="1"/>
  <c r="BD543" i="5"/>
  <c r="BJ543" i="5"/>
  <c r="BW543" i="5"/>
  <c r="L546" i="5"/>
  <c r="AL546" i="5" s="1"/>
  <c r="O546" i="5"/>
  <c r="BF546" i="5" s="1"/>
  <c r="Z546" i="5"/>
  <c r="AB546" i="5"/>
  <c r="AC546" i="5"/>
  <c r="AJ546" i="5"/>
  <c r="AK546" i="5"/>
  <c r="AO546" i="5"/>
  <c r="AW546" i="5" s="1"/>
  <c r="AP546" i="5"/>
  <c r="AX546" i="5" s="1"/>
  <c r="BD546" i="5"/>
  <c r="BJ546" i="5"/>
  <c r="AH546" i="5" s="1"/>
  <c r="BW546" i="5"/>
  <c r="L549" i="5"/>
  <c r="O549" i="5"/>
  <c r="BF549" i="5" s="1"/>
  <c r="AB549" i="5"/>
  <c r="AF549" i="5"/>
  <c r="AJ549" i="5"/>
  <c r="AO549" i="5"/>
  <c r="J549" i="5" s="1"/>
  <c r="AP549" i="5"/>
  <c r="BI549" i="5" s="1"/>
  <c r="BD549" i="5"/>
  <c r="BJ549" i="5"/>
  <c r="BW549" i="5"/>
  <c r="L551" i="5"/>
  <c r="O551" i="5"/>
  <c r="Z551" i="5"/>
  <c r="AB551" i="5"/>
  <c r="AJ551" i="5"/>
  <c r="AK551" i="5"/>
  <c r="AO551" i="5"/>
  <c r="AW551" i="5" s="1"/>
  <c r="AP551" i="5"/>
  <c r="AX551" i="5" s="1"/>
  <c r="BD551" i="5"/>
  <c r="BF551" i="5"/>
  <c r="BJ551" i="5"/>
  <c r="AH551" i="5" s="1"/>
  <c r="BW551" i="5"/>
  <c r="L553" i="5"/>
  <c r="O553" i="5"/>
  <c r="BF553" i="5" s="1"/>
  <c r="Z553" i="5"/>
  <c r="AB553" i="5"/>
  <c r="AF553" i="5"/>
  <c r="AJ553" i="5"/>
  <c r="AO553" i="5"/>
  <c r="AP553" i="5"/>
  <c r="BD553" i="5"/>
  <c r="BJ553" i="5"/>
  <c r="AH553" i="5" s="1"/>
  <c r="BW553" i="5"/>
  <c r="L556" i="5"/>
  <c r="O556" i="5"/>
  <c r="BF556" i="5" s="1"/>
  <c r="Z556" i="5"/>
  <c r="AB556" i="5"/>
  <c r="AJ556" i="5"/>
  <c r="AK556" i="5"/>
  <c r="AO556" i="5"/>
  <c r="AP556" i="5"/>
  <c r="K556" i="5" s="1"/>
  <c r="BD556" i="5"/>
  <c r="BJ556" i="5"/>
  <c r="AH556" i="5" s="1"/>
  <c r="BW556" i="5"/>
  <c r="L558" i="5"/>
  <c r="O558" i="5"/>
  <c r="BF558" i="5" s="1"/>
  <c r="Z558" i="5"/>
  <c r="AB558" i="5"/>
  <c r="AF558" i="5"/>
  <c r="AJ558" i="5"/>
  <c r="AO558" i="5"/>
  <c r="J558" i="5" s="1"/>
  <c r="AP558" i="5"/>
  <c r="BD558" i="5"/>
  <c r="BJ558" i="5"/>
  <c r="AH558" i="5" s="1"/>
  <c r="BW558" i="5"/>
  <c r="L561" i="5"/>
  <c r="AL561" i="5" s="1"/>
  <c r="O561" i="5"/>
  <c r="BF561" i="5" s="1"/>
  <c r="Z561" i="5"/>
  <c r="AB561" i="5"/>
  <c r="AC561" i="5"/>
  <c r="AJ561" i="5"/>
  <c r="AK561" i="5"/>
  <c r="AO561" i="5"/>
  <c r="AW561" i="5" s="1"/>
  <c r="AP561" i="5"/>
  <c r="AX561" i="5" s="1"/>
  <c r="BD561" i="5"/>
  <c r="BJ561" i="5"/>
  <c r="AH561" i="5" s="1"/>
  <c r="BW561" i="5"/>
  <c r="L566" i="5"/>
  <c r="O566" i="5"/>
  <c r="BF566" i="5" s="1"/>
  <c r="Z566" i="5"/>
  <c r="AB566" i="5"/>
  <c r="AF566" i="5"/>
  <c r="AG566" i="5"/>
  <c r="AO566" i="5"/>
  <c r="J566" i="5" s="1"/>
  <c r="AP566" i="5"/>
  <c r="BD566" i="5"/>
  <c r="BJ566" i="5"/>
  <c r="AH566" i="5" s="1"/>
  <c r="BW566" i="5"/>
  <c r="L569" i="5"/>
  <c r="O569" i="5"/>
  <c r="BF569" i="5" s="1"/>
  <c r="Z569" i="5"/>
  <c r="AB569" i="5"/>
  <c r="AC569" i="5"/>
  <c r="AJ569" i="5"/>
  <c r="AK569" i="5"/>
  <c r="AO569" i="5"/>
  <c r="AW569" i="5" s="1"/>
  <c r="AP569" i="5"/>
  <c r="AX569" i="5" s="1"/>
  <c r="BD569" i="5"/>
  <c r="BJ569" i="5"/>
  <c r="AH569" i="5" s="1"/>
  <c r="BW569" i="5"/>
  <c r="L572" i="5"/>
  <c r="O572" i="5"/>
  <c r="BF572" i="5" s="1"/>
  <c r="AB572" i="5"/>
  <c r="AF572" i="5"/>
  <c r="AJ572" i="5"/>
  <c r="AO572" i="5"/>
  <c r="AP572" i="5"/>
  <c r="BI572" i="5" s="1"/>
  <c r="BD572" i="5"/>
  <c r="BJ572" i="5"/>
  <c r="BW572" i="5"/>
  <c r="L574" i="5"/>
  <c r="O574" i="5"/>
  <c r="BF574" i="5" s="1"/>
  <c r="Z574" i="5"/>
  <c r="AB574" i="5"/>
  <c r="AC574" i="5"/>
  <c r="AJ574" i="5"/>
  <c r="AK574" i="5"/>
  <c r="AO574" i="5"/>
  <c r="AP574" i="5"/>
  <c r="AX574" i="5" s="1"/>
  <c r="BD574" i="5"/>
  <c r="BJ574" i="5"/>
  <c r="AH574" i="5" s="1"/>
  <c r="BW574" i="5"/>
  <c r="L577" i="5"/>
  <c r="O577" i="5"/>
  <c r="BF577" i="5" s="1"/>
  <c r="AB577" i="5"/>
  <c r="AF577" i="5"/>
  <c r="AJ577" i="5"/>
  <c r="AO577" i="5"/>
  <c r="J577" i="5" s="1"/>
  <c r="AP577" i="5"/>
  <c r="BD577" i="5"/>
  <c r="BJ577" i="5"/>
  <c r="AH577" i="5" s="1"/>
  <c r="BW577" i="5"/>
  <c r="L579" i="5"/>
  <c r="O579" i="5"/>
  <c r="Z579" i="5"/>
  <c r="AB579" i="5"/>
  <c r="AJ579" i="5"/>
  <c r="AK579" i="5"/>
  <c r="AO579" i="5"/>
  <c r="AW579" i="5" s="1"/>
  <c r="AP579" i="5"/>
  <c r="AX579" i="5" s="1"/>
  <c r="BD579" i="5"/>
  <c r="BF579" i="5"/>
  <c r="BJ579" i="5"/>
  <c r="AH579" i="5" s="1"/>
  <c r="BW579" i="5"/>
  <c r="L581" i="5"/>
  <c r="O581" i="5"/>
  <c r="BF581" i="5" s="1"/>
  <c r="Z581" i="5"/>
  <c r="AB581" i="5"/>
  <c r="AF581" i="5"/>
  <c r="AJ581" i="5"/>
  <c r="AO581" i="5"/>
  <c r="AP581" i="5"/>
  <c r="BD581" i="5"/>
  <c r="BJ581" i="5"/>
  <c r="AH581" i="5" s="1"/>
  <c r="BW581" i="5"/>
  <c r="L584" i="5"/>
  <c r="O584" i="5"/>
  <c r="BF584" i="5" s="1"/>
  <c r="Z584" i="5"/>
  <c r="AB584" i="5"/>
  <c r="AJ584" i="5"/>
  <c r="AK584" i="5"/>
  <c r="AL584" i="5"/>
  <c r="AO584" i="5"/>
  <c r="AW584" i="5" s="1"/>
  <c r="BC584" i="5" s="1"/>
  <c r="AP584" i="5"/>
  <c r="AX584" i="5" s="1"/>
  <c r="BD584" i="5"/>
  <c r="BJ584" i="5"/>
  <c r="AH584" i="5" s="1"/>
  <c r="BW584" i="5"/>
  <c r="L586" i="5"/>
  <c r="O586" i="5"/>
  <c r="BF586" i="5" s="1"/>
  <c r="AF586" i="5"/>
  <c r="AJ586" i="5"/>
  <c r="AO586" i="5"/>
  <c r="AP586" i="5"/>
  <c r="BD586" i="5"/>
  <c r="BJ586" i="5"/>
  <c r="BW586" i="5"/>
  <c r="L588" i="5"/>
  <c r="O588" i="5"/>
  <c r="Z588" i="5"/>
  <c r="AB588" i="5"/>
  <c r="AJ588" i="5"/>
  <c r="AK588" i="5"/>
  <c r="AO588" i="5"/>
  <c r="AW588" i="5" s="1"/>
  <c r="AP588" i="5"/>
  <c r="BD588" i="5"/>
  <c r="BF588" i="5"/>
  <c r="BJ588" i="5"/>
  <c r="AH588" i="5" s="1"/>
  <c r="BW588" i="5"/>
  <c r="L590" i="5"/>
  <c r="O590" i="5"/>
  <c r="BF590" i="5" s="1"/>
  <c r="AF590" i="5"/>
  <c r="AJ590" i="5"/>
  <c r="AO590" i="5"/>
  <c r="J590" i="5" s="1"/>
  <c r="AP590" i="5"/>
  <c r="AX590" i="5" s="1"/>
  <c r="BD590" i="5"/>
  <c r="BJ590" i="5"/>
  <c r="AH590" i="5" s="1"/>
  <c r="BW590" i="5"/>
  <c r="L592" i="5"/>
  <c r="O592" i="5"/>
  <c r="BF592" i="5" s="1"/>
  <c r="Z592" i="5"/>
  <c r="AB592" i="5"/>
  <c r="AJ592" i="5"/>
  <c r="AK592" i="5"/>
  <c r="AO592" i="5"/>
  <c r="AW592" i="5" s="1"/>
  <c r="AP592" i="5"/>
  <c r="BD592" i="5"/>
  <c r="BJ592" i="5"/>
  <c r="AH592" i="5" s="1"/>
  <c r="BW592" i="5"/>
  <c r="L594" i="5"/>
  <c r="O594" i="5"/>
  <c r="BF594" i="5" s="1"/>
  <c r="AF594" i="5"/>
  <c r="AJ594" i="5"/>
  <c r="AO594" i="5"/>
  <c r="J594" i="5" s="1"/>
  <c r="AP594" i="5"/>
  <c r="K594" i="5" s="1"/>
  <c r="BD594" i="5"/>
  <c r="BJ594" i="5"/>
  <c r="AH594" i="5" s="1"/>
  <c r="BW594" i="5"/>
  <c r="L597" i="5"/>
  <c r="O597" i="5"/>
  <c r="BF597" i="5" s="1"/>
  <c r="Z597" i="5"/>
  <c r="AB597" i="5"/>
  <c r="AJ597" i="5"/>
  <c r="AK597" i="5"/>
  <c r="AO597" i="5"/>
  <c r="AW597" i="5" s="1"/>
  <c r="AP597" i="5"/>
  <c r="BI597" i="5" s="1"/>
  <c r="BD597" i="5"/>
  <c r="BJ597" i="5"/>
  <c r="AH597" i="5" s="1"/>
  <c r="BW597" i="5"/>
  <c r="L599" i="5"/>
  <c r="O599" i="5"/>
  <c r="BF599" i="5" s="1"/>
  <c r="Z599" i="5"/>
  <c r="AF599" i="5"/>
  <c r="AJ599" i="5"/>
  <c r="AO599" i="5"/>
  <c r="J599" i="5" s="1"/>
  <c r="AP599" i="5"/>
  <c r="BD599" i="5"/>
  <c r="BJ599" i="5"/>
  <c r="AH599" i="5" s="1"/>
  <c r="BW599" i="5"/>
  <c r="L601" i="5"/>
  <c r="O601" i="5"/>
  <c r="BF601" i="5" s="1"/>
  <c r="Z601" i="5"/>
  <c r="AB601" i="5"/>
  <c r="AJ601" i="5"/>
  <c r="AK601" i="5"/>
  <c r="AO601" i="5"/>
  <c r="AW601" i="5" s="1"/>
  <c r="AP601" i="5"/>
  <c r="BD601" i="5"/>
  <c r="BJ601" i="5"/>
  <c r="AH601" i="5" s="1"/>
  <c r="BW601" i="5"/>
  <c r="L603" i="5"/>
  <c r="O603" i="5"/>
  <c r="BF603" i="5" s="1"/>
  <c r="AF603" i="5"/>
  <c r="AO603" i="5"/>
  <c r="AP603" i="5"/>
  <c r="K603" i="5" s="1"/>
  <c r="BD603" i="5"/>
  <c r="BJ603" i="5"/>
  <c r="BW603" i="5"/>
  <c r="L606" i="5"/>
  <c r="O606" i="5"/>
  <c r="BF606" i="5" s="1"/>
  <c r="Z606" i="5"/>
  <c r="AB606" i="5"/>
  <c r="AJ606" i="5"/>
  <c r="AK606" i="5"/>
  <c r="AO606" i="5"/>
  <c r="AW606" i="5" s="1"/>
  <c r="AP606" i="5"/>
  <c r="BD606" i="5"/>
  <c r="BJ606" i="5"/>
  <c r="AH606" i="5" s="1"/>
  <c r="BW606" i="5"/>
  <c r="L609" i="5"/>
  <c r="O609" i="5"/>
  <c r="BF609" i="5" s="1"/>
  <c r="AF609" i="5"/>
  <c r="AJ609" i="5"/>
  <c r="AO609" i="5"/>
  <c r="J609" i="5" s="1"/>
  <c r="AP609" i="5"/>
  <c r="AX609" i="5" s="1"/>
  <c r="BD609" i="5"/>
  <c r="BJ609" i="5"/>
  <c r="BW609" i="5"/>
  <c r="L612" i="5"/>
  <c r="AL612" i="5" s="1"/>
  <c r="O612" i="5"/>
  <c r="Z612" i="5"/>
  <c r="AB612" i="5"/>
  <c r="AJ612" i="5"/>
  <c r="AK612" i="5"/>
  <c r="AO612" i="5"/>
  <c r="AW612" i="5" s="1"/>
  <c r="AP612" i="5"/>
  <c r="BD612" i="5"/>
  <c r="BJ612" i="5"/>
  <c r="AH612" i="5" s="1"/>
  <c r="BW612" i="5"/>
  <c r="L615" i="5"/>
  <c r="O615" i="5"/>
  <c r="BF615" i="5" s="1"/>
  <c r="AF615" i="5"/>
  <c r="AG615" i="5"/>
  <c r="AO615" i="5"/>
  <c r="AP615" i="5"/>
  <c r="AX615" i="5" s="1"/>
  <c r="BD615" i="5"/>
  <c r="BJ615" i="5"/>
  <c r="BW615" i="5"/>
  <c r="L618" i="5"/>
  <c r="AL618" i="5" s="1"/>
  <c r="O618" i="5"/>
  <c r="BF618" i="5" s="1"/>
  <c r="Z618" i="5"/>
  <c r="AB618" i="5"/>
  <c r="AJ618" i="5"/>
  <c r="AK618" i="5"/>
  <c r="AO618" i="5"/>
  <c r="AW618" i="5" s="1"/>
  <c r="AP618" i="5"/>
  <c r="AX618" i="5" s="1"/>
  <c r="BD618" i="5"/>
  <c r="BJ618" i="5"/>
  <c r="AH618" i="5" s="1"/>
  <c r="BW618" i="5"/>
  <c r="L620" i="5"/>
  <c r="O620" i="5"/>
  <c r="BF620" i="5" s="1"/>
  <c r="AF620" i="5"/>
  <c r="AO620" i="5"/>
  <c r="J620" i="5" s="1"/>
  <c r="AP620" i="5"/>
  <c r="BD620" i="5"/>
  <c r="BJ620" i="5"/>
  <c r="BW620" i="5"/>
  <c r="L623" i="5"/>
  <c r="O623" i="5"/>
  <c r="BF623" i="5" s="1"/>
  <c r="Z623" i="5"/>
  <c r="AB623" i="5"/>
  <c r="AJ623" i="5"/>
  <c r="AK623" i="5"/>
  <c r="AO623" i="5"/>
  <c r="AW623" i="5" s="1"/>
  <c r="AP623" i="5"/>
  <c r="AX623" i="5" s="1"/>
  <c r="BD623" i="5"/>
  <c r="BJ623" i="5"/>
  <c r="AH623" i="5" s="1"/>
  <c r="BW623" i="5"/>
  <c r="L625" i="5"/>
  <c r="O625" i="5"/>
  <c r="BF625" i="5" s="1"/>
  <c r="Z625" i="5"/>
  <c r="AF625" i="5"/>
  <c r="AJ625" i="5"/>
  <c r="AO625" i="5"/>
  <c r="J625" i="5" s="1"/>
  <c r="AP625" i="5"/>
  <c r="AX625" i="5" s="1"/>
  <c r="BD625" i="5"/>
  <c r="BJ625" i="5"/>
  <c r="AH625" i="5" s="1"/>
  <c r="BW625" i="5"/>
  <c r="L627" i="5"/>
  <c r="AL627" i="5" s="1"/>
  <c r="O627" i="5"/>
  <c r="BF627" i="5" s="1"/>
  <c r="Z627" i="5"/>
  <c r="AB627" i="5"/>
  <c r="AC627" i="5"/>
  <c r="AJ627" i="5"/>
  <c r="AK627" i="5"/>
  <c r="AO627" i="5"/>
  <c r="AW627" i="5" s="1"/>
  <c r="AP627" i="5"/>
  <c r="AX627" i="5" s="1"/>
  <c r="BD627" i="5"/>
  <c r="BJ627" i="5"/>
  <c r="AH627" i="5" s="1"/>
  <c r="BW627" i="5"/>
  <c r="L629" i="5"/>
  <c r="O629" i="5"/>
  <c r="BF629" i="5" s="1"/>
  <c r="Z629" i="5"/>
  <c r="AF629" i="5"/>
  <c r="AJ629" i="5"/>
  <c r="AO629" i="5"/>
  <c r="J629" i="5" s="1"/>
  <c r="AP629" i="5"/>
  <c r="BD629" i="5"/>
  <c r="BJ629" i="5"/>
  <c r="AH629" i="5" s="1"/>
  <c r="BW629" i="5"/>
  <c r="L631" i="5"/>
  <c r="O631" i="5"/>
  <c r="Z631" i="5"/>
  <c r="AB631" i="5"/>
  <c r="AJ631" i="5"/>
  <c r="AK631" i="5"/>
  <c r="AO631" i="5"/>
  <c r="AW631" i="5" s="1"/>
  <c r="AP631" i="5"/>
  <c r="BD631" i="5"/>
  <c r="BF631" i="5"/>
  <c r="BJ631" i="5"/>
  <c r="AH631" i="5" s="1"/>
  <c r="BW631" i="5"/>
  <c r="L633" i="5"/>
  <c r="O633" i="5"/>
  <c r="BF633" i="5" s="1"/>
  <c r="Z633" i="5"/>
  <c r="AB633" i="5"/>
  <c r="AF633" i="5"/>
  <c r="AJ633" i="5"/>
  <c r="AO633" i="5"/>
  <c r="J633" i="5" s="1"/>
  <c r="AP633" i="5"/>
  <c r="AX633" i="5" s="1"/>
  <c r="BD633" i="5"/>
  <c r="BJ633" i="5"/>
  <c r="AH633" i="5" s="1"/>
  <c r="BW633" i="5"/>
  <c r="L635" i="5"/>
  <c r="O635" i="5"/>
  <c r="BF635" i="5" s="1"/>
  <c r="Z635" i="5"/>
  <c r="AB635" i="5"/>
  <c r="AF635" i="5"/>
  <c r="AJ635" i="5"/>
  <c r="AK635" i="5"/>
  <c r="AO635" i="5"/>
  <c r="AW635" i="5" s="1"/>
  <c r="AP635" i="5"/>
  <c r="BD635" i="5"/>
  <c r="BJ635" i="5"/>
  <c r="AH635" i="5" s="1"/>
  <c r="BW635" i="5"/>
  <c r="L637" i="5"/>
  <c r="O637" i="5"/>
  <c r="BF637" i="5" s="1"/>
  <c r="Z637" i="5"/>
  <c r="AB637" i="5"/>
  <c r="AF637" i="5"/>
  <c r="AO637" i="5"/>
  <c r="J637" i="5" s="1"/>
  <c r="AP637" i="5"/>
  <c r="AX637" i="5" s="1"/>
  <c r="BD637" i="5"/>
  <c r="BJ637" i="5"/>
  <c r="AH637" i="5" s="1"/>
  <c r="BW637" i="5"/>
  <c r="L639" i="5"/>
  <c r="O639" i="5"/>
  <c r="BF639" i="5" s="1"/>
  <c r="Z639" i="5"/>
  <c r="AB639" i="5"/>
  <c r="AF639" i="5"/>
  <c r="AJ639" i="5"/>
  <c r="AK639" i="5"/>
  <c r="AO639" i="5"/>
  <c r="AW639" i="5" s="1"/>
  <c r="AP639" i="5"/>
  <c r="K639" i="5" s="1"/>
  <c r="BD639" i="5"/>
  <c r="BJ639" i="5"/>
  <c r="AH639" i="5" s="1"/>
  <c r="BW639" i="5"/>
  <c r="L642" i="5"/>
  <c r="O642" i="5"/>
  <c r="BF642" i="5" s="1"/>
  <c r="Z642" i="5"/>
  <c r="AB642" i="5"/>
  <c r="AF642" i="5"/>
  <c r="AJ642" i="5"/>
  <c r="AO642" i="5"/>
  <c r="J642" i="5" s="1"/>
  <c r="AP642" i="5"/>
  <c r="BD642" i="5"/>
  <c r="BJ642" i="5"/>
  <c r="AH642" i="5" s="1"/>
  <c r="BW642" i="5"/>
  <c r="L645" i="5"/>
  <c r="O645" i="5"/>
  <c r="BF645" i="5" s="1"/>
  <c r="Z645" i="5"/>
  <c r="AB645" i="5"/>
  <c r="AF645" i="5"/>
  <c r="AJ645" i="5"/>
  <c r="AK645" i="5"/>
  <c r="AO645" i="5"/>
  <c r="AW645" i="5" s="1"/>
  <c r="AP645" i="5"/>
  <c r="AX645" i="5" s="1"/>
  <c r="BD645" i="5"/>
  <c r="BJ645" i="5"/>
  <c r="AH645" i="5" s="1"/>
  <c r="BW645" i="5"/>
  <c r="L648" i="5"/>
  <c r="O648" i="5"/>
  <c r="BF648" i="5" s="1"/>
  <c r="Z648" i="5"/>
  <c r="AB648" i="5"/>
  <c r="AF648" i="5"/>
  <c r="AJ648" i="5"/>
  <c r="AO648" i="5"/>
  <c r="J648" i="5" s="1"/>
  <c r="AP648" i="5"/>
  <c r="AX648" i="5" s="1"/>
  <c r="BD648" i="5"/>
  <c r="BJ648" i="5"/>
  <c r="AH648" i="5" s="1"/>
  <c r="BW648" i="5"/>
  <c r="L650" i="5"/>
  <c r="O650" i="5"/>
  <c r="BF650" i="5" s="1"/>
  <c r="Z650" i="5"/>
  <c r="AB650" i="5"/>
  <c r="AF650" i="5"/>
  <c r="AJ650" i="5"/>
  <c r="AK650" i="5"/>
  <c r="AO650" i="5"/>
  <c r="AW650" i="5" s="1"/>
  <c r="AP650" i="5"/>
  <c r="K650" i="5" s="1"/>
  <c r="BD650" i="5"/>
  <c r="BJ650" i="5"/>
  <c r="AH650" i="5" s="1"/>
  <c r="BW650" i="5"/>
  <c r="L652" i="5"/>
  <c r="O652" i="5"/>
  <c r="BF652" i="5" s="1"/>
  <c r="Z652" i="5"/>
  <c r="AB652" i="5"/>
  <c r="AF652" i="5"/>
  <c r="AG652" i="5"/>
  <c r="AJ652" i="5"/>
  <c r="AO652" i="5"/>
  <c r="AP652" i="5"/>
  <c r="AX652" i="5" s="1"/>
  <c r="BD652" i="5"/>
  <c r="BJ652" i="5"/>
  <c r="AH652" i="5" s="1"/>
  <c r="BW652" i="5"/>
  <c r="L654" i="5"/>
  <c r="AL654" i="5" s="1"/>
  <c r="O654" i="5"/>
  <c r="BF654" i="5" s="1"/>
  <c r="Z654" i="5"/>
  <c r="AB654" i="5"/>
  <c r="AF654" i="5"/>
  <c r="AJ654" i="5"/>
  <c r="AK654" i="5"/>
  <c r="AO654" i="5"/>
  <c r="AW654" i="5" s="1"/>
  <c r="AP654" i="5"/>
  <c r="BD654" i="5"/>
  <c r="BJ654" i="5"/>
  <c r="AH654" i="5" s="1"/>
  <c r="BW654" i="5"/>
  <c r="L657" i="5"/>
  <c r="O657" i="5"/>
  <c r="BF657" i="5" s="1"/>
  <c r="Z657" i="5"/>
  <c r="AB657" i="5"/>
  <c r="AF657" i="5"/>
  <c r="AJ657" i="5"/>
  <c r="AO657" i="5"/>
  <c r="J657" i="5" s="1"/>
  <c r="AP657" i="5"/>
  <c r="BD657" i="5"/>
  <c r="BJ657" i="5"/>
  <c r="AH657" i="5" s="1"/>
  <c r="BW657" i="5"/>
  <c r="L660" i="5"/>
  <c r="AL660" i="5" s="1"/>
  <c r="O660" i="5"/>
  <c r="BF660" i="5" s="1"/>
  <c r="Z660" i="5"/>
  <c r="AB660" i="5"/>
  <c r="AF660" i="5"/>
  <c r="AJ660" i="5"/>
  <c r="AK660" i="5"/>
  <c r="AO660" i="5"/>
  <c r="AW660" i="5" s="1"/>
  <c r="AP660" i="5"/>
  <c r="BD660" i="5"/>
  <c r="BJ660" i="5"/>
  <c r="AH660" i="5" s="1"/>
  <c r="BW660" i="5"/>
  <c r="L663" i="5"/>
  <c r="O663" i="5"/>
  <c r="BF663" i="5" s="1"/>
  <c r="AB663" i="5"/>
  <c r="AF663" i="5"/>
  <c r="AJ663" i="5"/>
  <c r="AO663" i="5"/>
  <c r="AP663" i="5"/>
  <c r="K663" i="5" s="1"/>
  <c r="BD663" i="5"/>
  <c r="BJ663" i="5"/>
  <c r="AH663" i="5" s="1"/>
  <c r="BW663" i="5"/>
  <c r="L665" i="5"/>
  <c r="AL665" i="5" s="1"/>
  <c r="O665" i="5"/>
  <c r="BF665" i="5" s="1"/>
  <c r="Z665" i="5"/>
  <c r="AB665" i="5"/>
  <c r="AF665" i="5"/>
  <c r="AJ665" i="5"/>
  <c r="AK665" i="5"/>
  <c r="AO665" i="5"/>
  <c r="J665" i="5" s="1"/>
  <c r="AP665" i="5"/>
  <c r="AX665" i="5" s="1"/>
  <c r="BD665" i="5"/>
  <c r="BJ665" i="5"/>
  <c r="AH665" i="5" s="1"/>
  <c r="BW665" i="5"/>
  <c r="L668" i="5"/>
  <c r="L667" i="5" s="1"/>
  <c r="O667" i="5"/>
  <c r="Z668" i="5"/>
  <c r="AB668" i="5"/>
  <c r="AF668" i="5"/>
  <c r="AG668" i="5"/>
  <c r="AJ668" i="5"/>
  <c r="AS667" i="5" s="1"/>
  <c r="AO668" i="5"/>
  <c r="J668" i="5" s="1"/>
  <c r="J667" i="5" s="1"/>
  <c r="AP668" i="5"/>
  <c r="AX668" i="5" s="1"/>
  <c r="BD668" i="5"/>
  <c r="BJ668" i="5"/>
  <c r="AH668" i="5" s="1"/>
  <c r="BW668" i="5"/>
  <c r="L673" i="5"/>
  <c r="AL673" i="5" s="1"/>
  <c r="O673" i="5"/>
  <c r="BF673" i="5" s="1"/>
  <c r="AB673" i="5"/>
  <c r="AF673" i="5"/>
  <c r="AJ673" i="5"/>
  <c r="AK673" i="5"/>
  <c r="AO673" i="5"/>
  <c r="J673" i="5" s="1"/>
  <c r="AP673" i="5"/>
  <c r="BD673" i="5"/>
  <c r="BJ673" i="5"/>
  <c r="AH673" i="5" s="1"/>
  <c r="BW673" i="5"/>
  <c r="L675" i="5"/>
  <c r="AL675" i="5" s="1"/>
  <c r="O675" i="5"/>
  <c r="BF675" i="5" s="1"/>
  <c r="Z675" i="5"/>
  <c r="AB675" i="5"/>
  <c r="AF675" i="5"/>
  <c r="AJ675" i="5"/>
  <c r="AK675" i="5"/>
  <c r="AO675" i="5"/>
  <c r="AP675" i="5"/>
  <c r="K675" i="5" s="1"/>
  <c r="BD675" i="5"/>
  <c r="BJ675" i="5"/>
  <c r="AH675" i="5" s="1"/>
  <c r="BW675" i="5"/>
  <c r="L678" i="5"/>
  <c r="O678" i="5"/>
  <c r="AB678" i="5"/>
  <c r="AF678" i="5"/>
  <c r="AK678" i="5"/>
  <c r="AO678" i="5"/>
  <c r="J678" i="5" s="1"/>
  <c r="AP678" i="5"/>
  <c r="BD678" i="5"/>
  <c r="BJ678" i="5"/>
  <c r="BW678" i="5"/>
  <c r="L680" i="5"/>
  <c r="AJ680" i="5" s="1"/>
  <c r="O680" i="5"/>
  <c r="AB680" i="5"/>
  <c r="AF680" i="5"/>
  <c r="AG680" i="5"/>
  <c r="AO680" i="5"/>
  <c r="J680" i="5" s="1"/>
  <c r="AP680" i="5"/>
  <c r="AX680" i="5" s="1"/>
  <c r="BD680" i="5"/>
  <c r="BF680" i="5"/>
  <c r="BJ680" i="5"/>
  <c r="AH680" i="5" s="1"/>
  <c r="BW680" i="5"/>
  <c r="L683" i="5"/>
  <c r="AK683" i="5" s="1"/>
  <c r="O683" i="5"/>
  <c r="BF683" i="5" s="1"/>
  <c r="AD683" i="5"/>
  <c r="AF683" i="5"/>
  <c r="AJ683" i="5"/>
  <c r="AO683" i="5"/>
  <c r="J683" i="5" s="1"/>
  <c r="AP683" i="5"/>
  <c r="AX683" i="5" s="1"/>
  <c r="BD683" i="5"/>
  <c r="BJ683" i="5"/>
  <c r="BW683" i="5"/>
  <c r="L685" i="5"/>
  <c r="AL685" i="5" s="1"/>
  <c r="O685" i="5"/>
  <c r="BF685" i="5" s="1"/>
  <c r="Z685" i="5"/>
  <c r="AF685" i="5"/>
  <c r="AH685" i="5"/>
  <c r="AJ685" i="5"/>
  <c r="AK685" i="5"/>
  <c r="AO685" i="5"/>
  <c r="J685" i="5" s="1"/>
  <c r="AP685" i="5"/>
  <c r="AX685" i="5" s="1"/>
  <c r="BD685" i="5"/>
  <c r="BJ685" i="5"/>
  <c r="BW685" i="5"/>
  <c r="L687" i="5"/>
  <c r="AK687" i="5" s="1"/>
  <c r="O687" i="5"/>
  <c r="BF687" i="5" s="1"/>
  <c r="Z687" i="5"/>
  <c r="AO687" i="5"/>
  <c r="AP687" i="5"/>
  <c r="AX687" i="5" s="1"/>
  <c r="BD687" i="5"/>
  <c r="BJ687" i="5"/>
  <c r="AH687" i="5" s="1"/>
  <c r="BW687" i="5"/>
  <c r="L689" i="5"/>
  <c r="O689" i="5"/>
  <c r="BF689" i="5" s="1"/>
  <c r="Z689" i="5"/>
  <c r="AF689" i="5"/>
  <c r="AH689" i="5"/>
  <c r="AJ689" i="5"/>
  <c r="AK689" i="5"/>
  <c r="AO689" i="5"/>
  <c r="AP689" i="5"/>
  <c r="AX689" i="5" s="1"/>
  <c r="BD689" i="5"/>
  <c r="BJ689" i="5"/>
  <c r="BW689" i="5"/>
  <c r="L691" i="5"/>
  <c r="O691" i="5"/>
  <c r="BF691" i="5" s="1"/>
  <c r="AO691" i="5"/>
  <c r="AW691" i="5" s="1"/>
  <c r="AP691" i="5"/>
  <c r="BD691" i="5"/>
  <c r="BJ691" i="5"/>
  <c r="BW691" i="5"/>
  <c r="L694" i="5"/>
  <c r="L693" i="5" s="1"/>
  <c r="O694" i="5"/>
  <c r="O693" i="5" s="1"/>
  <c r="AF694" i="5"/>
  <c r="AH694" i="5"/>
  <c r="AJ694" i="5"/>
  <c r="AS693" i="5" s="1"/>
  <c r="AK694" i="5"/>
  <c r="AT693" i="5" s="1"/>
  <c r="AL694" i="5"/>
  <c r="AU693" i="5" s="1"/>
  <c r="AO694" i="5"/>
  <c r="J694" i="5" s="1"/>
  <c r="J693" i="5" s="1"/>
  <c r="AP694" i="5"/>
  <c r="K694" i="5" s="1"/>
  <c r="K693" i="5" s="1"/>
  <c r="BD694" i="5"/>
  <c r="BJ694" i="5"/>
  <c r="Z694" i="5" s="1"/>
  <c r="BW694" i="5"/>
  <c r="L697" i="5"/>
  <c r="L696" i="5" s="1"/>
  <c r="O697" i="5"/>
  <c r="O696" i="5" s="1"/>
  <c r="Z697" i="5"/>
  <c r="AK697" i="5"/>
  <c r="AT696" i="5" s="1"/>
  <c r="AO697" i="5"/>
  <c r="AP697" i="5"/>
  <c r="BD697" i="5"/>
  <c r="BJ697" i="5"/>
  <c r="AH697" i="5" s="1"/>
  <c r="BW697" i="5"/>
  <c r="L700" i="5"/>
  <c r="L699" i="5" s="1"/>
  <c r="O700" i="5"/>
  <c r="O699" i="5" s="1"/>
  <c r="AB700" i="5"/>
  <c r="AC700" i="5"/>
  <c r="AF700" i="5"/>
  <c r="AG700" i="5"/>
  <c r="AK700" i="5"/>
  <c r="AT699" i="5" s="1"/>
  <c r="AO700" i="5"/>
  <c r="J700" i="5" s="1"/>
  <c r="J699" i="5" s="1"/>
  <c r="AP700" i="5"/>
  <c r="BD700" i="5"/>
  <c r="BJ700" i="5"/>
  <c r="BW700" i="5"/>
  <c r="L703" i="5"/>
  <c r="O703" i="5"/>
  <c r="AJ703" i="5"/>
  <c r="AS702" i="5" s="1"/>
  <c r="AK703" i="5"/>
  <c r="AT702" i="5" s="1"/>
  <c r="AO703" i="5"/>
  <c r="J703" i="5" s="1"/>
  <c r="J702" i="5" s="1"/>
  <c r="AP703" i="5"/>
  <c r="BI703" i="5" s="1"/>
  <c r="BD703" i="5"/>
  <c r="BJ703" i="5"/>
  <c r="BW703" i="5"/>
  <c r="L706" i="5"/>
  <c r="L705" i="5" s="1"/>
  <c r="O706" i="5"/>
  <c r="AB706" i="5"/>
  <c r="AC706" i="5"/>
  <c r="AF706" i="5"/>
  <c r="AG706" i="5"/>
  <c r="AO706" i="5"/>
  <c r="AP706" i="5"/>
  <c r="BD706" i="5"/>
  <c r="BJ706" i="5"/>
  <c r="BW706" i="5"/>
  <c r="L709" i="5"/>
  <c r="O709" i="5"/>
  <c r="O708" i="5" s="1"/>
  <c r="AC709" i="5"/>
  <c r="AG709" i="5"/>
  <c r="AK709" i="5"/>
  <c r="AT708" i="5" s="1"/>
  <c r="AO709" i="5"/>
  <c r="AP709" i="5"/>
  <c r="AX709" i="5" s="1"/>
  <c r="BD709" i="5"/>
  <c r="BJ709" i="5"/>
  <c r="BW709" i="5"/>
  <c r="L712" i="5"/>
  <c r="AL712" i="5" s="1"/>
  <c r="AU711" i="5" s="1"/>
  <c r="O712" i="5"/>
  <c r="AB712" i="5"/>
  <c r="AC712" i="5"/>
  <c r="AF712" i="5"/>
  <c r="AG712" i="5"/>
  <c r="AO712" i="5"/>
  <c r="AP712" i="5"/>
  <c r="K712" i="5" s="1"/>
  <c r="K711" i="5" s="1"/>
  <c r="BD712" i="5"/>
  <c r="BJ712" i="5"/>
  <c r="BW712" i="5"/>
  <c r="L715" i="5"/>
  <c r="O715" i="5"/>
  <c r="O714" i="5" s="1"/>
  <c r="AC715" i="5"/>
  <c r="AG715" i="5"/>
  <c r="AK715" i="5"/>
  <c r="AT714" i="5" s="1"/>
  <c r="AO715" i="5"/>
  <c r="AP715" i="5"/>
  <c r="AX715" i="5" s="1"/>
  <c r="BD715" i="5"/>
  <c r="BJ715" i="5"/>
  <c r="BW715" i="5"/>
  <c r="L718" i="5"/>
  <c r="AL718" i="5" s="1"/>
  <c r="AU717" i="5" s="1"/>
  <c r="O718" i="5"/>
  <c r="AB718" i="5"/>
  <c r="AC718" i="5"/>
  <c r="AF718" i="5"/>
  <c r="AG718" i="5"/>
  <c r="AO718" i="5"/>
  <c r="J718" i="5" s="1"/>
  <c r="J717" i="5" s="1"/>
  <c r="AP718" i="5"/>
  <c r="K718" i="5" s="1"/>
  <c r="K717" i="5" s="1"/>
  <c r="BD718" i="5"/>
  <c r="BJ718" i="5"/>
  <c r="BW718" i="5"/>
  <c r="L721" i="5"/>
  <c r="O721" i="5"/>
  <c r="O720" i="5" s="1"/>
  <c r="AC721" i="5"/>
  <c r="AG721" i="5"/>
  <c r="AO721" i="5"/>
  <c r="AP721" i="5"/>
  <c r="BD721" i="5"/>
  <c r="BJ721" i="5"/>
  <c r="BW721" i="5"/>
  <c r="L724" i="5"/>
  <c r="AL724" i="5" s="1"/>
  <c r="AU723" i="5" s="1"/>
  <c r="O724" i="5"/>
  <c r="AB724" i="5"/>
  <c r="AC724" i="5"/>
  <c r="AF724" i="5"/>
  <c r="AG724" i="5"/>
  <c r="AO724" i="5"/>
  <c r="J724" i="5" s="1"/>
  <c r="J723" i="5" s="1"/>
  <c r="AP724" i="5"/>
  <c r="K724" i="5" s="1"/>
  <c r="K723" i="5" s="1"/>
  <c r="BD724" i="5"/>
  <c r="BJ724" i="5"/>
  <c r="BW724" i="5"/>
  <c r="L727" i="5"/>
  <c r="O727" i="5"/>
  <c r="AC727" i="5"/>
  <c r="AG727" i="5"/>
  <c r="AK727" i="5"/>
  <c r="AT726" i="5" s="1"/>
  <c r="AO727" i="5"/>
  <c r="AP727" i="5"/>
  <c r="AX727" i="5" s="1"/>
  <c r="BD727" i="5"/>
  <c r="BJ727" i="5"/>
  <c r="BW727" i="5"/>
  <c r="L730" i="5"/>
  <c r="L729" i="5" s="1"/>
  <c r="O730" i="5"/>
  <c r="AB730" i="5"/>
  <c r="AC730" i="5"/>
  <c r="AF730" i="5"/>
  <c r="AG730" i="5"/>
  <c r="AO730" i="5"/>
  <c r="AP730" i="5"/>
  <c r="K730" i="5" s="1"/>
  <c r="K729" i="5" s="1"/>
  <c r="BD730" i="5"/>
  <c r="BJ730" i="5"/>
  <c r="BW730" i="5"/>
  <c r="L733" i="5"/>
  <c r="O733" i="5"/>
  <c r="BF733" i="5" s="1"/>
  <c r="AC733" i="5"/>
  <c r="AG733" i="5"/>
  <c r="AK733" i="5"/>
  <c r="AO733" i="5"/>
  <c r="AP733" i="5"/>
  <c r="BD733" i="5"/>
  <c r="BJ733" i="5"/>
  <c r="BW733" i="5"/>
  <c r="L735" i="5"/>
  <c r="O735" i="5"/>
  <c r="BF735" i="5" s="1"/>
  <c r="AB735" i="5"/>
  <c r="AC735" i="5"/>
  <c r="AF735" i="5"/>
  <c r="AG735" i="5"/>
  <c r="AH735" i="5"/>
  <c r="AO735" i="5"/>
  <c r="J735" i="5" s="1"/>
  <c r="AP735" i="5"/>
  <c r="K735" i="5" s="1"/>
  <c r="BD735" i="5"/>
  <c r="BJ735" i="5"/>
  <c r="Z735" i="5" s="1"/>
  <c r="BW735" i="5"/>
  <c r="L737" i="5"/>
  <c r="O737" i="5"/>
  <c r="BF737" i="5" s="1"/>
  <c r="AC737" i="5"/>
  <c r="AG737" i="5"/>
  <c r="AK737" i="5"/>
  <c r="AO737" i="5"/>
  <c r="AP737" i="5"/>
  <c r="AX737" i="5" s="1"/>
  <c r="BD737" i="5"/>
  <c r="BJ737" i="5"/>
  <c r="BW737" i="5"/>
  <c r="L739" i="5"/>
  <c r="AL739" i="5" s="1"/>
  <c r="O739" i="5"/>
  <c r="BF739" i="5" s="1"/>
  <c r="AB739" i="5"/>
  <c r="AC739" i="5"/>
  <c r="AF739" i="5"/>
  <c r="AG739" i="5"/>
  <c r="AH739" i="5"/>
  <c r="AO739" i="5"/>
  <c r="J739" i="5" s="1"/>
  <c r="AP739" i="5"/>
  <c r="BI739" i="5" s="1"/>
  <c r="AE739" i="5" s="1"/>
  <c r="BD739" i="5"/>
  <c r="BJ739" i="5"/>
  <c r="Z739" i="5" s="1"/>
  <c r="BW739" i="5"/>
  <c r="L743" i="5"/>
  <c r="AL743" i="5" s="1"/>
  <c r="O743" i="5"/>
  <c r="BF743" i="5" s="1"/>
  <c r="Z743" i="5"/>
  <c r="AF743" i="5"/>
  <c r="AJ743" i="5"/>
  <c r="AK743" i="5"/>
  <c r="AO743" i="5"/>
  <c r="J743" i="5" s="1"/>
  <c r="AP743" i="5"/>
  <c r="BD743" i="5"/>
  <c r="BJ743" i="5"/>
  <c r="AH743" i="5" s="1"/>
  <c r="BW743" i="5"/>
  <c r="M743" i="5" s="1"/>
  <c r="L745" i="5"/>
  <c r="AL745" i="5" s="1"/>
  <c r="O745" i="5"/>
  <c r="BF745" i="5" s="1"/>
  <c r="Z745" i="5"/>
  <c r="AF745" i="5"/>
  <c r="AO745" i="5"/>
  <c r="AW745" i="5" s="1"/>
  <c r="AP745" i="5"/>
  <c r="AX745" i="5" s="1"/>
  <c r="BD745" i="5"/>
  <c r="BJ745" i="5"/>
  <c r="AH745" i="5" s="1"/>
  <c r="BW745" i="5"/>
  <c r="L747" i="5"/>
  <c r="AL747" i="5" s="1"/>
  <c r="O747" i="5"/>
  <c r="BF747" i="5" s="1"/>
  <c r="Z747" i="5"/>
  <c r="AF747" i="5"/>
  <c r="AJ747" i="5"/>
  <c r="AK747" i="5"/>
  <c r="AO747" i="5"/>
  <c r="AP747" i="5"/>
  <c r="AX747" i="5" s="1"/>
  <c r="BD747" i="5"/>
  <c r="BJ747" i="5"/>
  <c r="AH747" i="5" s="1"/>
  <c r="BW747" i="5"/>
  <c r="L750" i="5"/>
  <c r="AL750" i="5" s="1"/>
  <c r="O750" i="5"/>
  <c r="BF750" i="5" s="1"/>
  <c r="Z750" i="5"/>
  <c r="AF750" i="5"/>
  <c r="AO750" i="5"/>
  <c r="AW750" i="5" s="1"/>
  <c r="AP750" i="5"/>
  <c r="BD750" i="5"/>
  <c r="BJ750" i="5"/>
  <c r="AH750" i="5" s="1"/>
  <c r="BW750" i="5"/>
  <c r="L753" i="5"/>
  <c r="AL753" i="5" s="1"/>
  <c r="O753" i="5"/>
  <c r="BF753" i="5" s="1"/>
  <c r="Z753" i="5"/>
  <c r="AF753" i="5"/>
  <c r="AJ753" i="5"/>
  <c r="AK753" i="5"/>
  <c r="AO753" i="5"/>
  <c r="J753" i="5" s="1"/>
  <c r="AP753" i="5"/>
  <c r="AX753" i="5" s="1"/>
  <c r="BD753" i="5"/>
  <c r="BJ753" i="5"/>
  <c r="AH753" i="5" s="1"/>
  <c r="BW753" i="5"/>
  <c r="L757" i="5"/>
  <c r="AL757" i="5" s="1"/>
  <c r="O757" i="5"/>
  <c r="BF757" i="5" s="1"/>
  <c r="AF757" i="5"/>
  <c r="AO757" i="5"/>
  <c r="AW757" i="5" s="1"/>
  <c r="AP757" i="5"/>
  <c r="BD757" i="5"/>
  <c r="BJ757" i="5"/>
  <c r="AH757" i="5" s="1"/>
  <c r="BW757" i="5"/>
  <c r="L763" i="5"/>
  <c r="AL763" i="5" s="1"/>
  <c r="O763" i="5"/>
  <c r="BF763" i="5" s="1"/>
  <c r="Z763" i="5"/>
  <c r="AF763" i="5"/>
  <c r="AJ763" i="5"/>
  <c r="AK763" i="5"/>
  <c r="AO763" i="5"/>
  <c r="J763" i="5" s="1"/>
  <c r="AP763" i="5"/>
  <c r="AX763" i="5" s="1"/>
  <c r="BD763" i="5"/>
  <c r="BJ763" i="5"/>
  <c r="AH763" i="5" s="1"/>
  <c r="BW763" i="5"/>
  <c r="L766" i="5"/>
  <c r="AL766" i="5" s="1"/>
  <c r="O766" i="5"/>
  <c r="BF766" i="5" s="1"/>
  <c r="Z766" i="5"/>
  <c r="AF766" i="5"/>
  <c r="AO766" i="5"/>
  <c r="AW766" i="5" s="1"/>
  <c r="AP766" i="5"/>
  <c r="AX766" i="5" s="1"/>
  <c r="BD766" i="5"/>
  <c r="BJ766" i="5"/>
  <c r="AH766" i="5" s="1"/>
  <c r="BW766" i="5"/>
  <c r="L769" i="5"/>
  <c r="AL769" i="5" s="1"/>
  <c r="O769" i="5"/>
  <c r="BF769" i="5" s="1"/>
  <c r="Z769" i="5"/>
  <c r="AF769" i="5"/>
  <c r="AJ769" i="5"/>
  <c r="AK769" i="5"/>
  <c r="AO769" i="5"/>
  <c r="AP769" i="5"/>
  <c r="AX769" i="5" s="1"/>
  <c r="BD769" i="5"/>
  <c r="BJ769" i="5"/>
  <c r="AH769" i="5" s="1"/>
  <c r="BW769" i="5"/>
  <c r="L772" i="5"/>
  <c r="O772" i="5"/>
  <c r="BF772" i="5" s="1"/>
  <c r="Z772" i="5"/>
  <c r="AF772" i="5"/>
  <c r="AO772" i="5"/>
  <c r="AW772" i="5" s="1"/>
  <c r="AP772" i="5"/>
  <c r="AX772" i="5" s="1"/>
  <c r="BD772" i="5"/>
  <c r="BJ772" i="5"/>
  <c r="AH772" i="5" s="1"/>
  <c r="BW772" i="5"/>
  <c r="L774" i="5"/>
  <c r="AL774" i="5" s="1"/>
  <c r="O774" i="5"/>
  <c r="BF774" i="5" s="1"/>
  <c r="Z774" i="5"/>
  <c r="AF774" i="5"/>
  <c r="AJ774" i="5"/>
  <c r="AK774" i="5"/>
  <c r="AO774" i="5"/>
  <c r="AP774" i="5"/>
  <c r="AX774" i="5" s="1"/>
  <c r="BD774" i="5"/>
  <c r="BJ774" i="5"/>
  <c r="AH774" i="5" s="1"/>
  <c r="BW774" i="5"/>
  <c r="L778" i="5"/>
  <c r="AL778" i="5" s="1"/>
  <c r="O778" i="5"/>
  <c r="BF778" i="5" s="1"/>
  <c r="AF778" i="5"/>
  <c r="AO778" i="5"/>
  <c r="AW778" i="5" s="1"/>
  <c r="AP778" i="5"/>
  <c r="BD778" i="5"/>
  <c r="BJ778" i="5"/>
  <c r="AH778" i="5" s="1"/>
  <c r="BW778" i="5"/>
  <c r="L781" i="5"/>
  <c r="AL781" i="5" s="1"/>
  <c r="O781" i="5"/>
  <c r="BF781" i="5" s="1"/>
  <c r="Z781" i="5"/>
  <c r="AF781" i="5"/>
  <c r="AJ781" i="5"/>
  <c r="AK781" i="5"/>
  <c r="AO781" i="5"/>
  <c r="J781" i="5" s="1"/>
  <c r="AP781" i="5"/>
  <c r="BD781" i="5"/>
  <c r="BJ781" i="5"/>
  <c r="AH781" i="5" s="1"/>
  <c r="BW781" i="5"/>
  <c r="L783" i="5"/>
  <c r="AL783" i="5" s="1"/>
  <c r="O783" i="5"/>
  <c r="BF783" i="5" s="1"/>
  <c r="AF783" i="5"/>
  <c r="AO783" i="5"/>
  <c r="AW783" i="5" s="1"/>
  <c r="AP783" i="5"/>
  <c r="BD783" i="5"/>
  <c r="BJ783" i="5"/>
  <c r="BW783" i="5"/>
  <c r="L785" i="5"/>
  <c r="AL785" i="5" s="1"/>
  <c r="O785" i="5"/>
  <c r="BF785" i="5" s="1"/>
  <c r="Z785" i="5"/>
  <c r="AF785" i="5"/>
  <c r="AJ785" i="5"/>
  <c r="AK785" i="5"/>
  <c r="AO785" i="5"/>
  <c r="J785" i="5" s="1"/>
  <c r="AP785" i="5"/>
  <c r="AX785" i="5" s="1"/>
  <c r="BD785" i="5"/>
  <c r="BJ785" i="5"/>
  <c r="AH785" i="5" s="1"/>
  <c r="BW785" i="5"/>
  <c r="L788" i="5"/>
  <c r="AL788" i="5" s="1"/>
  <c r="AU787" i="5" s="1"/>
  <c r="O788" i="5"/>
  <c r="Z788" i="5"/>
  <c r="AF788" i="5"/>
  <c r="AO788" i="5"/>
  <c r="AW788" i="5" s="1"/>
  <c r="AP788" i="5"/>
  <c r="BI788" i="5" s="1"/>
  <c r="BD788" i="5"/>
  <c r="BJ788" i="5"/>
  <c r="AH788" i="5" s="1"/>
  <c r="BW788" i="5"/>
  <c r="L791" i="5"/>
  <c r="AL791" i="5" s="1"/>
  <c r="O791" i="5"/>
  <c r="BF791" i="5" s="1"/>
  <c r="Z791" i="5"/>
  <c r="AE791" i="5"/>
  <c r="AF791" i="5"/>
  <c r="AJ791" i="5"/>
  <c r="AK791" i="5"/>
  <c r="AO791" i="5"/>
  <c r="J791" i="5" s="1"/>
  <c r="AP791" i="5"/>
  <c r="AX791" i="5" s="1"/>
  <c r="BD791" i="5"/>
  <c r="BJ791" i="5"/>
  <c r="AH791" i="5" s="1"/>
  <c r="BW791" i="5"/>
  <c r="L794" i="5"/>
  <c r="AL794" i="5" s="1"/>
  <c r="O794" i="5"/>
  <c r="BF794" i="5" s="1"/>
  <c r="Z794" i="5"/>
  <c r="AF794" i="5"/>
  <c r="AO794" i="5"/>
  <c r="AW794" i="5" s="1"/>
  <c r="AP794" i="5"/>
  <c r="BD794" i="5"/>
  <c r="BJ794" i="5"/>
  <c r="AH794" i="5" s="1"/>
  <c r="BW794" i="5"/>
  <c r="L796" i="5"/>
  <c r="AL796" i="5" s="1"/>
  <c r="O796" i="5"/>
  <c r="BF796" i="5" s="1"/>
  <c r="Z796" i="5"/>
  <c r="AF796" i="5"/>
  <c r="AG796" i="5"/>
  <c r="AJ796" i="5"/>
  <c r="AK796" i="5"/>
  <c r="AO796" i="5"/>
  <c r="AP796" i="5"/>
  <c r="AX796" i="5" s="1"/>
  <c r="BD796" i="5"/>
  <c r="BJ796" i="5"/>
  <c r="AH796" i="5" s="1"/>
  <c r="BW796" i="5"/>
  <c r="L798" i="5"/>
  <c r="AL798" i="5" s="1"/>
  <c r="O798" i="5"/>
  <c r="BF798" i="5" s="1"/>
  <c r="AF798" i="5"/>
  <c r="AO798" i="5"/>
  <c r="AP798" i="5"/>
  <c r="BD798" i="5"/>
  <c r="BJ798" i="5"/>
  <c r="AH798" i="5" s="1"/>
  <c r="BW798" i="5"/>
  <c r="L800" i="5"/>
  <c r="O800" i="5"/>
  <c r="BF800" i="5" s="1"/>
  <c r="AE800" i="5"/>
  <c r="AF800" i="5"/>
  <c r="AG800" i="5"/>
  <c r="AJ800" i="5"/>
  <c r="AO800" i="5"/>
  <c r="J800" i="5" s="1"/>
  <c r="AP800" i="5"/>
  <c r="AX800" i="5" s="1"/>
  <c r="BD800" i="5"/>
  <c r="BJ800" i="5"/>
  <c r="BW800" i="5"/>
  <c r="L802" i="5"/>
  <c r="AL802" i="5" s="1"/>
  <c r="O802" i="5"/>
  <c r="BF802" i="5" s="1"/>
  <c r="Z802" i="5"/>
  <c r="AE802" i="5"/>
  <c r="AF802" i="5"/>
  <c r="AK802" i="5"/>
  <c r="AO802" i="5"/>
  <c r="AW802" i="5" s="1"/>
  <c r="AP802" i="5"/>
  <c r="BI802" i="5" s="1"/>
  <c r="BD802" i="5"/>
  <c r="BJ802" i="5"/>
  <c r="AH802" i="5" s="1"/>
  <c r="BW802" i="5"/>
  <c r="L805" i="5"/>
  <c r="O805" i="5"/>
  <c r="BF805" i="5" s="1"/>
  <c r="Z805" i="5"/>
  <c r="AF805" i="5"/>
  <c r="AO805" i="5"/>
  <c r="J805" i="5" s="1"/>
  <c r="AP805" i="5"/>
  <c r="AX805" i="5" s="1"/>
  <c r="BD805" i="5"/>
  <c r="BJ805" i="5"/>
  <c r="AH805" i="5" s="1"/>
  <c r="BW805" i="5"/>
  <c r="L807" i="5"/>
  <c r="O807" i="5"/>
  <c r="BF807" i="5" s="1"/>
  <c r="AF807" i="5"/>
  <c r="AK807" i="5"/>
  <c r="AO807" i="5"/>
  <c r="AW807" i="5" s="1"/>
  <c r="AP807" i="5"/>
  <c r="BI807" i="5" s="1"/>
  <c r="BD807" i="5"/>
  <c r="BJ807" i="5"/>
  <c r="AH807" i="5" s="1"/>
  <c r="BW807" i="5"/>
  <c r="L810" i="5"/>
  <c r="AL810" i="5" s="1"/>
  <c r="O810" i="5"/>
  <c r="BF810" i="5" s="1"/>
  <c r="Z810" i="5"/>
  <c r="AE810" i="5"/>
  <c r="AF810" i="5"/>
  <c r="AG810" i="5"/>
  <c r="AJ810" i="5"/>
  <c r="AK810" i="5"/>
  <c r="AO810" i="5"/>
  <c r="J810" i="5" s="1"/>
  <c r="AP810" i="5"/>
  <c r="BD810" i="5"/>
  <c r="BJ810" i="5"/>
  <c r="AH810" i="5" s="1"/>
  <c r="BW810" i="5"/>
  <c r="L813" i="5"/>
  <c r="AL813" i="5" s="1"/>
  <c r="O813" i="5"/>
  <c r="AF813" i="5"/>
  <c r="AJ813" i="5"/>
  <c r="AK813" i="5"/>
  <c r="AO813" i="5"/>
  <c r="AW813" i="5" s="1"/>
  <c r="AP813" i="5"/>
  <c r="BD813" i="5"/>
  <c r="BF813" i="5"/>
  <c r="BJ813" i="5"/>
  <c r="BW813" i="5"/>
  <c r="L815" i="5"/>
  <c r="O815" i="5"/>
  <c r="BF815" i="5" s="1"/>
  <c r="AF815" i="5"/>
  <c r="AG815" i="5"/>
  <c r="AK815" i="5"/>
  <c r="AO815" i="5"/>
  <c r="J815" i="5" s="1"/>
  <c r="AP815" i="5"/>
  <c r="AX815" i="5" s="1"/>
  <c r="BD815" i="5"/>
  <c r="BJ815" i="5"/>
  <c r="BW815" i="5"/>
  <c r="L817" i="5"/>
  <c r="AL817" i="5" s="1"/>
  <c r="O817" i="5"/>
  <c r="BF817" i="5" s="1"/>
  <c r="Z817" i="5"/>
  <c r="AF817" i="5"/>
  <c r="AK817" i="5"/>
  <c r="AO817" i="5"/>
  <c r="AW817" i="5" s="1"/>
  <c r="AP817" i="5"/>
  <c r="BD817" i="5"/>
  <c r="BJ817" i="5"/>
  <c r="AH817" i="5" s="1"/>
  <c r="BW817" i="5"/>
  <c r="L819" i="5"/>
  <c r="O819" i="5"/>
  <c r="BF819" i="5" s="1"/>
  <c r="Z819" i="5"/>
  <c r="AF819" i="5"/>
  <c r="AO819" i="5"/>
  <c r="J819" i="5" s="1"/>
  <c r="AP819" i="5"/>
  <c r="K819" i="5" s="1"/>
  <c r="BD819" i="5"/>
  <c r="BJ819" i="5"/>
  <c r="AH819" i="5" s="1"/>
  <c r="BW819" i="5"/>
  <c r="L821" i="5"/>
  <c r="O821" i="5"/>
  <c r="BF821" i="5" s="1"/>
  <c r="AF821" i="5"/>
  <c r="AJ821" i="5"/>
  <c r="AK821" i="5"/>
  <c r="AO821" i="5"/>
  <c r="AW821" i="5" s="1"/>
  <c r="AP821" i="5"/>
  <c r="AX821" i="5" s="1"/>
  <c r="BD821" i="5"/>
  <c r="BJ821" i="5"/>
  <c r="BW821" i="5"/>
  <c r="L823" i="5"/>
  <c r="AL823" i="5" s="1"/>
  <c r="O823" i="5"/>
  <c r="BF823" i="5" s="1"/>
  <c r="AF823" i="5"/>
  <c r="AJ823" i="5"/>
  <c r="AK823" i="5"/>
  <c r="AO823" i="5"/>
  <c r="J823" i="5" s="1"/>
  <c r="AP823" i="5"/>
  <c r="BI823" i="5" s="1"/>
  <c r="BD823" i="5"/>
  <c r="BJ823" i="5"/>
  <c r="AH823" i="5" s="1"/>
  <c r="BW823" i="5"/>
  <c r="L825" i="5"/>
  <c r="O825" i="5"/>
  <c r="BF825" i="5" s="1"/>
  <c r="AE825" i="5"/>
  <c r="AF825" i="5"/>
  <c r="AO825" i="5"/>
  <c r="AW825" i="5" s="1"/>
  <c r="AP825" i="5"/>
  <c r="AX825" i="5" s="1"/>
  <c r="BD825" i="5"/>
  <c r="BJ825" i="5"/>
  <c r="AH825" i="5" s="1"/>
  <c r="BW825" i="5"/>
  <c r="L827" i="5"/>
  <c r="O827" i="5"/>
  <c r="BF827" i="5" s="1"/>
  <c r="AF827" i="5"/>
  <c r="AG827" i="5"/>
  <c r="AO827" i="5"/>
  <c r="J827" i="5" s="1"/>
  <c r="AP827" i="5"/>
  <c r="AX827" i="5" s="1"/>
  <c r="BD827" i="5"/>
  <c r="BJ827" i="5"/>
  <c r="BW827" i="5"/>
  <c r="L830" i="5"/>
  <c r="O830" i="5"/>
  <c r="BF830" i="5" s="1"/>
  <c r="Z830" i="5"/>
  <c r="AB830" i="5"/>
  <c r="AF830" i="5"/>
  <c r="AO830" i="5"/>
  <c r="AW830" i="5" s="1"/>
  <c r="AP830" i="5"/>
  <c r="AX830" i="5" s="1"/>
  <c r="BD830" i="5"/>
  <c r="BJ830" i="5"/>
  <c r="AH830" i="5" s="1"/>
  <c r="BW830" i="5"/>
  <c r="L832" i="5"/>
  <c r="O832" i="5"/>
  <c r="BF832" i="5" s="1"/>
  <c r="Z832" i="5"/>
  <c r="AB832" i="5"/>
  <c r="AF832" i="5"/>
  <c r="AK832" i="5"/>
  <c r="AO832" i="5"/>
  <c r="J832" i="5" s="1"/>
  <c r="AP832" i="5"/>
  <c r="BI832" i="5" s="1"/>
  <c r="BD832" i="5"/>
  <c r="BJ832" i="5"/>
  <c r="AH832" i="5" s="1"/>
  <c r="BW832" i="5"/>
  <c r="L835" i="5"/>
  <c r="O835" i="5"/>
  <c r="BF835" i="5" s="1"/>
  <c r="AB835" i="5"/>
  <c r="AF835" i="5"/>
  <c r="AK835" i="5"/>
  <c r="AO835" i="5"/>
  <c r="AW835" i="5" s="1"/>
  <c r="AP835" i="5"/>
  <c r="BD835" i="5"/>
  <c r="BJ835" i="5"/>
  <c r="AH835" i="5" s="1"/>
  <c r="BW835" i="5"/>
  <c r="K838" i="5"/>
  <c r="L838" i="5"/>
  <c r="O838" i="5"/>
  <c r="BF838" i="5" s="1"/>
  <c r="Z838" i="5"/>
  <c r="AB838" i="5"/>
  <c r="AF838" i="5"/>
  <c r="AG838" i="5"/>
  <c r="AK838" i="5"/>
  <c r="AO838" i="5"/>
  <c r="J838" i="5" s="1"/>
  <c r="AP838" i="5"/>
  <c r="AX838" i="5" s="1"/>
  <c r="BD838" i="5"/>
  <c r="BJ838" i="5"/>
  <c r="AH838" i="5" s="1"/>
  <c r="BW838" i="5"/>
  <c r="L840" i="5"/>
  <c r="O840" i="5"/>
  <c r="BF840" i="5" s="1"/>
  <c r="Z840" i="5"/>
  <c r="AB840" i="5"/>
  <c r="AC840" i="5"/>
  <c r="AF840" i="5"/>
  <c r="AJ840" i="5"/>
  <c r="AK840" i="5"/>
  <c r="AL840" i="5"/>
  <c r="AO840" i="5"/>
  <c r="AW840" i="5" s="1"/>
  <c r="AP840" i="5"/>
  <c r="AX840" i="5" s="1"/>
  <c r="BD840" i="5"/>
  <c r="BJ840" i="5"/>
  <c r="AH840" i="5" s="1"/>
  <c r="BW840" i="5"/>
  <c r="L844" i="5"/>
  <c r="O844" i="5"/>
  <c r="BF844" i="5" s="1"/>
  <c r="AB844" i="5"/>
  <c r="AF844" i="5"/>
  <c r="AO844" i="5"/>
  <c r="AP844" i="5"/>
  <c r="BD844" i="5"/>
  <c r="BJ844" i="5"/>
  <c r="AH844" i="5" s="1"/>
  <c r="BW844" i="5"/>
  <c r="L848" i="5"/>
  <c r="O848" i="5"/>
  <c r="BF848" i="5" s="1"/>
  <c r="Z848" i="5"/>
  <c r="AB848" i="5"/>
  <c r="AF848" i="5"/>
  <c r="AJ848" i="5"/>
  <c r="AK848" i="5"/>
  <c r="AO848" i="5"/>
  <c r="AW848" i="5" s="1"/>
  <c r="AP848" i="5"/>
  <c r="K848" i="5" s="1"/>
  <c r="BD848" i="5"/>
  <c r="BJ848" i="5"/>
  <c r="AH848" i="5" s="1"/>
  <c r="BW848" i="5"/>
  <c r="L850" i="5"/>
  <c r="AL850" i="5" s="1"/>
  <c r="O850" i="5"/>
  <c r="BF850" i="5" s="1"/>
  <c r="Z850" i="5"/>
  <c r="AB850" i="5"/>
  <c r="AF850" i="5"/>
  <c r="AH850" i="5"/>
  <c r="AJ850" i="5"/>
  <c r="AK850" i="5"/>
  <c r="AO850" i="5"/>
  <c r="J850" i="5" s="1"/>
  <c r="AP850" i="5"/>
  <c r="K850" i="5" s="1"/>
  <c r="BD850" i="5"/>
  <c r="BJ850" i="5"/>
  <c r="BW850" i="5"/>
  <c r="L853" i="5"/>
  <c r="O853" i="5"/>
  <c r="BF853" i="5" s="1"/>
  <c r="Z853" i="5"/>
  <c r="AJ853" i="5"/>
  <c r="AK853" i="5"/>
  <c r="AO853" i="5"/>
  <c r="AP853" i="5"/>
  <c r="BD853" i="5"/>
  <c r="BJ853" i="5"/>
  <c r="AH853" i="5" s="1"/>
  <c r="BW853" i="5"/>
  <c r="L855" i="5"/>
  <c r="AL855" i="5" s="1"/>
  <c r="O855" i="5"/>
  <c r="BF855" i="5" s="1"/>
  <c r="AB855" i="5"/>
  <c r="AF855" i="5"/>
  <c r="AK855" i="5"/>
  <c r="AO855" i="5"/>
  <c r="J855" i="5" s="1"/>
  <c r="AP855" i="5"/>
  <c r="BI855" i="5" s="1"/>
  <c r="AC855" i="5" s="1"/>
  <c r="BD855" i="5"/>
  <c r="BJ855" i="5"/>
  <c r="BW855" i="5"/>
  <c r="L857" i="5"/>
  <c r="O857" i="5"/>
  <c r="BF857" i="5" s="1"/>
  <c r="AB857" i="5"/>
  <c r="AF857" i="5"/>
  <c r="AO857" i="5"/>
  <c r="BH857" i="5" s="1"/>
  <c r="AD857" i="5" s="1"/>
  <c r="AP857" i="5"/>
  <c r="BI857" i="5" s="1"/>
  <c r="BD857" i="5"/>
  <c r="BJ857" i="5"/>
  <c r="AH857" i="5" s="1"/>
  <c r="BW857" i="5"/>
  <c r="L859" i="5"/>
  <c r="AL859" i="5" s="1"/>
  <c r="O859" i="5"/>
  <c r="BF859" i="5" s="1"/>
  <c r="AG859" i="5"/>
  <c r="AH859" i="5"/>
  <c r="AO859" i="5"/>
  <c r="BH859" i="5" s="1"/>
  <c r="AP859" i="5"/>
  <c r="AX859" i="5" s="1"/>
  <c r="BD859" i="5"/>
  <c r="BJ859" i="5"/>
  <c r="Z859" i="5" s="1"/>
  <c r="BW859" i="5"/>
  <c r="L863" i="5"/>
  <c r="O863" i="5"/>
  <c r="AH863" i="5"/>
  <c r="AJ863" i="5"/>
  <c r="AO863" i="5"/>
  <c r="AW863" i="5" s="1"/>
  <c r="AP863" i="5"/>
  <c r="K863" i="5" s="1"/>
  <c r="BD863" i="5"/>
  <c r="BJ863" i="5"/>
  <c r="Z863" i="5" s="1"/>
  <c r="BW863" i="5"/>
  <c r="L868" i="5"/>
  <c r="O868" i="5"/>
  <c r="BF868" i="5" s="1"/>
  <c r="AG868" i="5"/>
  <c r="AO868" i="5"/>
  <c r="AP868" i="5"/>
  <c r="BI868" i="5" s="1"/>
  <c r="AC868" i="5" s="1"/>
  <c r="BD868" i="5"/>
  <c r="BJ868" i="5"/>
  <c r="AH868" i="5" s="1"/>
  <c r="BW868" i="5"/>
  <c r="L873" i="5"/>
  <c r="AL873" i="5" s="1"/>
  <c r="O873" i="5"/>
  <c r="BF873" i="5" s="1"/>
  <c r="Z873" i="5"/>
  <c r="AB873" i="5"/>
  <c r="AC873" i="5"/>
  <c r="AF873" i="5"/>
  <c r="AG873" i="5"/>
  <c r="AH873" i="5"/>
  <c r="AJ873" i="5"/>
  <c r="AK873" i="5"/>
  <c r="AO873" i="5"/>
  <c r="AP873" i="5"/>
  <c r="K873" i="5" s="1"/>
  <c r="BD873" i="5"/>
  <c r="BJ873" i="5"/>
  <c r="BW873" i="5"/>
  <c r="L878" i="5"/>
  <c r="AJ878" i="5" s="1"/>
  <c r="O878" i="5"/>
  <c r="BF878" i="5" s="1"/>
  <c r="AO878" i="5"/>
  <c r="AP878" i="5"/>
  <c r="K878" i="5" s="1"/>
  <c r="BD878" i="5"/>
  <c r="BJ878" i="5"/>
  <c r="AH878" i="5" s="1"/>
  <c r="BW878" i="5"/>
  <c r="L880" i="5"/>
  <c r="O880" i="5"/>
  <c r="BF880" i="5" s="1"/>
  <c r="Z880" i="5"/>
  <c r="AB880" i="5"/>
  <c r="AC880" i="5"/>
  <c r="AF880" i="5"/>
  <c r="AG880" i="5"/>
  <c r="AH880" i="5"/>
  <c r="AJ880" i="5"/>
  <c r="AK880" i="5"/>
  <c r="AO880" i="5"/>
  <c r="J880" i="5" s="1"/>
  <c r="AP880" i="5"/>
  <c r="K880" i="5" s="1"/>
  <c r="BD880" i="5"/>
  <c r="BJ880" i="5"/>
  <c r="BW880" i="5"/>
  <c r="L883" i="5"/>
  <c r="AJ883" i="5" s="1"/>
  <c r="O883" i="5"/>
  <c r="BF883" i="5" s="1"/>
  <c r="AO883" i="5"/>
  <c r="AP883" i="5"/>
  <c r="K883" i="5" s="1"/>
  <c r="BD883" i="5"/>
  <c r="BJ883" i="5"/>
  <c r="AH883" i="5" s="1"/>
  <c r="BW883" i="5"/>
  <c r="L886" i="5"/>
  <c r="O886" i="5"/>
  <c r="BF886" i="5" s="1"/>
  <c r="Z886" i="5"/>
  <c r="AB886" i="5"/>
  <c r="AC886" i="5"/>
  <c r="AF886" i="5"/>
  <c r="AG886" i="5"/>
  <c r="AH886" i="5"/>
  <c r="AJ886" i="5"/>
  <c r="AK886" i="5"/>
  <c r="AL886" i="5"/>
  <c r="AO886" i="5"/>
  <c r="J886" i="5" s="1"/>
  <c r="AP886" i="5"/>
  <c r="BD886" i="5"/>
  <c r="BJ886" i="5"/>
  <c r="BW886" i="5"/>
  <c r="L889" i="5"/>
  <c r="AJ889" i="5" s="1"/>
  <c r="O889" i="5"/>
  <c r="BF889" i="5" s="1"/>
  <c r="AO889" i="5"/>
  <c r="BH889" i="5" s="1"/>
  <c r="AP889" i="5"/>
  <c r="K889" i="5" s="1"/>
  <c r="BD889" i="5"/>
  <c r="BJ889" i="5"/>
  <c r="BW889" i="5"/>
  <c r="L891" i="5"/>
  <c r="O891" i="5"/>
  <c r="BF891" i="5" s="1"/>
  <c r="Z891" i="5"/>
  <c r="AB891" i="5"/>
  <c r="AC891" i="5"/>
  <c r="AF891" i="5"/>
  <c r="AG891" i="5"/>
  <c r="AH891" i="5"/>
  <c r="AJ891" i="5"/>
  <c r="AK891" i="5"/>
  <c r="AO891" i="5"/>
  <c r="J891" i="5" s="1"/>
  <c r="AP891" i="5"/>
  <c r="K891" i="5" s="1"/>
  <c r="BD891" i="5"/>
  <c r="BJ891" i="5"/>
  <c r="BW891" i="5"/>
  <c r="L896" i="5"/>
  <c r="O896" i="5"/>
  <c r="BF896" i="5" s="1"/>
  <c r="AO896" i="5"/>
  <c r="BH896" i="5" s="1"/>
  <c r="AP896" i="5"/>
  <c r="BD896" i="5"/>
  <c r="BJ896" i="5"/>
  <c r="BW896" i="5"/>
  <c r="L899" i="5"/>
  <c r="O899" i="5"/>
  <c r="BF899" i="5" s="1"/>
  <c r="Z899" i="5"/>
  <c r="AB899" i="5"/>
  <c r="AC899" i="5"/>
  <c r="AF899" i="5"/>
  <c r="AG899" i="5"/>
  <c r="AH899" i="5"/>
  <c r="AJ899" i="5"/>
  <c r="AK899" i="5"/>
  <c r="AO899" i="5"/>
  <c r="J899" i="5" s="1"/>
  <c r="AP899" i="5"/>
  <c r="K899" i="5" s="1"/>
  <c r="BD899" i="5"/>
  <c r="BJ899" i="5"/>
  <c r="BW899" i="5"/>
  <c r="L902" i="5"/>
  <c r="O902" i="5"/>
  <c r="BF902" i="5" s="1"/>
  <c r="AO902" i="5"/>
  <c r="AP902" i="5"/>
  <c r="K902" i="5" s="1"/>
  <c r="BD902" i="5"/>
  <c r="BJ902" i="5"/>
  <c r="BW902" i="5"/>
  <c r="L904" i="5"/>
  <c r="AL904" i="5" s="1"/>
  <c r="O904" i="5"/>
  <c r="BF904" i="5" s="1"/>
  <c r="Z904" i="5"/>
  <c r="AB904" i="5"/>
  <c r="AC904" i="5"/>
  <c r="AF904" i="5"/>
  <c r="AG904" i="5"/>
  <c r="AH904" i="5"/>
  <c r="AJ904" i="5"/>
  <c r="AK904" i="5"/>
  <c r="AO904" i="5"/>
  <c r="J904" i="5" s="1"/>
  <c r="AP904" i="5"/>
  <c r="AW904" i="5"/>
  <c r="BD904" i="5"/>
  <c r="BH904" i="5"/>
  <c r="AD904" i="5" s="1"/>
  <c r="BJ904" i="5"/>
  <c r="BW904" i="5"/>
  <c r="L906" i="5"/>
  <c r="O906" i="5"/>
  <c r="BF906" i="5" s="1"/>
  <c r="AO906" i="5"/>
  <c r="J906" i="5" s="1"/>
  <c r="AP906" i="5"/>
  <c r="BD906" i="5"/>
  <c r="BJ906" i="5"/>
  <c r="BW906" i="5"/>
  <c r="L908" i="5"/>
  <c r="AL908" i="5" s="1"/>
  <c r="O908" i="5"/>
  <c r="BF908" i="5" s="1"/>
  <c r="Z908" i="5"/>
  <c r="AB908" i="5"/>
  <c r="AC908" i="5"/>
  <c r="AF908" i="5"/>
  <c r="AG908" i="5"/>
  <c r="AH908" i="5"/>
  <c r="AJ908" i="5"/>
  <c r="AK908" i="5"/>
  <c r="AO908" i="5"/>
  <c r="J908" i="5" s="1"/>
  <c r="AP908" i="5"/>
  <c r="K908" i="5" s="1"/>
  <c r="BD908" i="5"/>
  <c r="BJ908" i="5"/>
  <c r="BW908" i="5"/>
  <c r="L911" i="5"/>
  <c r="O911" i="5"/>
  <c r="BF911" i="5" s="1"/>
  <c r="AO911" i="5"/>
  <c r="AP911" i="5"/>
  <c r="BD911" i="5"/>
  <c r="BJ911" i="5"/>
  <c r="BW911" i="5"/>
  <c r="L913" i="5"/>
  <c r="O913" i="5"/>
  <c r="BF913" i="5" s="1"/>
  <c r="Z913" i="5"/>
  <c r="AB913" i="5"/>
  <c r="AC913" i="5"/>
  <c r="AF913" i="5"/>
  <c r="AG913" i="5"/>
  <c r="AH913" i="5"/>
  <c r="AJ913" i="5"/>
  <c r="AK913" i="5"/>
  <c r="AO913" i="5"/>
  <c r="AP913" i="5"/>
  <c r="K913" i="5" s="1"/>
  <c r="BD913" i="5"/>
  <c r="BJ913" i="5"/>
  <c r="BW913" i="5"/>
  <c r="L915" i="5"/>
  <c r="O915" i="5"/>
  <c r="BF915" i="5" s="1"/>
  <c r="AG915" i="5"/>
  <c r="AO915" i="5"/>
  <c r="AW915" i="5" s="1"/>
  <c r="AP915" i="5"/>
  <c r="AX915" i="5" s="1"/>
  <c r="BD915" i="5"/>
  <c r="BJ915" i="5"/>
  <c r="BW915" i="5"/>
  <c r="L917" i="5"/>
  <c r="AL917" i="5" s="1"/>
  <c r="O917" i="5"/>
  <c r="BF917" i="5" s="1"/>
  <c r="Z917" i="5"/>
  <c r="AB917" i="5"/>
  <c r="AC917" i="5"/>
  <c r="AF917" i="5"/>
  <c r="AG917" i="5"/>
  <c r="AH917" i="5"/>
  <c r="AJ917" i="5"/>
  <c r="AK917" i="5"/>
  <c r="AO917" i="5"/>
  <c r="J917" i="5" s="1"/>
  <c r="AP917" i="5"/>
  <c r="K917" i="5" s="1"/>
  <c r="BD917" i="5"/>
  <c r="BJ917" i="5"/>
  <c r="BW917" i="5"/>
  <c r="L919" i="5"/>
  <c r="O919" i="5"/>
  <c r="BF919" i="5" s="1"/>
  <c r="AF919" i="5"/>
  <c r="AO919" i="5"/>
  <c r="J919" i="5" s="1"/>
  <c r="AP919" i="5"/>
  <c r="AX919" i="5" s="1"/>
  <c r="BD919" i="5"/>
  <c r="BJ919" i="5"/>
  <c r="BW919" i="5"/>
  <c r="L922" i="5"/>
  <c r="O922" i="5"/>
  <c r="BF922" i="5" s="1"/>
  <c r="Z922" i="5"/>
  <c r="AB922" i="5"/>
  <c r="AC922" i="5"/>
  <c r="AF922" i="5"/>
  <c r="AG922" i="5"/>
  <c r="AH922" i="5"/>
  <c r="AJ922" i="5"/>
  <c r="AK922" i="5"/>
  <c r="AO922" i="5"/>
  <c r="J922" i="5" s="1"/>
  <c r="AP922" i="5"/>
  <c r="K922" i="5" s="1"/>
  <c r="BD922" i="5"/>
  <c r="BJ922" i="5"/>
  <c r="BW922" i="5"/>
  <c r="L925" i="5"/>
  <c r="O925" i="5"/>
  <c r="BF925" i="5" s="1"/>
  <c r="AO925" i="5"/>
  <c r="AW925" i="5" s="1"/>
  <c r="AP925" i="5"/>
  <c r="AX925" i="5" s="1"/>
  <c r="BD925" i="5"/>
  <c r="BJ925" i="5"/>
  <c r="BW925" i="5"/>
  <c r="L928" i="5"/>
  <c r="AL928" i="5" s="1"/>
  <c r="O928" i="5"/>
  <c r="BF928" i="5" s="1"/>
  <c r="Z928" i="5"/>
  <c r="AB928" i="5"/>
  <c r="AC928" i="5"/>
  <c r="AF928" i="5"/>
  <c r="AG928" i="5"/>
  <c r="AH928" i="5"/>
  <c r="AJ928" i="5"/>
  <c r="AK928" i="5"/>
  <c r="AO928" i="5"/>
  <c r="J928" i="5" s="1"/>
  <c r="AP928" i="5"/>
  <c r="K928" i="5" s="1"/>
  <c r="BD928" i="5"/>
  <c r="BJ928" i="5"/>
  <c r="BW928" i="5"/>
  <c r="L931" i="5"/>
  <c r="O931" i="5"/>
  <c r="BF931" i="5" s="1"/>
  <c r="AO931" i="5"/>
  <c r="BH931" i="5" s="1"/>
  <c r="AD931" i="5" s="1"/>
  <c r="AP931" i="5"/>
  <c r="AX931" i="5" s="1"/>
  <c r="BD931" i="5"/>
  <c r="BJ931" i="5"/>
  <c r="BW931" i="5"/>
  <c r="L934" i="5"/>
  <c r="O934" i="5"/>
  <c r="BF934" i="5" s="1"/>
  <c r="Z934" i="5"/>
  <c r="AB934" i="5"/>
  <c r="AC934" i="5"/>
  <c r="AF934" i="5"/>
  <c r="AG934" i="5"/>
  <c r="AH934" i="5"/>
  <c r="AJ934" i="5"/>
  <c r="AK934" i="5"/>
  <c r="AO934" i="5"/>
  <c r="AP934" i="5"/>
  <c r="BD934" i="5"/>
  <c r="BJ934" i="5"/>
  <c r="BW934" i="5"/>
  <c r="L937" i="5"/>
  <c r="O937" i="5"/>
  <c r="BF937" i="5" s="1"/>
  <c r="AO937" i="5"/>
  <c r="AP937" i="5"/>
  <c r="BD937" i="5"/>
  <c r="BJ937" i="5"/>
  <c r="BW937" i="5"/>
  <c r="L939" i="5"/>
  <c r="AL939" i="5" s="1"/>
  <c r="O939" i="5"/>
  <c r="BF939" i="5" s="1"/>
  <c r="Z939" i="5"/>
  <c r="AB939" i="5"/>
  <c r="AC939" i="5"/>
  <c r="AF939" i="5"/>
  <c r="AH939" i="5"/>
  <c r="AJ939" i="5"/>
  <c r="AK939" i="5"/>
  <c r="AO939" i="5"/>
  <c r="J939" i="5" s="1"/>
  <c r="AP939" i="5"/>
  <c r="K939" i="5" s="1"/>
  <c r="BD939" i="5"/>
  <c r="BJ939" i="5"/>
  <c r="BW939" i="5"/>
  <c r="L942" i="5"/>
  <c r="O942" i="5"/>
  <c r="BF942" i="5" s="1"/>
  <c r="AG942" i="5"/>
  <c r="AO942" i="5"/>
  <c r="J942" i="5" s="1"/>
  <c r="AP942" i="5"/>
  <c r="AX942" i="5" s="1"/>
  <c r="BD942" i="5"/>
  <c r="BJ942" i="5"/>
  <c r="BW942" i="5"/>
  <c r="L944" i="5"/>
  <c r="AL944" i="5" s="1"/>
  <c r="O944" i="5"/>
  <c r="BF944" i="5" s="1"/>
  <c r="Z944" i="5"/>
  <c r="AB944" i="5"/>
  <c r="AC944" i="5"/>
  <c r="AF944" i="5"/>
  <c r="AH944" i="5"/>
  <c r="AJ944" i="5"/>
  <c r="AK944" i="5"/>
  <c r="AO944" i="5"/>
  <c r="J944" i="5" s="1"/>
  <c r="AP944" i="5"/>
  <c r="K944" i="5" s="1"/>
  <c r="BD944" i="5"/>
  <c r="BJ944" i="5"/>
  <c r="BW944" i="5"/>
  <c r="L947" i="5"/>
  <c r="O947" i="5"/>
  <c r="BF947" i="5" s="1"/>
  <c r="AF947" i="5"/>
  <c r="AO947" i="5"/>
  <c r="J947" i="5" s="1"/>
  <c r="AP947" i="5"/>
  <c r="AX947" i="5" s="1"/>
  <c r="BD947" i="5"/>
  <c r="BJ947" i="5"/>
  <c r="BW947" i="5"/>
  <c r="L950" i="5"/>
  <c r="AL950" i="5" s="1"/>
  <c r="O950" i="5"/>
  <c r="BF950" i="5" s="1"/>
  <c r="Z950" i="5"/>
  <c r="AB950" i="5"/>
  <c r="AC950" i="5"/>
  <c r="AF950" i="5"/>
  <c r="AH950" i="5"/>
  <c r="AJ950" i="5"/>
  <c r="AK950" i="5"/>
  <c r="AO950" i="5"/>
  <c r="J950" i="5" s="1"/>
  <c r="AP950" i="5"/>
  <c r="K950" i="5" s="1"/>
  <c r="BD950" i="5"/>
  <c r="BJ950" i="5"/>
  <c r="BW950" i="5"/>
  <c r="L952" i="5"/>
  <c r="O952" i="5"/>
  <c r="BF952" i="5" s="1"/>
  <c r="AF952" i="5"/>
  <c r="AO952" i="5"/>
  <c r="AW952" i="5" s="1"/>
  <c r="AP952" i="5"/>
  <c r="AX952" i="5" s="1"/>
  <c r="BD952" i="5"/>
  <c r="BJ952" i="5"/>
  <c r="BW952" i="5"/>
  <c r="L954" i="5"/>
  <c r="O954" i="5"/>
  <c r="BF954" i="5" s="1"/>
  <c r="Z954" i="5"/>
  <c r="AB954" i="5"/>
  <c r="AC954" i="5"/>
  <c r="AF954" i="5"/>
  <c r="AH954" i="5"/>
  <c r="AJ954" i="5"/>
  <c r="AK954" i="5"/>
  <c r="AO954" i="5"/>
  <c r="J954" i="5" s="1"/>
  <c r="AP954" i="5"/>
  <c r="K954" i="5" s="1"/>
  <c r="BD954" i="5"/>
  <c r="BJ954" i="5"/>
  <c r="BW954" i="5"/>
  <c r="L956" i="5"/>
  <c r="O956" i="5"/>
  <c r="BF956" i="5" s="1"/>
  <c r="AO956" i="5"/>
  <c r="J956" i="5" s="1"/>
  <c r="AP956" i="5"/>
  <c r="AX956" i="5" s="1"/>
  <c r="BD956" i="5"/>
  <c r="BJ956" i="5"/>
  <c r="BW956" i="5"/>
  <c r="L958" i="5"/>
  <c r="AL958" i="5" s="1"/>
  <c r="O958" i="5"/>
  <c r="BF958" i="5" s="1"/>
  <c r="Z958" i="5"/>
  <c r="AB958" i="5"/>
  <c r="AC958" i="5"/>
  <c r="AF958" i="5"/>
  <c r="AH958" i="5"/>
  <c r="AJ958" i="5"/>
  <c r="AK958" i="5"/>
  <c r="AO958" i="5"/>
  <c r="J958" i="5" s="1"/>
  <c r="AP958" i="5"/>
  <c r="K958" i="5" s="1"/>
  <c r="BD958" i="5"/>
  <c r="BJ958" i="5"/>
  <c r="BW958" i="5"/>
  <c r="L961" i="5"/>
  <c r="O961" i="5"/>
  <c r="BF961" i="5" s="1"/>
  <c r="AO961" i="5"/>
  <c r="AP961" i="5"/>
  <c r="AX961" i="5" s="1"/>
  <c r="BD961" i="5"/>
  <c r="BJ961" i="5"/>
  <c r="BW961" i="5"/>
  <c r="L964" i="5"/>
  <c r="O964" i="5"/>
  <c r="BF964" i="5" s="1"/>
  <c r="Z964" i="5"/>
  <c r="AB964" i="5"/>
  <c r="AC964" i="5"/>
  <c r="AF964" i="5"/>
  <c r="AH964" i="5"/>
  <c r="AJ964" i="5"/>
  <c r="AK964" i="5"/>
  <c r="AO964" i="5"/>
  <c r="J964" i="5" s="1"/>
  <c r="AP964" i="5"/>
  <c r="K964" i="5" s="1"/>
  <c r="BD964" i="5"/>
  <c r="BJ964" i="5"/>
  <c r="BW964" i="5"/>
  <c r="L967" i="5"/>
  <c r="O967" i="5"/>
  <c r="BF967" i="5" s="1"/>
  <c r="AO967" i="5"/>
  <c r="J967" i="5" s="1"/>
  <c r="AP967" i="5"/>
  <c r="AX967" i="5" s="1"/>
  <c r="BD967" i="5"/>
  <c r="BJ967" i="5"/>
  <c r="BW967" i="5"/>
  <c r="L970" i="5"/>
  <c r="AL970" i="5" s="1"/>
  <c r="O970" i="5"/>
  <c r="BF970" i="5" s="1"/>
  <c r="Z970" i="5"/>
  <c r="AB970" i="5"/>
  <c r="AC970" i="5"/>
  <c r="AF970" i="5"/>
  <c r="AH970" i="5"/>
  <c r="AJ970" i="5"/>
  <c r="AK970" i="5"/>
  <c r="AO970" i="5"/>
  <c r="J970" i="5" s="1"/>
  <c r="AP970" i="5"/>
  <c r="K970" i="5" s="1"/>
  <c r="BD970" i="5"/>
  <c r="BJ970" i="5"/>
  <c r="BW970" i="5"/>
  <c r="L972" i="5"/>
  <c r="O972" i="5"/>
  <c r="BF972" i="5" s="1"/>
  <c r="AG972" i="5"/>
  <c r="AO972" i="5"/>
  <c r="BH972" i="5" s="1"/>
  <c r="AP972" i="5"/>
  <c r="AX972" i="5" s="1"/>
  <c r="BD972" i="5"/>
  <c r="BJ972" i="5"/>
  <c r="BW972" i="5"/>
  <c r="L974" i="5"/>
  <c r="AL974" i="5" s="1"/>
  <c r="O974" i="5"/>
  <c r="BF974" i="5" s="1"/>
  <c r="Z974" i="5"/>
  <c r="AB974" i="5"/>
  <c r="AC974" i="5"/>
  <c r="AF974" i="5"/>
  <c r="AH974" i="5"/>
  <c r="AJ974" i="5"/>
  <c r="AK974" i="5"/>
  <c r="AO974" i="5"/>
  <c r="J974" i="5" s="1"/>
  <c r="AP974" i="5"/>
  <c r="K974" i="5" s="1"/>
  <c r="BD974" i="5"/>
  <c r="BJ974" i="5"/>
  <c r="BW974" i="5"/>
  <c r="L975" i="5"/>
  <c r="O975" i="5"/>
  <c r="BF975" i="5" s="1"/>
  <c r="AO975" i="5"/>
  <c r="J975" i="5" s="1"/>
  <c r="AP975" i="5"/>
  <c r="BD975" i="5"/>
  <c r="BJ975" i="5"/>
  <c r="BW975" i="5"/>
  <c r="L977" i="5"/>
  <c r="O977" i="5"/>
  <c r="BF977" i="5" s="1"/>
  <c r="AB977" i="5"/>
  <c r="AC977" i="5"/>
  <c r="AF977" i="5"/>
  <c r="AJ977" i="5"/>
  <c r="AK977" i="5"/>
  <c r="AO977" i="5"/>
  <c r="AP977" i="5"/>
  <c r="BD977" i="5"/>
  <c r="BJ977" i="5"/>
  <c r="BW977" i="5"/>
  <c r="L979" i="5"/>
  <c r="O979" i="5"/>
  <c r="BF979" i="5" s="1"/>
  <c r="AK979" i="5"/>
  <c r="AO979" i="5"/>
  <c r="J979" i="5" s="1"/>
  <c r="AP979" i="5"/>
  <c r="AX979" i="5" s="1"/>
  <c r="BD979" i="5"/>
  <c r="BJ979" i="5"/>
  <c r="BW979" i="5"/>
  <c r="L981" i="5"/>
  <c r="O981" i="5"/>
  <c r="BF981" i="5" s="1"/>
  <c r="Z981" i="5"/>
  <c r="AB981" i="5"/>
  <c r="AC981" i="5"/>
  <c r="AF981" i="5"/>
  <c r="AH981" i="5"/>
  <c r="AK981" i="5"/>
  <c r="AL981" i="5"/>
  <c r="AO981" i="5"/>
  <c r="J981" i="5" s="1"/>
  <c r="AP981" i="5"/>
  <c r="K981" i="5" s="1"/>
  <c r="BD981" i="5"/>
  <c r="BJ981" i="5"/>
  <c r="BW981" i="5"/>
  <c r="L983" i="5"/>
  <c r="O983" i="5"/>
  <c r="BF983" i="5" s="1"/>
  <c r="AK983" i="5"/>
  <c r="AO983" i="5"/>
  <c r="AP983" i="5"/>
  <c r="BD983" i="5"/>
  <c r="BJ983" i="5"/>
  <c r="BW983" i="5"/>
  <c r="L985" i="5"/>
  <c r="O985" i="5"/>
  <c r="BF985" i="5" s="1"/>
  <c r="AB985" i="5"/>
  <c r="AC985" i="5"/>
  <c r="AF985" i="5"/>
  <c r="AH985" i="5"/>
  <c r="AJ985" i="5"/>
  <c r="AK985" i="5"/>
  <c r="AL985" i="5"/>
  <c r="AO985" i="5"/>
  <c r="J985" i="5" s="1"/>
  <c r="AP985" i="5"/>
  <c r="K985" i="5" s="1"/>
  <c r="BD985" i="5"/>
  <c r="BJ985" i="5"/>
  <c r="Z985" i="5" s="1"/>
  <c r="BW985" i="5"/>
  <c r="L987" i="5"/>
  <c r="O987" i="5"/>
  <c r="BF987" i="5" s="1"/>
  <c r="AG987" i="5"/>
  <c r="AK987" i="5"/>
  <c r="AO987" i="5"/>
  <c r="J987" i="5" s="1"/>
  <c r="AP987" i="5"/>
  <c r="AW987" i="5"/>
  <c r="BD987" i="5"/>
  <c r="BJ987" i="5"/>
  <c r="BW987" i="5"/>
  <c r="L990" i="5"/>
  <c r="O990" i="5"/>
  <c r="BF990" i="5" s="1"/>
  <c r="Z990" i="5"/>
  <c r="AB990" i="5"/>
  <c r="AC990" i="5"/>
  <c r="AF990" i="5"/>
  <c r="AK990" i="5"/>
  <c r="AO990" i="5"/>
  <c r="J990" i="5" s="1"/>
  <c r="AP990" i="5"/>
  <c r="K990" i="5" s="1"/>
  <c r="BD990" i="5"/>
  <c r="BJ990" i="5"/>
  <c r="AH990" i="5" s="1"/>
  <c r="BW990" i="5"/>
  <c r="L993" i="5"/>
  <c r="O993" i="5"/>
  <c r="BF993" i="5" s="1"/>
  <c r="AK993" i="5"/>
  <c r="AO993" i="5"/>
  <c r="J993" i="5" s="1"/>
  <c r="AP993" i="5"/>
  <c r="AX993" i="5" s="1"/>
  <c r="BD993" i="5"/>
  <c r="BJ993" i="5"/>
  <c r="BW993" i="5"/>
  <c r="L995" i="5"/>
  <c r="O995" i="5"/>
  <c r="BF995" i="5" s="1"/>
  <c r="Z995" i="5"/>
  <c r="AB995" i="5"/>
  <c r="AC995" i="5"/>
  <c r="AF995" i="5"/>
  <c r="AH995" i="5"/>
  <c r="AK995" i="5"/>
  <c r="AL995" i="5"/>
  <c r="AO995" i="5"/>
  <c r="J995" i="5" s="1"/>
  <c r="AP995" i="5"/>
  <c r="K995" i="5" s="1"/>
  <c r="BD995" i="5"/>
  <c r="BJ995" i="5"/>
  <c r="BW995" i="5"/>
  <c r="L997" i="5"/>
  <c r="O997" i="5"/>
  <c r="BF997" i="5" s="1"/>
  <c r="AK997" i="5"/>
  <c r="AO997" i="5"/>
  <c r="AP997" i="5"/>
  <c r="BD997" i="5"/>
  <c r="BJ997" i="5"/>
  <c r="BW997" i="5"/>
  <c r="L999" i="5"/>
  <c r="O999" i="5"/>
  <c r="BF999" i="5" s="1"/>
  <c r="Z999" i="5"/>
  <c r="AB999" i="5"/>
  <c r="AC999" i="5"/>
  <c r="AF999" i="5"/>
  <c r="AH999" i="5"/>
  <c r="AO999" i="5"/>
  <c r="J999" i="5" s="1"/>
  <c r="AP999" i="5"/>
  <c r="K999" i="5" s="1"/>
  <c r="BD999" i="5"/>
  <c r="BJ999" i="5"/>
  <c r="BW999" i="5"/>
  <c r="L1001" i="5"/>
  <c r="O1001" i="5"/>
  <c r="BF1001" i="5" s="1"/>
  <c r="AK1001" i="5"/>
  <c r="AO1001" i="5"/>
  <c r="BH1001" i="5" s="1"/>
  <c r="AP1001" i="5"/>
  <c r="AX1001" i="5" s="1"/>
  <c r="BD1001" i="5"/>
  <c r="BJ1001" i="5"/>
  <c r="BW1001" i="5"/>
  <c r="L1003" i="5"/>
  <c r="O1003" i="5"/>
  <c r="BF1003" i="5" s="1"/>
  <c r="AB1003" i="5"/>
  <c r="AC1003" i="5"/>
  <c r="AF1003" i="5"/>
  <c r="AH1003" i="5"/>
  <c r="AK1003" i="5"/>
  <c r="AO1003" i="5"/>
  <c r="J1003" i="5" s="1"/>
  <c r="AP1003" i="5"/>
  <c r="K1003" i="5" s="1"/>
  <c r="BD1003" i="5"/>
  <c r="BJ1003" i="5"/>
  <c r="Z1003" i="5" s="1"/>
  <c r="BW1003" i="5"/>
  <c r="L1006" i="5"/>
  <c r="O1006" i="5"/>
  <c r="AK1006" i="5"/>
  <c r="AO1006" i="5"/>
  <c r="AP1006" i="5"/>
  <c r="BI1006" i="5" s="1"/>
  <c r="BD1006" i="5"/>
  <c r="BF1006" i="5"/>
  <c r="BJ1006" i="5"/>
  <c r="BW1006" i="5"/>
  <c r="L1008" i="5"/>
  <c r="O1008" i="5"/>
  <c r="BF1008" i="5" s="1"/>
  <c r="AB1008" i="5"/>
  <c r="AC1008" i="5"/>
  <c r="AF1008" i="5"/>
  <c r="AH1008" i="5"/>
  <c r="AJ1008" i="5"/>
  <c r="AK1008" i="5"/>
  <c r="AL1008" i="5"/>
  <c r="AO1008" i="5"/>
  <c r="AP1008" i="5"/>
  <c r="K1008" i="5" s="1"/>
  <c r="BD1008" i="5"/>
  <c r="BJ1008" i="5"/>
  <c r="Z1008" i="5" s="1"/>
  <c r="BW1008" i="5"/>
  <c r="L1010" i="5"/>
  <c r="O1010" i="5"/>
  <c r="BF1010" i="5" s="1"/>
  <c r="AK1010" i="5"/>
  <c r="AO1010" i="5"/>
  <c r="J1010" i="5" s="1"/>
  <c r="AP1010" i="5"/>
  <c r="AX1010" i="5" s="1"/>
  <c r="BD1010" i="5"/>
  <c r="BJ1010" i="5"/>
  <c r="BW1010" i="5"/>
  <c r="L1012" i="5"/>
  <c r="AL1012" i="5" s="1"/>
  <c r="O1012" i="5"/>
  <c r="BF1012" i="5" s="1"/>
  <c r="AB1012" i="5"/>
  <c r="AC1012" i="5"/>
  <c r="AF1012" i="5"/>
  <c r="AJ1012" i="5"/>
  <c r="AK1012" i="5"/>
  <c r="AO1012" i="5"/>
  <c r="J1012" i="5" s="1"/>
  <c r="AP1012" i="5"/>
  <c r="K1012" i="5" s="1"/>
  <c r="BD1012" i="5"/>
  <c r="BJ1012" i="5"/>
  <c r="BW1012" i="5"/>
  <c r="L1014" i="5"/>
  <c r="O1014" i="5"/>
  <c r="BF1014" i="5" s="1"/>
  <c r="AB1014" i="5"/>
  <c r="AF1014" i="5"/>
  <c r="AK1014" i="5"/>
  <c r="AO1014" i="5"/>
  <c r="BH1014" i="5" s="1"/>
  <c r="AD1014" i="5" s="1"/>
  <c r="AP1014" i="5"/>
  <c r="AX1014" i="5" s="1"/>
  <c r="BD1014" i="5"/>
  <c r="BJ1014" i="5"/>
  <c r="BW1014" i="5"/>
  <c r="L1016" i="5"/>
  <c r="O1016" i="5"/>
  <c r="BF1016" i="5" s="1"/>
  <c r="Z1016" i="5"/>
  <c r="AB1016" i="5"/>
  <c r="AC1016" i="5"/>
  <c r="AF1016" i="5"/>
  <c r="AK1016" i="5"/>
  <c r="AO1016" i="5"/>
  <c r="J1016" i="5" s="1"/>
  <c r="AP1016" i="5"/>
  <c r="K1016" i="5" s="1"/>
  <c r="BD1016" i="5"/>
  <c r="BJ1016" i="5"/>
  <c r="AH1016" i="5" s="1"/>
  <c r="BW1016" i="5"/>
  <c r="L1018" i="5"/>
  <c r="O1018" i="5"/>
  <c r="BF1018" i="5" s="1"/>
  <c r="AK1018" i="5"/>
  <c r="AO1018" i="5"/>
  <c r="J1018" i="5" s="1"/>
  <c r="AP1018" i="5"/>
  <c r="BD1018" i="5"/>
  <c r="BJ1018" i="5"/>
  <c r="BW1018" i="5"/>
  <c r="L1020" i="5"/>
  <c r="AL1020" i="5" s="1"/>
  <c r="O1020" i="5"/>
  <c r="BF1020" i="5" s="1"/>
  <c r="AB1020" i="5"/>
  <c r="AC1020" i="5"/>
  <c r="AF1020" i="5"/>
  <c r="AH1020" i="5"/>
  <c r="AJ1020" i="5"/>
  <c r="AO1020" i="5"/>
  <c r="J1020" i="5" s="1"/>
  <c r="AP1020" i="5"/>
  <c r="BD1020" i="5"/>
  <c r="BH1020" i="5"/>
  <c r="AD1020" i="5" s="1"/>
  <c r="BJ1020" i="5"/>
  <c r="Z1020" i="5" s="1"/>
  <c r="BW1020" i="5"/>
  <c r="L1022" i="5"/>
  <c r="O1022" i="5"/>
  <c r="BF1022" i="5" s="1"/>
  <c r="AK1022" i="5"/>
  <c r="AO1022" i="5"/>
  <c r="AP1022" i="5"/>
  <c r="BD1022" i="5"/>
  <c r="BJ1022" i="5"/>
  <c r="BW1022" i="5"/>
  <c r="L1024" i="5"/>
  <c r="O1024" i="5"/>
  <c r="BF1024" i="5" s="1"/>
  <c r="AB1024" i="5"/>
  <c r="AC1024" i="5"/>
  <c r="AF1024" i="5"/>
  <c r="AH1024" i="5"/>
  <c r="AJ1024" i="5"/>
  <c r="AK1024" i="5"/>
  <c r="AL1024" i="5"/>
  <c r="AO1024" i="5"/>
  <c r="J1024" i="5" s="1"/>
  <c r="AP1024" i="5"/>
  <c r="K1024" i="5" s="1"/>
  <c r="BD1024" i="5"/>
  <c r="BJ1024" i="5"/>
  <c r="Z1024" i="5" s="1"/>
  <c r="BW1024" i="5"/>
  <c r="L1026" i="5"/>
  <c r="AL1026" i="5" s="1"/>
  <c r="O1026" i="5"/>
  <c r="Z1026" i="5"/>
  <c r="AJ1026" i="5"/>
  <c r="AK1026" i="5"/>
  <c r="AO1026" i="5"/>
  <c r="AW1026" i="5" s="1"/>
  <c r="AP1026" i="5"/>
  <c r="BD1026" i="5"/>
  <c r="BF1026" i="5"/>
  <c r="BJ1026" i="5"/>
  <c r="AH1026" i="5" s="1"/>
  <c r="BW1026" i="5"/>
  <c r="L1029" i="5"/>
  <c r="O1029" i="5"/>
  <c r="BF1029" i="5" s="1"/>
  <c r="Z1029" i="5"/>
  <c r="AB1029" i="5"/>
  <c r="AF1029" i="5"/>
  <c r="AG1029" i="5"/>
  <c r="AH1029" i="5"/>
  <c r="AJ1029" i="5"/>
  <c r="AO1029" i="5"/>
  <c r="J1029" i="5" s="1"/>
  <c r="AP1029" i="5"/>
  <c r="K1029" i="5" s="1"/>
  <c r="BD1029" i="5"/>
  <c r="BJ1029" i="5"/>
  <c r="BW1029" i="5"/>
  <c r="L1031" i="5"/>
  <c r="AL1031" i="5" s="1"/>
  <c r="O1031" i="5"/>
  <c r="Z1031" i="5"/>
  <c r="AJ1031" i="5"/>
  <c r="AK1031" i="5"/>
  <c r="AO1031" i="5"/>
  <c r="AP1031" i="5"/>
  <c r="BD1031" i="5"/>
  <c r="BF1031" i="5"/>
  <c r="BJ1031" i="5"/>
  <c r="AH1031" i="5" s="1"/>
  <c r="BW1031" i="5"/>
  <c r="L1033" i="5"/>
  <c r="AK1033" i="5" s="1"/>
  <c r="O1033" i="5"/>
  <c r="BF1033" i="5" s="1"/>
  <c r="Z1033" i="5"/>
  <c r="AB1033" i="5"/>
  <c r="AF1033" i="5"/>
  <c r="AG1033" i="5"/>
  <c r="AH1033" i="5"/>
  <c r="AJ1033" i="5"/>
  <c r="AO1033" i="5"/>
  <c r="J1033" i="5" s="1"/>
  <c r="AP1033" i="5"/>
  <c r="K1033" i="5" s="1"/>
  <c r="BD1033" i="5"/>
  <c r="BJ1033" i="5"/>
  <c r="BW1033" i="5"/>
  <c r="L1035" i="5"/>
  <c r="AL1035" i="5" s="1"/>
  <c r="O1035" i="5"/>
  <c r="Z1035" i="5"/>
  <c r="AC1035" i="5"/>
  <c r="AJ1035" i="5"/>
  <c r="AK1035" i="5"/>
  <c r="AO1035" i="5"/>
  <c r="AW1035" i="5" s="1"/>
  <c r="AP1035" i="5"/>
  <c r="AX1035" i="5" s="1"/>
  <c r="BD1035" i="5"/>
  <c r="BF1035" i="5"/>
  <c r="BJ1035" i="5"/>
  <c r="AH1035" i="5" s="1"/>
  <c r="BW1035" i="5"/>
  <c r="L1037" i="5"/>
  <c r="AK1037" i="5" s="1"/>
  <c r="O1037" i="5"/>
  <c r="Z1037" i="5"/>
  <c r="AB1037" i="5"/>
  <c r="AF1037" i="5"/>
  <c r="AG1037" i="5"/>
  <c r="AH1037" i="5"/>
  <c r="AJ1037" i="5"/>
  <c r="AO1037" i="5"/>
  <c r="J1037" i="5" s="1"/>
  <c r="AP1037" i="5"/>
  <c r="K1037" i="5" s="1"/>
  <c r="BD1037" i="5"/>
  <c r="BJ1037" i="5"/>
  <c r="BW1037" i="5"/>
  <c r="L1039" i="5"/>
  <c r="AL1039" i="5" s="1"/>
  <c r="O1039" i="5"/>
  <c r="BF1039" i="5" s="1"/>
  <c r="Z1039" i="5"/>
  <c r="AJ1039" i="5"/>
  <c r="AK1039" i="5"/>
  <c r="AO1039" i="5"/>
  <c r="AW1039" i="5" s="1"/>
  <c r="AP1039" i="5"/>
  <c r="AX1039" i="5" s="1"/>
  <c r="BD1039" i="5"/>
  <c r="BJ1039" i="5"/>
  <c r="AH1039" i="5" s="1"/>
  <c r="BW1039" i="5"/>
  <c r="L1041" i="5"/>
  <c r="AK1041" i="5" s="1"/>
  <c r="O1041" i="5"/>
  <c r="BF1041" i="5" s="1"/>
  <c r="Z1041" i="5"/>
  <c r="AB1041" i="5"/>
  <c r="AF1041" i="5"/>
  <c r="AG1041" i="5"/>
  <c r="AH1041" i="5"/>
  <c r="AJ1041" i="5"/>
  <c r="AO1041" i="5"/>
  <c r="J1041" i="5" s="1"/>
  <c r="AP1041" i="5"/>
  <c r="K1041" i="5" s="1"/>
  <c r="BD1041" i="5"/>
  <c r="BJ1041" i="5"/>
  <c r="BW1041" i="5"/>
  <c r="L1043" i="5"/>
  <c r="AL1043" i="5" s="1"/>
  <c r="O1043" i="5"/>
  <c r="BF1043" i="5" s="1"/>
  <c r="Z1043" i="5"/>
  <c r="AJ1043" i="5"/>
  <c r="AK1043" i="5"/>
  <c r="AO1043" i="5"/>
  <c r="AW1043" i="5" s="1"/>
  <c r="AP1043" i="5"/>
  <c r="BD1043" i="5"/>
  <c r="BJ1043" i="5"/>
  <c r="AH1043" i="5" s="1"/>
  <c r="BW1043" i="5"/>
  <c r="L1045" i="5"/>
  <c r="AK1045" i="5" s="1"/>
  <c r="O1045" i="5"/>
  <c r="BF1045" i="5" s="1"/>
  <c r="Z1045" i="5"/>
  <c r="AB1045" i="5"/>
  <c r="AF1045" i="5"/>
  <c r="AG1045" i="5"/>
  <c r="AH1045" i="5"/>
  <c r="AJ1045" i="5"/>
  <c r="AO1045" i="5"/>
  <c r="AP1045" i="5"/>
  <c r="K1045" i="5" s="1"/>
  <c r="BD1045" i="5"/>
  <c r="BJ1045" i="5"/>
  <c r="BW1045" i="5"/>
  <c r="L1048" i="5"/>
  <c r="AL1048" i="5" s="1"/>
  <c r="O1048" i="5"/>
  <c r="BF1048" i="5" s="1"/>
  <c r="Z1048" i="5"/>
  <c r="AJ1048" i="5"/>
  <c r="AK1048" i="5"/>
  <c r="AO1048" i="5"/>
  <c r="AP1048" i="5"/>
  <c r="AX1048" i="5" s="1"/>
  <c r="BD1048" i="5"/>
  <c r="BI1048" i="5"/>
  <c r="BJ1048" i="5"/>
  <c r="AH1048" i="5" s="1"/>
  <c r="BW1048" i="5"/>
  <c r="L1050" i="5"/>
  <c r="AK1050" i="5" s="1"/>
  <c r="O1050" i="5"/>
  <c r="BF1050" i="5" s="1"/>
  <c r="Z1050" i="5"/>
  <c r="AB1050" i="5"/>
  <c r="AF1050" i="5"/>
  <c r="AG1050" i="5"/>
  <c r="AH1050" i="5"/>
  <c r="AJ1050" i="5"/>
  <c r="AO1050" i="5"/>
  <c r="J1050" i="5" s="1"/>
  <c r="AP1050" i="5"/>
  <c r="BD1050" i="5"/>
  <c r="BJ1050" i="5"/>
  <c r="BW1050" i="5"/>
  <c r="L1054" i="5"/>
  <c r="O1054" i="5"/>
  <c r="BF1054" i="5" s="1"/>
  <c r="Z1054" i="5"/>
  <c r="AJ1054" i="5"/>
  <c r="AK1054" i="5"/>
  <c r="AO1054" i="5"/>
  <c r="AW1054" i="5" s="1"/>
  <c r="AP1054" i="5"/>
  <c r="AX1054" i="5" s="1"/>
  <c r="BD1054" i="5"/>
  <c r="BH1054" i="5"/>
  <c r="BJ1054" i="5"/>
  <c r="AH1054" i="5" s="1"/>
  <c r="BW1054" i="5"/>
  <c r="L1056" i="5"/>
  <c r="AK1056" i="5" s="1"/>
  <c r="O1056" i="5"/>
  <c r="BF1056" i="5" s="1"/>
  <c r="Z1056" i="5"/>
  <c r="AB1056" i="5"/>
  <c r="AF1056" i="5"/>
  <c r="AG1056" i="5"/>
  <c r="AH1056" i="5"/>
  <c r="AJ1056" i="5"/>
  <c r="AO1056" i="5"/>
  <c r="J1056" i="5" s="1"/>
  <c r="AP1056" i="5"/>
  <c r="K1056" i="5" s="1"/>
  <c r="BD1056" i="5"/>
  <c r="BJ1056" i="5"/>
  <c r="BW1056" i="5"/>
  <c r="L1059" i="5"/>
  <c r="AL1059" i="5" s="1"/>
  <c r="O1059" i="5"/>
  <c r="BF1059" i="5" s="1"/>
  <c r="Z1059" i="5"/>
  <c r="AJ1059" i="5"/>
  <c r="AK1059" i="5"/>
  <c r="AO1059" i="5"/>
  <c r="AW1059" i="5" s="1"/>
  <c r="AP1059" i="5"/>
  <c r="BD1059" i="5"/>
  <c r="BJ1059" i="5"/>
  <c r="AH1059" i="5" s="1"/>
  <c r="BW1059" i="5"/>
  <c r="L1061" i="5"/>
  <c r="AK1061" i="5" s="1"/>
  <c r="O1061" i="5"/>
  <c r="BF1061" i="5" s="1"/>
  <c r="Z1061" i="5"/>
  <c r="AB1061" i="5"/>
  <c r="AF1061" i="5"/>
  <c r="AG1061" i="5"/>
  <c r="AH1061" i="5"/>
  <c r="AJ1061" i="5"/>
  <c r="AO1061" i="5"/>
  <c r="J1061" i="5" s="1"/>
  <c r="AP1061" i="5"/>
  <c r="K1061" i="5" s="1"/>
  <c r="BD1061" i="5"/>
  <c r="BJ1061" i="5"/>
  <c r="BW1061" i="5"/>
  <c r="L1063" i="5"/>
  <c r="O1063" i="5"/>
  <c r="BF1063" i="5" s="1"/>
  <c r="Z1063" i="5"/>
  <c r="AJ1063" i="5"/>
  <c r="AK1063" i="5"/>
  <c r="AO1063" i="5"/>
  <c r="AP1063" i="5"/>
  <c r="BD1063" i="5"/>
  <c r="BJ1063" i="5"/>
  <c r="AH1063" i="5" s="1"/>
  <c r="BW1063" i="5"/>
  <c r="L1067" i="5"/>
  <c r="AK1067" i="5" s="1"/>
  <c r="O1067" i="5"/>
  <c r="Z1067" i="5"/>
  <c r="AB1067" i="5"/>
  <c r="AF1067" i="5"/>
  <c r="AG1067" i="5"/>
  <c r="AH1067" i="5"/>
  <c r="AJ1067" i="5"/>
  <c r="AO1067" i="5"/>
  <c r="J1067" i="5" s="1"/>
  <c r="AP1067" i="5"/>
  <c r="BD1067" i="5"/>
  <c r="BJ1067" i="5"/>
  <c r="BW1067" i="5"/>
  <c r="L1069" i="5"/>
  <c r="O1069" i="5"/>
  <c r="Z1069" i="5"/>
  <c r="AC1069" i="5"/>
  <c r="AJ1069" i="5"/>
  <c r="AK1069" i="5"/>
  <c r="AO1069" i="5"/>
  <c r="AP1069" i="5"/>
  <c r="AX1069" i="5" s="1"/>
  <c r="BD1069" i="5"/>
  <c r="BF1069" i="5"/>
  <c r="BJ1069" i="5"/>
  <c r="AH1069" i="5" s="1"/>
  <c r="BW1069" i="5"/>
  <c r="L1072" i="5"/>
  <c r="AK1072" i="5" s="1"/>
  <c r="O1072" i="5"/>
  <c r="BF1072" i="5" s="1"/>
  <c r="Z1072" i="5"/>
  <c r="AB1072" i="5"/>
  <c r="AF1072" i="5"/>
  <c r="AG1072" i="5"/>
  <c r="AH1072" i="5"/>
  <c r="AJ1072" i="5"/>
  <c r="AO1072" i="5"/>
  <c r="AP1072" i="5"/>
  <c r="K1072" i="5" s="1"/>
  <c r="BD1072" i="5"/>
  <c r="BJ1072" i="5"/>
  <c r="BW1072" i="5"/>
  <c r="L1074" i="5"/>
  <c r="O1074" i="5"/>
  <c r="BF1074" i="5" s="1"/>
  <c r="Z1074" i="5"/>
  <c r="AJ1074" i="5"/>
  <c r="AK1074" i="5"/>
  <c r="AO1074" i="5"/>
  <c r="AP1074" i="5"/>
  <c r="BD1074" i="5"/>
  <c r="BJ1074" i="5"/>
  <c r="AH1074" i="5" s="1"/>
  <c r="BW1074" i="5"/>
  <c r="L1076" i="5"/>
  <c r="AK1076" i="5" s="1"/>
  <c r="O1076" i="5"/>
  <c r="BF1076" i="5" s="1"/>
  <c r="Z1076" i="5"/>
  <c r="AB1076" i="5"/>
  <c r="AF1076" i="5"/>
  <c r="AG1076" i="5"/>
  <c r="AH1076" i="5"/>
  <c r="AJ1076" i="5"/>
  <c r="AO1076" i="5"/>
  <c r="AP1076" i="5"/>
  <c r="BD1076" i="5"/>
  <c r="BJ1076" i="5"/>
  <c r="BW1076" i="5"/>
  <c r="L1081" i="5"/>
  <c r="O1081" i="5"/>
  <c r="Z1081" i="5"/>
  <c r="AJ1081" i="5"/>
  <c r="AK1081" i="5"/>
  <c r="AO1081" i="5"/>
  <c r="AP1081" i="5"/>
  <c r="AX1081" i="5" s="1"/>
  <c r="BD1081" i="5"/>
  <c r="BJ1081" i="5"/>
  <c r="AH1081" i="5" s="1"/>
  <c r="BW1081" i="5"/>
  <c r="L1083" i="5"/>
  <c r="AK1083" i="5" s="1"/>
  <c r="O1083" i="5"/>
  <c r="BF1083" i="5" s="1"/>
  <c r="Z1083" i="5"/>
  <c r="AB1083" i="5"/>
  <c r="AF1083" i="5"/>
  <c r="AG1083" i="5"/>
  <c r="AH1083" i="5"/>
  <c r="AJ1083" i="5"/>
  <c r="AO1083" i="5"/>
  <c r="J1083" i="5" s="1"/>
  <c r="AP1083" i="5"/>
  <c r="K1083" i="5" s="1"/>
  <c r="BD1083" i="5"/>
  <c r="BJ1083" i="5"/>
  <c r="BW1083" i="5"/>
  <c r="L1086" i="5"/>
  <c r="O1086" i="5"/>
  <c r="O1085" i="5" s="1"/>
  <c r="Z1086" i="5"/>
  <c r="AJ1086" i="5"/>
  <c r="AS1085" i="5" s="1"/>
  <c r="AK1086" i="5"/>
  <c r="AT1085" i="5" s="1"/>
  <c r="AO1086" i="5"/>
  <c r="AW1086" i="5" s="1"/>
  <c r="AP1086" i="5"/>
  <c r="AX1086" i="5" s="1"/>
  <c r="BD1086" i="5"/>
  <c r="BJ1086" i="5"/>
  <c r="AH1086" i="5" s="1"/>
  <c r="BW1086" i="5"/>
  <c r="L1089" i="5"/>
  <c r="AK1089" i="5" s="1"/>
  <c r="AT1088" i="5" s="1"/>
  <c r="O1089" i="5"/>
  <c r="AB1089" i="5"/>
  <c r="AF1089" i="5"/>
  <c r="AG1089" i="5"/>
  <c r="AH1089" i="5"/>
  <c r="AJ1089" i="5"/>
  <c r="AS1088" i="5" s="1"/>
  <c r="AO1089" i="5"/>
  <c r="J1089" i="5" s="1"/>
  <c r="J1088" i="5" s="1"/>
  <c r="AP1089" i="5"/>
  <c r="BD1089" i="5"/>
  <c r="BJ1089" i="5"/>
  <c r="Z1089" i="5" s="1"/>
  <c r="BW1089" i="5"/>
  <c r="L1092" i="5"/>
  <c r="O1092" i="5"/>
  <c r="O1091" i="5" s="1"/>
  <c r="AJ1092" i="5"/>
  <c r="AS1091" i="5" s="1"/>
  <c r="AK1092" i="5"/>
  <c r="AT1091" i="5" s="1"/>
  <c r="AO1092" i="5"/>
  <c r="AP1092" i="5"/>
  <c r="BD1092" i="5"/>
  <c r="BJ1092" i="5"/>
  <c r="AH1092" i="5" s="1"/>
  <c r="BW1092" i="5"/>
  <c r="L1095" i="5"/>
  <c r="AK1095" i="5" s="1"/>
  <c r="AT1094" i="5" s="1"/>
  <c r="O1095" i="5"/>
  <c r="BF1095" i="5" s="1"/>
  <c r="AB1095" i="5"/>
  <c r="AF1095" i="5"/>
  <c r="AG1095" i="5"/>
  <c r="AH1095" i="5"/>
  <c r="AJ1095" i="5"/>
  <c r="AS1094" i="5" s="1"/>
  <c r="AO1095" i="5"/>
  <c r="J1095" i="5" s="1"/>
  <c r="J1094" i="5" s="1"/>
  <c r="AP1095" i="5"/>
  <c r="K1095" i="5" s="1"/>
  <c r="K1094" i="5" s="1"/>
  <c r="BD1095" i="5"/>
  <c r="BJ1095" i="5"/>
  <c r="Z1095" i="5" s="1"/>
  <c r="BW1095" i="5"/>
  <c r="L1098" i="5"/>
  <c r="L1097" i="5" s="1"/>
  <c r="O1098" i="5"/>
  <c r="O1097" i="5" s="1"/>
  <c r="AE1098" i="5"/>
  <c r="AJ1098" i="5"/>
  <c r="AS1097" i="5" s="1"/>
  <c r="AK1098" i="5"/>
  <c r="AT1097" i="5" s="1"/>
  <c r="AO1098" i="5"/>
  <c r="AP1098" i="5"/>
  <c r="AX1098" i="5" s="1"/>
  <c r="BD1098" i="5"/>
  <c r="BJ1098" i="5"/>
  <c r="AH1098" i="5" s="1"/>
  <c r="BW1098" i="5"/>
  <c r="L1101" i="5"/>
  <c r="AK1101" i="5" s="1"/>
  <c r="AT1100" i="5" s="1"/>
  <c r="O1101" i="5"/>
  <c r="AB1101" i="5"/>
  <c r="AF1101" i="5"/>
  <c r="AG1101" i="5"/>
  <c r="AH1101" i="5"/>
  <c r="AJ1101" i="5"/>
  <c r="AS1100" i="5" s="1"/>
  <c r="AO1101" i="5"/>
  <c r="J1101" i="5" s="1"/>
  <c r="J1100" i="5" s="1"/>
  <c r="AP1101" i="5"/>
  <c r="BD1101" i="5"/>
  <c r="BJ1101" i="5"/>
  <c r="Z1101" i="5" s="1"/>
  <c r="BW1101" i="5"/>
  <c r="L1104" i="5"/>
  <c r="O1104" i="5"/>
  <c r="O1103" i="5" s="1"/>
  <c r="AJ1104" i="5"/>
  <c r="AS1103" i="5" s="1"/>
  <c r="AK1104" i="5"/>
  <c r="AT1103" i="5" s="1"/>
  <c r="AO1104" i="5"/>
  <c r="AP1104" i="5"/>
  <c r="BD1104" i="5"/>
  <c r="BJ1104" i="5"/>
  <c r="AH1104" i="5" s="1"/>
  <c r="BW1104" i="5"/>
  <c r="L1107" i="5"/>
  <c r="AK1107" i="5" s="1"/>
  <c r="AT1106" i="5" s="1"/>
  <c r="O1107" i="5"/>
  <c r="BF1107" i="5" s="1"/>
  <c r="AB1107" i="5"/>
  <c r="AF1107" i="5"/>
  <c r="AG1107" i="5"/>
  <c r="AH1107" i="5"/>
  <c r="AJ1107" i="5"/>
  <c r="AS1106" i="5" s="1"/>
  <c r="AO1107" i="5"/>
  <c r="J1107" i="5" s="1"/>
  <c r="J1106" i="5" s="1"/>
  <c r="AP1107" i="5"/>
  <c r="K1107" i="5" s="1"/>
  <c r="K1106" i="5" s="1"/>
  <c r="BD1107" i="5"/>
  <c r="BJ1107" i="5"/>
  <c r="Z1107" i="5" s="1"/>
  <c r="BW1107" i="5"/>
  <c r="O1111" i="5"/>
  <c r="BF1111" i="5" s="1"/>
  <c r="L45" i="4" s="1"/>
  <c r="K1111" i="5"/>
  <c r="K1110" i="5" s="1"/>
  <c r="K1109" i="5" s="1"/>
  <c r="BI1111" i="5"/>
  <c r="AC1111" i="5" s="1"/>
  <c r="BW1111" i="5"/>
  <c r="L1115" i="5"/>
  <c r="O1115" i="5"/>
  <c r="O1114" i="5" s="1"/>
  <c r="O1113" i="5" s="1"/>
  <c r="J1115" i="5"/>
  <c r="J1114" i="5" s="1"/>
  <c r="J1113" i="5" s="1"/>
  <c r="AX1115" i="5"/>
  <c r="J47" i="4" s="1"/>
  <c r="BD1115" i="5"/>
  <c r="BH1115" i="5"/>
  <c r="AB1115" i="5" s="1"/>
  <c r="BJ1115" i="5"/>
  <c r="BW1115" i="5"/>
  <c r="J1119" i="5"/>
  <c r="J1118" i="5" s="1"/>
  <c r="J1117" i="5" s="1"/>
  <c r="L1119" i="5"/>
  <c r="L1118" i="5" s="1"/>
  <c r="L1117" i="5" s="1"/>
  <c r="O1119" i="5"/>
  <c r="O1118" i="5" s="1"/>
  <c r="O1117" i="5" s="1"/>
  <c r="AW1119" i="5"/>
  <c r="BI1119" i="5"/>
  <c r="BD1119" i="5"/>
  <c r="BH1119" i="5"/>
  <c r="AB1119" i="5" s="1"/>
  <c r="BJ1119" i="5"/>
  <c r="BW1119" i="5"/>
  <c r="L1123" i="5"/>
  <c r="L1122" i="5" s="1"/>
  <c r="O1123" i="5"/>
  <c r="O1122" i="5" s="1"/>
  <c r="Z1123" i="5"/>
  <c r="AD1123" i="5"/>
  <c r="AJ1123" i="5"/>
  <c r="AS1122" i="5" s="1"/>
  <c r="AK1123" i="5"/>
  <c r="AT1122" i="5" s="1"/>
  <c r="AO1123" i="5"/>
  <c r="AW1123" i="5" s="1"/>
  <c r="AP1123" i="5"/>
  <c r="K1123" i="5" s="1"/>
  <c r="K1122" i="5" s="1"/>
  <c r="BD1123" i="5"/>
  <c r="BF1123" i="5"/>
  <c r="BJ1123" i="5"/>
  <c r="AH1123" i="5" s="1"/>
  <c r="BW1123" i="5"/>
  <c r="L1126" i="5"/>
  <c r="O1126" i="5"/>
  <c r="Z1126" i="5"/>
  <c r="AF1126" i="5"/>
  <c r="AG1126" i="5"/>
  <c r="AJ1126" i="5"/>
  <c r="AO1126" i="5"/>
  <c r="J1126" i="5" s="1"/>
  <c r="AP1126" i="5"/>
  <c r="K1126" i="5" s="1"/>
  <c r="BD1126" i="5"/>
  <c r="BJ1126" i="5"/>
  <c r="AH1126" i="5" s="1"/>
  <c r="BW1126" i="5"/>
  <c r="L1128" i="5"/>
  <c r="O1128" i="5"/>
  <c r="BF1128" i="5" s="1"/>
  <c r="Z1128" i="5"/>
  <c r="AJ1128" i="5"/>
  <c r="AK1128" i="5"/>
  <c r="AO1128" i="5"/>
  <c r="AW1128" i="5" s="1"/>
  <c r="AP1128" i="5"/>
  <c r="AX1128" i="5" s="1"/>
  <c r="BD1128" i="5"/>
  <c r="BJ1128" i="5"/>
  <c r="AH1128" i="5" s="1"/>
  <c r="BW1128" i="5"/>
  <c r="L1131" i="5"/>
  <c r="O1131" i="5"/>
  <c r="BF1131" i="5" s="1"/>
  <c r="Z1131" i="5"/>
  <c r="AF1131" i="5"/>
  <c r="AG1131" i="5"/>
  <c r="AH1131" i="5"/>
  <c r="AJ1131" i="5"/>
  <c r="AS1130" i="5" s="1"/>
  <c r="AO1131" i="5"/>
  <c r="J1131" i="5" s="1"/>
  <c r="J1130" i="5" s="1"/>
  <c r="AP1131" i="5"/>
  <c r="K1131" i="5" s="1"/>
  <c r="K1130" i="5" s="1"/>
  <c r="BD1131" i="5"/>
  <c r="BJ1131" i="5"/>
  <c r="BW1131" i="5"/>
  <c r="L1134" i="5"/>
  <c r="AL1134" i="5" s="1"/>
  <c r="O1134" i="5"/>
  <c r="BF1134" i="5" s="1"/>
  <c r="Z1134" i="5"/>
  <c r="AJ1134" i="5"/>
  <c r="AK1134" i="5"/>
  <c r="AO1134" i="5"/>
  <c r="AW1134" i="5" s="1"/>
  <c r="AP1134" i="5"/>
  <c r="AX1134" i="5" s="1"/>
  <c r="BD1134" i="5"/>
  <c r="BJ1134" i="5"/>
  <c r="AH1134" i="5" s="1"/>
  <c r="BW1134" i="5"/>
  <c r="L1136" i="5"/>
  <c r="O1136" i="5"/>
  <c r="BF1136" i="5" s="1"/>
  <c r="Z1136" i="5"/>
  <c r="AF1136" i="5"/>
  <c r="AG1136" i="5"/>
  <c r="AJ1136" i="5"/>
  <c r="AO1136" i="5"/>
  <c r="J1136" i="5" s="1"/>
  <c r="AP1136" i="5"/>
  <c r="K1136" i="5" s="1"/>
  <c r="BD1136" i="5"/>
  <c r="BJ1136" i="5"/>
  <c r="AH1136" i="5" s="1"/>
  <c r="BW1136" i="5"/>
  <c r="L1138" i="5"/>
  <c r="AL1138" i="5" s="1"/>
  <c r="O1138" i="5"/>
  <c r="BF1138" i="5" s="1"/>
  <c r="Z1138" i="5"/>
  <c r="AJ1138" i="5"/>
  <c r="AK1138" i="5"/>
  <c r="AO1138" i="5"/>
  <c r="AW1138" i="5" s="1"/>
  <c r="AP1138" i="5"/>
  <c r="AX1138" i="5" s="1"/>
  <c r="BD1138" i="5"/>
  <c r="BJ1138" i="5"/>
  <c r="AH1138" i="5" s="1"/>
  <c r="BW1138" i="5"/>
  <c r="L1141" i="5"/>
  <c r="L1140" i="5" s="1"/>
  <c r="O1141" i="5"/>
  <c r="BF1141" i="5" s="1"/>
  <c r="L52" i="4" s="1"/>
  <c r="Z1141" i="5"/>
  <c r="AF1141" i="5"/>
  <c r="AG1141" i="5"/>
  <c r="AH1141" i="5"/>
  <c r="AJ1141" i="5"/>
  <c r="AS1140" i="5" s="1"/>
  <c r="AO1141" i="5"/>
  <c r="J1141" i="5" s="1"/>
  <c r="J1140" i="5" s="1"/>
  <c r="AP1141" i="5"/>
  <c r="K1141" i="5" s="1"/>
  <c r="K1140" i="5" s="1"/>
  <c r="BD1141" i="5"/>
  <c r="BJ1141" i="5"/>
  <c r="BW1141" i="5"/>
  <c r="L1144" i="5"/>
  <c r="AL1144" i="5" s="1"/>
  <c r="O1144" i="5"/>
  <c r="Z1144" i="5"/>
  <c r="AJ1144" i="5"/>
  <c r="AK1144" i="5"/>
  <c r="AO1144" i="5"/>
  <c r="AW1144" i="5" s="1"/>
  <c r="AP1144" i="5"/>
  <c r="BD1144" i="5"/>
  <c r="BF1144" i="5"/>
  <c r="BJ1144" i="5"/>
  <c r="AH1144" i="5" s="1"/>
  <c r="BW1144" i="5"/>
  <c r="L1146" i="5"/>
  <c r="O1146" i="5"/>
  <c r="BF1146" i="5" s="1"/>
  <c r="Z1146" i="5"/>
  <c r="AB1146" i="5"/>
  <c r="AF1146" i="5"/>
  <c r="AG1146" i="5"/>
  <c r="AJ1146" i="5"/>
  <c r="AO1146" i="5"/>
  <c r="J1146" i="5" s="1"/>
  <c r="AP1146" i="5"/>
  <c r="K1146" i="5" s="1"/>
  <c r="BD1146" i="5"/>
  <c r="BJ1146" i="5"/>
  <c r="AH1146" i="5" s="1"/>
  <c r="BW1146" i="5"/>
  <c r="L1148" i="5"/>
  <c r="O1148" i="5"/>
  <c r="BF1148" i="5" s="1"/>
  <c r="Z1148" i="5"/>
  <c r="AC1148" i="5"/>
  <c r="AJ1148" i="5"/>
  <c r="AK1148" i="5"/>
  <c r="AO1148" i="5"/>
  <c r="AW1148" i="5" s="1"/>
  <c r="AP1148" i="5"/>
  <c r="AX1148" i="5" s="1"/>
  <c r="BD1148" i="5"/>
  <c r="BJ1148" i="5"/>
  <c r="AH1148" i="5" s="1"/>
  <c r="BW1148" i="5"/>
  <c r="L1150" i="5"/>
  <c r="O1150" i="5"/>
  <c r="BF1150" i="5" s="1"/>
  <c r="AB1150" i="5"/>
  <c r="AF1150" i="5"/>
  <c r="AG1150" i="5"/>
  <c r="AJ1150" i="5"/>
  <c r="AO1150" i="5"/>
  <c r="AP1150" i="5"/>
  <c r="K1150" i="5" s="1"/>
  <c r="BD1150" i="5"/>
  <c r="BJ1150" i="5"/>
  <c r="BW1150" i="5"/>
  <c r="L1152" i="5"/>
  <c r="O1152" i="5"/>
  <c r="Z1152" i="5"/>
  <c r="AC1152" i="5"/>
  <c r="AJ1152" i="5"/>
  <c r="AK1152" i="5"/>
  <c r="AO1152" i="5"/>
  <c r="AW1152" i="5" s="1"/>
  <c r="AP1152" i="5"/>
  <c r="AX1152" i="5" s="1"/>
  <c r="BD1152" i="5"/>
  <c r="BF1152" i="5"/>
  <c r="BJ1152" i="5"/>
  <c r="AH1152" i="5" s="1"/>
  <c r="BW1152" i="5"/>
  <c r="L1154" i="5"/>
  <c r="O1154" i="5"/>
  <c r="BF1154" i="5" s="1"/>
  <c r="Z1154" i="5"/>
  <c r="AB1154" i="5"/>
  <c r="AF1154" i="5"/>
  <c r="AG1154" i="5"/>
  <c r="AJ1154" i="5"/>
  <c r="AO1154" i="5"/>
  <c r="J1154" i="5" s="1"/>
  <c r="AP1154" i="5"/>
  <c r="K1154" i="5" s="1"/>
  <c r="AX1154" i="5"/>
  <c r="BD1154" i="5"/>
  <c r="BJ1154" i="5"/>
  <c r="AH1154" i="5" s="1"/>
  <c r="BW1154" i="5"/>
  <c r="L1156" i="5"/>
  <c r="AL1156" i="5" s="1"/>
  <c r="O1156" i="5"/>
  <c r="BF1156" i="5" s="1"/>
  <c r="Z1156" i="5"/>
  <c r="AJ1156" i="5"/>
  <c r="AK1156" i="5"/>
  <c r="AO1156" i="5"/>
  <c r="AW1156" i="5" s="1"/>
  <c r="AP1156" i="5"/>
  <c r="AX1156" i="5" s="1"/>
  <c r="BD1156" i="5"/>
  <c r="BJ1156" i="5"/>
  <c r="AH1156" i="5" s="1"/>
  <c r="BW1156" i="5"/>
  <c r="L1158" i="5"/>
  <c r="O1158" i="5"/>
  <c r="BF1158" i="5" s="1"/>
  <c r="Z1158" i="5"/>
  <c r="AB1158" i="5"/>
  <c r="AF1158" i="5"/>
  <c r="AG1158" i="5"/>
  <c r="AJ1158" i="5"/>
  <c r="AO1158" i="5"/>
  <c r="J1158" i="5" s="1"/>
  <c r="AP1158" i="5"/>
  <c r="K1158" i="5" s="1"/>
  <c r="BD1158" i="5"/>
  <c r="BJ1158" i="5"/>
  <c r="AH1158" i="5" s="1"/>
  <c r="BW1158" i="5"/>
  <c r="L1160" i="5"/>
  <c r="O1160" i="5"/>
  <c r="BF1160" i="5" s="1"/>
  <c r="Z1160" i="5"/>
  <c r="AC1160" i="5"/>
  <c r="AJ1160" i="5"/>
  <c r="AK1160" i="5"/>
  <c r="AO1160" i="5"/>
  <c r="AW1160" i="5" s="1"/>
  <c r="AP1160" i="5"/>
  <c r="AX1160" i="5" s="1"/>
  <c r="BD1160" i="5"/>
  <c r="BJ1160" i="5"/>
  <c r="AH1160" i="5" s="1"/>
  <c r="BW1160" i="5"/>
  <c r="L1162" i="5"/>
  <c r="O1162" i="5"/>
  <c r="BF1162" i="5" s="1"/>
  <c r="Z1162" i="5"/>
  <c r="AB1162" i="5"/>
  <c r="AF1162" i="5"/>
  <c r="AG1162" i="5"/>
  <c r="AJ1162" i="5"/>
  <c r="AO1162" i="5"/>
  <c r="J1162" i="5" s="1"/>
  <c r="AP1162" i="5"/>
  <c r="K1162" i="5" s="1"/>
  <c r="BD1162" i="5"/>
  <c r="BJ1162" i="5"/>
  <c r="AH1162" i="5" s="1"/>
  <c r="BW1162" i="5"/>
  <c r="L1164" i="5"/>
  <c r="O1164" i="5"/>
  <c r="BF1164" i="5" s="1"/>
  <c r="Z1164" i="5"/>
  <c r="AJ1164" i="5"/>
  <c r="AK1164" i="5"/>
  <c r="AO1164" i="5"/>
  <c r="AW1164" i="5" s="1"/>
  <c r="AP1164" i="5"/>
  <c r="AX1164" i="5" s="1"/>
  <c r="BD1164" i="5"/>
  <c r="BJ1164" i="5"/>
  <c r="AH1164" i="5" s="1"/>
  <c r="BW1164" i="5"/>
  <c r="L1166" i="5"/>
  <c r="O1166" i="5"/>
  <c r="BF1166" i="5" s="1"/>
  <c r="Z1166" i="5"/>
  <c r="AB1166" i="5"/>
  <c r="AF1166" i="5"/>
  <c r="AG1166" i="5"/>
  <c r="AJ1166" i="5"/>
  <c r="AO1166" i="5"/>
  <c r="J1166" i="5" s="1"/>
  <c r="AP1166" i="5"/>
  <c r="K1166" i="5" s="1"/>
  <c r="BD1166" i="5"/>
  <c r="BJ1166" i="5"/>
  <c r="AH1166" i="5" s="1"/>
  <c r="BW1166" i="5"/>
  <c r="L1168" i="5"/>
  <c r="O1168" i="5"/>
  <c r="Z1168" i="5"/>
  <c r="AC1168" i="5"/>
  <c r="AJ1168" i="5"/>
  <c r="AK1168" i="5"/>
  <c r="AO1168" i="5"/>
  <c r="AW1168" i="5" s="1"/>
  <c r="AP1168" i="5"/>
  <c r="AX1168" i="5" s="1"/>
  <c r="BD1168" i="5"/>
  <c r="BF1168" i="5"/>
  <c r="BJ1168" i="5"/>
  <c r="AH1168" i="5" s="1"/>
  <c r="BW1168" i="5"/>
  <c r="L1170" i="5"/>
  <c r="O1170" i="5"/>
  <c r="BF1170" i="5" s="1"/>
  <c r="Z1170" i="5"/>
  <c r="AB1170" i="5"/>
  <c r="AF1170" i="5"/>
  <c r="AG1170" i="5"/>
  <c r="AJ1170" i="5"/>
  <c r="AO1170" i="5"/>
  <c r="J1170" i="5" s="1"/>
  <c r="AP1170" i="5"/>
  <c r="K1170" i="5" s="1"/>
  <c r="BD1170" i="5"/>
  <c r="BJ1170" i="5"/>
  <c r="AH1170" i="5" s="1"/>
  <c r="BW1170" i="5"/>
  <c r="L1172" i="5"/>
  <c r="O1172" i="5"/>
  <c r="BF1172" i="5" s="1"/>
  <c r="Z1172" i="5"/>
  <c r="AJ1172" i="5"/>
  <c r="AK1172" i="5"/>
  <c r="AO1172" i="5"/>
  <c r="AW1172" i="5" s="1"/>
  <c r="AP1172" i="5"/>
  <c r="BD1172" i="5"/>
  <c r="BJ1172" i="5"/>
  <c r="AH1172" i="5" s="1"/>
  <c r="BW1172" i="5"/>
  <c r="L1174" i="5"/>
  <c r="O1174" i="5"/>
  <c r="BF1174" i="5" s="1"/>
  <c r="AB1174" i="5"/>
  <c r="AF1174" i="5"/>
  <c r="AG1174" i="5"/>
  <c r="AJ1174" i="5"/>
  <c r="AO1174" i="5"/>
  <c r="J1174" i="5" s="1"/>
  <c r="AP1174" i="5"/>
  <c r="K1174" i="5" s="1"/>
  <c r="BD1174" i="5"/>
  <c r="BJ1174" i="5"/>
  <c r="BW1174" i="5"/>
  <c r="L1176" i="5"/>
  <c r="O1176" i="5"/>
  <c r="BF1176" i="5" s="1"/>
  <c r="Z1176" i="5"/>
  <c r="AJ1176" i="5"/>
  <c r="AK1176" i="5"/>
  <c r="AO1176" i="5"/>
  <c r="AW1176" i="5" s="1"/>
  <c r="AP1176" i="5"/>
  <c r="AX1176" i="5" s="1"/>
  <c r="BD1176" i="5"/>
  <c r="BJ1176" i="5"/>
  <c r="AH1176" i="5" s="1"/>
  <c r="BW1176" i="5"/>
  <c r="L1178" i="5"/>
  <c r="O1178" i="5"/>
  <c r="BF1178" i="5" s="1"/>
  <c r="Z1178" i="5"/>
  <c r="AB1178" i="5"/>
  <c r="AF1178" i="5"/>
  <c r="AG1178" i="5"/>
  <c r="AJ1178" i="5"/>
  <c r="AO1178" i="5"/>
  <c r="J1178" i="5" s="1"/>
  <c r="AP1178" i="5"/>
  <c r="K1178" i="5" s="1"/>
  <c r="BD1178" i="5"/>
  <c r="BJ1178" i="5"/>
  <c r="AH1178" i="5" s="1"/>
  <c r="BW1178" i="5"/>
  <c r="L1180" i="5"/>
  <c r="O1180" i="5"/>
  <c r="BF1180" i="5" s="1"/>
  <c r="Z1180" i="5"/>
  <c r="AJ1180" i="5"/>
  <c r="AK1180" i="5"/>
  <c r="AO1180" i="5"/>
  <c r="AW1180" i="5" s="1"/>
  <c r="AP1180" i="5"/>
  <c r="AX1180" i="5" s="1"/>
  <c r="BD1180" i="5"/>
  <c r="BJ1180" i="5"/>
  <c r="AH1180" i="5" s="1"/>
  <c r="BW1180" i="5"/>
  <c r="L1183" i="5"/>
  <c r="O1183" i="5"/>
  <c r="BF1183" i="5" s="1"/>
  <c r="Z1183" i="5"/>
  <c r="AB1183" i="5"/>
  <c r="AF1183" i="5"/>
  <c r="AG1183" i="5"/>
  <c r="AH1183" i="5"/>
  <c r="AJ1183" i="5"/>
  <c r="AO1183" i="5"/>
  <c r="J1183" i="5" s="1"/>
  <c r="AP1183" i="5"/>
  <c r="K1183" i="5" s="1"/>
  <c r="BD1183" i="5"/>
  <c r="BJ1183" i="5"/>
  <c r="BW1183" i="5"/>
  <c r="L1185" i="5"/>
  <c r="O1185" i="5"/>
  <c r="Z1185" i="5"/>
  <c r="AB1185" i="5"/>
  <c r="AJ1185" i="5"/>
  <c r="AK1185" i="5"/>
  <c r="AO1185" i="5"/>
  <c r="AP1185" i="5"/>
  <c r="BD1185" i="5"/>
  <c r="BF1185" i="5"/>
  <c r="BJ1185" i="5"/>
  <c r="AH1185" i="5" s="1"/>
  <c r="BW1185" i="5"/>
  <c r="L1187" i="5"/>
  <c r="O1187" i="5"/>
  <c r="BF1187" i="5" s="1"/>
  <c r="Z1187" i="5"/>
  <c r="AB1187" i="5"/>
  <c r="AF1187" i="5"/>
  <c r="AG1187" i="5"/>
  <c r="AH1187" i="5"/>
  <c r="AJ1187" i="5"/>
  <c r="AO1187" i="5"/>
  <c r="J1187" i="5" s="1"/>
  <c r="AP1187" i="5"/>
  <c r="K1187" i="5" s="1"/>
  <c r="BD1187" i="5"/>
  <c r="BJ1187" i="5"/>
  <c r="BW1187" i="5"/>
  <c r="L1189" i="5"/>
  <c r="O1189" i="5"/>
  <c r="BF1189" i="5" s="1"/>
  <c r="Z1189" i="5"/>
  <c r="AB1189" i="5"/>
  <c r="AJ1189" i="5"/>
  <c r="AK1189" i="5"/>
  <c r="AO1189" i="5"/>
  <c r="AW1189" i="5" s="1"/>
  <c r="AP1189" i="5"/>
  <c r="BD1189" i="5"/>
  <c r="BJ1189" i="5"/>
  <c r="AH1189" i="5" s="1"/>
  <c r="BW1189" i="5"/>
  <c r="L1191" i="5"/>
  <c r="O1191" i="5"/>
  <c r="BF1191" i="5" s="1"/>
  <c r="Z1191" i="5"/>
  <c r="AB1191" i="5"/>
  <c r="AF1191" i="5"/>
  <c r="AG1191" i="5"/>
  <c r="AH1191" i="5"/>
  <c r="AJ1191" i="5"/>
  <c r="AO1191" i="5"/>
  <c r="J1191" i="5" s="1"/>
  <c r="AP1191" i="5"/>
  <c r="K1191" i="5" s="1"/>
  <c r="BD1191" i="5"/>
  <c r="BJ1191" i="5"/>
  <c r="BW1191" i="5"/>
  <c r="L1193" i="5"/>
  <c r="O1193" i="5"/>
  <c r="BF1193" i="5" s="1"/>
  <c r="Z1193" i="5"/>
  <c r="AB1193" i="5"/>
  <c r="AJ1193" i="5"/>
  <c r="AK1193" i="5"/>
  <c r="AO1193" i="5"/>
  <c r="AP1193" i="5"/>
  <c r="BD1193" i="5"/>
  <c r="BJ1193" i="5"/>
  <c r="AH1193" i="5" s="1"/>
  <c r="BW1193" i="5"/>
  <c r="L1195" i="5"/>
  <c r="O1195" i="5"/>
  <c r="BF1195" i="5" s="1"/>
  <c r="Z1195" i="5"/>
  <c r="AB1195" i="5"/>
  <c r="AF1195" i="5"/>
  <c r="AG1195" i="5"/>
  <c r="AH1195" i="5"/>
  <c r="AJ1195" i="5"/>
  <c r="AO1195" i="5"/>
  <c r="J1195" i="5" s="1"/>
  <c r="AP1195" i="5"/>
  <c r="K1195" i="5" s="1"/>
  <c r="BD1195" i="5"/>
  <c r="BJ1195" i="5"/>
  <c r="BW1195" i="5"/>
  <c r="L1197" i="5"/>
  <c r="O1197" i="5"/>
  <c r="Z1197" i="5"/>
  <c r="AB1197" i="5"/>
  <c r="AJ1197" i="5"/>
  <c r="AK1197" i="5"/>
  <c r="AO1197" i="5"/>
  <c r="AW1197" i="5" s="1"/>
  <c r="AP1197" i="5"/>
  <c r="BD1197" i="5"/>
  <c r="BF1197" i="5"/>
  <c r="BJ1197" i="5"/>
  <c r="AH1197" i="5" s="1"/>
  <c r="BW1197" i="5"/>
  <c r="L1199" i="5"/>
  <c r="O1199" i="5"/>
  <c r="BF1199" i="5" s="1"/>
  <c r="Z1199" i="5"/>
  <c r="AB1199" i="5"/>
  <c r="AF1199" i="5"/>
  <c r="AG1199" i="5"/>
  <c r="AH1199" i="5"/>
  <c r="AJ1199" i="5"/>
  <c r="AO1199" i="5"/>
  <c r="J1199" i="5" s="1"/>
  <c r="AP1199" i="5"/>
  <c r="BD1199" i="5"/>
  <c r="BJ1199" i="5"/>
  <c r="BW1199" i="5"/>
  <c r="L1201" i="5"/>
  <c r="O1201" i="5"/>
  <c r="BF1201" i="5" s="1"/>
  <c r="Z1201" i="5"/>
  <c r="AB1201" i="5"/>
  <c r="AJ1201" i="5"/>
  <c r="AK1201" i="5"/>
  <c r="AO1201" i="5"/>
  <c r="AW1201" i="5" s="1"/>
  <c r="AP1201" i="5"/>
  <c r="BD1201" i="5"/>
  <c r="BJ1201" i="5"/>
  <c r="AH1201" i="5" s="1"/>
  <c r="BW1201" i="5"/>
  <c r="L1203" i="5"/>
  <c r="O1203" i="5"/>
  <c r="BF1203" i="5" s="1"/>
  <c r="Z1203" i="5"/>
  <c r="AB1203" i="5"/>
  <c r="AF1203" i="5"/>
  <c r="AG1203" i="5"/>
  <c r="AH1203" i="5"/>
  <c r="AJ1203" i="5"/>
  <c r="AO1203" i="5"/>
  <c r="J1203" i="5" s="1"/>
  <c r="AP1203" i="5"/>
  <c r="K1203" i="5" s="1"/>
  <c r="BD1203" i="5"/>
  <c r="BJ1203" i="5"/>
  <c r="BW1203" i="5"/>
  <c r="L1205" i="5"/>
  <c r="O1205" i="5"/>
  <c r="Z1205" i="5"/>
  <c r="AB1205" i="5"/>
  <c r="AJ1205" i="5"/>
  <c r="AK1205" i="5"/>
  <c r="AO1205" i="5"/>
  <c r="AW1205" i="5" s="1"/>
  <c r="AP1205" i="5"/>
  <c r="BD1205" i="5"/>
  <c r="BF1205" i="5"/>
  <c r="BJ1205" i="5"/>
  <c r="AH1205" i="5" s="1"/>
  <c r="BW1205" i="5"/>
  <c r="L1207" i="5"/>
  <c r="O1207" i="5"/>
  <c r="BF1207" i="5" s="1"/>
  <c r="Z1207" i="5"/>
  <c r="AB1207" i="5"/>
  <c r="AF1207" i="5"/>
  <c r="AG1207" i="5"/>
  <c r="AH1207" i="5"/>
  <c r="AJ1207" i="5"/>
  <c r="AO1207" i="5"/>
  <c r="J1207" i="5" s="1"/>
  <c r="AP1207" i="5"/>
  <c r="K1207" i="5" s="1"/>
  <c r="BD1207" i="5"/>
  <c r="BJ1207" i="5"/>
  <c r="BW1207" i="5"/>
  <c r="L1209" i="5"/>
  <c r="O1209" i="5"/>
  <c r="Z1209" i="5"/>
  <c r="AB1209" i="5"/>
  <c r="AJ1209" i="5"/>
  <c r="AK1209" i="5"/>
  <c r="AO1209" i="5"/>
  <c r="AP1209" i="5"/>
  <c r="BD1209" i="5"/>
  <c r="BF1209" i="5"/>
  <c r="BJ1209" i="5"/>
  <c r="AH1209" i="5" s="1"/>
  <c r="BW1209" i="5"/>
  <c r="L1211" i="5"/>
  <c r="O1211" i="5"/>
  <c r="BF1211" i="5" s="1"/>
  <c r="Z1211" i="5"/>
  <c r="AB1211" i="5"/>
  <c r="AF1211" i="5"/>
  <c r="AG1211" i="5"/>
  <c r="AH1211" i="5"/>
  <c r="AJ1211" i="5"/>
  <c r="AO1211" i="5"/>
  <c r="J1211" i="5" s="1"/>
  <c r="AP1211" i="5"/>
  <c r="K1211" i="5" s="1"/>
  <c r="BD1211" i="5"/>
  <c r="BJ1211" i="5"/>
  <c r="BW1211" i="5"/>
  <c r="L1213" i="5"/>
  <c r="O1213" i="5"/>
  <c r="Z1213" i="5"/>
  <c r="AB1213" i="5"/>
  <c r="AJ1213" i="5"/>
  <c r="AK1213" i="5"/>
  <c r="AO1213" i="5"/>
  <c r="AW1213" i="5" s="1"/>
  <c r="AP1213" i="5"/>
  <c r="BD1213" i="5"/>
  <c r="BF1213" i="5"/>
  <c r="BJ1213" i="5"/>
  <c r="AH1213" i="5" s="1"/>
  <c r="BW1213" i="5"/>
  <c r="L1215" i="5"/>
  <c r="O1215" i="5"/>
  <c r="BF1215" i="5" s="1"/>
  <c r="Z1215" i="5"/>
  <c r="AB1215" i="5"/>
  <c r="AF1215" i="5"/>
  <c r="AG1215" i="5"/>
  <c r="AH1215" i="5"/>
  <c r="AJ1215" i="5"/>
  <c r="AO1215" i="5"/>
  <c r="J1215" i="5" s="1"/>
  <c r="AP1215" i="5"/>
  <c r="BD1215" i="5"/>
  <c r="BJ1215" i="5"/>
  <c r="BW1215" i="5"/>
  <c r="L1217" i="5"/>
  <c r="O1217" i="5"/>
  <c r="BF1217" i="5" s="1"/>
  <c r="Z1217" i="5"/>
  <c r="AB1217" i="5"/>
  <c r="AJ1217" i="5"/>
  <c r="AK1217" i="5"/>
  <c r="AO1217" i="5"/>
  <c r="AW1217" i="5" s="1"/>
  <c r="AP1217" i="5"/>
  <c r="BD1217" i="5"/>
  <c r="BJ1217" i="5"/>
  <c r="AH1217" i="5" s="1"/>
  <c r="BW1217" i="5"/>
  <c r="L1219" i="5"/>
  <c r="O1219" i="5"/>
  <c r="BF1219" i="5" s="1"/>
  <c r="Z1219" i="5"/>
  <c r="AB1219" i="5"/>
  <c r="AF1219" i="5"/>
  <c r="AG1219" i="5"/>
  <c r="AH1219" i="5"/>
  <c r="AJ1219" i="5"/>
  <c r="AO1219" i="5"/>
  <c r="J1219" i="5" s="1"/>
  <c r="AP1219" i="5"/>
  <c r="K1219" i="5" s="1"/>
  <c r="BD1219" i="5"/>
  <c r="BJ1219" i="5"/>
  <c r="BW1219" i="5"/>
  <c r="L1221" i="5"/>
  <c r="O1221" i="5"/>
  <c r="Z1221" i="5"/>
  <c r="AB1221" i="5"/>
  <c r="AJ1221" i="5"/>
  <c r="AK1221" i="5"/>
  <c r="AO1221" i="5"/>
  <c r="AW1221" i="5" s="1"/>
  <c r="AP1221" i="5"/>
  <c r="BD1221" i="5"/>
  <c r="BF1221" i="5"/>
  <c r="BJ1221" i="5"/>
  <c r="AH1221" i="5" s="1"/>
  <c r="BW1221" i="5"/>
  <c r="L1223" i="5"/>
  <c r="O1223" i="5"/>
  <c r="BF1223" i="5" s="1"/>
  <c r="Z1223" i="5"/>
  <c r="AB1223" i="5"/>
  <c r="AF1223" i="5"/>
  <c r="AG1223" i="5"/>
  <c r="AH1223" i="5"/>
  <c r="AJ1223" i="5"/>
  <c r="AO1223" i="5"/>
  <c r="J1223" i="5" s="1"/>
  <c r="AP1223" i="5"/>
  <c r="BD1223" i="5"/>
  <c r="BJ1223" i="5"/>
  <c r="BW1223" i="5"/>
  <c r="L1225" i="5"/>
  <c r="O1225" i="5"/>
  <c r="Z1225" i="5"/>
  <c r="AB1225" i="5"/>
  <c r="AJ1225" i="5"/>
  <c r="AK1225" i="5"/>
  <c r="AO1225" i="5"/>
  <c r="AW1225" i="5" s="1"/>
  <c r="AP1225" i="5"/>
  <c r="BD1225" i="5"/>
  <c r="BF1225" i="5"/>
  <c r="BJ1225" i="5"/>
  <c r="AH1225" i="5" s="1"/>
  <c r="BW1225" i="5"/>
  <c r="L1227" i="5"/>
  <c r="O1227" i="5"/>
  <c r="BF1227" i="5" s="1"/>
  <c r="Z1227" i="5"/>
  <c r="AB1227" i="5"/>
  <c r="AF1227" i="5"/>
  <c r="AG1227" i="5"/>
  <c r="AH1227" i="5"/>
  <c r="AJ1227" i="5"/>
  <c r="AO1227" i="5"/>
  <c r="J1227" i="5" s="1"/>
  <c r="AP1227" i="5"/>
  <c r="K1227" i="5" s="1"/>
  <c r="BD1227" i="5"/>
  <c r="BJ1227" i="5"/>
  <c r="BW1227" i="5"/>
  <c r="L1229" i="5"/>
  <c r="O1229" i="5"/>
  <c r="Z1229" i="5"/>
  <c r="AB1229" i="5"/>
  <c r="AJ1229" i="5"/>
  <c r="AK1229" i="5"/>
  <c r="AO1229" i="5"/>
  <c r="AW1229" i="5" s="1"/>
  <c r="AP1229" i="5"/>
  <c r="BD1229" i="5"/>
  <c r="BF1229" i="5"/>
  <c r="BJ1229" i="5"/>
  <c r="AH1229" i="5" s="1"/>
  <c r="BW1229" i="5"/>
  <c r="L1231" i="5"/>
  <c r="O1231" i="5"/>
  <c r="BF1231" i="5" s="1"/>
  <c r="AB1231" i="5"/>
  <c r="AF1231" i="5"/>
  <c r="AJ1231" i="5"/>
  <c r="AO1231" i="5"/>
  <c r="J1231" i="5" s="1"/>
  <c r="AP1231" i="5"/>
  <c r="BI1231" i="5" s="1"/>
  <c r="AE1231" i="5" s="1"/>
  <c r="BD1231" i="5"/>
  <c r="BJ1231" i="5"/>
  <c r="AH1231" i="5" s="1"/>
  <c r="BW1231" i="5"/>
  <c r="L1233" i="5"/>
  <c r="AL1233" i="5" s="1"/>
  <c r="O1233" i="5"/>
  <c r="BF1233" i="5" s="1"/>
  <c r="Z1233" i="5"/>
  <c r="AJ1233" i="5"/>
  <c r="AK1233" i="5"/>
  <c r="AO1233" i="5"/>
  <c r="AP1233" i="5"/>
  <c r="AX1233" i="5" s="1"/>
  <c r="BD1233" i="5"/>
  <c r="BJ1233" i="5"/>
  <c r="AH1233" i="5" s="1"/>
  <c r="BW1233" i="5"/>
  <c r="L1235" i="5"/>
  <c r="O1235" i="5"/>
  <c r="AB1235" i="5"/>
  <c r="AF1235" i="5"/>
  <c r="AH1235" i="5"/>
  <c r="AJ1235" i="5"/>
  <c r="AO1235" i="5"/>
  <c r="J1235" i="5" s="1"/>
  <c r="AP1235" i="5"/>
  <c r="K1235" i="5" s="1"/>
  <c r="BD1235" i="5"/>
  <c r="BJ1235" i="5"/>
  <c r="Z1235" i="5" s="1"/>
  <c r="BW1235" i="5"/>
  <c r="L1237" i="5"/>
  <c r="O1237" i="5"/>
  <c r="BF1237" i="5" s="1"/>
  <c r="Z1237" i="5"/>
  <c r="AJ1237" i="5"/>
  <c r="AK1237" i="5"/>
  <c r="AO1237" i="5"/>
  <c r="AP1237" i="5"/>
  <c r="BD1237" i="5"/>
  <c r="BJ1237" i="5"/>
  <c r="AH1237" i="5" s="1"/>
  <c r="BW1237" i="5"/>
  <c r="L1239" i="5"/>
  <c r="O1239" i="5"/>
  <c r="BF1239" i="5" s="1"/>
  <c r="AB1239" i="5"/>
  <c r="AF1239" i="5"/>
  <c r="AJ1239" i="5"/>
  <c r="AO1239" i="5"/>
  <c r="J1239" i="5" s="1"/>
  <c r="AP1239" i="5"/>
  <c r="BI1239" i="5" s="1"/>
  <c r="BD1239" i="5"/>
  <c r="BJ1239" i="5"/>
  <c r="Z1239" i="5" s="1"/>
  <c r="BW1239" i="5"/>
  <c r="L1241" i="5"/>
  <c r="AL1241" i="5" s="1"/>
  <c r="O1241" i="5"/>
  <c r="BF1241" i="5" s="1"/>
  <c r="Z1241" i="5"/>
  <c r="AJ1241" i="5"/>
  <c r="AK1241" i="5"/>
  <c r="AO1241" i="5"/>
  <c r="AP1241" i="5"/>
  <c r="AX1241" i="5" s="1"/>
  <c r="BD1241" i="5"/>
  <c r="BJ1241" i="5"/>
  <c r="AH1241" i="5" s="1"/>
  <c r="BW1241" i="5"/>
  <c r="L1243" i="5"/>
  <c r="O1243" i="5"/>
  <c r="BF1243" i="5" s="1"/>
  <c r="Z1243" i="5"/>
  <c r="AB1243" i="5"/>
  <c r="AF1243" i="5"/>
  <c r="AO1243" i="5"/>
  <c r="J1243" i="5" s="1"/>
  <c r="AP1243" i="5"/>
  <c r="AX1243" i="5" s="1"/>
  <c r="BD1243" i="5"/>
  <c r="BJ1243" i="5"/>
  <c r="AH1243" i="5" s="1"/>
  <c r="BW1243" i="5"/>
  <c r="L1245" i="5"/>
  <c r="O1245" i="5"/>
  <c r="BF1245" i="5" s="1"/>
  <c r="Z1245" i="5"/>
  <c r="AJ1245" i="5"/>
  <c r="AK1245" i="5"/>
  <c r="AO1245" i="5"/>
  <c r="AW1245" i="5" s="1"/>
  <c r="AP1245" i="5"/>
  <c r="AX1245" i="5" s="1"/>
  <c r="BD1245" i="5"/>
  <c r="BJ1245" i="5"/>
  <c r="AH1245" i="5" s="1"/>
  <c r="BW1245" i="5"/>
  <c r="L1246" i="5"/>
  <c r="O1246" i="5"/>
  <c r="BF1246" i="5" s="1"/>
  <c r="Z1246" i="5"/>
  <c r="AB1246" i="5"/>
  <c r="AF1246" i="5"/>
  <c r="AH1246" i="5"/>
  <c r="AO1246" i="5"/>
  <c r="AW1246" i="5" s="1"/>
  <c r="AP1246" i="5"/>
  <c r="BD1246" i="5"/>
  <c r="BJ1246" i="5"/>
  <c r="BW1246" i="5"/>
  <c r="L1248" i="5"/>
  <c r="AL1248" i="5" s="1"/>
  <c r="O1248" i="5"/>
  <c r="BF1248" i="5" s="1"/>
  <c r="Z1248" i="5"/>
  <c r="AC1248" i="5"/>
  <c r="AJ1248" i="5"/>
  <c r="AK1248" i="5"/>
  <c r="AO1248" i="5"/>
  <c r="AP1248" i="5"/>
  <c r="AX1248" i="5" s="1"/>
  <c r="BD1248" i="5"/>
  <c r="BJ1248" i="5"/>
  <c r="AH1248" i="5" s="1"/>
  <c r="BW1248" i="5"/>
  <c r="L1251" i="5"/>
  <c r="O1251" i="5"/>
  <c r="BF1251" i="5" s="1"/>
  <c r="AB1251" i="5"/>
  <c r="AF1251" i="5"/>
  <c r="AH1251" i="5"/>
  <c r="AO1251" i="5"/>
  <c r="AP1251" i="5"/>
  <c r="K1251" i="5" s="1"/>
  <c r="BD1251" i="5"/>
  <c r="BJ1251" i="5"/>
  <c r="Z1251" i="5" s="1"/>
  <c r="BW1251" i="5"/>
  <c r="L1253" i="5"/>
  <c r="O1253" i="5"/>
  <c r="BF1253" i="5" s="1"/>
  <c r="Z1253" i="5"/>
  <c r="AJ1253" i="5"/>
  <c r="AK1253" i="5"/>
  <c r="AO1253" i="5"/>
  <c r="AW1253" i="5" s="1"/>
  <c r="AP1253" i="5"/>
  <c r="AX1253" i="5" s="1"/>
  <c r="BD1253" i="5"/>
  <c r="BJ1253" i="5"/>
  <c r="AH1253" i="5" s="1"/>
  <c r="BW1253" i="5"/>
  <c r="L1255" i="5"/>
  <c r="O1255" i="5"/>
  <c r="BF1255" i="5" s="1"/>
  <c r="Z1255" i="5"/>
  <c r="AB1255" i="5"/>
  <c r="AF1255" i="5"/>
  <c r="AJ1255" i="5"/>
  <c r="AO1255" i="5"/>
  <c r="J1255" i="5" s="1"/>
  <c r="AP1255" i="5"/>
  <c r="BI1255" i="5" s="1"/>
  <c r="BD1255" i="5"/>
  <c r="BJ1255" i="5"/>
  <c r="AH1255" i="5" s="1"/>
  <c r="BW1255" i="5"/>
  <c r="L1257" i="5"/>
  <c r="AL1257" i="5" s="1"/>
  <c r="O1257" i="5"/>
  <c r="BF1257" i="5" s="1"/>
  <c r="Z1257" i="5"/>
  <c r="AJ1257" i="5"/>
  <c r="AK1257" i="5"/>
  <c r="AO1257" i="5"/>
  <c r="AW1257" i="5" s="1"/>
  <c r="AP1257" i="5"/>
  <c r="BD1257" i="5"/>
  <c r="BJ1257" i="5"/>
  <c r="AH1257" i="5" s="1"/>
  <c r="BW1257" i="5"/>
  <c r="L1259" i="5"/>
  <c r="O1259" i="5"/>
  <c r="BF1259" i="5" s="1"/>
  <c r="AB1259" i="5"/>
  <c r="AF1259" i="5"/>
  <c r="AG1259" i="5"/>
  <c r="AH1259" i="5"/>
  <c r="AO1259" i="5"/>
  <c r="J1259" i="5" s="1"/>
  <c r="AP1259" i="5"/>
  <c r="AX1259" i="5" s="1"/>
  <c r="BD1259" i="5"/>
  <c r="BJ1259" i="5"/>
  <c r="Z1259" i="5" s="1"/>
  <c r="BW1259" i="5"/>
  <c r="L1261" i="5"/>
  <c r="O1261" i="5"/>
  <c r="Z1261" i="5"/>
  <c r="AB1261" i="5"/>
  <c r="AJ1261" i="5"/>
  <c r="AK1261" i="5"/>
  <c r="AO1261" i="5"/>
  <c r="AW1261" i="5" s="1"/>
  <c r="AP1261" i="5"/>
  <c r="BD1261" i="5"/>
  <c r="BF1261" i="5"/>
  <c r="BJ1261" i="5"/>
  <c r="AH1261" i="5" s="1"/>
  <c r="BW1261" i="5"/>
  <c r="L1263" i="5"/>
  <c r="O1263" i="5"/>
  <c r="BF1263" i="5" s="1"/>
  <c r="AB1263" i="5"/>
  <c r="AF1263" i="5"/>
  <c r="AJ1263" i="5"/>
  <c r="AO1263" i="5"/>
  <c r="J1263" i="5" s="1"/>
  <c r="AP1263" i="5"/>
  <c r="BI1263" i="5" s="1"/>
  <c r="BD1263" i="5"/>
  <c r="BJ1263" i="5"/>
  <c r="AH1263" i="5" s="1"/>
  <c r="BW1263" i="5"/>
  <c r="L1266" i="5"/>
  <c r="AL1266" i="5" s="1"/>
  <c r="O1266" i="5"/>
  <c r="Z1266" i="5"/>
  <c r="AB1266" i="5"/>
  <c r="AJ1266" i="5"/>
  <c r="AK1266" i="5"/>
  <c r="AO1266" i="5"/>
  <c r="AW1266" i="5" s="1"/>
  <c r="AP1266" i="5"/>
  <c r="BI1266" i="5" s="1"/>
  <c r="BD1266" i="5"/>
  <c r="BF1266" i="5"/>
  <c r="BJ1266" i="5"/>
  <c r="AH1266" i="5" s="1"/>
  <c r="BW1266" i="5"/>
  <c r="L1268" i="5"/>
  <c r="O1268" i="5"/>
  <c r="BF1268" i="5" s="1"/>
  <c r="Z1268" i="5"/>
  <c r="AF1268" i="5"/>
  <c r="AH1268" i="5"/>
  <c r="AJ1268" i="5"/>
  <c r="AO1268" i="5"/>
  <c r="AP1268" i="5"/>
  <c r="BD1268" i="5"/>
  <c r="BJ1268" i="5"/>
  <c r="BW1268" i="5"/>
  <c r="L1271" i="5"/>
  <c r="O1271" i="5"/>
  <c r="Z1271" i="5"/>
  <c r="AC1271" i="5"/>
  <c r="AJ1271" i="5"/>
  <c r="AS1270" i="5" s="1"/>
  <c r="AK1271" i="5"/>
  <c r="AT1270" i="5" s="1"/>
  <c r="AO1271" i="5"/>
  <c r="AP1271" i="5"/>
  <c r="AX1271" i="5" s="1"/>
  <c r="BD1271" i="5"/>
  <c r="BJ1271" i="5"/>
  <c r="AH1271" i="5" s="1"/>
  <c r="BW1271" i="5"/>
  <c r="L1274" i="5"/>
  <c r="O1274" i="5"/>
  <c r="BF1274" i="5" s="1"/>
  <c r="Z1274" i="5"/>
  <c r="AF1274" i="5"/>
  <c r="AH1274" i="5"/>
  <c r="AJ1274" i="5"/>
  <c r="AO1274" i="5"/>
  <c r="J1274" i="5" s="1"/>
  <c r="AP1274" i="5"/>
  <c r="BI1274" i="5" s="1"/>
  <c r="BD1274" i="5"/>
  <c r="BJ1274" i="5"/>
  <c r="BW1274" i="5"/>
  <c r="L1276" i="5"/>
  <c r="O1276" i="5"/>
  <c r="BF1276" i="5" s="1"/>
  <c r="Z1276" i="5"/>
  <c r="AJ1276" i="5"/>
  <c r="AK1276" i="5"/>
  <c r="AO1276" i="5"/>
  <c r="AP1276" i="5"/>
  <c r="BD1276" i="5"/>
  <c r="BJ1276" i="5"/>
  <c r="AH1276" i="5" s="1"/>
  <c r="BW1276" i="5"/>
  <c r="L1278" i="5"/>
  <c r="O1278" i="5"/>
  <c r="BF1278" i="5" s="1"/>
  <c r="Z1278" i="5"/>
  <c r="AF1278" i="5"/>
  <c r="AG1278" i="5"/>
  <c r="AH1278" i="5"/>
  <c r="AJ1278" i="5"/>
  <c r="AO1278" i="5"/>
  <c r="J1278" i="5" s="1"/>
  <c r="AP1278" i="5"/>
  <c r="BD1278" i="5"/>
  <c r="BJ1278" i="5"/>
  <c r="BW1278" i="5"/>
  <c r="L1280" i="5"/>
  <c r="AL1280" i="5" s="1"/>
  <c r="O1280" i="5"/>
  <c r="BF1280" i="5" s="1"/>
  <c r="Z1280" i="5"/>
  <c r="AB1280" i="5"/>
  <c r="AJ1280" i="5"/>
  <c r="AK1280" i="5"/>
  <c r="AO1280" i="5"/>
  <c r="AW1280" i="5" s="1"/>
  <c r="AP1280" i="5"/>
  <c r="BD1280" i="5"/>
  <c r="BJ1280" i="5"/>
  <c r="AH1280" i="5" s="1"/>
  <c r="BW1280" i="5"/>
  <c r="L1282" i="5"/>
  <c r="O1282" i="5"/>
  <c r="BF1282" i="5" s="1"/>
  <c r="Z1282" i="5"/>
  <c r="AF1282" i="5"/>
  <c r="AH1282" i="5"/>
  <c r="AJ1282" i="5"/>
  <c r="AO1282" i="5"/>
  <c r="J1282" i="5" s="1"/>
  <c r="AP1282" i="5"/>
  <c r="K1282" i="5" s="1"/>
  <c r="BD1282" i="5"/>
  <c r="BJ1282" i="5"/>
  <c r="BW1282" i="5"/>
  <c r="L1284" i="5"/>
  <c r="O1284" i="5"/>
  <c r="BF1284" i="5" s="1"/>
  <c r="Z1284" i="5"/>
  <c r="AJ1284" i="5"/>
  <c r="AK1284" i="5"/>
  <c r="AO1284" i="5"/>
  <c r="AW1284" i="5" s="1"/>
  <c r="AP1284" i="5"/>
  <c r="AX1284" i="5" s="1"/>
  <c r="BD1284" i="5"/>
  <c r="BJ1284" i="5"/>
  <c r="AH1284" i="5" s="1"/>
  <c r="BW1284" i="5"/>
  <c r="L1286" i="5"/>
  <c r="O1286" i="5"/>
  <c r="AF1286" i="5"/>
  <c r="AJ1286" i="5"/>
  <c r="AO1286" i="5"/>
  <c r="AP1286" i="5"/>
  <c r="AX1286" i="5" s="1"/>
  <c r="BD1286" i="5"/>
  <c r="BJ1286" i="5"/>
  <c r="BW1286" i="5"/>
  <c r="L1288" i="5"/>
  <c r="O1288" i="5"/>
  <c r="BF1288" i="5" s="1"/>
  <c r="Z1288" i="5"/>
  <c r="AJ1288" i="5"/>
  <c r="AK1288" i="5"/>
  <c r="AO1288" i="5"/>
  <c r="AW1288" i="5" s="1"/>
  <c r="AP1288" i="5"/>
  <c r="AX1288" i="5" s="1"/>
  <c r="BD1288" i="5"/>
  <c r="BJ1288" i="5"/>
  <c r="AH1288" i="5" s="1"/>
  <c r="BW1288" i="5"/>
  <c r="L1290" i="5"/>
  <c r="O1290" i="5"/>
  <c r="BF1290" i="5" s="1"/>
  <c r="Z1290" i="5"/>
  <c r="AF1290" i="5"/>
  <c r="AH1290" i="5"/>
  <c r="AJ1290" i="5"/>
  <c r="AO1290" i="5"/>
  <c r="AW1290" i="5" s="1"/>
  <c r="AP1290" i="5"/>
  <c r="BI1290" i="5" s="1"/>
  <c r="BD1290" i="5"/>
  <c r="BJ1290" i="5"/>
  <c r="BW1290" i="5"/>
  <c r="L1292" i="5"/>
  <c r="AL1292" i="5" s="1"/>
  <c r="O1292" i="5"/>
  <c r="BF1292" i="5" s="1"/>
  <c r="Z1292" i="5"/>
  <c r="AB1292" i="5"/>
  <c r="AJ1292" i="5"/>
  <c r="AK1292" i="5"/>
  <c r="AO1292" i="5"/>
  <c r="BH1292" i="5" s="1"/>
  <c r="AF1292" i="5" s="1"/>
  <c r="AP1292" i="5"/>
  <c r="K1292" i="5" s="1"/>
  <c r="BD1292" i="5"/>
  <c r="BJ1292" i="5"/>
  <c r="AH1292" i="5" s="1"/>
  <c r="BW1292" i="5"/>
  <c r="L1294" i="5"/>
  <c r="AL1294" i="5" s="1"/>
  <c r="O1294" i="5"/>
  <c r="BF1294" i="5" s="1"/>
  <c r="Z1294" i="5"/>
  <c r="AF1294" i="5"/>
  <c r="AJ1294" i="5"/>
  <c r="AK1294" i="5"/>
  <c r="AO1294" i="5"/>
  <c r="J1294" i="5" s="1"/>
  <c r="AP1294" i="5"/>
  <c r="AX1294" i="5" s="1"/>
  <c r="BD1294" i="5"/>
  <c r="BJ1294" i="5"/>
  <c r="AH1294" i="5" s="1"/>
  <c r="BW1294" i="5"/>
  <c r="L1296" i="5"/>
  <c r="O1296" i="5"/>
  <c r="BF1296" i="5" s="1"/>
  <c r="AJ1296" i="5"/>
  <c r="AK1296" i="5"/>
  <c r="AO1296" i="5"/>
  <c r="AW1296" i="5" s="1"/>
  <c r="AP1296" i="5"/>
  <c r="K1296" i="5" s="1"/>
  <c r="BD1296" i="5"/>
  <c r="BJ1296" i="5"/>
  <c r="AH1296" i="5" s="1"/>
  <c r="BW1296" i="5"/>
  <c r="L1298" i="5"/>
  <c r="O1298" i="5"/>
  <c r="BF1298" i="5" s="1"/>
  <c r="AB1298" i="5"/>
  <c r="AF1298" i="5"/>
  <c r="AK1298" i="5"/>
  <c r="AO1298" i="5"/>
  <c r="J1298" i="5" s="1"/>
  <c r="AP1298" i="5"/>
  <c r="K1298" i="5" s="1"/>
  <c r="BD1298" i="5"/>
  <c r="BJ1298" i="5"/>
  <c r="BW1298" i="5"/>
  <c r="L1300" i="5"/>
  <c r="O1300" i="5"/>
  <c r="BF1300" i="5" s="1"/>
  <c r="Z1300" i="5"/>
  <c r="AB1300" i="5"/>
  <c r="AF1300" i="5"/>
  <c r="AJ1300" i="5"/>
  <c r="AK1300" i="5"/>
  <c r="AO1300" i="5"/>
  <c r="AW1300" i="5" s="1"/>
  <c r="AP1300" i="5"/>
  <c r="K1300" i="5" s="1"/>
  <c r="BD1300" i="5"/>
  <c r="BJ1300" i="5"/>
  <c r="AH1300" i="5" s="1"/>
  <c r="BW1300" i="5"/>
  <c r="L1302" i="5"/>
  <c r="O1302" i="5"/>
  <c r="BF1302" i="5" s="1"/>
  <c r="AB1302" i="5"/>
  <c r="AF1302" i="5"/>
  <c r="AO1302" i="5"/>
  <c r="J1302" i="5" s="1"/>
  <c r="AP1302" i="5"/>
  <c r="BI1302" i="5" s="1"/>
  <c r="BD1302" i="5"/>
  <c r="BJ1302" i="5"/>
  <c r="Z1302" i="5" s="1"/>
  <c r="BW1302" i="5"/>
  <c r="L1304" i="5"/>
  <c r="O1304" i="5"/>
  <c r="BF1304" i="5" s="1"/>
  <c r="AJ1304" i="5"/>
  <c r="AK1304" i="5"/>
  <c r="AO1304" i="5"/>
  <c r="AW1304" i="5" s="1"/>
  <c r="AP1304" i="5"/>
  <c r="BD1304" i="5"/>
  <c r="BJ1304" i="5"/>
  <c r="AH1304" i="5" s="1"/>
  <c r="BW1304" i="5"/>
  <c r="L1306" i="5"/>
  <c r="O1306" i="5"/>
  <c r="BF1306" i="5" s="1"/>
  <c r="AB1306" i="5"/>
  <c r="AF1306" i="5"/>
  <c r="AK1306" i="5"/>
  <c r="AO1306" i="5"/>
  <c r="J1306" i="5" s="1"/>
  <c r="AP1306" i="5"/>
  <c r="K1306" i="5" s="1"/>
  <c r="BD1306" i="5"/>
  <c r="BJ1306" i="5"/>
  <c r="BW1306" i="5"/>
  <c r="L1308" i="5"/>
  <c r="O1308" i="5"/>
  <c r="BF1308" i="5" s="1"/>
  <c r="Z1308" i="5"/>
  <c r="AB1308" i="5"/>
  <c r="AF1308" i="5"/>
  <c r="AJ1308" i="5"/>
  <c r="AK1308" i="5"/>
  <c r="AO1308" i="5"/>
  <c r="AP1308" i="5"/>
  <c r="BD1308" i="5"/>
  <c r="BJ1308" i="5"/>
  <c r="AH1308" i="5" s="1"/>
  <c r="BW1308" i="5"/>
  <c r="L1310" i="5"/>
  <c r="O1310" i="5"/>
  <c r="BF1310" i="5" s="1"/>
  <c r="AB1310" i="5"/>
  <c r="AF1310" i="5"/>
  <c r="AO1310" i="5"/>
  <c r="J1310" i="5" s="1"/>
  <c r="AP1310" i="5"/>
  <c r="BI1310" i="5" s="1"/>
  <c r="BD1310" i="5"/>
  <c r="BJ1310" i="5"/>
  <c r="Z1310" i="5" s="1"/>
  <c r="BW1310" i="5"/>
  <c r="L1312" i="5"/>
  <c r="O1312" i="5"/>
  <c r="BF1312" i="5" s="1"/>
  <c r="AJ1312" i="5"/>
  <c r="AK1312" i="5"/>
  <c r="AO1312" i="5"/>
  <c r="AW1312" i="5" s="1"/>
  <c r="AP1312" i="5"/>
  <c r="K1312" i="5" s="1"/>
  <c r="BD1312" i="5"/>
  <c r="BJ1312" i="5"/>
  <c r="AH1312" i="5" s="1"/>
  <c r="BW1312" i="5"/>
  <c r="L1314" i="5"/>
  <c r="O1314" i="5"/>
  <c r="BF1314" i="5" s="1"/>
  <c r="AB1314" i="5"/>
  <c r="AF1314" i="5"/>
  <c r="AK1314" i="5"/>
  <c r="AO1314" i="5"/>
  <c r="AP1314" i="5"/>
  <c r="K1314" i="5" s="1"/>
  <c r="BD1314" i="5"/>
  <c r="BJ1314" i="5"/>
  <c r="BW1314" i="5"/>
  <c r="L1316" i="5"/>
  <c r="O1316" i="5"/>
  <c r="BF1316" i="5" s="1"/>
  <c r="Z1316" i="5"/>
  <c r="AB1316" i="5"/>
  <c r="AF1316" i="5"/>
  <c r="AJ1316" i="5"/>
  <c r="AK1316" i="5"/>
  <c r="AO1316" i="5"/>
  <c r="AW1316" i="5" s="1"/>
  <c r="AP1316" i="5"/>
  <c r="BD1316" i="5"/>
  <c r="BJ1316" i="5"/>
  <c r="AH1316" i="5" s="1"/>
  <c r="BW1316" i="5"/>
  <c r="L1318" i="5"/>
  <c r="O1318" i="5"/>
  <c r="BF1318" i="5" s="1"/>
  <c r="AB1318" i="5"/>
  <c r="AF1318" i="5"/>
  <c r="AO1318" i="5"/>
  <c r="AP1318" i="5"/>
  <c r="BD1318" i="5"/>
  <c r="BJ1318" i="5"/>
  <c r="Z1318" i="5" s="1"/>
  <c r="BW1318" i="5"/>
  <c r="L1320" i="5"/>
  <c r="O1320" i="5"/>
  <c r="BF1320" i="5" s="1"/>
  <c r="AJ1320" i="5"/>
  <c r="AK1320" i="5"/>
  <c r="AO1320" i="5"/>
  <c r="AW1320" i="5" s="1"/>
  <c r="AP1320" i="5"/>
  <c r="BD1320" i="5"/>
  <c r="BJ1320" i="5"/>
  <c r="AH1320" i="5" s="1"/>
  <c r="BW1320" i="5"/>
  <c r="L1322" i="5"/>
  <c r="O1322" i="5"/>
  <c r="BF1322" i="5" s="1"/>
  <c r="AB1322" i="5"/>
  <c r="AF1322" i="5"/>
  <c r="AK1322" i="5"/>
  <c r="AO1322" i="5"/>
  <c r="J1322" i="5" s="1"/>
  <c r="AP1322" i="5"/>
  <c r="K1322" i="5" s="1"/>
  <c r="BD1322" i="5"/>
  <c r="BJ1322" i="5"/>
  <c r="BW1322" i="5"/>
  <c r="L1324" i="5"/>
  <c r="O1324" i="5"/>
  <c r="BF1324" i="5" s="1"/>
  <c r="Z1324" i="5"/>
  <c r="AB1324" i="5"/>
  <c r="AF1324" i="5"/>
  <c r="AJ1324" i="5"/>
  <c r="AK1324" i="5"/>
  <c r="AO1324" i="5"/>
  <c r="AP1324" i="5"/>
  <c r="K1324" i="5" s="1"/>
  <c r="BD1324" i="5"/>
  <c r="BJ1324" i="5"/>
  <c r="AH1324" i="5" s="1"/>
  <c r="BW1324" i="5"/>
  <c r="L1326" i="5"/>
  <c r="O1326" i="5"/>
  <c r="BF1326" i="5" s="1"/>
  <c r="AB1326" i="5"/>
  <c r="AF1326" i="5"/>
  <c r="AO1326" i="5"/>
  <c r="AP1326" i="5"/>
  <c r="BI1326" i="5" s="1"/>
  <c r="BD1326" i="5"/>
  <c r="BJ1326" i="5"/>
  <c r="Z1326" i="5" s="1"/>
  <c r="BW1326" i="5"/>
  <c r="L1328" i="5"/>
  <c r="O1328" i="5"/>
  <c r="BF1328" i="5" s="1"/>
  <c r="AJ1328" i="5"/>
  <c r="AK1328" i="5"/>
  <c r="AO1328" i="5"/>
  <c r="AW1328" i="5" s="1"/>
  <c r="AP1328" i="5"/>
  <c r="K1328" i="5" s="1"/>
  <c r="BD1328" i="5"/>
  <c r="BJ1328" i="5"/>
  <c r="AH1328" i="5" s="1"/>
  <c r="BW1328" i="5"/>
  <c r="L1330" i="5"/>
  <c r="O1330" i="5"/>
  <c r="BF1330" i="5" s="1"/>
  <c r="AB1330" i="5"/>
  <c r="AF1330" i="5"/>
  <c r="AK1330" i="5"/>
  <c r="AO1330" i="5"/>
  <c r="J1330" i="5" s="1"/>
  <c r="AP1330" i="5"/>
  <c r="K1330" i="5" s="1"/>
  <c r="BD1330" i="5"/>
  <c r="BJ1330" i="5"/>
  <c r="BW1330" i="5"/>
  <c r="L1332" i="5"/>
  <c r="O1332" i="5"/>
  <c r="BF1332" i="5" s="1"/>
  <c r="Z1332" i="5"/>
  <c r="AB1332" i="5"/>
  <c r="AF1332" i="5"/>
  <c r="AJ1332" i="5"/>
  <c r="AK1332" i="5"/>
  <c r="AO1332" i="5"/>
  <c r="AW1332" i="5" s="1"/>
  <c r="AP1332" i="5"/>
  <c r="K1332" i="5" s="1"/>
  <c r="BD1332" i="5"/>
  <c r="BJ1332" i="5"/>
  <c r="AH1332" i="5" s="1"/>
  <c r="BW1332" i="5"/>
  <c r="L1334" i="5"/>
  <c r="O1334" i="5"/>
  <c r="BF1334" i="5" s="1"/>
  <c r="AB1334" i="5"/>
  <c r="AF1334" i="5"/>
  <c r="AO1334" i="5"/>
  <c r="J1334" i="5" s="1"/>
  <c r="AP1334" i="5"/>
  <c r="BI1334" i="5" s="1"/>
  <c r="BD1334" i="5"/>
  <c r="BJ1334" i="5"/>
  <c r="Z1334" i="5" s="1"/>
  <c r="BW1334" i="5"/>
  <c r="L1336" i="5"/>
  <c r="O1336" i="5"/>
  <c r="BF1336" i="5" s="1"/>
  <c r="AJ1336" i="5"/>
  <c r="AK1336" i="5"/>
  <c r="AO1336" i="5"/>
  <c r="AW1336" i="5" s="1"/>
  <c r="AP1336" i="5"/>
  <c r="K1336" i="5" s="1"/>
  <c r="BD1336" i="5"/>
  <c r="BJ1336" i="5"/>
  <c r="AH1336" i="5" s="1"/>
  <c r="BW1336" i="5"/>
  <c r="L1338" i="5"/>
  <c r="O1338" i="5"/>
  <c r="BF1338" i="5" s="1"/>
  <c r="AB1338" i="5"/>
  <c r="AF1338" i="5"/>
  <c r="AK1338" i="5"/>
  <c r="AO1338" i="5"/>
  <c r="AP1338" i="5"/>
  <c r="K1338" i="5" s="1"/>
  <c r="BD1338" i="5"/>
  <c r="BJ1338" i="5"/>
  <c r="BW1338" i="5"/>
  <c r="L1340" i="5"/>
  <c r="O1340" i="5"/>
  <c r="BF1340" i="5" s="1"/>
  <c r="Z1340" i="5"/>
  <c r="AB1340" i="5"/>
  <c r="AF1340" i="5"/>
  <c r="AJ1340" i="5"/>
  <c r="AK1340" i="5"/>
  <c r="AO1340" i="5"/>
  <c r="AW1340" i="5" s="1"/>
  <c r="AP1340" i="5"/>
  <c r="K1340" i="5" s="1"/>
  <c r="BD1340" i="5"/>
  <c r="BJ1340" i="5"/>
  <c r="AH1340" i="5" s="1"/>
  <c r="BW1340" i="5"/>
  <c r="L1343" i="5"/>
  <c r="O1343" i="5"/>
  <c r="BF1343" i="5" s="1"/>
  <c r="AF1343" i="5"/>
  <c r="AK1343" i="5"/>
  <c r="AO1343" i="5"/>
  <c r="AP1343" i="5"/>
  <c r="K1343" i="5" s="1"/>
  <c r="BD1343" i="5"/>
  <c r="BJ1343" i="5"/>
  <c r="BW1343" i="5"/>
  <c r="L1345" i="5"/>
  <c r="O1345" i="5"/>
  <c r="BF1345" i="5" s="1"/>
  <c r="Z1345" i="5"/>
  <c r="AK1345" i="5"/>
  <c r="AO1345" i="5"/>
  <c r="AW1345" i="5" s="1"/>
  <c r="AP1345" i="5"/>
  <c r="BD1345" i="5"/>
  <c r="BJ1345" i="5"/>
  <c r="AH1345" i="5" s="1"/>
  <c r="BW1345" i="5"/>
  <c r="L1347" i="5"/>
  <c r="O1347" i="5"/>
  <c r="BF1347" i="5" s="1"/>
  <c r="AF1347" i="5"/>
  <c r="AO1347" i="5"/>
  <c r="J1347" i="5" s="1"/>
  <c r="AP1347" i="5"/>
  <c r="BD1347" i="5"/>
  <c r="BJ1347" i="5"/>
  <c r="Z1347" i="5" s="1"/>
  <c r="BW1347" i="5"/>
  <c r="L1349" i="5"/>
  <c r="O1349" i="5"/>
  <c r="BF1349" i="5" s="1"/>
  <c r="AJ1349" i="5"/>
  <c r="AK1349" i="5"/>
  <c r="AO1349" i="5"/>
  <c r="AW1349" i="5" s="1"/>
  <c r="AP1349" i="5"/>
  <c r="K1349" i="5" s="1"/>
  <c r="BD1349" i="5"/>
  <c r="BJ1349" i="5"/>
  <c r="AH1349" i="5" s="1"/>
  <c r="BW1349" i="5"/>
  <c r="L1351" i="5"/>
  <c r="O1351" i="5"/>
  <c r="BF1351" i="5" s="1"/>
  <c r="AF1351" i="5"/>
  <c r="AK1351" i="5"/>
  <c r="AO1351" i="5"/>
  <c r="J1351" i="5" s="1"/>
  <c r="AP1351" i="5"/>
  <c r="K1351" i="5" s="1"/>
  <c r="BD1351" i="5"/>
  <c r="BJ1351" i="5"/>
  <c r="BW1351" i="5"/>
  <c r="L1354" i="5"/>
  <c r="O1354" i="5"/>
  <c r="AJ1354" i="5"/>
  <c r="AS1353" i="5" s="1"/>
  <c r="AK1354" i="5"/>
  <c r="AT1353" i="5" s="1"/>
  <c r="AO1354" i="5"/>
  <c r="AW1354" i="5" s="1"/>
  <c r="AP1354" i="5"/>
  <c r="K1354" i="5" s="1"/>
  <c r="K1353" i="5" s="1"/>
  <c r="BD1354" i="5"/>
  <c r="BJ1354" i="5"/>
  <c r="Z1354" i="5" s="1"/>
  <c r="BW1354" i="5"/>
  <c r="L1357" i="5"/>
  <c r="L1356" i="5" s="1"/>
  <c r="O1357" i="5"/>
  <c r="BF1357" i="5" s="1"/>
  <c r="AK1357" i="5"/>
  <c r="AT1356" i="5" s="1"/>
  <c r="AO1357" i="5"/>
  <c r="AW1357" i="5" s="1"/>
  <c r="AP1357" i="5"/>
  <c r="AX1357" i="5" s="1"/>
  <c r="BD1357" i="5"/>
  <c r="BJ1357" i="5"/>
  <c r="BW1357" i="5"/>
  <c r="L1360" i="5"/>
  <c r="O1360" i="5"/>
  <c r="AF1360" i="5"/>
  <c r="AH1360" i="5"/>
  <c r="AO1360" i="5"/>
  <c r="AP1360" i="5"/>
  <c r="K1360" i="5" s="1"/>
  <c r="K1359" i="5" s="1"/>
  <c r="BD1360" i="5"/>
  <c r="BJ1360" i="5"/>
  <c r="Z1360" i="5" s="1"/>
  <c r="BW1360" i="5"/>
  <c r="L1363" i="5"/>
  <c r="L1362" i="5" s="1"/>
  <c r="O1363" i="5"/>
  <c r="AE1363" i="5"/>
  <c r="AO1363" i="5"/>
  <c r="AW1363" i="5" s="1"/>
  <c r="AP1363" i="5"/>
  <c r="BD1363" i="5"/>
  <c r="BJ1363" i="5"/>
  <c r="Z1363" i="5" s="1"/>
  <c r="BW1363" i="5"/>
  <c r="L1367" i="5"/>
  <c r="L1366" i="5" s="1"/>
  <c r="L1365" i="5" s="1"/>
  <c r="O1367" i="5"/>
  <c r="O1366" i="5" s="1"/>
  <c r="O1365" i="5" s="1"/>
  <c r="Z1367" i="5"/>
  <c r="AD1367" i="5"/>
  <c r="AH1367" i="5"/>
  <c r="AJ1367" i="5"/>
  <c r="AS1366" i="5" s="1"/>
  <c r="AK1367" i="5"/>
  <c r="AT1366" i="5" s="1"/>
  <c r="AO1367" i="5"/>
  <c r="AP1367" i="5"/>
  <c r="AX1367" i="5" s="1"/>
  <c r="J58" i="4" s="1"/>
  <c r="BD1367" i="5"/>
  <c r="BJ1367" i="5"/>
  <c r="BW1367" i="5"/>
  <c r="L1371" i="5"/>
  <c r="AL1371" i="5" s="1"/>
  <c r="AU1370" i="5" s="1"/>
  <c r="O1371" i="5"/>
  <c r="BF1371" i="5" s="1"/>
  <c r="L60" i="4" s="1"/>
  <c r="AC1371" i="5"/>
  <c r="AK1371" i="5"/>
  <c r="AT1370" i="5" s="1"/>
  <c r="K1371" i="5"/>
  <c r="K1370" i="5" s="1"/>
  <c r="K1369" i="5" s="1"/>
  <c r="AX1371" i="5"/>
  <c r="J60" i="4" s="1"/>
  <c r="BD1371" i="5"/>
  <c r="BI1371" i="5"/>
  <c r="AE1371" i="5" s="1"/>
  <c r="BJ1371" i="5"/>
  <c r="BW1371" i="5"/>
  <c r="L1375" i="5"/>
  <c r="O1375" i="5"/>
  <c r="Z1375" i="5"/>
  <c r="AF1375" i="5"/>
  <c r="AJ1375" i="5"/>
  <c r="AK1375" i="5"/>
  <c r="AO1375" i="5"/>
  <c r="J1375" i="5" s="1"/>
  <c r="AP1375" i="5"/>
  <c r="BD1375" i="5"/>
  <c r="BJ1375" i="5"/>
  <c r="AH1375" i="5" s="1"/>
  <c r="BW1375" i="5"/>
  <c r="L1377" i="5"/>
  <c r="O1377" i="5"/>
  <c r="BF1377" i="5" s="1"/>
  <c r="AF1377" i="5"/>
  <c r="AJ1377" i="5"/>
  <c r="AK1377" i="5"/>
  <c r="AO1377" i="5"/>
  <c r="AP1377" i="5"/>
  <c r="AX1377" i="5" s="1"/>
  <c r="BD1377" i="5"/>
  <c r="BJ1377" i="5"/>
  <c r="BW1377" i="5"/>
  <c r="L1379" i="5"/>
  <c r="O1379" i="5"/>
  <c r="BF1379" i="5" s="1"/>
  <c r="AF1379" i="5"/>
  <c r="AJ1379" i="5"/>
  <c r="AK1379" i="5"/>
  <c r="AO1379" i="5"/>
  <c r="AP1379" i="5"/>
  <c r="AX1379" i="5" s="1"/>
  <c r="BD1379" i="5"/>
  <c r="BJ1379" i="5"/>
  <c r="BW1379" i="5"/>
  <c r="L1382" i="5"/>
  <c r="O1382" i="5"/>
  <c r="BF1382" i="5" s="1"/>
  <c r="Z1382" i="5"/>
  <c r="AE1382" i="5"/>
  <c r="AF1382" i="5"/>
  <c r="AJ1382" i="5"/>
  <c r="AO1382" i="5"/>
  <c r="J1382" i="5" s="1"/>
  <c r="AP1382" i="5"/>
  <c r="AX1382" i="5" s="1"/>
  <c r="BD1382" i="5"/>
  <c r="BJ1382" i="5"/>
  <c r="AH1382" i="5" s="1"/>
  <c r="BW1382" i="5"/>
  <c r="L1384" i="5"/>
  <c r="AK1384" i="5" s="1"/>
  <c r="O1384" i="5"/>
  <c r="Z1384" i="5"/>
  <c r="AE1384" i="5"/>
  <c r="AF1384" i="5"/>
  <c r="AJ1384" i="5"/>
  <c r="AO1384" i="5"/>
  <c r="J1384" i="5" s="1"/>
  <c r="AP1384" i="5"/>
  <c r="AX1384" i="5" s="1"/>
  <c r="BD1384" i="5"/>
  <c r="BF1384" i="5"/>
  <c r="BJ1384" i="5"/>
  <c r="AH1384" i="5" s="1"/>
  <c r="BW1384" i="5"/>
  <c r="L1386" i="5"/>
  <c r="AL1386" i="5" s="1"/>
  <c r="O1386" i="5"/>
  <c r="BF1386" i="5" s="1"/>
  <c r="Z1386" i="5"/>
  <c r="AE1386" i="5"/>
  <c r="AF1386" i="5"/>
  <c r="AJ1386" i="5"/>
  <c r="AO1386" i="5"/>
  <c r="J1386" i="5" s="1"/>
  <c r="AP1386" i="5"/>
  <c r="AX1386" i="5" s="1"/>
  <c r="BD1386" i="5"/>
  <c r="BI1386" i="5"/>
  <c r="AC1386" i="5" s="1"/>
  <c r="BJ1386" i="5"/>
  <c r="AH1386" i="5" s="1"/>
  <c r="BW1386" i="5"/>
  <c r="L1388" i="5"/>
  <c r="AK1388" i="5" s="1"/>
  <c r="O1388" i="5"/>
  <c r="BF1388" i="5" s="1"/>
  <c r="Z1388" i="5"/>
  <c r="AE1388" i="5"/>
  <c r="AF1388" i="5"/>
  <c r="AJ1388" i="5"/>
  <c r="AO1388" i="5"/>
  <c r="J1388" i="5" s="1"/>
  <c r="AP1388" i="5"/>
  <c r="AX1388" i="5" s="1"/>
  <c r="BD1388" i="5"/>
  <c r="BJ1388" i="5"/>
  <c r="AH1388" i="5" s="1"/>
  <c r="BW1388" i="5"/>
  <c r="L1391" i="5"/>
  <c r="AL1391" i="5" s="1"/>
  <c r="AU1390" i="5" s="1"/>
  <c r="O1391" i="5"/>
  <c r="O1390" i="5" s="1"/>
  <c r="Z1391" i="5"/>
  <c r="AF1391" i="5"/>
  <c r="AO1391" i="5"/>
  <c r="AP1391" i="5"/>
  <c r="AX1391" i="5" s="1"/>
  <c r="BD1391" i="5"/>
  <c r="BJ1391" i="5"/>
  <c r="AH1391" i="5" s="1"/>
  <c r="BW1391" i="5"/>
  <c r="L1394" i="5"/>
  <c r="O1394" i="5"/>
  <c r="AF1394" i="5"/>
  <c r="AK1394" i="5"/>
  <c r="AO1394" i="5"/>
  <c r="J1394" i="5" s="1"/>
  <c r="AP1394" i="5"/>
  <c r="BD1394" i="5"/>
  <c r="BJ1394" i="5"/>
  <c r="AH1394" i="5" s="1"/>
  <c r="BW1394" i="5"/>
  <c r="L1396" i="5"/>
  <c r="O1396" i="5"/>
  <c r="BF1396" i="5" s="1"/>
  <c r="AF1396" i="5"/>
  <c r="AK1396" i="5"/>
  <c r="AO1396" i="5"/>
  <c r="J1396" i="5" s="1"/>
  <c r="AP1396" i="5"/>
  <c r="BD1396" i="5"/>
  <c r="BJ1396" i="5"/>
  <c r="AH1396" i="5" s="1"/>
  <c r="BW1396" i="5"/>
  <c r="L1399" i="5"/>
  <c r="O1399" i="5"/>
  <c r="AF1399" i="5"/>
  <c r="AJ1399" i="5"/>
  <c r="AK1399" i="5"/>
  <c r="AO1399" i="5"/>
  <c r="J1399" i="5" s="1"/>
  <c r="AP1399" i="5"/>
  <c r="AX1399" i="5" s="1"/>
  <c r="BD1399" i="5"/>
  <c r="BJ1399" i="5"/>
  <c r="BW1399" i="5"/>
  <c r="L1401" i="5"/>
  <c r="AL1401" i="5" s="1"/>
  <c r="O1401" i="5"/>
  <c r="BF1401" i="5" s="1"/>
  <c r="AF1401" i="5"/>
  <c r="AJ1401" i="5"/>
  <c r="AK1401" i="5"/>
  <c r="AO1401" i="5"/>
  <c r="J1401" i="5" s="1"/>
  <c r="AP1401" i="5"/>
  <c r="AX1401" i="5" s="1"/>
  <c r="BD1401" i="5"/>
  <c r="BJ1401" i="5"/>
  <c r="BW1401" i="5"/>
  <c r="L1403" i="5"/>
  <c r="AL1403" i="5" s="1"/>
  <c r="O1403" i="5"/>
  <c r="BF1403" i="5" s="1"/>
  <c r="AF1403" i="5"/>
  <c r="AJ1403" i="5"/>
  <c r="AK1403" i="5"/>
  <c r="AO1403" i="5"/>
  <c r="J1403" i="5" s="1"/>
  <c r="AP1403" i="5"/>
  <c r="AX1403" i="5" s="1"/>
  <c r="BD1403" i="5"/>
  <c r="BJ1403" i="5"/>
  <c r="BW1403" i="5"/>
  <c r="L1406" i="5"/>
  <c r="AL1406" i="5" s="1"/>
  <c r="O1406" i="5"/>
  <c r="BF1406" i="5" s="1"/>
  <c r="AF1406" i="5"/>
  <c r="AJ1406" i="5"/>
  <c r="AK1406" i="5"/>
  <c r="AO1406" i="5"/>
  <c r="J1406" i="5" s="1"/>
  <c r="AP1406" i="5"/>
  <c r="AX1406" i="5" s="1"/>
  <c r="BD1406" i="5"/>
  <c r="BJ1406" i="5"/>
  <c r="BW1406" i="5"/>
  <c r="L1408" i="5"/>
  <c r="AL1408" i="5" s="1"/>
  <c r="O1408" i="5"/>
  <c r="BF1408" i="5" s="1"/>
  <c r="AF1408" i="5"/>
  <c r="AJ1408" i="5"/>
  <c r="AK1408" i="5"/>
  <c r="AO1408" i="5"/>
  <c r="J1408" i="5" s="1"/>
  <c r="AP1408" i="5"/>
  <c r="AX1408" i="5" s="1"/>
  <c r="BD1408" i="5"/>
  <c r="BJ1408" i="5"/>
  <c r="BW1408" i="5"/>
  <c r="L1411" i="5"/>
  <c r="O1411" i="5"/>
  <c r="Z1411" i="5"/>
  <c r="AB1411" i="5"/>
  <c r="AF1411" i="5"/>
  <c r="AJ1411" i="5"/>
  <c r="AO1411" i="5"/>
  <c r="AP1411" i="5"/>
  <c r="AX1411" i="5" s="1"/>
  <c r="BD1411" i="5"/>
  <c r="BF1411" i="5"/>
  <c r="BJ1411" i="5"/>
  <c r="AH1411" i="5" s="1"/>
  <c r="BW1411" i="5"/>
  <c r="L1413" i="5"/>
  <c r="AK1413" i="5" s="1"/>
  <c r="O1413" i="5"/>
  <c r="BF1413" i="5" s="1"/>
  <c r="Z1413" i="5"/>
  <c r="AB1413" i="5"/>
  <c r="AF1413" i="5"/>
  <c r="AJ1413" i="5"/>
  <c r="AO1413" i="5"/>
  <c r="J1413" i="5" s="1"/>
  <c r="AP1413" i="5"/>
  <c r="AX1413" i="5" s="1"/>
  <c r="BD1413" i="5"/>
  <c r="BJ1413" i="5"/>
  <c r="AH1413" i="5" s="1"/>
  <c r="BW1413" i="5"/>
  <c r="L1416" i="5"/>
  <c r="AJ1416" i="5" s="1"/>
  <c r="AS1415" i="5" s="1"/>
  <c r="O1416" i="5"/>
  <c r="O1415" i="5" s="1"/>
  <c r="Z1416" i="5"/>
  <c r="AF1416" i="5"/>
  <c r="AO1416" i="5"/>
  <c r="J1416" i="5" s="1"/>
  <c r="J1415" i="5" s="1"/>
  <c r="AP1416" i="5"/>
  <c r="AX1416" i="5" s="1"/>
  <c r="BD1416" i="5"/>
  <c r="BJ1416" i="5"/>
  <c r="AH1416" i="5" s="1"/>
  <c r="BW1416" i="5"/>
  <c r="L1419" i="5"/>
  <c r="AL1419" i="5" s="1"/>
  <c r="O1419" i="5"/>
  <c r="BF1419" i="5" s="1"/>
  <c r="AF1419" i="5"/>
  <c r="AH1419" i="5"/>
  <c r="AJ1419" i="5"/>
  <c r="AK1419" i="5"/>
  <c r="AO1419" i="5"/>
  <c r="AP1419" i="5"/>
  <c r="K1419" i="5" s="1"/>
  <c r="BD1419" i="5"/>
  <c r="BJ1419" i="5"/>
  <c r="Z1419" i="5" s="1"/>
  <c r="BW1419" i="5"/>
  <c r="L1421" i="5"/>
  <c r="AJ1421" i="5" s="1"/>
  <c r="O1421" i="5"/>
  <c r="BF1421" i="5" s="1"/>
  <c r="AD1421" i="5"/>
  <c r="AK1421" i="5"/>
  <c r="AO1421" i="5"/>
  <c r="AW1421" i="5" s="1"/>
  <c r="AP1421" i="5"/>
  <c r="K1421" i="5" s="1"/>
  <c r="BD1421" i="5"/>
  <c r="BJ1421" i="5"/>
  <c r="BW1421" i="5"/>
  <c r="L1424" i="5"/>
  <c r="O1424" i="5"/>
  <c r="BF1424" i="5" s="1"/>
  <c r="Z1424" i="5"/>
  <c r="AF1424" i="5"/>
  <c r="AO1424" i="5"/>
  <c r="J1424" i="5" s="1"/>
  <c r="AP1424" i="5"/>
  <c r="BD1424" i="5"/>
  <c r="BJ1424" i="5"/>
  <c r="AH1424" i="5" s="1"/>
  <c r="BW1424" i="5"/>
  <c r="L1427" i="5"/>
  <c r="O1427" i="5"/>
  <c r="BF1427" i="5" s="1"/>
  <c r="Z1427" i="5"/>
  <c r="AJ1427" i="5"/>
  <c r="AK1427" i="5"/>
  <c r="AO1427" i="5"/>
  <c r="AP1427" i="5"/>
  <c r="AX1427" i="5" s="1"/>
  <c r="BD1427" i="5"/>
  <c r="BJ1427" i="5"/>
  <c r="AH1427" i="5" s="1"/>
  <c r="BW1427" i="5"/>
  <c r="L1430" i="5"/>
  <c r="AL1430" i="5" s="1"/>
  <c r="O1430" i="5"/>
  <c r="BF1430" i="5" s="1"/>
  <c r="AF1430" i="5"/>
  <c r="AH1430" i="5"/>
  <c r="AJ1430" i="5"/>
  <c r="AK1430" i="5"/>
  <c r="AO1430" i="5"/>
  <c r="AW1430" i="5" s="1"/>
  <c r="AP1430" i="5"/>
  <c r="K1430" i="5" s="1"/>
  <c r="BD1430" i="5"/>
  <c r="BJ1430" i="5"/>
  <c r="Z1430" i="5" s="1"/>
  <c r="BW1430" i="5"/>
  <c r="L1432" i="5"/>
  <c r="AJ1432" i="5" s="1"/>
  <c r="O1432" i="5"/>
  <c r="BF1432" i="5" s="1"/>
  <c r="AD1432" i="5"/>
  <c r="AK1432" i="5"/>
  <c r="AO1432" i="5"/>
  <c r="AW1432" i="5" s="1"/>
  <c r="AP1432" i="5"/>
  <c r="BD1432" i="5"/>
  <c r="BJ1432" i="5"/>
  <c r="BW1432" i="5"/>
  <c r="L1434" i="5"/>
  <c r="O1434" i="5"/>
  <c r="BF1434" i="5" s="1"/>
  <c r="Z1434" i="5"/>
  <c r="AF1434" i="5"/>
  <c r="AO1434" i="5"/>
  <c r="AP1434" i="5"/>
  <c r="BD1434" i="5"/>
  <c r="BJ1434" i="5"/>
  <c r="AH1434" i="5" s="1"/>
  <c r="BW1434" i="5"/>
  <c r="L1436" i="5"/>
  <c r="O1436" i="5"/>
  <c r="BF1436" i="5" s="1"/>
  <c r="Z1436" i="5"/>
  <c r="AJ1436" i="5"/>
  <c r="AK1436" i="5"/>
  <c r="AO1436" i="5"/>
  <c r="AP1436" i="5"/>
  <c r="AX1436" i="5" s="1"/>
  <c r="BD1436" i="5"/>
  <c r="BI1436" i="5"/>
  <c r="AC1436" i="5" s="1"/>
  <c r="BJ1436" i="5"/>
  <c r="AH1436" i="5" s="1"/>
  <c r="BW1436" i="5"/>
  <c r="L1438" i="5"/>
  <c r="AL1438" i="5" s="1"/>
  <c r="O1438" i="5"/>
  <c r="BF1438" i="5" s="1"/>
  <c r="AF1438" i="5"/>
  <c r="AH1438" i="5"/>
  <c r="AJ1438" i="5"/>
  <c r="AK1438" i="5"/>
  <c r="AO1438" i="5"/>
  <c r="AP1438" i="5"/>
  <c r="AX1438" i="5" s="1"/>
  <c r="BD1438" i="5"/>
  <c r="BJ1438" i="5"/>
  <c r="Z1438" i="5" s="1"/>
  <c r="BW1438" i="5"/>
  <c r="L1440" i="5"/>
  <c r="AJ1440" i="5" s="1"/>
  <c r="O1440" i="5"/>
  <c r="BF1440" i="5" s="1"/>
  <c r="AD1440" i="5"/>
  <c r="AK1440" i="5"/>
  <c r="AO1440" i="5"/>
  <c r="AW1440" i="5" s="1"/>
  <c r="AP1440" i="5"/>
  <c r="K1440" i="5" s="1"/>
  <c r="BD1440" i="5"/>
  <c r="BJ1440" i="5"/>
  <c r="BW1440" i="5"/>
  <c r="L1442" i="5"/>
  <c r="O1442" i="5"/>
  <c r="BF1442" i="5" s="1"/>
  <c r="Z1442" i="5"/>
  <c r="AF1442" i="5"/>
  <c r="AO1442" i="5"/>
  <c r="J1442" i="5" s="1"/>
  <c r="AP1442" i="5"/>
  <c r="BI1442" i="5" s="1"/>
  <c r="AG1442" i="5" s="1"/>
  <c r="BD1442" i="5"/>
  <c r="BJ1442" i="5"/>
  <c r="AH1442" i="5" s="1"/>
  <c r="BW1442" i="5"/>
  <c r="L1444" i="5"/>
  <c r="O1444" i="5"/>
  <c r="BF1444" i="5" s="1"/>
  <c r="Z1444" i="5"/>
  <c r="AJ1444" i="5"/>
  <c r="AK1444" i="5"/>
  <c r="AO1444" i="5"/>
  <c r="AP1444" i="5"/>
  <c r="AX1444" i="5" s="1"/>
  <c r="BD1444" i="5"/>
  <c r="BJ1444" i="5"/>
  <c r="AH1444" i="5" s="1"/>
  <c r="BW1444" i="5"/>
  <c r="L1446" i="5"/>
  <c r="O1446" i="5"/>
  <c r="BF1446" i="5" s="1"/>
  <c r="AF1446" i="5"/>
  <c r="AH1446" i="5"/>
  <c r="AJ1446" i="5"/>
  <c r="AK1446" i="5"/>
  <c r="AO1446" i="5"/>
  <c r="J1446" i="5" s="1"/>
  <c r="AP1446" i="5"/>
  <c r="K1446" i="5" s="1"/>
  <c r="BD1446" i="5"/>
  <c r="BJ1446" i="5"/>
  <c r="Z1446" i="5" s="1"/>
  <c r="BW1446" i="5"/>
  <c r="L1449" i="5"/>
  <c r="O1449" i="5"/>
  <c r="BF1449" i="5" s="1"/>
  <c r="AE1449" i="5"/>
  <c r="AF1449" i="5"/>
  <c r="AJ1449" i="5"/>
  <c r="AO1449" i="5"/>
  <c r="BH1449" i="5" s="1"/>
  <c r="AP1449" i="5"/>
  <c r="AX1449" i="5" s="1"/>
  <c r="BD1449" i="5"/>
  <c r="BJ1449" i="5"/>
  <c r="AH1449" i="5" s="1"/>
  <c r="BW1449" i="5"/>
  <c r="L1451" i="5"/>
  <c r="AJ1451" i="5" s="1"/>
  <c r="O1451" i="5"/>
  <c r="BF1451" i="5" s="1"/>
  <c r="AE1451" i="5"/>
  <c r="AF1451" i="5"/>
  <c r="AK1451" i="5"/>
  <c r="AO1451" i="5"/>
  <c r="BH1451" i="5" s="1"/>
  <c r="AD1451" i="5" s="1"/>
  <c r="AP1451" i="5"/>
  <c r="K1451" i="5" s="1"/>
  <c r="AX1451" i="5"/>
  <c r="BD1451" i="5"/>
  <c r="BJ1451" i="5"/>
  <c r="Z1451" i="5" s="1"/>
  <c r="BW1451" i="5"/>
  <c r="L1453" i="5"/>
  <c r="O1453" i="5"/>
  <c r="BF1453" i="5" s="1"/>
  <c r="Z1453" i="5"/>
  <c r="AK1453" i="5"/>
  <c r="AO1453" i="5"/>
  <c r="BH1453" i="5" s="1"/>
  <c r="AP1453" i="5"/>
  <c r="BD1453" i="5"/>
  <c r="BJ1453" i="5"/>
  <c r="AH1453" i="5" s="1"/>
  <c r="BW1453" i="5"/>
  <c r="L1455" i="5"/>
  <c r="O1455" i="5"/>
  <c r="BF1455" i="5" s="1"/>
  <c r="Z1455" i="5"/>
  <c r="AF1455" i="5"/>
  <c r="AG1455" i="5"/>
  <c r="AJ1455" i="5"/>
  <c r="AK1455" i="5"/>
  <c r="AO1455" i="5"/>
  <c r="AW1455" i="5" s="1"/>
  <c r="AP1455" i="5"/>
  <c r="AX1455" i="5" s="1"/>
  <c r="BD1455" i="5"/>
  <c r="BJ1455" i="5"/>
  <c r="AH1455" i="5" s="1"/>
  <c r="BW1455" i="5"/>
  <c r="L1457" i="5"/>
  <c r="AJ1457" i="5" s="1"/>
  <c r="O1457" i="5"/>
  <c r="BF1457" i="5" s="1"/>
  <c r="AE1457" i="5"/>
  <c r="AF1457" i="5"/>
  <c r="AO1457" i="5"/>
  <c r="BH1457" i="5" s="1"/>
  <c r="AP1457" i="5"/>
  <c r="K1457" i="5" s="1"/>
  <c r="BD1457" i="5"/>
  <c r="BJ1457" i="5"/>
  <c r="AH1457" i="5" s="1"/>
  <c r="BW1457" i="5"/>
  <c r="L1459" i="5"/>
  <c r="AJ1459" i="5" s="1"/>
  <c r="O1459" i="5"/>
  <c r="BF1459" i="5" s="1"/>
  <c r="AE1459" i="5"/>
  <c r="AF1459" i="5"/>
  <c r="AH1459" i="5"/>
  <c r="AK1459" i="5"/>
  <c r="AO1459" i="5"/>
  <c r="BH1459" i="5" s="1"/>
  <c r="AP1459" i="5"/>
  <c r="AX1459" i="5" s="1"/>
  <c r="BD1459" i="5"/>
  <c r="BJ1459" i="5"/>
  <c r="Z1459" i="5" s="1"/>
  <c r="BW1459" i="5"/>
  <c r="L1461" i="5"/>
  <c r="AJ1461" i="5" s="1"/>
  <c r="O1461" i="5"/>
  <c r="BF1461" i="5" s="1"/>
  <c r="AK1461" i="5"/>
  <c r="AO1461" i="5"/>
  <c r="BH1461" i="5" s="1"/>
  <c r="AF1461" i="5" s="1"/>
  <c r="AP1461" i="5"/>
  <c r="BD1461" i="5"/>
  <c r="BJ1461" i="5"/>
  <c r="AH1461" i="5" s="1"/>
  <c r="BW1461" i="5"/>
  <c r="L1463" i="5"/>
  <c r="O1463" i="5"/>
  <c r="BF1463" i="5" s="1"/>
  <c r="Z1463" i="5"/>
  <c r="AF1463" i="5"/>
  <c r="AG1463" i="5"/>
  <c r="AJ1463" i="5"/>
  <c r="AK1463" i="5"/>
  <c r="AO1463" i="5"/>
  <c r="J1463" i="5" s="1"/>
  <c r="AP1463" i="5"/>
  <c r="BI1463" i="5" s="1"/>
  <c r="AE1463" i="5" s="1"/>
  <c r="BD1463" i="5"/>
  <c r="BJ1463" i="5"/>
  <c r="AH1463" i="5" s="1"/>
  <c r="BW1463" i="5"/>
  <c r="L1466" i="5"/>
  <c r="O1466" i="5"/>
  <c r="O1465" i="5" s="1"/>
  <c r="AK1466" i="5"/>
  <c r="AT1465" i="5" s="1"/>
  <c r="AO1466" i="5"/>
  <c r="BH1466" i="5" s="1"/>
  <c r="AP1466" i="5"/>
  <c r="AX1466" i="5" s="1"/>
  <c r="BD1466" i="5"/>
  <c r="BJ1466" i="5"/>
  <c r="BW1466" i="5"/>
  <c r="L1469" i="5"/>
  <c r="L1468" i="5" s="1"/>
  <c r="O1469" i="5"/>
  <c r="BF1469" i="5" s="1"/>
  <c r="AB1469" i="5"/>
  <c r="AF1469" i="5"/>
  <c r="AG1469" i="5"/>
  <c r="AH1469" i="5"/>
  <c r="AK1469" i="5"/>
  <c r="AT1468" i="5" s="1"/>
  <c r="AO1469" i="5"/>
  <c r="J1469" i="5" s="1"/>
  <c r="J1468" i="5" s="1"/>
  <c r="AP1469" i="5"/>
  <c r="BD1469" i="5"/>
  <c r="BJ1469" i="5"/>
  <c r="Z1469" i="5" s="1"/>
  <c r="BW1469" i="5"/>
  <c r="L1473" i="5"/>
  <c r="AL1473" i="5" s="1"/>
  <c r="O1473" i="5"/>
  <c r="BF1473" i="5" s="1"/>
  <c r="Z1473" i="5"/>
  <c r="AJ1473" i="5"/>
  <c r="AK1473" i="5"/>
  <c r="AO1473" i="5"/>
  <c r="J1473" i="5" s="1"/>
  <c r="AP1473" i="5"/>
  <c r="BD1473" i="5"/>
  <c r="BJ1473" i="5"/>
  <c r="AH1473" i="5" s="1"/>
  <c r="BW1473" i="5"/>
  <c r="L1475" i="5"/>
  <c r="AL1475" i="5" s="1"/>
  <c r="O1475" i="5"/>
  <c r="BF1475" i="5" s="1"/>
  <c r="Z1475" i="5"/>
  <c r="AF1475" i="5"/>
  <c r="AH1475" i="5"/>
  <c r="AJ1475" i="5"/>
  <c r="AK1475" i="5"/>
  <c r="AO1475" i="5"/>
  <c r="AP1475" i="5"/>
  <c r="AX1475" i="5" s="1"/>
  <c r="BD1475" i="5"/>
  <c r="BJ1475" i="5"/>
  <c r="BW1475" i="5"/>
  <c r="L1478" i="5"/>
  <c r="AL1478" i="5" s="1"/>
  <c r="AU1477" i="5" s="1"/>
  <c r="O1478" i="5"/>
  <c r="O1477" i="5" s="1"/>
  <c r="Z1478" i="5"/>
  <c r="AE1478" i="5"/>
  <c r="AJ1478" i="5"/>
  <c r="AS1477" i="5" s="1"/>
  <c r="AK1478" i="5"/>
  <c r="AT1477" i="5" s="1"/>
  <c r="AO1478" i="5"/>
  <c r="AW1478" i="5" s="1"/>
  <c r="AP1478" i="5"/>
  <c r="BD1478" i="5"/>
  <c r="BJ1478" i="5"/>
  <c r="AH1478" i="5" s="1"/>
  <c r="BW1478" i="5"/>
  <c r="L1481" i="5"/>
  <c r="AL1481" i="5" s="1"/>
  <c r="O1481" i="5"/>
  <c r="BF1481" i="5" s="1"/>
  <c r="Z1481" i="5"/>
  <c r="AF1481" i="5"/>
  <c r="AH1481" i="5"/>
  <c r="AJ1481" i="5"/>
  <c r="AO1481" i="5"/>
  <c r="J1481" i="5" s="1"/>
  <c r="AP1481" i="5"/>
  <c r="BD1481" i="5"/>
  <c r="BJ1481" i="5"/>
  <c r="BW1481" i="5"/>
  <c r="L1483" i="5"/>
  <c r="AL1483" i="5" s="1"/>
  <c r="O1483" i="5"/>
  <c r="BF1483" i="5" s="1"/>
  <c r="Z1483" i="5"/>
  <c r="AJ1483" i="5"/>
  <c r="AK1483" i="5"/>
  <c r="AO1483" i="5"/>
  <c r="BH1483" i="5" s="1"/>
  <c r="AD1483" i="5" s="1"/>
  <c r="AP1483" i="5"/>
  <c r="AX1483" i="5" s="1"/>
  <c r="BD1483" i="5"/>
  <c r="BJ1483" i="5"/>
  <c r="AH1483" i="5" s="1"/>
  <c r="BW1483" i="5"/>
  <c r="L1486" i="5"/>
  <c r="O1486" i="5"/>
  <c r="BF1486" i="5" s="1"/>
  <c r="Z1486" i="5"/>
  <c r="AF1486" i="5"/>
  <c r="AH1486" i="5"/>
  <c r="AJ1486" i="5"/>
  <c r="AO1486" i="5"/>
  <c r="J1486" i="5" s="1"/>
  <c r="AP1486" i="5"/>
  <c r="K1486" i="5" s="1"/>
  <c r="BD1486" i="5"/>
  <c r="BJ1486" i="5"/>
  <c r="BW1486" i="5"/>
  <c r="L1488" i="5"/>
  <c r="AL1488" i="5" s="1"/>
  <c r="O1488" i="5"/>
  <c r="BF1488" i="5" s="1"/>
  <c r="Z1488" i="5"/>
  <c r="AD1488" i="5"/>
  <c r="AJ1488" i="5"/>
  <c r="AK1488" i="5"/>
  <c r="AO1488" i="5"/>
  <c r="BH1488" i="5" s="1"/>
  <c r="AP1488" i="5"/>
  <c r="AX1488" i="5" s="1"/>
  <c r="BD1488" i="5"/>
  <c r="BJ1488" i="5"/>
  <c r="AH1488" i="5" s="1"/>
  <c r="BW1488" i="5"/>
  <c r="L1491" i="5"/>
  <c r="L1490" i="5" s="1"/>
  <c r="O1491" i="5"/>
  <c r="BF1491" i="5" s="1"/>
  <c r="Z1491" i="5"/>
  <c r="AF1491" i="5"/>
  <c r="AH1491" i="5"/>
  <c r="AJ1491" i="5"/>
  <c r="AS1490" i="5" s="1"/>
  <c r="AO1491" i="5"/>
  <c r="AP1491" i="5"/>
  <c r="K1491" i="5" s="1"/>
  <c r="K1490" i="5" s="1"/>
  <c r="AX1491" i="5"/>
  <c r="BD1491" i="5"/>
  <c r="BJ1491" i="5"/>
  <c r="BW1491" i="5"/>
  <c r="L1494" i="5"/>
  <c r="AL1494" i="5" s="1"/>
  <c r="O1494" i="5"/>
  <c r="Z1494" i="5"/>
  <c r="AJ1494" i="5"/>
  <c r="AK1494" i="5"/>
  <c r="AO1494" i="5"/>
  <c r="J1494" i="5" s="1"/>
  <c r="AP1494" i="5"/>
  <c r="AX1494" i="5" s="1"/>
  <c r="BD1494" i="5"/>
  <c r="BJ1494" i="5"/>
  <c r="AH1494" i="5" s="1"/>
  <c r="BW1494" i="5"/>
  <c r="L1496" i="5"/>
  <c r="O1496" i="5"/>
  <c r="BF1496" i="5" s="1"/>
  <c r="Z1496" i="5"/>
  <c r="AF1496" i="5"/>
  <c r="AH1496" i="5"/>
  <c r="AJ1496" i="5"/>
  <c r="AO1496" i="5"/>
  <c r="J1496" i="5" s="1"/>
  <c r="AP1496" i="5"/>
  <c r="K1496" i="5" s="1"/>
  <c r="BD1496" i="5"/>
  <c r="BJ1496" i="5"/>
  <c r="BW1496" i="5"/>
  <c r="L1498" i="5"/>
  <c r="AL1498" i="5" s="1"/>
  <c r="O1498" i="5"/>
  <c r="BF1498" i="5" s="1"/>
  <c r="Z1498" i="5"/>
  <c r="AJ1498" i="5"/>
  <c r="AK1498" i="5"/>
  <c r="AO1498" i="5"/>
  <c r="J1498" i="5" s="1"/>
  <c r="AP1498" i="5"/>
  <c r="AX1498" i="5" s="1"/>
  <c r="BD1498" i="5"/>
  <c r="BJ1498" i="5"/>
  <c r="AH1498" i="5" s="1"/>
  <c r="BW1498" i="5"/>
  <c r="L1501" i="5"/>
  <c r="L1500" i="5" s="1"/>
  <c r="O1501" i="5"/>
  <c r="BF1501" i="5" s="1"/>
  <c r="L69" i="4" s="1"/>
  <c r="Z1501" i="5"/>
  <c r="AF1501" i="5"/>
  <c r="AH1501" i="5"/>
  <c r="AJ1501" i="5"/>
  <c r="AS1500" i="5" s="1"/>
  <c r="AO1501" i="5"/>
  <c r="J1501" i="5" s="1"/>
  <c r="J1500" i="5" s="1"/>
  <c r="AP1501" i="5"/>
  <c r="BD1501" i="5"/>
  <c r="BJ1501" i="5"/>
  <c r="BW1501" i="5"/>
  <c r="L1504" i="5"/>
  <c r="AL1504" i="5" s="1"/>
  <c r="O1504" i="5"/>
  <c r="Z1504" i="5"/>
  <c r="AJ1504" i="5"/>
  <c r="AK1504" i="5"/>
  <c r="AO1504" i="5"/>
  <c r="AW1504" i="5" s="1"/>
  <c r="AP1504" i="5"/>
  <c r="AX1504" i="5" s="1"/>
  <c r="BD1504" i="5"/>
  <c r="BJ1504" i="5"/>
  <c r="AH1504" i="5" s="1"/>
  <c r="BW1504" i="5"/>
  <c r="L1506" i="5"/>
  <c r="AL1506" i="5" s="1"/>
  <c r="O1506" i="5"/>
  <c r="BF1506" i="5" s="1"/>
  <c r="Z1506" i="5"/>
  <c r="AF1506" i="5"/>
  <c r="AH1506" i="5"/>
  <c r="AJ1506" i="5"/>
  <c r="AO1506" i="5"/>
  <c r="J1506" i="5" s="1"/>
  <c r="AP1506" i="5"/>
  <c r="K1506" i="5" s="1"/>
  <c r="BD1506" i="5"/>
  <c r="BJ1506" i="5"/>
  <c r="BW1506" i="5"/>
  <c r="L1509" i="5"/>
  <c r="O1509" i="5"/>
  <c r="Z1509" i="5"/>
  <c r="AJ1509" i="5"/>
  <c r="AK1509" i="5"/>
  <c r="AO1509" i="5"/>
  <c r="J1509" i="5" s="1"/>
  <c r="AP1509" i="5"/>
  <c r="AX1509" i="5" s="1"/>
  <c r="BD1509" i="5"/>
  <c r="BJ1509" i="5"/>
  <c r="AH1509" i="5" s="1"/>
  <c r="BW1509" i="5"/>
  <c r="L1511" i="5"/>
  <c r="AL1511" i="5" s="1"/>
  <c r="O1511" i="5"/>
  <c r="BF1511" i="5" s="1"/>
  <c r="Z1511" i="5"/>
  <c r="AF1511" i="5"/>
  <c r="AH1511" i="5"/>
  <c r="AJ1511" i="5"/>
  <c r="AO1511" i="5"/>
  <c r="J1511" i="5" s="1"/>
  <c r="AP1511" i="5"/>
  <c r="BI1511" i="5" s="1"/>
  <c r="BD1511" i="5"/>
  <c r="BJ1511" i="5"/>
  <c r="BW1511" i="5"/>
  <c r="L1513" i="5"/>
  <c r="AL1513" i="5" s="1"/>
  <c r="O1513" i="5"/>
  <c r="BF1513" i="5" s="1"/>
  <c r="Z1513" i="5"/>
  <c r="AJ1513" i="5"/>
  <c r="AK1513" i="5"/>
  <c r="AO1513" i="5"/>
  <c r="J1513" i="5" s="1"/>
  <c r="AP1513" i="5"/>
  <c r="AX1513" i="5" s="1"/>
  <c r="BD1513" i="5"/>
  <c r="BJ1513" i="5"/>
  <c r="AH1513" i="5" s="1"/>
  <c r="BW1513" i="5"/>
  <c r="L1516" i="5"/>
  <c r="O1516" i="5"/>
  <c r="Z1516" i="5"/>
  <c r="AB1516" i="5"/>
  <c r="AC1516" i="5"/>
  <c r="AF1516" i="5"/>
  <c r="AH1516" i="5"/>
  <c r="AJ1516" i="5"/>
  <c r="AL1516" i="5"/>
  <c r="AO1516" i="5"/>
  <c r="J1516" i="5" s="1"/>
  <c r="AP1516" i="5"/>
  <c r="K1516" i="5" s="1"/>
  <c r="BD1516" i="5"/>
  <c r="BJ1516" i="5"/>
  <c r="BW1516" i="5"/>
  <c r="L1518" i="5"/>
  <c r="O1518" i="5"/>
  <c r="BF1518" i="5" s="1"/>
  <c r="Z1518" i="5"/>
  <c r="AJ1518" i="5"/>
  <c r="AK1518" i="5"/>
  <c r="AO1518" i="5"/>
  <c r="AP1518" i="5"/>
  <c r="AX1518" i="5" s="1"/>
  <c r="BD1518" i="5"/>
  <c r="BJ1518" i="5"/>
  <c r="AH1518" i="5" s="1"/>
  <c r="BW1518" i="5"/>
  <c r="L1521" i="5"/>
  <c r="O1521" i="5"/>
  <c r="Z1521" i="5"/>
  <c r="AF1521" i="5"/>
  <c r="AH1521" i="5"/>
  <c r="AJ1521" i="5"/>
  <c r="AO1521" i="5"/>
  <c r="AP1521" i="5"/>
  <c r="K1521" i="5" s="1"/>
  <c r="BD1521" i="5"/>
  <c r="BJ1521" i="5"/>
  <c r="BW1521" i="5"/>
  <c r="L1523" i="5"/>
  <c r="AL1523" i="5" s="1"/>
  <c r="O1523" i="5"/>
  <c r="Z1523" i="5"/>
  <c r="AD1523" i="5"/>
  <c r="AJ1523" i="5"/>
  <c r="AK1523" i="5"/>
  <c r="AO1523" i="5"/>
  <c r="AW1523" i="5" s="1"/>
  <c r="AP1523" i="5"/>
  <c r="AX1523" i="5" s="1"/>
  <c r="BD1523" i="5"/>
  <c r="BF1523" i="5"/>
  <c r="BJ1523" i="5"/>
  <c r="AH1523" i="5" s="1"/>
  <c r="BW1523" i="5"/>
  <c r="L1526" i="5"/>
  <c r="AK1526" i="5" s="1"/>
  <c r="O1526" i="5"/>
  <c r="BF1526" i="5" s="1"/>
  <c r="Z1526" i="5"/>
  <c r="AF1526" i="5"/>
  <c r="AH1526" i="5"/>
  <c r="AJ1526" i="5"/>
  <c r="AO1526" i="5"/>
  <c r="J1526" i="5" s="1"/>
  <c r="AP1526" i="5"/>
  <c r="BD1526" i="5"/>
  <c r="BJ1526" i="5"/>
  <c r="BW1526" i="5"/>
  <c r="L1528" i="5"/>
  <c r="O1528" i="5"/>
  <c r="BF1528" i="5" s="1"/>
  <c r="Z1528" i="5"/>
  <c r="AD1528" i="5"/>
  <c r="AJ1528" i="5"/>
  <c r="AK1528" i="5"/>
  <c r="AO1528" i="5"/>
  <c r="J1528" i="5" s="1"/>
  <c r="AP1528" i="5"/>
  <c r="AX1528" i="5" s="1"/>
  <c r="BD1528" i="5"/>
  <c r="BJ1528" i="5"/>
  <c r="AH1528" i="5" s="1"/>
  <c r="BW1528" i="5"/>
  <c r="L1531" i="5"/>
  <c r="AL1531" i="5" s="1"/>
  <c r="O1531" i="5"/>
  <c r="BF1531" i="5" s="1"/>
  <c r="Z1531" i="5"/>
  <c r="AF1531" i="5"/>
  <c r="AH1531" i="5"/>
  <c r="AJ1531" i="5"/>
  <c r="AO1531" i="5"/>
  <c r="J1531" i="5" s="1"/>
  <c r="AP1531" i="5"/>
  <c r="K1531" i="5" s="1"/>
  <c r="BD1531" i="5"/>
  <c r="BJ1531" i="5"/>
  <c r="BW1531" i="5"/>
  <c r="L1533" i="5"/>
  <c r="AL1533" i="5" s="1"/>
  <c r="O1533" i="5"/>
  <c r="BF1533" i="5" s="1"/>
  <c r="Z1533" i="5"/>
  <c r="AD1533" i="5"/>
  <c r="AJ1533" i="5"/>
  <c r="AK1533" i="5"/>
  <c r="AO1533" i="5"/>
  <c r="J1533" i="5" s="1"/>
  <c r="AP1533" i="5"/>
  <c r="AX1533" i="5" s="1"/>
  <c r="BD1533" i="5"/>
  <c r="BJ1533" i="5"/>
  <c r="AH1533" i="5" s="1"/>
  <c r="BW1533" i="5"/>
  <c r="L1535" i="5"/>
  <c r="AK1535" i="5" s="1"/>
  <c r="O1535" i="5"/>
  <c r="BF1535" i="5" s="1"/>
  <c r="Z1535" i="5"/>
  <c r="AF1535" i="5"/>
  <c r="AG1535" i="5"/>
  <c r="AH1535" i="5"/>
  <c r="AJ1535" i="5"/>
  <c r="AO1535" i="5"/>
  <c r="AP1535" i="5"/>
  <c r="K1535" i="5" s="1"/>
  <c r="AX1535" i="5"/>
  <c r="BD1535" i="5"/>
  <c r="BJ1535" i="5"/>
  <c r="BW1535" i="5"/>
  <c r="L1537" i="5"/>
  <c r="AL1537" i="5" s="1"/>
  <c r="O1537" i="5"/>
  <c r="BF1537" i="5" s="1"/>
  <c r="Z1537" i="5"/>
  <c r="AJ1537" i="5"/>
  <c r="AK1537" i="5"/>
  <c r="AO1537" i="5"/>
  <c r="AW1537" i="5" s="1"/>
  <c r="AP1537" i="5"/>
  <c r="AX1537" i="5" s="1"/>
  <c r="BD1537" i="5"/>
  <c r="BJ1537" i="5"/>
  <c r="AH1537" i="5" s="1"/>
  <c r="BW1537" i="5"/>
  <c r="L1539" i="5"/>
  <c r="AK1539" i="5" s="1"/>
  <c r="O1539" i="5"/>
  <c r="BF1539" i="5" s="1"/>
  <c r="Z1539" i="5"/>
  <c r="AF1539" i="5"/>
  <c r="AH1539" i="5"/>
  <c r="AJ1539" i="5"/>
  <c r="AO1539" i="5"/>
  <c r="AP1539" i="5"/>
  <c r="BI1539" i="5" s="1"/>
  <c r="AC1539" i="5" s="1"/>
  <c r="BD1539" i="5"/>
  <c r="BJ1539" i="5"/>
  <c r="BW1539" i="5"/>
  <c r="L1541" i="5"/>
  <c r="O1541" i="5"/>
  <c r="BF1541" i="5" s="1"/>
  <c r="Z1541" i="5"/>
  <c r="AJ1541" i="5"/>
  <c r="AK1541" i="5"/>
  <c r="AO1541" i="5"/>
  <c r="AW1541" i="5" s="1"/>
  <c r="AP1541" i="5"/>
  <c r="BD1541" i="5"/>
  <c r="BJ1541" i="5"/>
  <c r="AH1541" i="5" s="1"/>
  <c r="BW1541" i="5"/>
  <c r="L1543" i="5"/>
  <c r="AK1543" i="5" s="1"/>
  <c r="O1543" i="5"/>
  <c r="BF1543" i="5" s="1"/>
  <c r="Z1543" i="5"/>
  <c r="AF1543" i="5"/>
  <c r="AG1543" i="5"/>
  <c r="AH1543" i="5"/>
  <c r="AJ1543" i="5"/>
  <c r="AO1543" i="5"/>
  <c r="AP1543" i="5"/>
  <c r="BI1543" i="5" s="1"/>
  <c r="AE1543" i="5" s="1"/>
  <c r="BD1543" i="5"/>
  <c r="BJ1543" i="5"/>
  <c r="BW1543" i="5"/>
  <c r="L1545" i="5"/>
  <c r="O1545" i="5"/>
  <c r="BF1545" i="5" s="1"/>
  <c r="Z1545" i="5"/>
  <c r="AE1545" i="5"/>
  <c r="AJ1545" i="5"/>
  <c r="AK1545" i="5"/>
  <c r="AO1545" i="5"/>
  <c r="BH1545" i="5" s="1"/>
  <c r="AP1545" i="5"/>
  <c r="AX1545" i="5" s="1"/>
  <c r="BD1545" i="5"/>
  <c r="BJ1545" i="5"/>
  <c r="AH1545" i="5" s="1"/>
  <c r="BW1545" i="5"/>
  <c r="L1547" i="5"/>
  <c r="AK1547" i="5" s="1"/>
  <c r="O1547" i="5"/>
  <c r="Z1547" i="5"/>
  <c r="AF1547" i="5"/>
  <c r="AG1547" i="5"/>
  <c r="AH1547" i="5"/>
  <c r="AJ1547" i="5"/>
  <c r="AO1547" i="5"/>
  <c r="J1547" i="5" s="1"/>
  <c r="AP1547" i="5"/>
  <c r="AX1547" i="5" s="1"/>
  <c r="BD1547" i="5"/>
  <c r="BJ1547" i="5"/>
  <c r="BW1547" i="5"/>
  <c r="L1549" i="5"/>
  <c r="AL1549" i="5" s="1"/>
  <c r="O1549" i="5"/>
  <c r="BF1549" i="5" s="1"/>
  <c r="Z1549" i="5"/>
  <c r="AJ1549" i="5"/>
  <c r="AK1549" i="5"/>
  <c r="AO1549" i="5"/>
  <c r="J1549" i="5" s="1"/>
  <c r="AP1549" i="5"/>
  <c r="AX1549" i="5" s="1"/>
  <c r="BD1549" i="5"/>
  <c r="BJ1549" i="5"/>
  <c r="AH1549" i="5" s="1"/>
  <c r="BW1549" i="5"/>
  <c r="L1551" i="5"/>
  <c r="O1551" i="5"/>
  <c r="BF1551" i="5" s="1"/>
  <c r="Z1551" i="5"/>
  <c r="AF1551" i="5"/>
  <c r="AH1551" i="5"/>
  <c r="AJ1551" i="5"/>
  <c r="AO1551" i="5"/>
  <c r="J1551" i="5" s="1"/>
  <c r="AP1551" i="5"/>
  <c r="BI1551" i="5" s="1"/>
  <c r="BD1551" i="5"/>
  <c r="BJ1551" i="5"/>
  <c r="BW1551" i="5"/>
  <c r="L1553" i="5"/>
  <c r="AL1553" i="5" s="1"/>
  <c r="O1553" i="5"/>
  <c r="BF1553" i="5" s="1"/>
  <c r="Z1553" i="5"/>
  <c r="AJ1553" i="5"/>
  <c r="AK1553" i="5"/>
  <c r="AO1553" i="5"/>
  <c r="J1553" i="5" s="1"/>
  <c r="AP1553" i="5"/>
  <c r="AX1553" i="5" s="1"/>
  <c r="BD1553" i="5"/>
  <c r="BJ1553" i="5"/>
  <c r="AH1553" i="5" s="1"/>
  <c r="BW1553" i="5"/>
  <c r="L1555" i="5"/>
  <c r="O1555" i="5"/>
  <c r="BF1555" i="5" s="1"/>
  <c r="Z1555" i="5"/>
  <c r="AF1555" i="5"/>
  <c r="AG1555" i="5"/>
  <c r="AH1555" i="5"/>
  <c r="AJ1555" i="5"/>
  <c r="AO1555" i="5"/>
  <c r="BH1555" i="5" s="1"/>
  <c r="AP1555" i="5"/>
  <c r="K1555" i="5" s="1"/>
  <c r="BD1555" i="5"/>
  <c r="BJ1555" i="5"/>
  <c r="BW1555" i="5"/>
  <c r="L1557" i="5"/>
  <c r="AL1557" i="5" s="1"/>
  <c r="O1557" i="5"/>
  <c r="BF1557" i="5" s="1"/>
  <c r="Z1557" i="5"/>
  <c r="AD1557" i="5"/>
  <c r="AJ1557" i="5"/>
  <c r="AK1557" i="5"/>
  <c r="AO1557" i="5"/>
  <c r="J1557" i="5" s="1"/>
  <c r="AP1557" i="5"/>
  <c r="AX1557" i="5" s="1"/>
  <c r="BD1557" i="5"/>
  <c r="BJ1557" i="5"/>
  <c r="AH1557" i="5" s="1"/>
  <c r="BW1557" i="5"/>
  <c r="L1559" i="5"/>
  <c r="AK1559" i="5" s="1"/>
  <c r="O1559" i="5"/>
  <c r="BF1559" i="5" s="1"/>
  <c r="Z1559" i="5"/>
  <c r="AF1559" i="5"/>
  <c r="AH1559" i="5"/>
  <c r="AJ1559" i="5"/>
  <c r="AO1559" i="5"/>
  <c r="J1559" i="5" s="1"/>
  <c r="AP1559" i="5"/>
  <c r="K1559" i="5" s="1"/>
  <c r="BD1559" i="5"/>
  <c r="BJ1559" i="5"/>
  <c r="BW1559" i="5"/>
  <c r="L1561" i="5"/>
  <c r="AL1561" i="5" s="1"/>
  <c r="O1561" i="5"/>
  <c r="BF1561" i="5" s="1"/>
  <c r="Z1561" i="5"/>
  <c r="AD1561" i="5"/>
  <c r="AJ1561" i="5"/>
  <c r="AK1561" i="5"/>
  <c r="AO1561" i="5"/>
  <c r="J1561" i="5" s="1"/>
  <c r="AP1561" i="5"/>
  <c r="AX1561" i="5" s="1"/>
  <c r="BD1561" i="5"/>
  <c r="BJ1561" i="5"/>
  <c r="AH1561" i="5" s="1"/>
  <c r="BW1561" i="5"/>
  <c r="L1564" i="5"/>
  <c r="O1564" i="5"/>
  <c r="Z1564" i="5"/>
  <c r="AF1564" i="5"/>
  <c r="AH1564" i="5"/>
  <c r="AJ1564" i="5"/>
  <c r="AO1564" i="5"/>
  <c r="J1564" i="5" s="1"/>
  <c r="AP1564" i="5"/>
  <c r="BD1564" i="5"/>
  <c r="BF1564" i="5"/>
  <c r="BJ1564" i="5"/>
  <c r="BW1564" i="5"/>
  <c r="L1566" i="5"/>
  <c r="AL1566" i="5" s="1"/>
  <c r="O1566" i="5"/>
  <c r="BF1566" i="5" s="1"/>
  <c r="Z1566" i="5"/>
  <c r="AG1566" i="5"/>
  <c r="AJ1566" i="5"/>
  <c r="AK1566" i="5"/>
  <c r="AO1566" i="5"/>
  <c r="AW1566" i="5" s="1"/>
  <c r="AP1566" i="5"/>
  <c r="AX1566" i="5" s="1"/>
  <c r="BD1566" i="5"/>
  <c r="BJ1566" i="5"/>
  <c r="AH1566" i="5" s="1"/>
  <c r="BW1566" i="5"/>
  <c r="L1569" i="5"/>
  <c r="L1568" i="5" s="1"/>
  <c r="O1569" i="5"/>
  <c r="BF1569" i="5" s="1"/>
  <c r="AB1569" i="5"/>
  <c r="AC1569" i="5"/>
  <c r="AF1569" i="5"/>
  <c r="AG1569" i="5"/>
  <c r="AH1569" i="5"/>
  <c r="AJ1569" i="5"/>
  <c r="AS1568" i="5" s="1"/>
  <c r="AL1569" i="5"/>
  <c r="AU1568" i="5" s="1"/>
  <c r="AO1569" i="5"/>
  <c r="AW1569" i="5" s="1"/>
  <c r="AP1569" i="5"/>
  <c r="BD1569" i="5"/>
  <c r="BJ1569" i="5"/>
  <c r="Z1569" i="5" s="1"/>
  <c r="BW1569" i="5"/>
  <c r="L1572" i="5"/>
  <c r="AL1572" i="5" s="1"/>
  <c r="O1572" i="5"/>
  <c r="BF1572" i="5" s="1"/>
  <c r="AG1572" i="5"/>
  <c r="AJ1572" i="5"/>
  <c r="AK1572" i="5"/>
  <c r="AO1572" i="5"/>
  <c r="AW1572" i="5" s="1"/>
  <c r="AP1572" i="5"/>
  <c r="AX1572" i="5" s="1"/>
  <c r="BD1572" i="5"/>
  <c r="BJ1572" i="5"/>
  <c r="AH1572" i="5" s="1"/>
  <c r="BW1572" i="5"/>
  <c r="L1574" i="5"/>
  <c r="AK1574" i="5" s="1"/>
  <c r="O1574" i="5"/>
  <c r="BF1574" i="5" s="1"/>
  <c r="AB1574" i="5"/>
  <c r="AC1574" i="5"/>
  <c r="AF1574" i="5"/>
  <c r="AG1574" i="5"/>
  <c r="AH1574" i="5"/>
  <c r="AJ1574" i="5"/>
  <c r="AL1574" i="5"/>
  <c r="AO1574" i="5"/>
  <c r="J1574" i="5" s="1"/>
  <c r="AP1574" i="5"/>
  <c r="BI1574" i="5" s="1"/>
  <c r="AE1574" i="5" s="1"/>
  <c r="BD1574" i="5"/>
  <c r="BJ1574" i="5"/>
  <c r="Z1574" i="5" s="1"/>
  <c r="BW1574" i="5"/>
  <c r="L1578" i="5"/>
  <c r="AL1578" i="5" s="1"/>
  <c r="O1578" i="5"/>
  <c r="BF1578" i="5" s="1"/>
  <c r="AG1578" i="5"/>
  <c r="AK1578" i="5"/>
  <c r="AO1578" i="5"/>
  <c r="BH1578" i="5" s="1"/>
  <c r="AP1578" i="5"/>
  <c r="K1578" i="5" s="1"/>
  <c r="BD1578" i="5"/>
  <c r="BJ1578" i="5"/>
  <c r="Z1578" i="5" s="1"/>
  <c r="BW1578" i="5"/>
  <c r="M1578" i="5" s="1"/>
  <c r="L1580" i="5"/>
  <c r="AL1580" i="5" s="1"/>
  <c r="O1580" i="5"/>
  <c r="BF1580" i="5" s="1"/>
  <c r="AC1580" i="5"/>
  <c r="AO1580" i="5"/>
  <c r="AW1580" i="5" s="1"/>
  <c r="AP1580" i="5"/>
  <c r="K1580" i="5" s="1"/>
  <c r="BD1580" i="5"/>
  <c r="BJ1580" i="5"/>
  <c r="BW1580" i="5"/>
  <c r="L1582" i="5"/>
  <c r="O1582" i="5"/>
  <c r="BF1582" i="5" s="1"/>
  <c r="AB1582" i="5"/>
  <c r="AF1582" i="5"/>
  <c r="AO1582" i="5"/>
  <c r="J1582" i="5" s="1"/>
  <c r="AP1582" i="5"/>
  <c r="K1582" i="5" s="1"/>
  <c r="BD1582" i="5"/>
  <c r="BJ1582" i="5"/>
  <c r="Z1582" i="5" s="1"/>
  <c r="BW1582" i="5"/>
  <c r="L1584" i="5"/>
  <c r="AL1584" i="5" s="1"/>
  <c r="O1584" i="5"/>
  <c r="BF1584" i="5" s="1"/>
  <c r="AC1584" i="5"/>
  <c r="AO1584" i="5"/>
  <c r="AW1584" i="5" s="1"/>
  <c r="AP1584" i="5"/>
  <c r="K1584" i="5" s="1"/>
  <c r="BD1584" i="5"/>
  <c r="BJ1584" i="5"/>
  <c r="BW1584" i="5"/>
  <c r="L1586" i="5"/>
  <c r="O1586" i="5"/>
  <c r="BF1586" i="5" s="1"/>
  <c r="AB1586" i="5"/>
  <c r="AF1586" i="5"/>
  <c r="AH1586" i="5"/>
  <c r="AO1586" i="5"/>
  <c r="J1586" i="5" s="1"/>
  <c r="AP1586" i="5"/>
  <c r="K1586" i="5" s="1"/>
  <c r="BD1586" i="5"/>
  <c r="BJ1586" i="5"/>
  <c r="Z1586" i="5" s="1"/>
  <c r="BW1586" i="5"/>
  <c r="L1588" i="5"/>
  <c r="AL1588" i="5" s="1"/>
  <c r="O1588" i="5"/>
  <c r="BF1588" i="5" s="1"/>
  <c r="AB1588" i="5"/>
  <c r="AC1588" i="5"/>
  <c r="AK1588" i="5"/>
  <c r="AO1588" i="5"/>
  <c r="AW1588" i="5" s="1"/>
  <c r="AP1588" i="5"/>
  <c r="K1588" i="5" s="1"/>
  <c r="BD1588" i="5"/>
  <c r="BJ1588" i="5"/>
  <c r="BW1588" i="5"/>
  <c r="BH214" i="5" l="1"/>
  <c r="AD214" i="5" s="1"/>
  <c r="M21" i="5"/>
  <c r="O1568" i="5"/>
  <c r="K1475" i="5"/>
  <c r="BH1278" i="5"/>
  <c r="AB1278" i="5" s="1"/>
  <c r="BH939" i="5"/>
  <c r="AD939" i="5" s="1"/>
  <c r="M883" i="5"/>
  <c r="AL706" i="5"/>
  <c r="AU705" i="5" s="1"/>
  <c r="BH488" i="5"/>
  <c r="AD488" i="5" s="1"/>
  <c r="BF1466" i="5"/>
  <c r="AW958" i="5"/>
  <c r="BH637" i="5"/>
  <c r="AD637" i="5" s="1"/>
  <c r="BI341" i="5"/>
  <c r="AC341" i="5" s="1"/>
  <c r="AW214" i="5"/>
  <c r="M154" i="5"/>
  <c r="M137" i="5"/>
  <c r="AW1278" i="5"/>
  <c r="BH1217" i="5"/>
  <c r="AF1217" i="5" s="1"/>
  <c r="M1035" i="5"/>
  <c r="BH683" i="5"/>
  <c r="AB683" i="5" s="1"/>
  <c r="BH470" i="5"/>
  <c r="AF470" i="5" s="1"/>
  <c r="AX21" i="5"/>
  <c r="M1031" i="5"/>
  <c r="BH925" i="5"/>
  <c r="AB925" i="5" s="1"/>
  <c r="BH781" i="5"/>
  <c r="AD781" i="5" s="1"/>
  <c r="BH272" i="5"/>
  <c r="BI727" i="5"/>
  <c r="AE727" i="5" s="1"/>
  <c r="BF160" i="5"/>
  <c r="M46" i="5"/>
  <c r="BI212" i="5"/>
  <c r="BH947" i="5"/>
  <c r="AD947" i="5" s="1"/>
  <c r="BH745" i="5"/>
  <c r="AD745" i="5" s="1"/>
  <c r="BH673" i="5"/>
  <c r="AD673" i="5" s="1"/>
  <c r="BI561" i="5"/>
  <c r="AX92" i="5"/>
  <c r="AX1588" i="5"/>
  <c r="BC1588" i="5" s="1"/>
  <c r="BI574" i="5"/>
  <c r="AG574" i="5" s="1"/>
  <c r="M14" i="5"/>
  <c r="BH1406" i="5"/>
  <c r="AD1406" i="5" s="1"/>
  <c r="BF1104" i="5"/>
  <c r="BH987" i="5"/>
  <c r="BI972" i="5"/>
  <c r="AC972" i="5" s="1"/>
  <c r="M287" i="5"/>
  <c r="AL730" i="5"/>
  <c r="AU729" i="5" s="1"/>
  <c r="BI718" i="5"/>
  <c r="AE718" i="5" s="1"/>
  <c r="BI1296" i="5"/>
  <c r="AE1296" i="5" s="1"/>
  <c r="M1136" i="5"/>
  <c r="M997" i="5"/>
  <c r="BH606" i="5"/>
  <c r="AF606" i="5" s="1"/>
  <c r="BH590" i="5"/>
  <c r="AB590" i="5" s="1"/>
  <c r="AX307" i="5"/>
  <c r="M100" i="5"/>
  <c r="AW62" i="5"/>
  <c r="BI1324" i="5"/>
  <c r="AE1324" i="5" s="1"/>
  <c r="AX1290" i="5"/>
  <c r="AV1290" i="5" s="1"/>
  <c r="M1183" i="5"/>
  <c r="M1564" i="5"/>
  <c r="O1094" i="5"/>
  <c r="BF1086" i="5"/>
  <c r="M1056" i="5"/>
  <c r="M1045" i="5"/>
  <c r="BI1039" i="5"/>
  <c r="AE1039" i="5" s="1"/>
  <c r="AX718" i="5"/>
  <c r="AW637" i="5"/>
  <c r="BC637" i="5" s="1"/>
  <c r="BH461" i="5"/>
  <c r="M336" i="5"/>
  <c r="M335" i="5" s="1"/>
  <c r="BI314" i="5"/>
  <c r="AC314" i="5" s="1"/>
  <c r="BH181" i="5"/>
  <c r="AL172" i="5"/>
  <c r="AU171" i="5" s="1"/>
  <c r="O43" i="5"/>
  <c r="AW21" i="5"/>
  <c r="BC21" i="5" s="1"/>
  <c r="AW14" i="5"/>
  <c r="BF1478" i="5"/>
  <c r="M1436" i="5"/>
  <c r="BH1340" i="5"/>
  <c r="AD1340" i="5" s="1"/>
  <c r="BH1334" i="5"/>
  <c r="AD1334" i="5" s="1"/>
  <c r="BC1288" i="5"/>
  <c r="M1237" i="5"/>
  <c r="M1211" i="5"/>
  <c r="BI954" i="5"/>
  <c r="AE954" i="5" s="1"/>
  <c r="BH835" i="5"/>
  <c r="AD835" i="5" s="1"/>
  <c r="BH743" i="5"/>
  <c r="AD743" i="5" s="1"/>
  <c r="M685" i="5"/>
  <c r="M303" i="5"/>
  <c r="BH290" i="5"/>
  <c r="O1563" i="5"/>
  <c r="AX1539" i="5"/>
  <c r="M1528" i="5"/>
  <c r="M1469" i="5"/>
  <c r="M1468" i="5" s="1"/>
  <c r="K1436" i="5"/>
  <c r="M1284" i="5"/>
  <c r="M1207" i="5"/>
  <c r="M1191" i="5"/>
  <c r="M1187" i="5"/>
  <c r="BH1067" i="5"/>
  <c r="AD1067" i="5" s="1"/>
  <c r="BI1041" i="5"/>
  <c r="AC1041" i="5" s="1"/>
  <c r="BI999" i="5"/>
  <c r="AE999" i="5" s="1"/>
  <c r="BH917" i="5"/>
  <c r="AD917" i="5" s="1"/>
  <c r="BI899" i="5"/>
  <c r="AE899" i="5" s="1"/>
  <c r="M579" i="5"/>
  <c r="BI412" i="5"/>
  <c r="AE412" i="5" s="1"/>
  <c r="M265" i="5"/>
  <c r="M1537" i="5"/>
  <c r="AX1496" i="5"/>
  <c r="AL1451" i="5"/>
  <c r="BI1427" i="5"/>
  <c r="BH1401" i="5"/>
  <c r="AD1401" i="5" s="1"/>
  <c r="M1401" i="5"/>
  <c r="BH1302" i="5"/>
  <c r="AD1302" i="5" s="1"/>
  <c r="M1243" i="5"/>
  <c r="AX1174" i="5"/>
  <c r="BH999" i="5"/>
  <c r="AD999" i="5" s="1"/>
  <c r="M635" i="5"/>
  <c r="M629" i="5"/>
  <c r="BH625" i="5"/>
  <c r="AB625" i="5" s="1"/>
  <c r="BC618" i="5"/>
  <c r="AX394" i="5"/>
  <c r="BH345" i="5"/>
  <c r="AD345" i="5" s="1"/>
  <c r="AW309" i="5"/>
  <c r="BC309" i="5" s="1"/>
  <c r="BI292" i="5"/>
  <c r="AE292" i="5" s="1"/>
  <c r="BH279" i="5"/>
  <c r="AD279" i="5" s="1"/>
  <c r="M1253" i="5"/>
  <c r="BI1580" i="5"/>
  <c r="AG1580" i="5" s="1"/>
  <c r="BH1413" i="5"/>
  <c r="AD1413" i="5" s="1"/>
  <c r="BI1235" i="5"/>
  <c r="BH1231" i="5"/>
  <c r="AD1231" i="5" s="1"/>
  <c r="AW1067" i="5"/>
  <c r="BH823" i="5"/>
  <c r="AD823" i="5" s="1"/>
  <c r="AW805" i="5"/>
  <c r="BH763" i="5"/>
  <c r="BI735" i="5"/>
  <c r="AE735" i="5" s="1"/>
  <c r="AW680" i="5"/>
  <c r="BI505" i="5"/>
  <c r="BI499" i="5"/>
  <c r="AE499" i="5" s="1"/>
  <c r="BI218" i="5"/>
  <c r="AE218" i="5" s="1"/>
  <c r="BH21" i="5"/>
  <c r="AD21" i="5" s="1"/>
  <c r="M1566" i="5"/>
  <c r="BF1367" i="5"/>
  <c r="L58" i="4" s="1"/>
  <c r="BI1024" i="5"/>
  <c r="AE1024" i="5" s="1"/>
  <c r="AW832" i="5"/>
  <c r="AW810" i="5"/>
  <c r="BH660" i="5"/>
  <c r="AD660" i="5" s="1"/>
  <c r="AW657" i="5"/>
  <c r="M551" i="5"/>
  <c r="BI421" i="5"/>
  <c r="AE421" i="5" s="1"/>
  <c r="AL336" i="5"/>
  <c r="AU335" i="5" s="1"/>
  <c r="AW292" i="5"/>
  <c r="M277" i="5"/>
  <c r="M269" i="5"/>
  <c r="BH14" i="5"/>
  <c r="AB14" i="5" s="1"/>
  <c r="M1430" i="5"/>
  <c r="AX1419" i="5"/>
  <c r="M1419" i="5"/>
  <c r="BF715" i="5"/>
  <c r="M513" i="5"/>
  <c r="BH341" i="5"/>
  <c r="AB341" i="5" s="1"/>
  <c r="AL318" i="5"/>
  <c r="AU317" i="5" s="1"/>
  <c r="BH258" i="5"/>
  <c r="BH226" i="5"/>
  <c r="AB226" i="5" s="1"/>
  <c r="M206" i="5"/>
  <c r="AL179" i="5"/>
  <c r="AX104" i="5"/>
  <c r="M1245" i="5"/>
  <c r="M1164" i="5"/>
  <c r="O1106" i="5"/>
  <c r="BF1092" i="5"/>
  <c r="M961" i="5"/>
  <c r="BF193" i="5"/>
  <c r="M23" i="5"/>
  <c r="M1427" i="5"/>
  <c r="AL1413" i="5"/>
  <c r="BI1430" i="5"/>
  <c r="AC1430" i="5" s="1"/>
  <c r="K1427" i="5"/>
  <c r="BH1259" i="5"/>
  <c r="AD1259" i="5" s="1"/>
  <c r="K1245" i="5"/>
  <c r="M1199" i="5"/>
  <c r="M1176" i="5"/>
  <c r="M1172" i="5"/>
  <c r="M1160" i="5"/>
  <c r="M1148" i="5"/>
  <c r="M987" i="5"/>
  <c r="BH718" i="5"/>
  <c r="AD718" i="5" s="1"/>
  <c r="BI648" i="5"/>
  <c r="AE648" i="5" s="1"/>
  <c r="M603" i="5"/>
  <c r="M574" i="5"/>
  <c r="M467" i="5"/>
  <c r="J461" i="5"/>
  <c r="AW290" i="5"/>
  <c r="AW258" i="5"/>
  <c r="BI209" i="5"/>
  <c r="AC209" i="5" s="1"/>
  <c r="M179" i="5"/>
  <c r="M172" i="5"/>
  <c r="M171" i="5" s="1"/>
  <c r="AB1451" i="5"/>
  <c r="BH1528" i="5"/>
  <c r="AL1526" i="5"/>
  <c r="M1276" i="5"/>
  <c r="BH1239" i="5"/>
  <c r="AD1239" i="5" s="1"/>
  <c r="M1205" i="5"/>
  <c r="BH1201" i="5"/>
  <c r="AF1201" i="5" s="1"/>
  <c r="M1158" i="5"/>
  <c r="M1146" i="5"/>
  <c r="BH757" i="5"/>
  <c r="AD757" i="5" s="1"/>
  <c r="BI730" i="5"/>
  <c r="AE730" i="5" s="1"/>
  <c r="AX341" i="5"/>
  <c r="M318" i="5"/>
  <c r="M317" i="5" s="1"/>
  <c r="BI309" i="5"/>
  <c r="AG309" i="5" s="1"/>
  <c r="BH269" i="5"/>
  <c r="AD269" i="5" s="1"/>
  <c r="AW260" i="5"/>
  <c r="AX193" i="5"/>
  <c r="BI185" i="5"/>
  <c r="AE185" i="5" s="1"/>
  <c r="BH150" i="5"/>
  <c r="J108" i="5"/>
  <c r="J107" i="5" s="1"/>
  <c r="BH82" i="5"/>
  <c r="AD82" i="5" s="1"/>
  <c r="M1574" i="5"/>
  <c r="AX1586" i="5"/>
  <c r="BC1586" i="5" s="1"/>
  <c r="M1533" i="5"/>
  <c r="BH1523" i="5"/>
  <c r="AX1506" i="5"/>
  <c r="M1453" i="5"/>
  <c r="AX1430" i="5"/>
  <c r="AV1430" i="5" s="1"/>
  <c r="M1229" i="5"/>
  <c r="BH1178" i="5"/>
  <c r="AD1178" i="5" s="1"/>
  <c r="BH1162" i="5"/>
  <c r="AD1162" i="5" s="1"/>
  <c r="M1141" i="5"/>
  <c r="M1140" i="5" s="1"/>
  <c r="AW939" i="5"/>
  <c r="M844" i="5"/>
  <c r="M774" i="5"/>
  <c r="BI745" i="5"/>
  <c r="AC745" i="5" s="1"/>
  <c r="BH739" i="5"/>
  <c r="AD739" i="5" s="1"/>
  <c r="AX724" i="5"/>
  <c r="AW648" i="5"/>
  <c r="AV648" i="5" s="1"/>
  <c r="M566" i="5"/>
  <c r="BI546" i="5"/>
  <c r="AG546" i="5" s="1"/>
  <c r="BI541" i="5"/>
  <c r="BH491" i="5"/>
  <c r="AF491" i="5" s="1"/>
  <c r="BH414" i="5"/>
  <c r="AF414" i="5" s="1"/>
  <c r="BI279" i="5"/>
  <c r="AE279" i="5" s="1"/>
  <c r="BH185" i="5"/>
  <c r="AB185" i="5" s="1"/>
  <c r="BH179" i="5"/>
  <c r="AB179" i="5" s="1"/>
  <c r="BI156" i="5"/>
  <c r="AE156" i="5" s="1"/>
  <c r="AX145" i="5"/>
  <c r="AX137" i="5"/>
  <c r="AW108" i="5"/>
  <c r="O107" i="5"/>
  <c r="BF44" i="5"/>
  <c r="BH27" i="5"/>
  <c r="M1582" i="5"/>
  <c r="AW1528" i="5"/>
  <c r="AV1528" i="5" s="1"/>
  <c r="BH1253" i="5"/>
  <c r="M1227" i="5"/>
  <c r="M1215" i="5"/>
  <c r="BI1174" i="5"/>
  <c r="AC1174" i="5" s="1"/>
  <c r="BH1158" i="5"/>
  <c r="AD1158" i="5" s="1"/>
  <c r="BI1146" i="5"/>
  <c r="AC1146" i="5" s="1"/>
  <c r="BI1107" i="5"/>
  <c r="AC1107" i="5" s="1"/>
  <c r="M1048" i="5"/>
  <c r="BH985" i="5"/>
  <c r="AD985" i="5" s="1"/>
  <c r="BI981" i="5"/>
  <c r="AE981" i="5" s="1"/>
  <c r="BI880" i="5"/>
  <c r="AE880" i="5" s="1"/>
  <c r="AE855" i="5"/>
  <c r="BH827" i="5"/>
  <c r="AD827" i="5" s="1"/>
  <c r="AW724" i="5"/>
  <c r="AV724" i="5" s="1"/>
  <c r="AW718" i="5"/>
  <c r="BC718" i="5" s="1"/>
  <c r="BH668" i="5"/>
  <c r="AD668" i="5" s="1"/>
  <c r="M623" i="5"/>
  <c r="AW594" i="5"/>
  <c r="AW577" i="5"/>
  <c r="BH551" i="5"/>
  <c r="AF551" i="5" s="1"/>
  <c r="M541" i="5"/>
  <c r="BH507" i="5"/>
  <c r="AF507" i="5" s="1"/>
  <c r="AX439" i="5"/>
  <c r="BC439" i="5" s="1"/>
  <c r="BI408" i="5"/>
  <c r="AE408" i="5" s="1"/>
  <c r="AW275" i="5"/>
  <c r="M234" i="5"/>
  <c r="M160" i="5"/>
  <c r="M159" i="5" s="1"/>
  <c r="AW82" i="5"/>
  <c r="BH33" i="5"/>
  <c r="AD33" i="5" s="1"/>
  <c r="AX1555" i="5"/>
  <c r="M1549" i="5"/>
  <c r="M1531" i="5"/>
  <c r="M1526" i="5"/>
  <c r="O1503" i="5"/>
  <c r="AW1449" i="5"/>
  <c r="AV1449" i="5" s="1"/>
  <c r="O1356" i="5"/>
  <c r="BI1340" i="5"/>
  <c r="AE1340" i="5" s="1"/>
  <c r="M1246" i="5"/>
  <c r="AW1178" i="5"/>
  <c r="AW1162" i="5"/>
  <c r="M1128" i="5"/>
  <c r="BH1107" i="5"/>
  <c r="AD1107" i="5" s="1"/>
  <c r="M1043" i="5"/>
  <c r="AX1016" i="5"/>
  <c r="BH807" i="5"/>
  <c r="AD807" i="5" s="1"/>
  <c r="BH800" i="5"/>
  <c r="AD800" i="5" s="1"/>
  <c r="BH794" i="5"/>
  <c r="AD794" i="5" s="1"/>
  <c r="M791" i="5"/>
  <c r="BI763" i="5"/>
  <c r="BI709" i="5"/>
  <c r="AE709" i="5" s="1"/>
  <c r="BF700" i="5"/>
  <c r="M283" i="5"/>
  <c r="AX185" i="5"/>
  <c r="M165" i="5"/>
  <c r="AX156" i="5"/>
  <c r="M75" i="5"/>
  <c r="M1586" i="5"/>
  <c r="AX1580" i="5"/>
  <c r="AV1580" i="5" s="1"/>
  <c r="L1563" i="5"/>
  <c r="M1557" i="5"/>
  <c r="O1500" i="5"/>
  <c r="BH1486" i="5"/>
  <c r="AD1486" i="5" s="1"/>
  <c r="BH1481" i="5"/>
  <c r="AB1481" i="5" s="1"/>
  <c r="M1451" i="5"/>
  <c r="BI1446" i="5"/>
  <c r="AC1446" i="5" s="1"/>
  <c r="M1444" i="5"/>
  <c r="M1438" i="5"/>
  <c r="AW1413" i="5"/>
  <c r="BC1413" i="5" s="1"/>
  <c r="BH1408" i="5"/>
  <c r="AD1408" i="5" s="1"/>
  <c r="BH1386" i="5"/>
  <c r="AB1386" i="5" s="1"/>
  <c r="K1363" i="5"/>
  <c r="K1362" i="5" s="1"/>
  <c r="BI1363" i="5"/>
  <c r="BH1312" i="5"/>
  <c r="J1312" i="5"/>
  <c r="BI1134" i="5"/>
  <c r="AC1134" i="5" s="1"/>
  <c r="L1085" i="5"/>
  <c r="AL1086" i="5"/>
  <c r="AU1085" i="5" s="1"/>
  <c r="J977" i="5"/>
  <c r="AW977" i="5"/>
  <c r="BH977" i="5"/>
  <c r="AD977" i="5" s="1"/>
  <c r="J615" i="5"/>
  <c r="AW615" i="5"/>
  <c r="BC615" i="5" s="1"/>
  <c r="J530" i="5"/>
  <c r="AW530" i="5"/>
  <c r="AV530" i="5" s="1"/>
  <c r="BH530" i="5"/>
  <c r="AD530" i="5" s="1"/>
  <c r="AX410" i="5"/>
  <c r="BC410" i="5" s="1"/>
  <c r="K410" i="5"/>
  <c r="O335" i="5"/>
  <c r="BF336" i="5"/>
  <c r="J311" i="5"/>
  <c r="AW311" i="5"/>
  <c r="BH311" i="5"/>
  <c r="AB311" i="5" s="1"/>
  <c r="J220" i="5"/>
  <c r="AW220" i="5"/>
  <c r="BH220" i="5"/>
  <c r="AD220" i="5" s="1"/>
  <c r="AJ196" i="5"/>
  <c r="AL196" i="5"/>
  <c r="K163" i="5"/>
  <c r="BI163" i="5"/>
  <c r="AC163" i="5" s="1"/>
  <c r="J41" i="5"/>
  <c r="J40" i="5" s="1"/>
  <c r="BH41" i="5"/>
  <c r="AD41" i="5" s="1"/>
  <c r="J1539" i="5"/>
  <c r="AW1539" i="5"/>
  <c r="AV1539" i="5" s="1"/>
  <c r="J913" i="5"/>
  <c r="AW913" i="5"/>
  <c r="BH913" i="5"/>
  <c r="AD913" i="5" s="1"/>
  <c r="BH237" i="5"/>
  <c r="AB237" i="5" s="1"/>
  <c r="AW237" i="5"/>
  <c r="AL1539" i="5"/>
  <c r="AX987" i="5"/>
  <c r="BC987" i="5" s="1"/>
  <c r="BI987" i="5"/>
  <c r="AC987" i="5" s="1"/>
  <c r="BH937" i="5"/>
  <c r="AW937" i="5"/>
  <c r="AW798" i="5"/>
  <c r="BH798" i="5"/>
  <c r="AD798" i="5" s="1"/>
  <c r="AX524" i="5"/>
  <c r="BC524" i="5" s="1"/>
  <c r="BI524" i="5"/>
  <c r="J104" i="5"/>
  <c r="BH104" i="5"/>
  <c r="AD104" i="5" s="1"/>
  <c r="L40" i="5"/>
  <c r="AL41" i="5"/>
  <c r="AU40" i="5" s="1"/>
  <c r="AW1578" i="5"/>
  <c r="M1572" i="5"/>
  <c r="BI1566" i="5"/>
  <c r="AC1566" i="5" s="1"/>
  <c r="BH1551" i="5"/>
  <c r="AD1551" i="5" s="1"/>
  <c r="BH1539" i="5"/>
  <c r="AW1531" i="5"/>
  <c r="AW1516" i="5"/>
  <c r="AW1506" i="5"/>
  <c r="AW1496" i="5"/>
  <c r="M1496" i="5"/>
  <c r="AW1466" i="5"/>
  <c r="BH1463" i="5"/>
  <c r="AB1463" i="5" s="1"/>
  <c r="J1451" i="5"/>
  <c r="AW1451" i="5"/>
  <c r="AV1451" i="5" s="1"/>
  <c r="BH1446" i="5"/>
  <c r="K1444" i="5"/>
  <c r="BH1432" i="5"/>
  <c r="AB1432" i="5" s="1"/>
  <c r="AW1406" i="5"/>
  <c r="BC1406" i="5" s="1"/>
  <c r="M1403" i="5"/>
  <c r="BF1391" i="5"/>
  <c r="O1381" i="5"/>
  <c r="K1320" i="5"/>
  <c r="BI1320" i="5"/>
  <c r="AE1320" i="5" s="1"/>
  <c r="J1290" i="5"/>
  <c r="BH1290" i="5"/>
  <c r="AB1290" i="5" s="1"/>
  <c r="K1268" i="5"/>
  <c r="AX1268" i="5"/>
  <c r="BI1268" i="5"/>
  <c r="AC1268" i="5" s="1"/>
  <c r="AS1265" i="5"/>
  <c r="BH1225" i="5"/>
  <c r="AF1225" i="5" s="1"/>
  <c r="M1219" i="5"/>
  <c r="M1195" i="5"/>
  <c r="L1091" i="5"/>
  <c r="AL1092" i="5"/>
  <c r="AU1091" i="5" s="1"/>
  <c r="J486" i="5"/>
  <c r="AW486" i="5"/>
  <c r="BH486" i="5"/>
  <c r="AD486" i="5" s="1"/>
  <c r="AX285" i="5"/>
  <c r="AV285" i="5" s="1"/>
  <c r="BI285" i="5"/>
  <c r="AC285" i="5" s="1"/>
  <c r="AW163" i="5"/>
  <c r="BH163" i="5"/>
  <c r="AB163" i="5" s="1"/>
  <c r="BH480" i="5"/>
  <c r="AD480" i="5" s="1"/>
  <c r="AW480" i="5"/>
  <c r="K1199" i="5"/>
  <c r="AX1199" i="5"/>
  <c r="BI1199" i="5"/>
  <c r="AC1199" i="5" s="1"/>
  <c r="AW1193" i="5"/>
  <c r="BH1193" i="5"/>
  <c r="AF1193" i="5" s="1"/>
  <c r="M972" i="5"/>
  <c r="J796" i="5"/>
  <c r="AW796" i="5"/>
  <c r="AV796" i="5" s="1"/>
  <c r="J553" i="5"/>
  <c r="BH553" i="5"/>
  <c r="AD553" i="5" s="1"/>
  <c r="K429" i="5"/>
  <c r="BI429" i="5"/>
  <c r="AE429" i="5" s="1"/>
  <c r="BH1557" i="5"/>
  <c r="AB1557" i="5" s="1"/>
  <c r="BH1533" i="5"/>
  <c r="AB1533" i="5" s="1"/>
  <c r="AX1486" i="5"/>
  <c r="AW1469" i="5"/>
  <c r="J1432" i="5"/>
  <c r="J1430" i="5"/>
  <c r="BH1430" i="5"/>
  <c r="M1411" i="5"/>
  <c r="M1408" i="5"/>
  <c r="AL1382" i="5"/>
  <c r="M1382" i="5"/>
  <c r="O1374" i="5"/>
  <c r="BH1288" i="5"/>
  <c r="AD1288" i="5" s="1"/>
  <c r="J1268" i="5"/>
  <c r="BH1268" i="5"/>
  <c r="AB1268" i="5" s="1"/>
  <c r="AW1209" i="5"/>
  <c r="BH1209" i="5"/>
  <c r="AF1209" i="5" s="1"/>
  <c r="J572" i="5"/>
  <c r="AW572" i="5"/>
  <c r="AW285" i="5"/>
  <c r="J285" i="5"/>
  <c r="AX46" i="5"/>
  <c r="BI46" i="5"/>
  <c r="AE46" i="5" s="1"/>
  <c r="K46" i="5"/>
  <c r="K43" i="5" s="1"/>
  <c r="M1394" i="5"/>
  <c r="O1080" i="5"/>
  <c r="BF1081" i="5"/>
  <c r="L42" i="4" s="1"/>
  <c r="K375" i="5"/>
  <c r="BI375" i="5"/>
  <c r="AC375" i="5" s="1"/>
  <c r="J237" i="5"/>
  <c r="K181" i="5"/>
  <c r="BI181" i="5"/>
  <c r="O1571" i="5"/>
  <c r="M1523" i="5"/>
  <c r="AX1521" i="5"/>
  <c r="O1515" i="5"/>
  <c r="M1509" i="5"/>
  <c r="BH1498" i="5"/>
  <c r="AD1498" i="5" s="1"/>
  <c r="AW1486" i="5"/>
  <c r="AW1463" i="5"/>
  <c r="AL1461" i="5"/>
  <c r="AX1446" i="5"/>
  <c r="BH1421" i="5"/>
  <c r="AB1421" i="5" s="1"/>
  <c r="J1421" i="5"/>
  <c r="BH1416" i="5"/>
  <c r="AD1416" i="5" s="1"/>
  <c r="AW1408" i="5"/>
  <c r="BC1408" i="5" s="1"/>
  <c r="BH1399" i="5"/>
  <c r="AD1399" i="5" s="1"/>
  <c r="O1398" i="5"/>
  <c r="BH1388" i="5"/>
  <c r="AD1388" i="5" s="1"/>
  <c r="AW1375" i="5"/>
  <c r="J1367" i="5"/>
  <c r="J1366" i="5" s="1"/>
  <c r="J1365" i="5" s="1"/>
  <c r="I20" i="3" s="1"/>
  <c r="BH1367" i="5"/>
  <c r="K1316" i="5"/>
  <c r="BI1316" i="5"/>
  <c r="AE1316" i="5" s="1"/>
  <c r="M1290" i="5"/>
  <c r="M1201" i="5"/>
  <c r="J844" i="5"/>
  <c r="AW844" i="5"/>
  <c r="BH844" i="5"/>
  <c r="AD844" i="5" s="1"/>
  <c r="AX586" i="5"/>
  <c r="BI586" i="5"/>
  <c r="AE586" i="5" s="1"/>
  <c r="AW458" i="5"/>
  <c r="BC458" i="5" s="1"/>
  <c r="BH458" i="5"/>
  <c r="AD458" i="5" s="1"/>
  <c r="AX427" i="5"/>
  <c r="K427" i="5"/>
  <c r="BI427" i="5"/>
  <c r="AE427" i="5" s="1"/>
  <c r="J324" i="5"/>
  <c r="BH324" i="5"/>
  <c r="J296" i="5"/>
  <c r="AW296" i="5"/>
  <c r="AL1541" i="5"/>
  <c r="M1541" i="5"/>
  <c r="J747" i="5"/>
  <c r="BH747" i="5"/>
  <c r="AD747" i="5" s="1"/>
  <c r="BH1574" i="5"/>
  <c r="AD1574" i="5" s="1"/>
  <c r="AW1488" i="5"/>
  <c r="M1463" i="5"/>
  <c r="AW1446" i="5"/>
  <c r="AL1399" i="5"/>
  <c r="AU1398" i="5" s="1"/>
  <c r="M1399" i="5"/>
  <c r="J1391" i="5"/>
  <c r="J1390" i="5" s="1"/>
  <c r="AW1391" i="5"/>
  <c r="BC1391" i="5" s="1"/>
  <c r="AS1374" i="5"/>
  <c r="AL1367" i="5"/>
  <c r="AU1366" i="5" s="1"/>
  <c r="BF1360" i="5"/>
  <c r="O1359" i="5"/>
  <c r="AW1324" i="5"/>
  <c r="BH1324" i="5"/>
  <c r="AD1324" i="5" s="1"/>
  <c r="K1278" i="5"/>
  <c r="AX1278" i="5"/>
  <c r="BC1278" i="5" s="1"/>
  <c r="M1278" i="5"/>
  <c r="O1270" i="5"/>
  <c r="BF1271" i="5"/>
  <c r="AX1172" i="5"/>
  <c r="AV1172" i="5" s="1"/>
  <c r="BI1172" i="5"/>
  <c r="AE1172" i="5" s="1"/>
  <c r="L1103" i="5"/>
  <c r="AL1104" i="5"/>
  <c r="AU1103" i="5" s="1"/>
  <c r="J1076" i="5"/>
  <c r="AW1076" i="5"/>
  <c r="J1072" i="5"/>
  <c r="BH1072" i="5"/>
  <c r="AD1072" i="5" s="1"/>
  <c r="K1050" i="5"/>
  <c r="BI1050" i="5"/>
  <c r="AC1050" i="5" s="1"/>
  <c r="M979" i="5"/>
  <c r="M967" i="5"/>
  <c r="O787" i="5"/>
  <c r="BF788" i="5"/>
  <c r="J663" i="5"/>
  <c r="AW663" i="5"/>
  <c r="BC645" i="5"/>
  <c r="J586" i="5"/>
  <c r="BH586" i="5"/>
  <c r="AB586" i="5" s="1"/>
  <c r="AW427" i="5"/>
  <c r="BH427" i="5"/>
  <c r="AB427" i="5" s="1"/>
  <c r="K371" i="5"/>
  <c r="BI371" i="5"/>
  <c r="AC371" i="5" s="1"/>
  <c r="M231" i="5"/>
  <c r="BF172" i="5"/>
  <c r="O171" i="5"/>
  <c r="AX143" i="5"/>
  <c r="BI143" i="5"/>
  <c r="AE143" i="5" s="1"/>
  <c r="BF143" i="5"/>
  <c r="O142" i="5"/>
  <c r="BH38" i="5"/>
  <c r="AW38" i="5"/>
  <c r="BC38" i="5" s="1"/>
  <c r="J934" i="5"/>
  <c r="BH934" i="5"/>
  <c r="AD934" i="5" s="1"/>
  <c r="K333" i="5"/>
  <c r="BI333" i="5"/>
  <c r="AC333" i="5" s="1"/>
  <c r="AW519" i="5"/>
  <c r="BH519" i="5"/>
  <c r="AF519" i="5" s="1"/>
  <c r="AW1551" i="5"/>
  <c r="AK1551" i="5"/>
  <c r="AL1551" i="5"/>
  <c r="AW1533" i="5"/>
  <c r="BC1533" i="5" s="1"/>
  <c r="AX1582" i="5"/>
  <c r="J1572" i="5"/>
  <c r="J1571" i="5" s="1"/>
  <c r="M1559" i="5"/>
  <c r="AW1557" i="5"/>
  <c r="AL1543" i="5"/>
  <c r="J1488" i="5"/>
  <c r="J1485" i="5" s="1"/>
  <c r="M1461" i="5"/>
  <c r="AB1461" i="5"/>
  <c r="K1449" i="5"/>
  <c r="AW1416" i="5"/>
  <c r="AW1399" i="5"/>
  <c r="M1396" i="5"/>
  <c r="O1393" i="5"/>
  <c r="K1379" i="5"/>
  <c r="BI1347" i="5"/>
  <c r="AC1347" i="5" s="1"/>
  <c r="AX1347" i="5"/>
  <c r="K1345" i="5"/>
  <c r="AX1345" i="5"/>
  <c r="AV1345" i="5" s="1"/>
  <c r="BI1345" i="5"/>
  <c r="AE1345" i="5" s="1"/>
  <c r="L1270" i="5"/>
  <c r="AL1271" i="5"/>
  <c r="AU1270" i="5" s="1"/>
  <c r="J1246" i="5"/>
  <c r="BH1246" i="5"/>
  <c r="AD1246" i="5" s="1"/>
  <c r="K934" i="5"/>
  <c r="BI934" i="5"/>
  <c r="AE934" i="5" s="1"/>
  <c r="AX911" i="5"/>
  <c r="BI911" i="5"/>
  <c r="K911" i="5"/>
  <c r="M880" i="5"/>
  <c r="AW513" i="5"/>
  <c r="BH513" i="5"/>
  <c r="AF513" i="5" s="1"/>
  <c r="K475" i="5"/>
  <c r="AX475" i="5"/>
  <c r="BC475" i="5" s="1"/>
  <c r="AX333" i="5"/>
  <c r="AW277" i="5"/>
  <c r="J277" i="5"/>
  <c r="BH277" i="5"/>
  <c r="AB277" i="5" s="1"/>
  <c r="AX181" i="5"/>
  <c r="J100" i="5"/>
  <c r="BH100" i="5"/>
  <c r="AD100" i="5" s="1"/>
  <c r="BI1131" i="5"/>
  <c r="AC1131" i="5" s="1"/>
  <c r="BI1095" i="5"/>
  <c r="AC1095" i="5" s="1"/>
  <c r="L1080" i="5"/>
  <c r="BH1056" i="5"/>
  <c r="AD1056" i="5" s="1"/>
  <c r="AX995" i="5"/>
  <c r="J972" i="5"/>
  <c r="BI915" i="5"/>
  <c r="AC915" i="5" s="1"/>
  <c r="BI891" i="5"/>
  <c r="AE891" i="5" s="1"/>
  <c r="BH855" i="5"/>
  <c r="AD855" i="5" s="1"/>
  <c r="BC840" i="5"/>
  <c r="BH813" i="5"/>
  <c r="AD813" i="5" s="1"/>
  <c r="BH788" i="5"/>
  <c r="AD788" i="5" s="1"/>
  <c r="BH694" i="5"/>
  <c r="AB694" i="5" s="1"/>
  <c r="M588" i="5"/>
  <c r="BH505" i="5"/>
  <c r="AD505" i="5" s="1"/>
  <c r="K421" i="5"/>
  <c r="BH303" i="5"/>
  <c r="AB303" i="5" s="1"/>
  <c r="M299" i="5"/>
  <c r="AW283" i="5"/>
  <c r="BI216" i="5"/>
  <c r="AE216" i="5" s="1"/>
  <c r="AW185" i="5"/>
  <c r="AV185" i="5" s="1"/>
  <c r="BI160" i="5"/>
  <c r="AC160" i="5" s="1"/>
  <c r="M143" i="5"/>
  <c r="BI116" i="5"/>
  <c r="AW102" i="5"/>
  <c r="BC102" i="5" s="1"/>
  <c r="BI1367" i="5"/>
  <c r="BH1347" i="5"/>
  <c r="AD1347" i="5" s="1"/>
  <c r="M1288" i="5"/>
  <c r="M1282" i="5"/>
  <c r="M1261" i="5"/>
  <c r="M1257" i="5"/>
  <c r="AW1231" i="5"/>
  <c r="AX1191" i="5"/>
  <c r="M1185" i="5"/>
  <c r="AX1107" i="5"/>
  <c r="BI1083" i="5"/>
  <c r="AC1083" i="5" s="1"/>
  <c r="J1054" i="5"/>
  <c r="AX1008" i="5"/>
  <c r="BI967" i="5"/>
  <c r="AC967" i="5" s="1"/>
  <c r="AW947" i="5"/>
  <c r="BC947" i="5" s="1"/>
  <c r="BI944" i="5"/>
  <c r="AE944" i="5" s="1"/>
  <c r="M934" i="5"/>
  <c r="AW917" i="5"/>
  <c r="BH880" i="5"/>
  <c r="AD880" i="5" s="1"/>
  <c r="BI830" i="5"/>
  <c r="AE830" i="5" s="1"/>
  <c r="O812" i="5"/>
  <c r="BC805" i="5"/>
  <c r="M747" i="5"/>
  <c r="M709" i="5"/>
  <c r="M708" i="5" s="1"/>
  <c r="L641" i="5"/>
  <c r="BH629" i="5"/>
  <c r="AB629" i="5" s="1"/>
  <c r="BH599" i="5"/>
  <c r="AB599" i="5" s="1"/>
  <c r="BH592" i="5"/>
  <c r="AF592" i="5" s="1"/>
  <c r="BH443" i="5"/>
  <c r="AB443" i="5" s="1"/>
  <c r="BH349" i="5"/>
  <c r="BI343" i="5"/>
  <c r="AC343" i="5" s="1"/>
  <c r="BF318" i="5"/>
  <c r="M260" i="5"/>
  <c r="O228" i="5"/>
  <c r="BI193" i="5"/>
  <c r="AE193" i="5" s="1"/>
  <c r="M181" i="5"/>
  <c r="AW150" i="5"/>
  <c r="AV150" i="5" s="1"/>
  <c r="M130" i="5"/>
  <c r="BI80" i="5"/>
  <c r="AC80" i="5" s="1"/>
  <c r="BI65" i="5"/>
  <c r="AC65" i="5" s="1"/>
  <c r="BI49" i="5"/>
  <c r="M1551" i="5"/>
  <c r="M1459" i="5"/>
  <c r="M1413" i="5"/>
  <c r="O1410" i="5"/>
  <c r="M1239" i="5"/>
  <c r="O1140" i="5"/>
  <c r="AX1131" i="5"/>
  <c r="AX1126" i="5"/>
  <c r="BH1083" i="5"/>
  <c r="AD1083" i="5" s="1"/>
  <c r="M1072" i="5"/>
  <c r="AW1056" i="5"/>
  <c r="K1035" i="5"/>
  <c r="M1003" i="5"/>
  <c r="AW981" i="5"/>
  <c r="AW979" i="5"/>
  <c r="AV979" i="5" s="1"/>
  <c r="AW975" i="5"/>
  <c r="J863" i="5"/>
  <c r="AW855" i="5"/>
  <c r="AW819" i="5"/>
  <c r="M796" i="5"/>
  <c r="O756" i="5"/>
  <c r="AW694" i="5"/>
  <c r="L656" i="5"/>
  <c r="M577" i="5"/>
  <c r="AL574" i="5"/>
  <c r="AV569" i="5"/>
  <c r="AW505" i="5"/>
  <c r="BC505" i="5" s="1"/>
  <c r="BH451" i="5"/>
  <c r="AD451" i="5" s="1"/>
  <c r="J437" i="5"/>
  <c r="K377" i="5"/>
  <c r="M275" i="5"/>
  <c r="AL243" i="5"/>
  <c r="AX212" i="5"/>
  <c r="BH94" i="5"/>
  <c r="AW86" i="5"/>
  <c r="BI38" i="5"/>
  <c r="AC38" i="5" s="1"/>
  <c r="K21" i="5"/>
  <c r="M1223" i="5"/>
  <c r="M1203" i="5"/>
  <c r="M1197" i="5"/>
  <c r="M1069" i="5"/>
  <c r="M1001" i="5"/>
  <c r="J925" i="5"/>
  <c r="M919" i="5"/>
  <c r="AV825" i="5"/>
  <c r="AU756" i="5"/>
  <c r="AV745" i="5"/>
  <c r="M715" i="5"/>
  <c r="M714" i="5" s="1"/>
  <c r="AW683" i="5"/>
  <c r="M590" i="5"/>
  <c r="BC561" i="5"/>
  <c r="AV386" i="5"/>
  <c r="M375" i="5"/>
  <c r="AW318" i="5"/>
  <c r="AV318" i="5" s="1"/>
  <c r="AX303" i="5"/>
  <c r="M290" i="5"/>
  <c r="AW251" i="5"/>
  <c r="AX229" i="5"/>
  <c r="AX216" i="5"/>
  <c r="AX206" i="5"/>
  <c r="AX199" i="5"/>
  <c r="M111" i="5"/>
  <c r="AW69" i="5"/>
  <c r="M67" i="5"/>
  <c r="M65" i="5"/>
  <c r="AW60" i="5"/>
  <c r="AX49" i="5"/>
  <c r="K29" i="5"/>
  <c r="AL27" i="5"/>
  <c r="AL23" i="5"/>
  <c r="M753" i="5"/>
  <c r="M472" i="5"/>
  <c r="M307" i="5"/>
  <c r="M80" i="5"/>
  <c r="M1268" i="5"/>
  <c r="M1170" i="5"/>
  <c r="BF1098" i="5"/>
  <c r="M1063" i="5"/>
  <c r="M1016" i="5"/>
  <c r="M1012" i="5"/>
  <c r="M891" i="5"/>
  <c r="M853" i="5"/>
  <c r="BI827" i="5"/>
  <c r="AC827" i="5" s="1"/>
  <c r="BI821" i="5"/>
  <c r="AC821" i="5" s="1"/>
  <c r="BH810" i="5"/>
  <c r="AD810" i="5" s="1"/>
  <c r="BI800" i="5"/>
  <c r="AC800" i="5" s="1"/>
  <c r="M763" i="5"/>
  <c r="M620" i="5"/>
  <c r="BH612" i="5"/>
  <c r="AF612" i="5" s="1"/>
  <c r="M524" i="5"/>
  <c r="M519" i="5"/>
  <c r="AL307" i="5"/>
  <c r="L233" i="5"/>
  <c r="AL160" i="5"/>
  <c r="AU159" i="5" s="1"/>
  <c r="M98" i="5"/>
  <c r="AW1098" i="5"/>
  <c r="BH1098" i="5"/>
  <c r="J1045" i="5"/>
  <c r="BH1045" i="5"/>
  <c r="AD1045" i="5" s="1"/>
  <c r="O1520" i="5"/>
  <c r="AW1308" i="5"/>
  <c r="BH1308" i="5"/>
  <c r="AD1308" i="5" s="1"/>
  <c r="M1274" i="5"/>
  <c r="K1223" i="5"/>
  <c r="AX1223" i="5"/>
  <c r="BI1223" i="5"/>
  <c r="AC1223" i="5" s="1"/>
  <c r="K1067" i="5"/>
  <c r="AX1067" i="5"/>
  <c r="BI1067" i="5"/>
  <c r="AC1067" i="5" s="1"/>
  <c r="BF1067" i="5"/>
  <c r="L41" i="4" s="1"/>
  <c r="O1066" i="5"/>
  <c r="AW961" i="5"/>
  <c r="J961" i="5"/>
  <c r="BH961" i="5"/>
  <c r="AB961" i="5" s="1"/>
  <c r="K886" i="5"/>
  <c r="BI886" i="5"/>
  <c r="AE886" i="5" s="1"/>
  <c r="AX781" i="5"/>
  <c r="BI781" i="5"/>
  <c r="AC781" i="5" s="1"/>
  <c r="AD763" i="5"/>
  <c r="AB763" i="5"/>
  <c r="AD303" i="5"/>
  <c r="J1343" i="5"/>
  <c r="BH1343" i="5"/>
  <c r="AD1343" i="5" s="1"/>
  <c r="AX853" i="5"/>
  <c r="BI853" i="5"/>
  <c r="AE853" i="5" s="1"/>
  <c r="BI1516" i="5"/>
  <c r="AE1516" i="5" s="1"/>
  <c r="BI1455" i="5"/>
  <c r="AC1455" i="5" s="1"/>
  <c r="J1326" i="5"/>
  <c r="BH1326" i="5"/>
  <c r="AD1326" i="5" s="1"/>
  <c r="AW1185" i="5"/>
  <c r="BH1185" i="5"/>
  <c r="AF1185" i="5" s="1"/>
  <c r="J1150" i="5"/>
  <c r="AW1150" i="5"/>
  <c r="BH1150" i="5"/>
  <c r="AD1150" i="5" s="1"/>
  <c r="L1130" i="5"/>
  <c r="M1131" i="5"/>
  <c r="M1130" i="5" s="1"/>
  <c r="K1101" i="5"/>
  <c r="K1100" i="5" s="1"/>
  <c r="AX1101" i="5"/>
  <c r="BI1101" i="5"/>
  <c r="AC1101" i="5" s="1"/>
  <c r="K1089" i="5"/>
  <c r="K1088" i="5" s="1"/>
  <c r="AX1089" i="5"/>
  <c r="AV1089" i="5" s="1"/>
  <c r="BI1089" i="5"/>
  <c r="AC1089" i="5" s="1"/>
  <c r="AW400" i="5"/>
  <c r="BH400" i="5"/>
  <c r="AB400" i="5" s="1"/>
  <c r="AK175" i="5"/>
  <c r="AT174" i="5" s="1"/>
  <c r="M175" i="5"/>
  <c r="AL175" i="5"/>
  <c r="O1490" i="5"/>
  <c r="L1485" i="5"/>
  <c r="M1553" i="5"/>
  <c r="M1547" i="5"/>
  <c r="BI1545" i="5"/>
  <c r="AC1545" i="5" s="1"/>
  <c r="AC1543" i="5"/>
  <c r="J1537" i="5"/>
  <c r="AL1535" i="5"/>
  <c r="AL1528" i="5"/>
  <c r="BH1516" i="5"/>
  <c r="AD1516" i="5" s="1"/>
  <c r="BH1511" i="5"/>
  <c r="O1508" i="5"/>
  <c r="M1506" i="5"/>
  <c r="AW1501" i="5"/>
  <c r="I69" i="4" s="1"/>
  <c r="AW1498" i="5"/>
  <c r="BC1498" i="5" s="1"/>
  <c r="O1493" i="5"/>
  <c r="O1485" i="5"/>
  <c r="O1468" i="5"/>
  <c r="AW1453" i="5"/>
  <c r="J1453" i="5"/>
  <c r="M1446" i="5"/>
  <c r="L1410" i="5"/>
  <c r="BH1403" i="5"/>
  <c r="AD1403" i="5" s="1"/>
  <c r="L1398" i="5"/>
  <c r="AW1394" i="5"/>
  <c r="AW1384" i="5"/>
  <c r="BC1384" i="5" s="1"/>
  <c r="AL1564" i="5"/>
  <c r="AU1563" i="5" s="1"/>
  <c r="AW1559" i="5"/>
  <c r="AX1551" i="5"/>
  <c r="AB1551" i="5"/>
  <c r="BH1531" i="5"/>
  <c r="BF1516" i="5"/>
  <c r="L71" i="4" s="1"/>
  <c r="AS1515" i="5"/>
  <c r="BF1509" i="5"/>
  <c r="L70" i="4" s="1"/>
  <c r="BF1494" i="5"/>
  <c r="L68" i="4" s="1"/>
  <c r="BI1486" i="5"/>
  <c r="AC1486" i="5" s="1"/>
  <c r="M1483" i="5"/>
  <c r="L1480" i="5"/>
  <c r="BI1475" i="5"/>
  <c r="AE1475" i="5" s="1"/>
  <c r="AW1473" i="5"/>
  <c r="O1472" i="5"/>
  <c r="AX1463" i="5"/>
  <c r="AL1459" i="5"/>
  <c r="K1459" i="5"/>
  <c r="AL1446" i="5"/>
  <c r="AL1440" i="5"/>
  <c r="AL1416" i="5"/>
  <c r="AU1415" i="5" s="1"/>
  <c r="BI1413" i="5"/>
  <c r="K1413" i="5"/>
  <c r="AL1411" i="5"/>
  <c r="K1411" i="5"/>
  <c r="AW1401" i="5"/>
  <c r="BH1391" i="5"/>
  <c r="AD1391" i="5" s="1"/>
  <c r="AW1388" i="5"/>
  <c r="BC1388" i="5" s="1"/>
  <c r="K1382" i="5"/>
  <c r="K1377" i="5"/>
  <c r="O1370" i="5"/>
  <c r="O1369" i="5" s="1"/>
  <c r="L59" i="4" s="1"/>
  <c r="J1314" i="5"/>
  <c r="BH1314" i="5"/>
  <c r="AD1314" i="5" s="1"/>
  <c r="J1008" i="5"/>
  <c r="BH1008" i="5"/>
  <c r="AD1008" i="5" s="1"/>
  <c r="AX975" i="5"/>
  <c r="BC975" i="5" s="1"/>
  <c r="BI975" i="5"/>
  <c r="AC975" i="5" s="1"/>
  <c r="M954" i="5"/>
  <c r="AL954" i="5"/>
  <c r="J873" i="5"/>
  <c r="AW873" i="5"/>
  <c r="BH873" i="5"/>
  <c r="AD873" i="5" s="1"/>
  <c r="M592" i="5"/>
  <c r="AL592" i="5"/>
  <c r="K461" i="5"/>
  <c r="BI461" i="5"/>
  <c r="AC461" i="5" s="1"/>
  <c r="AX461" i="5"/>
  <c r="BC461" i="5" s="1"/>
  <c r="K453" i="5"/>
  <c r="AX453" i="5"/>
  <c r="BI453" i="5"/>
  <c r="AE453" i="5" s="1"/>
  <c r="BI446" i="5"/>
  <c r="K446" i="5"/>
  <c r="AL1547" i="5"/>
  <c r="M1511" i="5"/>
  <c r="K904" i="5"/>
  <c r="BI904" i="5"/>
  <c r="AE904" i="5" s="1"/>
  <c r="M1513" i="5"/>
  <c r="O1480" i="5"/>
  <c r="M1455" i="5"/>
  <c r="M1440" i="5"/>
  <c r="M1432" i="5"/>
  <c r="AL1432" i="5"/>
  <c r="BH1424" i="5"/>
  <c r="AB1424" i="5" s="1"/>
  <c r="AL1421" i="5"/>
  <c r="BI1419" i="5"/>
  <c r="AC1419" i="5" s="1"/>
  <c r="AT1398" i="5"/>
  <c r="M1375" i="5"/>
  <c r="AW1360" i="5"/>
  <c r="I55" i="4" s="1"/>
  <c r="J1360" i="5"/>
  <c r="J1359" i="5" s="1"/>
  <c r="BH1360" i="5"/>
  <c r="AB1360" i="5" s="1"/>
  <c r="BI1318" i="5"/>
  <c r="AE1318" i="5" s="1"/>
  <c r="AX1318" i="5"/>
  <c r="J1251" i="5"/>
  <c r="AW1251" i="5"/>
  <c r="BH1251" i="5"/>
  <c r="AD1251" i="5" s="1"/>
  <c r="K1215" i="5"/>
  <c r="AX1215" i="5"/>
  <c r="BI1215" i="5"/>
  <c r="AC1215" i="5" s="1"/>
  <c r="Z1104" i="5"/>
  <c r="AW1074" i="5"/>
  <c r="BH1074" i="5"/>
  <c r="M964" i="5"/>
  <c r="AL964" i="5"/>
  <c r="J769" i="5"/>
  <c r="AW769" i="5"/>
  <c r="BH769" i="5"/>
  <c r="AD769" i="5" s="1"/>
  <c r="AX750" i="5"/>
  <c r="J35" i="4" s="1"/>
  <c r="BI750" i="5"/>
  <c r="AC750" i="5" s="1"/>
  <c r="J175" i="5"/>
  <c r="AW175" i="5"/>
  <c r="BH175" i="5"/>
  <c r="AB175" i="5" s="1"/>
  <c r="BF1399" i="5"/>
  <c r="L63" i="4" s="1"/>
  <c r="J774" i="5"/>
  <c r="AW774" i="5"/>
  <c r="AK1029" i="5"/>
  <c r="AT1028" i="5" s="1"/>
  <c r="M1029" i="5"/>
  <c r="AX810" i="5"/>
  <c r="BC810" i="5" s="1"/>
  <c r="BI810" i="5"/>
  <c r="AC810" i="5" s="1"/>
  <c r="AS1563" i="5"/>
  <c r="BH1526" i="5"/>
  <c r="AB1526" i="5" s="1"/>
  <c r="M1569" i="5"/>
  <c r="M1568" i="5" s="1"/>
  <c r="BI1555" i="5"/>
  <c r="AE1555" i="5" s="1"/>
  <c r="AW1547" i="5"/>
  <c r="AV1547" i="5" s="1"/>
  <c r="K1545" i="5"/>
  <c r="AX1511" i="5"/>
  <c r="BF1504" i="5"/>
  <c r="AU1503" i="5"/>
  <c r="J1318" i="5"/>
  <c r="BH1318" i="5"/>
  <c r="AD1318" i="5" s="1"/>
  <c r="AW1233" i="5"/>
  <c r="J1233" i="5"/>
  <c r="AX1144" i="5"/>
  <c r="BC1144" i="5" s="1"/>
  <c r="BI1144" i="5"/>
  <c r="AE1144" i="5" s="1"/>
  <c r="K1076" i="5"/>
  <c r="AX1076" i="5"/>
  <c r="AV1076" i="5" s="1"/>
  <c r="BI1076" i="5"/>
  <c r="AC1076" i="5" s="1"/>
  <c r="K977" i="5"/>
  <c r="AX977" i="5"/>
  <c r="BI977" i="5"/>
  <c r="AE977" i="5" s="1"/>
  <c r="M977" i="5"/>
  <c r="AX721" i="5"/>
  <c r="BI721" i="5"/>
  <c r="AE721" i="5" s="1"/>
  <c r="AW254" i="5"/>
  <c r="AV254" i="5" s="1"/>
  <c r="J254" i="5"/>
  <c r="BH254" i="5"/>
  <c r="BF1394" i="5"/>
  <c r="K1308" i="5"/>
  <c r="AX1308" i="5"/>
  <c r="BI1308" i="5"/>
  <c r="AE1308" i="5" s="1"/>
  <c r="K1020" i="5"/>
  <c r="BI1020" i="5"/>
  <c r="AE1020" i="5" s="1"/>
  <c r="AU1480" i="5"/>
  <c r="M1478" i="5"/>
  <c r="M1477" i="5" s="1"/>
  <c r="J1466" i="5"/>
  <c r="J1465" i="5" s="1"/>
  <c r="K1455" i="5"/>
  <c r="AW1442" i="5"/>
  <c r="M1421" i="5"/>
  <c r="BF1416" i="5"/>
  <c r="AB1416" i="5"/>
  <c r="AW1403" i="5"/>
  <c r="BC1403" i="5" s="1"/>
  <c r="AS1398" i="5"/>
  <c r="BH1396" i="5"/>
  <c r="AB1396" i="5" s="1"/>
  <c r="K1386" i="5"/>
  <c r="BI1382" i="5"/>
  <c r="AC1382" i="5" s="1"/>
  <c r="AX1578" i="5"/>
  <c r="AU1571" i="5"/>
  <c r="BH1564" i="5"/>
  <c r="AB1564" i="5" s="1"/>
  <c r="M1561" i="5"/>
  <c r="O1530" i="5"/>
  <c r="M1543" i="5"/>
  <c r="BH1537" i="5"/>
  <c r="AX1531" i="5"/>
  <c r="BC1531" i="5" s="1"/>
  <c r="J1523" i="5"/>
  <c r="K1518" i="5"/>
  <c r="AX1516" i="5"/>
  <c r="BC1516" i="5" s="1"/>
  <c r="AW1511" i="5"/>
  <c r="J1504" i="5"/>
  <c r="J1503" i="5" s="1"/>
  <c r="J1493" i="5"/>
  <c r="AS1480" i="5"/>
  <c r="K1463" i="5"/>
  <c r="BI1459" i="5"/>
  <c r="AC1459" i="5" s="1"/>
  <c r="BI1449" i="5"/>
  <c r="AC1449" i="5" s="1"/>
  <c r="BI1444" i="5"/>
  <c r="AC1444" i="5" s="1"/>
  <c r="AW1424" i="5"/>
  <c r="BI1411" i="5"/>
  <c r="AE1411" i="5" s="1"/>
  <c r="M1406" i="5"/>
  <c r="M1388" i="5"/>
  <c r="AL1388" i="5"/>
  <c r="M1384" i="5"/>
  <c r="BH1382" i="5"/>
  <c r="BF1375" i="5"/>
  <c r="BF1363" i="5"/>
  <c r="L56" i="4" s="1"/>
  <c r="O1362" i="5"/>
  <c r="J1338" i="5"/>
  <c r="BH1338" i="5"/>
  <c r="AD1338" i="5" s="1"/>
  <c r="K1304" i="5"/>
  <c r="AX1304" i="5"/>
  <c r="AV1304" i="5" s="1"/>
  <c r="J1286" i="5"/>
  <c r="AW1286" i="5"/>
  <c r="AV1286" i="5" s="1"/>
  <c r="M1115" i="5"/>
  <c r="M1114" i="5" s="1"/>
  <c r="M1113" i="5" s="1"/>
  <c r="AX733" i="5"/>
  <c r="BI733" i="5"/>
  <c r="AE733" i="5" s="1"/>
  <c r="AX1340" i="5"/>
  <c r="BC1340" i="5" s="1"/>
  <c r="AX1336" i="5"/>
  <c r="BC1336" i="5" s="1"/>
  <c r="J1320" i="5"/>
  <c r="AX1302" i="5"/>
  <c r="M1292" i="5"/>
  <c r="BC1284" i="5"/>
  <c r="M1280" i="5"/>
  <c r="AX1239" i="5"/>
  <c r="M1209" i="5"/>
  <c r="BI1183" i="5"/>
  <c r="AC1183" i="5" s="1"/>
  <c r="BI1180" i="5"/>
  <c r="AC1180" i="5" s="1"/>
  <c r="AL1172" i="5"/>
  <c r="BH1166" i="5"/>
  <c r="AD1166" i="5" s="1"/>
  <c r="M1162" i="5"/>
  <c r="BI1160" i="5"/>
  <c r="M1152" i="5"/>
  <c r="BI1148" i="5"/>
  <c r="AE1148" i="5" s="1"/>
  <c r="AX1136" i="5"/>
  <c r="K1134" i="5"/>
  <c r="AL1128" i="5"/>
  <c r="BI1126" i="5"/>
  <c r="AC1126" i="5" s="1"/>
  <c r="BH1123" i="5"/>
  <c r="AB1123" i="5" s="1"/>
  <c r="BF1119" i="5"/>
  <c r="L49" i="4" s="1"/>
  <c r="AL1098" i="5"/>
  <c r="AU1097" i="5" s="1"/>
  <c r="AL1063" i="5"/>
  <c r="BI1061" i="5"/>
  <c r="AC1061" i="5" s="1"/>
  <c r="O1047" i="5"/>
  <c r="M1037" i="5"/>
  <c r="BH1024" i="5"/>
  <c r="AD1024" i="5" s="1"/>
  <c r="M1022" i="5"/>
  <c r="M1008" i="5"/>
  <c r="BI990" i="5"/>
  <c r="AE990" i="5" s="1"/>
  <c r="AX981" i="5"/>
  <c r="AW972" i="5"/>
  <c r="AV972" i="5" s="1"/>
  <c r="K967" i="5"/>
  <c r="M950" i="5"/>
  <c r="BH942" i="5"/>
  <c r="AF942" i="5" s="1"/>
  <c r="M942" i="5"/>
  <c r="M931" i="5"/>
  <c r="BH915" i="5"/>
  <c r="AD915" i="5" s="1"/>
  <c r="M915" i="5"/>
  <c r="BH891" i="5"/>
  <c r="AD891" i="5" s="1"/>
  <c r="M889" i="5"/>
  <c r="M813" i="5"/>
  <c r="M810" i="5"/>
  <c r="O777" i="5"/>
  <c r="BI766" i="5"/>
  <c r="AW739" i="5"/>
  <c r="AK691" i="5"/>
  <c r="AT682" i="5" s="1"/>
  <c r="AL691" i="5"/>
  <c r="M606" i="5"/>
  <c r="AL606" i="5"/>
  <c r="AW556" i="5"/>
  <c r="BH556" i="5"/>
  <c r="AF556" i="5" s="1"/>
  <c r="AW502" i="5"/>
  <c r="BH502" i="5"/>
  <c r="AF502" i="5" s="1"/>
  <c r="K464" i="5"/>
  <c r="BI464" i="5"/>
  <c r="AE464" i="5" s="1"/>
  <c r="AW453" i="5"/>
  <c r="BH453" i="5"/>
  <c r="AD453" i="5" s="1"/>
  <c r="K432" i="5"/>
  <c r="BI432" i="5"/>
  <c r="K373" i="5"/>
  <c r="AX305" i="5"/>
  <c r="BC305" i="5" s="1"/>
  <c r="K305" i="5"/>
  <c r="K299" i="5"/>
  <c r="AX299" i="5"/>
  <c r="AX237" i="5"/>
  <c r="BI237" i="5"/>
  <c r="AC237" i="5" s="1"/>
  <c r="K237" i="5"/>
  <c r="AJ226" i="5"/>
  <c r="AL226" i="5"/>
  <c r="AW212" i="5"/>
  <c r="AV212" i="5" s="1"/>
  <c r="BH212" i="5"/>
  <c r="AB212" i="5" s="1"/>
  <c r="AW1367" i="5"/>
  <c r="BC1367" i="5" s="1"/>
  <c r="BI1354" i="5"/>
  <c r="AE1354" i="5" s="1"/>
  <c r="AX1320" i="5"/>
  <c r="AV1320" i="5" s="1"/>
  <c r="BH1306" i="5"/>
  <c r="AD1306" i="5" s="1"/>
  <c r="BH1294" i="5"/>
  <c r="AB1294" i="5" s="1"/>
  <c r="AL1284" i="5"/>
  <c r="BI1282" i="5"/>
  <c r="AC1282" i="5" s="1"/>
  <c r="AL1276" i="5"/>
  <c r="M1255" i="5"/>
  <c r="AL1253" i="5"/>
  <c r="BI1251" i="5"/>
  <c r="BI1241" i="5"/>
  <c r="AE1241" i="5" s="1"/>
  <c r="AW1239" i="5"/>
  <c r="AX1235" i="5"/>
  <c r="M1225" i="5"/>
  <c r="M1217" i="5"/>
  <c r="BI1191" i="5"/>
  <c r="AC1191" i="5" s="1"/>
  <c r="M1180" i="5"/>
  <c r="AX1158" i="5"/>
  <c r="BI1154" i="5"/>
  <c r="AC1154" i="5" s="1"/>
  <c r="M1150" i="5"/>
  <c r="BI1141" i="5"/>
  <c r="AC1141" i="5" s="1"/>
  <c r="M1138" i="5"/>
  <c r="AW1136" i="5"/>
  <c r="O1130" i="5"/>
  <c r="BH1126" i="5"/>
  <c r="BH1095" i="5"/>
  <c r="AD1095" i="5" s="1"/>
  <c r="AX1083" i="5"/>
  <c r="AW1072" i="5"/>
  <c r="BH1061" i="5"/>
  <c r="AD1061" i="5" s="1"/>
  <c r="BH1059" i="5"/>
  <c r="AD1059" i="5" s="1"/>
  <c r="BH1035" i="5"/>
  <c r="AD1035" i="5" s="1"/>
  <c r="BH1033" i="5"/>
  <c r="AD1033" i="5" s="1"/>
  <c r="M1014" i="5"/>
  <c r="O1005" i="5"/>
  <c r="M985" i="5"/>
  <c r="M952" i="5"/>
  <c r="AW944" i="5"/>
  <c r="AX922" i="5"/>
  <c r="BC922" i="5" s="1"/>
  <c r="BI919" i="5"/>
  <c r="AC919" i="5" s="1"/>
  <c r="J915" i="5"/>
  <c r="BI873" i="5"/>
  <c r="AE873" i="5" s="1"/>
  <c r="M859" i="5"/>
  <c r="AL853" i="5"/>
  <c r="BI838" i="5"/>
  <c r="M835" i="5"/>
  <c r="O829" i="5"/>
  <c r="BH825" i="5"/>
  <c r="AD825" i="5" s="1"/>
  <c r="M825" i="5"/>
  <c r="BH821" i="5"/>
  <c r="AD821" i="5" s="1"/>
  <c r="BH778" i="5"/>
  <c r="M769" i="5"/>
  <c r="BH766" i="5"/>
  <c r="K739" i="5"/>
  <c r="AX739" i="5"/>
  <c r="BC739" i="5" s="1"/>
  <c r="AX700" i="5"/>
  <c r="K700" i="5"/>
  <c r="K699" i="5" s="1"/>
  <c r="M597" i="5"/>
  <c r="AL597" i="5"/>
  <c r="K538" i="5"/>
  <c r="K486" i="5"/>
  <c r="AX486" i="5"/>
  <c r="BI486" i="5"/>
  <c r="AE486" i="5" s="1"/>
  <c r="AW381" i="5"/>
  <c r="BC381" i="5" s="1"/>
  <c r="BH381" i="5"/>
  <c r="AF381" i="5" s="1"/>
  <c r="J299" i="5"/>
  <c r="AW299" i="5"/>
  <c r="BH299" i="5"/>
  <c r="AX188" i="5"/>
  <c r="BI188" i="5"/>
  <c r="AC188" i="5" s="1"/>
  <c r="L1342" i="5"/>
  <c r="BI1328" i="5"/>
  <c r="AE1328" i="5" s="1"/>
  <c r="J1324" i="5"/>
  <c r="M1294" i="5"/>
  <c r="AX1274" i="5"/>
  <c r="BH1266" i="5"/>
  <c r="AF1266" i="5" s="1"/>
  <c r="M1248" i="5"/>
  <c r="M1189" i="5"/>
  <c r="AX1183" i="5"/>
  <c r="M1178" i="5"/>
  <c r="AW1166" i="5"/>
  <c r="K1138" i="5"/>
  <c r="BF1115" i="5"/>
  <c r="L47" i="4" s="1"/>
  <c r="AW1107" i="5"/>
  <c r="BC1107" i="5" s="1"/>
  <c r="M1101" i="5"/>
  <c r="M1100" i="5" s="1"/>
  <c r="BI1098" i="5"/>
  <c r="M1089" i="5"/>
  <c r="M1088" i="5" s="1"/>
  <c r="AW1083" i="5"/>
  <c r="BI1037" i="5"/>
  <c r="AC1037" i="5" s="1"/>
  <c r="BH1026" i="5"/>
  <c r="AD1026" i="5" s="1"/>
  <c r="BI1008" i="5"/>
  <c r="AE1008" i="5" s="1"/>
  <c r="M1006" i="5"/>
  <c r="BI1001" i="5"/>
  <c r="AE1001" i="5" s="1"/>
  <c r="AX990" i="5"/>
  <c r="M983" i="5"/>
  <c r="M975" i="5"/>
  <c r="M974" i="5"/>
  <c r="BH952" i="5"/>
  <c r="AD952" i="5" s="1"/>
  <c r="M939" i="5"/>
  <c r="M928" i="5"/>
  <c r="AW922" i="5"/>
  <c r="AX880" i="5"/>
  <c r="M873" i="5"/>
  <c r="AW850" i="5"/>
  <c r="BH802" i="5"/>
  <c r="AD802" i="5" s="1"/>
  <c r="M781" i="5"/>
  <c r="O765" i="5"/>
  <c r="AW763" i="5"/>
  <c r="K706" i="5"/>
  <c r="K705" i="5" s="1"/>
  <c r="BI706" i="5"/>
  <c r="AE706" i="5" s="1"/>
  <c r="O611" i="5"/>
  <c r="BF612" i="5"/>
  <c r="L31" i="4" s="1"/>
  <c r="J581" i="5"/>
  <c r="AW581" i="5"/>
  <c r="AX566" i="5"/>
  <c r="BI566" i="5"/>
  <c r="K566" i="5"/>
  <c r="BH351" i="5"/>
  <c r="J351" i="5"/>
  <c r="J256" i="5"/>
  <c r="AW256" i="5"/>
  <c r="J188" i="5"/>
  <c r="J184" i="5" s="1"/>
  <c r="AW188" i="5"/>
  <c r="AV188" i="5" s="1"/>
  <c r="L174" i="5"/>
  <c r="AL177" i="5"/>
  <c r="AW145" i="5"/>
  <c r="BC145" i="5" s="1"/>
  <c r="BH145" i="5"/>
  <c r="AX1354" i="5"/>
  <c r="AV1354" i="5" s="1"/>
  <c r="AX1334" i="5"/>
  <c r="M1241" i="5"/>
  <c r="BI1207" i="5"/>
  <c r="AC1207" i="5" s="1"/>
  <c r="AW1095" i="5"/>
  <c r="AT1080" i="5"/>
  <c r="BH1076" i="5"/>
  <c r="AD1076" i="5" s="1"/>
  <c r="AX1061" i="5"/>
  <c r="M1039" i="5"/>
  <c r="AW1033" i="5"/>
  <c r="AX1024" i="5"/>
  <c r="BI1016" i="5"/>
  <c r="AE1016" i="5" s="1"/>
  <c r="K1001" i="5"/>
  <c r="M990" i="5"/>
  <c r="BH975" i="5"/>
  <c r="AD975" i="5" s="1"/>
  <c r="AW967" i="5"/>
  <c r="BC967" i="5" s="1"/>
  <c r="M958" i="5"/>
  <c r="AX954" i="5"/>
  <c r="M947" i="5"/>
  <c r="AW942" i="5"/>
  <c r="BC942" i="5" s="1"/>
  <c r="M937" i="5"/>
  <c r="AW931" i="5"/>
  <c r="BI928" i="5"/>
  <c r="AE928" i="5" s="1"/>
  <c r="M925" i="5"/>
  <c r="M913" i="5"/>
  <c r="M904" i="5"/>
  <c r="AX891" i="5"/>
  <c r="M886" i="5"/>
  <c r="AE868" i="5"/>
  <c r="AW859" i="5"/>
  <c r="AV840" i="5"/>
  <c r="AW838" i="5"/>
  <c r="AV838" i="5" s="1"/>
  <c r="K830" i="5"/>
  <c r="BI815" i="5"/>
  <c r="AC815" i="5" s="1"/>
  <c r="K800" i="5"/>
  <c r="BC772" i="5"/>
  <c r="AX743" i="5"/>
  <c r="BI743" i="5"/>
  <c r="AC743" i="5" s="1"/>
  <c r="J730" i="5"/>
  <c r="J729" i="5" s="1"/>
  <c r="AW730" i="5"/>
  <c r="BH730" i="5"/>
  <c r="AD730" i="5" s="1"/>
  <c r="L723" i="5"/>
  <c r="J706" i="5"/>
  <c r="J705" i="5" s="1"/>
  <c r="AW706" i="5"/>
  <c r="O702" i="5"/>
  <c r="BF703" i="5"/>
  <c r="AU672" i="5"/>
  <c r="M631" i="5"/>
  <c r="AL631" i="5"/>
  <c r="M601" i="5"/>
  <c r="AL601" i="5"/>
  <c r="J526" i="5"/>
  <c r="AW526" i="5"/>
  <c r="AV526" i="5" s="1"/>
  <c r="BH526" i="5"/>
  <c r="AD526" i="5" s="1"/>
  <c r="M470" i="5"/>
  <c r="AL470" i="5"/>
  <c r="K458" i="5"/>
  <c r="BI458" i="5"/>
  <c r="AE458" i="5" s="1"/>
  <c r="AX355" i="5"/>
  <c r="K355" i="5"/>
  <c r="BI355" i="5"/>
  <c r="AC355" i="5" s="1"/>
  <c r="M301" i="5"/>
  <c r="BF168" i="5"/>
  <c r="AK168" i="5"/>
  <c r="AT167" i="5" s="1"/>
  <c r="AL168" i="5"/>
  <c r="AU167" i="5" s="1"/>
  <c r="L167" i="5"/>
  <c r="K1274" i="5"/>
  <c r="O1265" i="5"/>
  <c r="AX1251" i="5"/>
  <c r="K1148" i="5"/>
  <c r="J1123" i="5"/>
  <c r="J1122" i="5" s="1"/>
  <c r="AS1080" i="5"/>
  <c r="M1074" i="5"/>
  <c r="AS1071" i="5"/>
  <c r="AW1061" i="5"/>
  <c r="AW1037" i="5"/>
  <c r="J1026" i="5"/>
  <c r="AW1024" i="5"/>
  <c r="K956" i="5"/>
  <c r="AL934" i="5"/>
  <c r="M917" i="5"/>
  <c r="M911" i="5"/>
  <c r="M899" i="5"/>
  <c r="AW889" i="5"/>
  <c r="M807" i="5"/>
  <c r="BC766" i="5"/>
  <c r="O726" i="5"/>
  <c r="BF727" i="5"/>
  <c r="J712" i="5"/>
  <c r="J711" i="5" s="1"/>
  <c r="AW712" i="5"/>
  <c r="BH712" i="5"/>
  <c r="AD712" i="5" s="1"/>
  <c r="J675" i="5"/>
  <c r="J672" i="5" s="1"/>
  <c r="BH675" i="5"/>
  <c r="AD675" i="5" s="1"/>
  <c r="AE546" i="5"/>
  <c r="AX488" i="5"/>
  <c r="BI488" i="5"/>
  <c r="AE488" i="5" s="1"/>
  <c r="AX470" i="5"/>
  <c r="BC470" i="5" s="1"/>
  <c r="J355" i="5"/>
  <c r="BH355" i="5"/>
  <c r="AD355" i="5" s="1"/>
  <c r="J329" i="5"/>
  <c r="AW329" i="5"/>
  <c r="BH329" i="5"/>
  <c r="M329" i="5"/>
  <c r="M258" i="5"/>
  <c r="J247" i="5"/>
  <c r="BH247" i="5"/>
  <c r="AB247" i="5" s="1"/>
  <c r="AE212" i="5"/>
  <c r="AC212" i="5"/>
  <c r="M128" i="5"/>
  <c r="AL128" i="5"/>
  <c r="K1357" i="5"/>
  <c r="K1356" i="5" s="1"/>
  <c r="J1257" i="5"/>
  <c r="BC1245" i="5"/>
  <c r="M1233" i="5"/>
  <c r="M1221" i="5"/>
  <c r="AD1217" i="5"/>
  <c r="M1213" i="5"/>
  <c r="AX1207" i="5"/>
  <c r="M1168" i="5"/>
  <c r="AL1160" i="5"/>
  <c r="AL1148" i="5"/>
  <c r="BI1136" i="5"/>
  <c r="AC1136" i="5" s="1"/>
  <c r="AL1123" i="5"/>
  <c r="AU1122" i="5" s="1"/>
  <c r="M970" i="5"/>
  <c r="M944" i="5"/>
  <c r="AX697" i="5"/>
  <c r="K697" i="5"/>
  <c r="K696" i="5" s="1"/>
  <c r="AD694" i="5"/>
  <c r="O677" i="5"/>
  <c r="BF678" i="5"/>
  <c r="J652" i="5"/>
  <c r="AW652" i="5"/>
  <c r="BC652" i="5" s="1"/>
  <c r="J603" i="5"/>
  <c r="AW603" i="5"/>
  <c r="BH603" i="5"/>
  <c r="AB603" i="5" s="1"/>
  <c r="K424" i="5"/>
  <c r="BI424" i="5"/>
  <c r="AE424" i="5" s="1"/>
  <c r="K414" i="5"/>
  <c r="BI414" i="5"/>
  <c r="M345" i="5"/>
  <c r="AL345" i="5"/>
  <c r="BI311" i="5"/>
  <c r="AC311" i="5" s="1"/>
  <c r="K311" i="5"/>
  <c r="AW172" i="5"/>
  <c r="BH172" i="5"/>
  <c r="AF172" i="5" s="1"/>
  <c r="J172" i="5"/>
  <c r="J171" i="5" s="1"/>
  <c r="M1193" i="5"/>
  <c r="AL1176" i="5"/>
  <c r="M1166" i="5"/>
  <c r="BI1164" i="5"/>
  <c r="AE1164" i="5" s="1"/>
  <c r="BI1158" i="5"/>
  <c r="AC1158" i="5" s="1"/>
  <c r="M1156" i="5"/>
  <c r="BH1136" i="5"/>
  <c r="M1126" i="5"/>
  <c r="M1125" i="5" s="1"/>
  <c r="AS1125" i="5"/>
  <c r="AS1047" i="5"/>
  <c r="J1035" i="5"/>
  <c r="AS1028" i="5"/>
  <c r="M922" i="5"/>
  <c r="M908" i="5"/>
  <c r="M863" i="5"/>
  <c r="M840" i="5"/>
  <c r="BF709" i="5"/>
  <c r="J689" i="5"/>
  <c r="AW689" i="5"/>
  <c r="BC689" i="5" s="1"/>
  <c r="AW574" i="5"/>
  <c r="BC574" i="5" s="1"/>
  <c r="BH574" i="5"/>
  <c r="AF574" i="5" s="1"/>
  <c r="M556" i="5"/>
  <c r="AL556" i="5"/>
  <c r="M528" i="5"/>
  <c r="AL528" i="5"/>
  <c r="M502" i="5"/>
  <c r="AL502" i="5"/>
  <c r="K400" i="5"/>
  <c r="AX400" i="5"/>
  <c r="O313" i="5"/>
  <c r="BF314" i="5"/>
  <c r="L27" i="4" s="1"/>
  <c r="K234" i="5"/>
  <c r="BI234" i="5"/>
  <c r="AX139" i="5"/>
  <c r="BI139" i="5"/>
  <c r="AE139" i="5" s="1"/>
  <c r="K113" i="5"/>
  <c r="BI113" i="5"/>
  <c r="BI102" i="5"/>
  <c r="AC102" i="5" s="1"/>
  <c r="BI92" i="5"/>
  <c r="AX82" i="5"/>
  <c r="AB82" i="5"/>
  <c r="AW80" i="5"/>
  <c r="BC80" i="5" s="1"/>
  <c r="AW77" i="5"/>
  <c r="AX60" i="5"/>
  <c r="M41" i="5"/>
  <c r="M40" i="5" s="1"/>
  <c r="BI36" i="5"/>
  <c r="AE36" i="5" s="1"/>
  <c r="M727" i="5"/>
  <c r="M726" i="5" s="1"/>
  <c r="M703" i="5"/>
  <c r="M702" i="5" s="1"/>
  <c r="AT672" i="5"/>
  <c r="BF668" i="5"/>
  <c r="M654" i="5"/>
  <c r="K623" i="5"/>
  <c r="M584" i="5"/>
  <c r="M496" i="5"/>
  <c r="M491" i="5"/>
  <c r="AW477" i="5"/>
  <c r="AV477" i="5" s="1"/>
  <c r="AV464" i="5"/>
  <c r="M464" i="5"/>
  <c r="AX434" i="5"/>
  <c r="BC434" i="5" s="1"/>
  <c r="BH402" i="5"/>
  <c r="AB402" i="5" s="1"/>
  <c r="J402" i="5"/>
  <c r="BH396" i="5"/>
  <c r="AB396" i="5" s="1"/>
  <c r="AX377" i="5"/>
  <c r="AV377" i="5" s="1"/>
  <c r="M361" i="5"/>
  <c r="J359" i="5"/>
  <c r="AW324" i="5"/>
  <c r="BH301" i="5"/>
  <c r="AD301" i="5" s="1"/>
  <c r="AL299" i="5"/>
  <c r="AW272" i="5"/>
  <c r="BC272" i="5" s="1"/>
  <c r="M251" i="5"/>
  <c r="AX240" i="5"/>
  <c r="BC240" i="5" s="1"/>
  <c r="M222" i="5"/>
  <c r="AX220" i="5"/>
  <c r="M216" i="5"/>
  <c r="M199" i="5"/>
  <c r="K143" i="5"/>
  <c r="AX128" i="5"/>
  <c r="AX116" i="5"/>
  <c r="J18" i="4" s="1"/>
  <c r="AX111" i="5"/>
  <c r="AW100" i="5"/>
  <c r="AW96" i="5"/>
  <c r="M96" i="5"/>
  <c r="M665" i="5"/>
  <c r="M618" i="5"/>
  <c r="M609" i="5"/>
  <c r="M572" i="5"/>
  <c r="M569" i="5"/>
  <c r="BC507" i="5"/>
  <c r="M339" i="5"/>
  <c r="J179" i="5"/>
  <c r="L124" i="5"/>
  <c r="K110" i="5"/>
  <c r="L14" i="4"/>
  <c r="BI44" i="5"/>
  <c r="AE44" i="5" s="1"/>
  <c r="K41" i="5"/>
  <c r="K40" i="5" s="1"/>
  <c r="K14" i="5"/>
  <c r="M737" i="5"/>
  <c r="AX730" i="5"/>
  <c r="M721" i="5"/>
  <c r="M720" i="5" s="1"/>
  <c r="L702" i="5"/>
  <c r="M663" i="5"/>
  <c r="M650" i="5"/>
  <c r="AS641" i="5"/>
  <c r="M612" i="5"/>
  <c r="BI609" i="5"/>
  <c r="AE609" i="5" s="1"/>
  <c r="K579" i="5"/>
  <c r="AL569" i="5"/>
  <c r="BC546" i="5"/>
  <c r="M507" i="5"/>
  <c r="BH499" i="5"/>
  <c r="AD499" i="5" s="1"/>
  <c r="M475" i="5"/>
  <c r="AX448" i="5"/>
  <c r="AX412" i="5"/>
  <c r="K353" i="5"/>
  <c r="K309" i="5"/>
  <c r="M272" i="5"/>
  <c r="AX269" i="5"/>
  <c r="BI256" i="5"/>
  <c r="J222" i="5"/>
  <c r="AB214" i="5"/>
  <c r="M177" i="5"/>
  <c r="BI125" i="5"/>
  <c r="J125" i="5"/>
  <c r="L115" i="5"/>
  <c r="M104" i="5"/>
  <c r="M102" i="5"/>
  <c r="BI88" i="5"/>
  <c r="AC88" i="5" s="1"/>
  <c r="J80" i="5"/>
  <c r="AW49" i="5"/>
  <c r="BI41" i="5"/>
  <c r="AE41" i="5" s="1"/>
  <c r="O40" i="5"/>
  <c r="AT35" i="5"/>
  <c r="K33" i="5"/>
  <c r="O732" i="5"/>
  <c r="BH724" i="5"/>
  <c r="AD724" i="5" s="1"/>
  <c r="BF721" i="5"/>
  <c r="M694" i="5"/>
  <c r="M693" i="5" s="1"/>
  <c r="BH680" i="5"/>
  <c r="AD680" i="5" s="1"/>
  <c r="O672" i="5"/>
  <c r="AW625" i="5"/>
  <c r="AV625" i="5" s="1"/>
  <c r="K625" i="5"/>
  <c r="BH618" i="5"/>
  <c r="AF618" i="5" s="1"/>
  <c r="AL579" i="5"/>
  <c r="AW553" i="5"/>
  <c r="M553" i="5"/>
  <c r="AL551" i="5"/>
  <c r="M549" i="5"/>
  <c r="M546" i="5"/>
  <c r="BC541" i="5"/>
  <c r="M522" i="5"/>
  <c r="AL519" i="5"/>
  <c r="BI510" i="5"/>
  <c r="AC510" i="5" s="1"/>
  <c r="M510" i="5"/>
  <c r="AL507" i="5"/>
  <c r="K499" i="5"/>
  <c r="J480" i="5"/>
  <c r="AD470" i="5"/>
  <c r="BH464" i="5"/>
  <c r="AD464" i="5" s="1"/>
  <c r="J396" i="5"/>
  <c r="M381" i="5"/>
  <c r="BC353" i="5"/>
  <c r="K343" i="5"/>
  <c r="AW333" i="5"/>
  <c r="J326" i="5"/>
  <c r="K324" i="5"/>
  <c r="M321" i="5"/>
  <c r="M305" i="5"/>
  <c r="AW303" i="5"/>
  <c r="M279" i="5"/>
  <c r="M203" i="5"/>
  <c r="M202" i="5" s="1"/>
  <c r="BI196" i="5"/>
  <c r="AG196" i="5" s="1"/>
  <c r="J163" i="5"/>
  <c r="L132" i="5"/>
  <c r="K102" i="5"/>
  <c r="AL96" i="5"/>
  <c r="J85" i="5"/>
  <c r="BC62" i="5"/>
  <c r="M52" i="5"/>
  <c r="M38" i="5"/>
  <c r="AX36" i="5"/>
  <c r="M33" i="5"/>
  <c r="AW27" i="5"/>
  <c r="M27" i="5"/>
  <c r="L35" i="4"/>
  <c r="M733" i="5"/>
  <c r="BF697" i="5"/>
  <c r="M689" i="5"/>
  <c r="BH663" i="5"/>
  <c r="AD663" i="5" s="1"/>
  <c r="M645" i="5"/>
  <c r="M639" i="5"/>
  <c r="BI569" i="5"/>
  <c r="AE569" i="5" s="1"/>
  <c r="O560" i="5"/>
  <c r="AL541" i="5"/>
  <c r="M536" i="5"/>
  <c r="M532" i="5"/>
  <c r="BH528" i="5"/>
  <c r="AF528" i="5" s="1"/>
  <c r="BI439" i="5"/>
  <c r="AE439" i="5" s="1"/>
  <c r="AX408" i="5"/>
  <c r="M369" i="5"/>
  <c r="M309" i="5"/>
  <c r="AL309" i="5"/>
  <c r="BH296" i="5"/>
  <c r="M292" i="5"/>
  <c r="AL277" i="5"/>
  <c r="BH275" i="5"/>
  <c r="BI272" i="5"/>
  <c r="AG272" i="5" s="1"/>
  <c r="M168" i="5"/>
  <c r="M167" i="5" s="1"/>
  <c r="K104" i="5"/>
  <c r="K98" i="5"/>
  <c r="Z92" i="5"/>
  <c r="AW88" i="5"/>
  <c r="M88" i="5"/>
  <c r="BI82" i="5"/>
  <c r="AC82" i="5" s="1"/>
  <c r="AX44" i="5"/>
  <c r="K38" i="5"/>
  <c r="K35" i="5" s="1"/>
  <c r="M29" i="5"/>
  <c r="BH665" i="5"/>
  <c r="AD665" i="5" s="1"/>
  <c r="M660" i="5"/>
  <c r="BH569" i="5"/>
  <c r="AF569" i="5" s="1"/>
  <c r="BH538" i="5"/>
  <c r="AD538" i="5" s="1"/>
  <c r="AS509" i="5"/>
  <c r="BH439" i="5"/>
  <c r="AD439" i="5" s="1"/>
  <c r="BI434" i="5"/>
  <c r="AE434" i="5" s="1"/>
  <c r="BH432" i="5"/>
  <c r="K398" i="5"/>
  <c r="M373" i="5"/>
  <c r="M296" i="5"/>
  <c r="AL292" i="5"/>
  <c r="BH251" i="5"/>
  <c r="AD251" i="5" s="1"/>
  <c r="BI226" i="5"/>
  <c r="AC226" i="5" s="1"/>
  <c r="BI220" i="5"/>
  <c r="AE220" i="5" s="1"/>
  <c r="M148" i="5"/>
  <c r="BI77" i="5"/>
  <c r="AC77" i="5" s="1"/>
  <c r="BC52" i="5"/>
  <c r="AW44" i="5"/>
  <c r="BI33" i="5"/>
  <c r="AC33" i="5" s="1"/>
  <c r="AL29" i="5"/>
  <c r="BH23" i="5"/>
  <c r="AD23" i="5" s="1"/>
  <c r="I45" i="2"/>
  <c r="I24" i="1" s="1"/>
  <c r="AW1586" i="5"/>
  <c r="AW1582" i="5"/>
  <c r="BI1578" i="5"/>
  <c r="AC1578" i="5" s="1"/>
  <c r="J1588" i="5"/>
  <c r="BI1584" i="5"/>
  <c r="AG1584" i="5" s="1"/>
  <c r="BI1588" i="5"/>
  <c r="AG1588" i="5" s="1"/>
  <c r="K1577" i="5"/>
  <c r="K1576" i="5" s="1"/>
  <c r="J74" i="4" s="1"/>
  <c r="BH1580" i="5"/>
  <c r="AB1580" i="5" s="1"/>
  <c r="BH1588" i="5"/>
  <c r="BH1586" i="5"/>
  <c r="AD1586" i="5" s="1"/>
  <c r="AX1584" i="5"/>
  <c r="BC1584" i="5" s="1"/>
  <c r="BH1582" i="5"/>
  <c r="AD1582" i="5" s="1"/>
  <c r="J1580" i="5"/>
  <c r="AD1555" i="5"/>
  <c r="AB1555" i="5"/>
  <c r="AD1459" i="5"/>
  <c r="AB1459" i="5"/>
  <c r="L1465" i="5"/>
  <c r="M1466" i="5"/>
  <c r="M1465" i="5" s="1"/>
  <c r="AE1455" i="5"/>
  <c r="AC1411" i="5"/>
  <c r="K1569" i="5"/>
  <c r="K1568" i="5" s="1"/>
  <c r="BI1569" i="5"/>
  <c r="AE1569" i="5" s="1"/>
  <c r="AX1569" i="5"/>
  <c r="BC1569" i="5" s="1"/>
  <c r="AS1530" i="5"/>
  <c r="AL1486" i="5"/>
  <c r="AU1485" i="5" s="1"/>
  <c r="AD1481" i="5"/>
  <c r="J1434" i="5"/>
  <c r="BH1434" i="5"/>
  <c r="J1569" i="5"/>
  <c r="J1568" i="5" s="1"/>
  <c r="BH1569" i="5"/>
  <c r="AD1569" i="5" s="1"/>
  <c r="BI1535" i="5"/>
  <c r="L1520" i="5"/>
  <c r="AL1521" i="5"/>
  <c r="L1515" i="5"/>
  <c r="BI1491" i="5"/>
  <c r="AS1485" i="5"/>
  <c r="AX1478" i="5"/>
  <c r="BC1478" i="5" s="1"/>
  <c r="BI1478" i="5"/>
  <c r="AC1478" i="5" s="1"/>
  <c r="K1478" i="5"/>
  <c r="K1477" i="5" s="1"/>
  <c r="J1461" i="5"/>
  <c r="AW1461" i="5"/>
  <c r="AV1455" i="5"/>
  <c r="BC1455" i="5"/>
  <c r="BH1440" i="5"/>
  <c r="AB1440" i="5" s="1"/>
  <c r="J1440" i="5"/>
  <c r="AW1518" i="5"/>
  <c r="BC1518" i="5" s="1"/>
  <c r="BH1518" i="5"/>
  <c r="AD1518" i="5" s="1"/>
  <c r="J1518" i="5"/>
  <c r="J1515" i="5" s="1"/>
  <c r="AH1466" i="5"/>
  <c r="Z1466" i="5"/>
  <c r="AL1377" i="5"/>
  <c r="M1377" i="5"/>
  <c r="K1564" i="5"/>
  <c r="AX1564" i="5"/>
  <c r="AE1486" i="5"/>
  <c r="J1475" i="5"/>
  <c r="J1472" i="5" s="1"/>
  <c r="BH1475" i="5"/>
  <c r="AD1526" i="5"/>
  <c r="J1521" i="5"/>
  <c r="BH1521" i="5"/>
  <c r="AW1521" i="5"/>
  <c r="L1508" i="5"/>
  <c r="AL1509" i="5"/>
  <c r="AU1508" i="5" s="1"/>
  <c r="J1419" i="5"/>
  <c r="BH1419" i="5"/>
  <c r="AW1419" i="5"/>
  <c r="AD1382" i="5"/>
  <c r="AB1382" i="5"/>
  <c r="J1377" i="5"/>
  <c r="BH1377" i="5"/>
  <c r="AW1377" i="5"/>
  <c r="BC1377" i="5" s="1"/>
  <c r="J1555" i="5"/>
  <c r="AW1555" i="5"/>
  <c r="BH1561" i="5"/>
  <c r="AW1561" i="5"/>
  <c r="BC1561" i="5" s="1"/>
  <c r="AJ1453" i="5"/>
  <c r="AS1448" i="5" s="1"/>
  <c r="AL1453" i="5"/>
  <c r="K1574" i="5"/>
  <c r="AX1574" i="5"/>
  <c r="K1481" i="5"/>
  <c r="AX1481" i="5"/>
  <c r="K1469" i="5"/>
  <c r="K1468" i="5" s="1"/>
  <c r="BI1469" i="5"/>
  <c r="AC1469" i="5" s="1"/>
  <c r="AX1469" i="5"/>
  <c r="BC1469" i="5" s="1"/>
  <c r="AD1463" i="5"/>
  <c r="J1455" i="5"/>
  <c r="BH1455" i="5"/>
  <c r="AF1453" i="5"/>
  <c r="AB1453" i="5"/>
  <c r="J1411" i="5"/>
  <c r="J1410" i="5" s="1"/>
  <c r="AW1411" i="5"/>
  <c r="AV1411" i="5" s="1"/>
  <c r="BH1411" i="5"/>
  <c r="AD1411" i="5" s="1"/>
  <c r="AD1386" i="5"/>
  <c r="AL1379" i="5"/>
  <c r="M1379" i="5"/>
  <c r="J1545" i="5"/>
  <c r="AW1545" i="5"/>
  <c r="BC1545" i="5" s="1"/>
  <c r="J1543" i="5"/>
  <c r="BH1543" i="5"/>
  <c r="K1547" i="5"/>
  <c r="BI1547" i="5"/>
  <c r="AL1518" i="5"/>
  <c r="AU1515" i="5" s="1"/>
  <c r="M1518" i="5"/>
  <c r="J1459" i="5"/>
  <c r="AW1459" i="5"/>
  <c r="AV1459" i="5" s="1"/>
  <c r="K1526" i="5"/>
  <c r="AX1526" i="5"/>
  <c r="K1438" i="5"/>
  <c r="BI1438" i="5"/>
  <c r="AC1438" i="5" s="1"/>
  <c r="AT1571" i="5"/>
  <c r="AD1564" i="5"/>
  <c r="AX1559" i="5"/>
  <c r="M1545" i="5"/>
  <c r="AL1545" i="5"/>
  <c r="AW1543" i="5"/>
  <c r="K1501" i="5"/>
  <c r="K1500" i="5" s="1"/>
  <c r="AX1501" i="5"/>
  <c r="J69" i="4" s="1"/>
  <c r="AW1483" i="5"/>
  <c r="BC1483" i="5" s="1"/>
  <c r="J1483" i="5"/>
  <c r="J1480" i="5" s="1"/>
  <c r="AW1457" i="5"/>
  <c r="J1438" i="5"/>
  <c r="BH1438" i="5"/>
  <c r="AW1438" i="5"/>
  <c r="BC1438" i="5" s="1"/>
  <c r="AD1424" i="5"/>
  <c r="AK1555" i="5"/>
  <c r="AL1555" i="5"/>
  <c r="K1543" i="5"/>
  <c r="AX1543" i="5"/>
  <c r="AX1541" i="5"/>
  <c r="AV1541" i="5" s="1"/>
  <c r="K1541" i="5"/>
  <c r="J1535" i="5"/>
  <c r="BH1535" i="5"/>
  <c r="AW1535" i="5"/>
  <c r="BC1535" i="5" s="1"/>
  <c r="AS1520" i="5"/>
  <c r="J1491" i="5"/>
  <c r="J1490" i="5" s="1"/>
  <c r="BH1491" i="5"/>
  <c r="AW1491" i="5"/>
  <c r="BC1491" i="5" s="1"/>
  <c r="AW1475" i="5"/>
  <c r="BC1475" i="5" s="1"/>
  <c r="AC1463" i="5"/>
  <c r="AX1457" i="5"/>
  <c r="BI1457" i="5"/>
  <c r="AC1457" i="5" s="1"/>
  <c r="AW1434" i="5"/>
  <c r="AD1396" i="5"/>
  <c r="AK1386" i="5"/>
  <c r="M1386" i="5"/>
  <c r="J1379" i="5"/>
  <c r="BH1379" i="5"/>
  <c r="AW1379" i="5"/>
  <c r="BC1379" i="5" s="1"/>
  <c r="AX1375" i="5"/>
  <c r="BI1375" i="5"/>
  <c r="AC1375" i="5" s="1"/>
  <c r="AT1393" i="5"/>
  <c r="L1571" i="5"/>
  <c r="BH1541" i="5"/>
  <c r="AB1541" i="5" s="1"/>
  <c r="M1535" i="5"/>
  <c r="BH1504" i="5"/>
  <c r="AD1504" i="5" s="1"/>
  <c r="BH1473" i="5"/>
  <c r="AD1473" i="5" s="1"/>
  <c r="BH1442" i="5"/>
  <c r="AL1396" i="5"/>
  <c r="BH1394" i="5"/>
  <c r="AB1391" i="5"/>
  <c r="L1381" i="5"/>
  <c r="AT1374" i="5"/>
  <c r="L1374" i="5"/>
  <c r="AL1491" i="5"/>
  <c r="AU1490" i="5" s="1"/>
  <c r="J1508" i="5"/>
  <c r="AL1501" i="5"/>
  <c r="AU1500" i="5" s="1"/>
  <c r="K1408" i="5"/>
  <c r="K1406" i="5"/>
  <c r="K1401" i="5"/>
  <c r="K1399" i="5"/>
  <c r="L1393" i="5"/>
  <c r="AW1382" i="5"/>
  <c r="AL1375" i="5"/>
  <c r="BI1572" i="5"/>
  <c r="AC1572" i="5" s="1"/>
  <c r="AL1559" i="5"/>
  <c r="AC1555" i="5"/>
  <c r="J1541" i="5"/>
  <c r="BI1506" i="5"/>
  <c r="BH1501" i="5"/>
  <c r="AL1496" i="5"/>
  <c r="AU1493" i="5" s="1"/>
  <c r="M1494" i="5"/>
  <c r="AT1472" i="5"/>
  <c r="AW1396" i="5"/>
  <c r="AW1386" i="5"/>
  <c r="BI1384" i="5"/>
  <c r="AC1384" i="5" s="1"/>
  <c r="AL1384" i="5"/>
  <c r="K1384" i="5"/>
  <c r="AW1574" i="5"/>
  <c r="Z1572" i="5"/>
  <c r="J1566" i="5"/>
  <c r="J1563" i="5" s="1"/>
  <c r="AW1564" i="5"/>
  <c r="BH1559" i="5"/>
  <c r="M1555" i="5"/>
  <c r="BH1547" i="5"/>
  <c r="M1539" i="5"/>
  <c r="K1537" i="5"/>
  <c r="L1530" i="5"/>
  <c r="AW1526" i="5"/>
  <c r="BH1506" i="5"/>
  <c r="M1504" i="5"/>
  <c r="M1498" i="5"/>
  <c r="BH1496" i="5"/>
  <c r="M1488" i="5"/>
  <c r="AW1481" i="5"/>
  <c r="BH1469" i="5"/>
  <c r="AD1469" i="5" s="1"/>
  <c r="BI1451" i="5"/>
  <c r="AC1451" i="5" s="1"/>
  <c r="BI1401" i="5"/>
  <c r="AC1401" i="5" s="1"/>
  <c r="AL1394" i="5"/>
  <c r="BI1388" i="5"/>
  <c r="AC1388" i="5" s="1"/>
  <c r="K1388" i="5"/>
  <c r="BH1384" i="5"/>
  <c r="BH1375" i="5"/>
  <c r="BH1357" i="5"/>
  <c r="J1357" i="5"/>
  <c r="J1356" i="5" s="1"/>
  <c r="BH1354" i="5"/>
  <c r="BI1349" i="5"/>
  <c r="AE1349" i="5" s="1"/>
  <c r="BH1328" i="5"/>
  <c r="AD1328" i="5" s="1"/>
  <c r="BH1310" i="5"/>
  <c r="AD1310" i="5" s="1"/>
  <c r="BH1296" i="5"/>
  <c r="AD1296" i="5" s="1"/>
  <c r="K1288" i="5"/>
  <c r="BH1284" i="5"/>
  <c r="AD1284" i="5" s="1"/>
  <c r="BH1282" i="5"/>
  <c r="AB1282" i="5" s="1"/>
  <c r="M1367" i="5"/>
  <c r="M1366" i="5" s="1"/>
  <c r="M1365" i="5" s="1"/>
  <c r="J1363" i="5"/>
  <c r="J1362" i="5" s="1"/>
  <c r="J1354" i="5"/>
  <c r="J1353" i="5" s="1"/>
  <c r="BH1349" i="5"/>
  <c r="AB1349" i="5" s="1"/>
  <c r="BI1336" i="5"/>
  <c r="AE1336" i="5" s="1"/>
  <c r="BI1332" i="5"/>
  <c r="AE1332" i="5" s="1"/>
  <c r="J1332" i="5"/>
  <c r="J1328" i="5"/>
  <c r="AX1316" i="5"/>
  <c r="AV1316" i="5" s="1"/>
  <c r="BI1304" i="5"/>
  <c r="AE1304" i="5" s="1"/>
  <c r="BI1300" i="5"/>
  <c r="AE1300" i="5" s="1"/>
  <c r="J1300" i="5"/>
  <c r="J1296" i="5"/>
  <c r="K1290" i="5"/>
  <c r="M1286" i="5"/>
  <c r="BH1280" i="5"/>
  <c r="BI1278" i="5"/>
  <c r="AE1278" i="5" s="1"/>
  <c r="AX1363" i="5"/>
  <c r="J56" i="4" s="1"/>
  <c r="AX1360" i="5"/>
  <c r="AV1357" i="5"/>
  <c r="J1349" i="5"/>
  <c r="BH1336" i="5"/>
  <c r="AD1336" i="5" s="1"/>
  <c r="BH1332" i="5"/>
  <c r="AD1332" i="5" s="1"/>
  <c r="AX1328" i="5"/>
  <c r="BC1328" i="5" s="1"/>
  <c r="BH1322" i="5"/>
  <c r="AD1322" i="5" s="1"/>
  <c r="AX1310" i="5"/>
  <c r="BH1304" i="5"/>
  <c r="BH1300" i="5"/>
  <c r="AD1300" i="5" s="1"/>
  <c r="AX1296" i="5"/>
  <c r="BC1296" i="5" s="1"/>
  <c r="AL1288" i="5"/>
  <c r="AX1282" i="5"/>
  <c r="AX1349" i="5"/>
  <c r="BC1349" i="5" s="1"/>
  <c r="AB1347" i="5"/>
  <c r="J1340" i="5"/>
  <c r="J1336" i="5"/>
  <c r="AX1324" i="5"/>
  <c r="BI1312" i="5"/>
  <c r="AE1312" i="5" s="1"/>
  <c r="J1308" i="5"/>
  <c r="J1304" i="5"/>
  <c r="BH1286" i="5"/>
  <c r="AB1286" i="5" s="1"/>
  <c r="K1284" i="5"/>
  <c r="AW1282" i="5"/>
  <c r="J1345" i="5"/>
  <c r="BH1298" i="5"/>
  <c r="AD1298" i="5" s="1"/>
  <c r="J1284" i="5"/>
  <c r="AH1363" i="5"/>
  <c r="BH1351" i="5"/>
  <c r="AV1349" i="5"/>
  <c r="AX1332" i="5"/>
  <c r="BC1332" i="5" s="1"/>
  <c r="J1316" i="5"/>
  <c r="AX1300" i="5"/>
  <c r="BC1300" i="5" s="1"/>
  <c r="BH1330" i="5"/>
  <c r="AD1330" i="5" s="1"/>
  <c r="BI1360" i="5"/>
  <c r="AE1360" i="5" s="1"/>
  <c r="K1347" i="5"/>
  <c r="AX1326" i="5"/>
  <c r="BH1320" i="5"/>
  <c r="AD1320" i="5" s="1"/>
  <c r="BH1316" i="5"/>
  <c r="AD1316" i="5" s="1"/>
  <c r="AX1312" i="5"/>
  <c r="AV1312" i="5" s="1"/>
  <c r="J1280" i="5"/>
  <c r="K1259" i="5"/>
  <c r="K1176" i="5"/>
  <c r="AS1133" i="5"/>
  <c r="BH1261" i="5"/>
  <c r="BI1259" i="5"/>
  <c r="AE1259" i="5" s="1"/>
  <c r="BH1255" i="5"/>
  <c r="AD1255" i="5" s="1"/>
  <c r="AL1245" i="5"/>
  <c r="AL1237" i="5"/>
  <c r="K1180" i="5"/>
  <c r="M1174" i="5"/>
  <c r="BI1170" i="5"/>
  <c r="AC1170" i="5" s="1"/>
  <c r="BI1166" i="5"/>
  <c r="AC1166" i="5" s="1"/>
  <c r="AW1154" i="5"/>
  <c r="AV1154" i="5" s="1"/>
  <c r="K1152" i="5"/>
  <c r="BI1138" i="5"/>
  <c r="AC1138" i="5" s="1"/>
  <c r="BH1131" i="5"/>
  <c r="AW1126" i="5"/>
  <c r="K1253" i="5"/>
  <c r="K1239" i="5"/>
  <c r="BH1235" i="5"/>
  <c r="AD1235" i="5" s="1"/>
  <c r="BI1233" i="5"/>
  <c r="AE1233" i="5" s="1"/>
  <c r="L1182" i="5"/>
  <c r="AX1227" i="5"/>
  <c r="AX1219" i="5"/>
  <c r="AX1211" i="5"/>
  <c r="AX1203" i="5"/>
  <c r="AX1195" i="5"/>
  <c r="AX1187" i="5"/>
  <c r="AD1185" i="5"/>
  <c r="BH1170" i="5"/>
  <c r="AD1170" i="5" s="1"/>
  <c r="BI1168" i="5"/>
  <c r="AE1168" i="5" s="1"/>
  <c r="AX1162" i="5"/>
  <c r="K1156" i="5"/>
  <c r="AL1152" i="5"/>
  <c r="K1128" i="5"/>
  <c r="K1125" i="5" s="1"/>
  <c r="K1271" i="5"/>
  <c r="K1270" i="5" s="1"/>
  <c r="AD1266" i="5"/>
  <c r="M1263" i="5"/>
  <c r="K1248" i="5"/>
  <c r="AW1268" i="5"/>
  <c r="AV1268" i="5" s="1"/>
  <c r="AW1255" i="5"/>
  <c r="BC1253" i="5"/>
  <c r="J1253" i="5"/>
  <c r="BH1245" i="5"/>
  <c r="AD1245" i="5" s="1"/>
  <c r="BH1243" i="5"/>
  <c r="AD1243" i="5" s="1"/>
  <c r="K1241" i="5"/>
  <c r="K1231" i="5"/>
  <c r="AL1229" i="5"/>
  <c r="J1229" i="5"/>
  <c r="AW1227" i="5"/>
  <c r="BH1223" i="5"/>
  <c r="AD1223" i="5" s="1"/>
  <c r="AL1221" i="5"/>
  <c r="J1221" i="5"/>
  <c r="AW1219" i="5"/>
  <c r="BH1215" i="5"/>
  <c r="AD1215" i="5" s="1"/>
  <c r="AL1213" i="5"/>
  <c r="J1213" i="5"/>
  <c r="AW1211" i="5"/>
  <c r="BH1207" i="5"/>
  <c r="AD1207" i="5" s="1"/>
  <c r="AL1205" i="5"/>
  <c r="J1205" i="5"/>
  <c r="AW1203" i="5"/>
  <c r="BH1199" i="5"/>
  <c r="AD1199" i="5" s="1"/>
  <c r="AL1197" i="5"/>
  <c r="J1197" i="5"/>
  <c r="AW1195" i="5"/>
  <c r="BH1191" i="5"/>
  <c r="AD1191" i="5" s="1"/>
  <c r="AL1189" i="5"/>
  <c r="J1189" i="5"/>
  <c r="AW1187" i="5"/>
  <c r="BH1183" i="5"/>
  <c r="AD1183" i="5" s="1"/>
  <c r="AL1180" i="5"/>
  <c r="AW1158" i="5"/>
  <c r="M1154" i="5"/>
  <c r="AS1143" i="5"/>
  <c r="BH1141" i="5"/>
  <c r="L1125" i="5"/>
  <c r="BH1274" i="5"/>
  <c r="AB1274" i="5" s="1"/>
  <c r="BH1263" i="5"/>
  <c r="AD1263" i="5" s="1"/>
  <c r="BI1178" i="5"/>
  <c r="AC1178" i="5" s="1"/>
  <c r="BH1174" i="5"/>
  <c r="AD1174" i="5" s="1"/>
  <c r="AX1170" i="5"/>
  <c r="AX1166" i="5"/>
  <c r="BC1166" i="5" s="1"/>
  <c r="K1164" i="5"/>
  <c r="K1160" i="5"/>
  <c r="BI1150" i="5"/>
  <c r="AC1150" i="5" s="1"/>
  <c r="BH1146" i="5"/>
  <c r="AD1146" i="5" s="1"/>
  <c r="BI1271" i="5"/>
  <c r="BI1248" i="5"/>
  <c r="AW1235" i="5"/>
  <c r="BI1176" i="5"/>
  <c r="AE1176" i="5" s="1"/>
  <c r="AW1170" i="5"/>
  <c r="BI1152" i="5"/>
  <c r="AE1152" i="5" s="1"/>
  <c r="AW1131" i="5"/>
  <c r="L1265" i="5"/>
  <c r="AW1263" i="5"/>
  <c r="K1263" i="5"/>
  <c r="AL1261" i="5"/>
  <c r="J1261" i="5"/>
  <c r="AW1259" i="5"/>
  <c r="AW1243" i="5"/>
  <c r="BC1243" i="5" s="1"/>
  <c r="AV1233" i="5"/>
  <c r="M1231" i="5"/>
  <c r="BH1229" i="5"/>
  <c r="BI1227" i="5"/>
  <c r="AC1227" i="5" s="1"/>
  <c r="BH1221" i="5"/>
  <c r="BI1219" i="5"/>
  <c r="AC1219" i="5" s="1"/>
  <c r="BH1213" i="5"/>
  <c r="BI1211" i="5"/>
  <c r="AC1211" i="5" s="1"/>
  <c r="BH1205" i="5"/>
  <c r="BI1203" i="5"/>
  <c r="AC1203" i="5" s="1"/>
  <c r="BH1197" i="5"/>
  <c r="BI1195" i="5"/>
  <c r="AC1195" i="5" s="1"/>
  <c r="BH1189" i="5"/>
  <c r="BI1187" i="5"/>
  <c r="AC1187" i="5" s="1"/>
  <c r="K1172" i="5"/>
  <c r="K1168" i="5"/>
  <c r="AL1164" i="5"/>
  <c r="BH1154" i="5"/>
  <c r="AD1154" i="5" s="1"/>
  <c r="AX1146" i="5"/>
  <c r="AX1141" i="5"/>
  <c r="J52" i="4" s="1"/>
  <c r="AW1274" i="5"/>
  <c r="J1266" i="5"/>
  <c r="M1235" i="5"/>
  <c r="BH1227" i="5"/>
  <c r="AD1227" i="5" s="1"/>
  <c r="AL1225" i="5"/>
  <c r="J1225" i="5"/>
  <c r="AW1223" i="5"/>
  <c r="BH1219" i="5"/>
  <c r="AD1219" i="5" s="1"/>
  <c r="AL1217" i="5"/>
  <c r="J1217" i="5"/>
  <c r="AW1215" i="5"/>
  <c r="BH1211" i="5"/>
  <c r="AD1211" i="5" s="1"/>
  <c r="AL1209" i="5"/>
  <c r="J1209" i="5"/>
  <c r="AW1207" i="5"/>
  <c r="BH1203" i="5"/>
  <c r="AD1203" i="5" s="1"/>
  <c r="AL1201" i="5"/>
  <c r="J1201" i="5"/>
  <c r="AW1199" i="5"/>
  <c r="BH1195" i="5"/>
  <c r="AD1195" i="5" s="1"/>
  <c r="AL1193" i="5"/>
  <c r="J1193" i="5"/>
  <c r="AW1191" i="5"/>
  <c r="BH1187" i="5"/>
  <c r="AD1187" i="5" s="1"/>
  <c r="AL1185" i="5"/>
  <c r="J1185" i="5"/>
  <c r="AW1183" i="5"/>
  <c r="AX1178" i="5"/>
  <c r="AW1174" i="5"/>
  <c r="AL1168" i="5"/>
  <c r="BI1162" i="5"/>
  <c r="AC1162" i="5" s="1"/>
  <c r="BI1156" i="5"/>
  <c r="AE1156" i="5" s="1"/>
  <c r="AX1150" i="5"/>
  <c r="AW1146" i="5"/>
  <c r="K1144" i="5"/>
  <c r="AW1141" i="5"/>
  <c r="BI1128" i="5"/>
  <c r="AC1128" i="5" s="1"/>
  <c r="AW1089" i="5"/>
  <c r="BI1069" i="5"/>
  <c r="AG1069" i="5" s="1"/>
  <c r="J1039" i="5"/>
  <c r="AX1029" i="5"/>
  <c r="AW1014" i="5"/>
  <c r="BC1014" i="5" s="1"/>
  <c r="AW1010" i="5"/>
  <c r="BC1010" i="5" s="1"/>
  <c r="AW993" i="5"/>
  <c r="BC993" i="5" s="1"/>
  <c r="AX974" i="5"/>
  <c r="AE972" i="5"/>
  <c r="BH1101" i="5"/>
  <c r="AD1101" i="5" s="1"/>
  <c r="M1095" i="5"/>
  <c r="M1094" i="5" s="1"/>
  <c r="BI1081" i="5"/>
  <c r="AE1081" i="5" s="1"/>
  <c r="AX1072" i="5"/>
  <c r="AX1056" i="5"/>
  <c r="BH1050" i="5"/>
  <c r="AD1050" i="5" s="1"/>
  <c r="AT1047" i="5"/>
  <c r="BI1045" i="5"/>
  <c r="AC1045" i="5" s="1"/>
  <c r="BH1041" i="5"/>
  <c r="AD1041" i="5" s="1"/>
  <c r="AX1033" i="5"/>
  <c r="AV1033" i="5" s="1"/>
  <c r="AW1029" i="5"/>
  <c r="M1018" i="5"/>
  <c r="J1014" i="5"/>
  <c r="AX1003" i="5"/>
  <c r="BH990" i="5"/>
  <c r="AD990" i="5" s="1"/>
  <c r="BI985" i="5"/>
  <c r="AE985" i="5" s="1"/>
  <c r="AW974" i="5"/>
  <c r="AX970" i="5"/>
  <c r="BH967" i="5"/>
  <c r="AD967" i="5" s="1"/>
  <c r="AX964" i="5"/>
  <c r="AX958" i="5"/>
  <c r="AV958" i="5" s="1"/>
  <c r="BI956" i="5"/>
  <c r="AE956" i="5" s="1"/>
  <c r="K952" i="5"/>
  <c r="AV1107" i="5"/>
  <c r="J1086" i="5"/>
  <c r="J1085" i="5" s="1"/>
  <c r="L1053" i="5"/>
  <c r="AL1016" i="5"/>
  <c r="AW1101" i="5"/>
  <c r="Z1098" i="5"/>
  <c r="K1081" i="5"/>
  <c r="K1080" i="5" s="1"/>
  <c r="AT1071" i="5"/>
  <c r="K1054" i="5"/>
  <c r="AX1050" i="5"/>
  <c r="AX1041" i="5"/>
  <c r="BH1039" i="5"/>
  <c r="AD1039" i="5" s="1"/>
  <c r="BH1037" i="5"/>
  <c r="AD1037" i="5" s="1"/>
  <c r="BI1035" i="5"/>
  <c r="AE1035" i="5" s="1"/>
  <c r="M1033" i="5"/>
  <c r="BI1029" i="5"/>
  <c r="AC1029" i="5" s="1"/>
  <c r="BI1012" i="5"/>
  <c r="AE1012" i="5" s="1"/>
  <c r="BI1010" i="5"/>
  <c r="AE1010" i="5" s="1"/>
  <c r="BI995" i="5"/>
  <c r="AE995" i="5" s="1"/>
  <c r="M993" i="5"/>
  <c r="BI950" i="5"/>
  <c r="AE950" i="5" s="1"/>
  <c r="BH944" i="5"/>
  <c r="AD944" i="5" s="1"/>
  <c r="M1107" i="5"/>
  <c r="M1106" i="5" s="1"/>
  <c r="BH1089" i="5"/>
  <c r="AD1089" i="5" s="1"/>
  <c r="M1083" i="5"/>
  <c r="M1076" i="5"/>
  <c r="AL1069" i="5"/>
  <c r="M1067" i="5"/>
  <c r="M1066" i="5" s="1"/>
  <c r="M1061" i="5"/>
  <c r="M1054" i="5"/>
  <c r="AL1054" i="5"/>
  <c r="AW1050" i="5"/>
  <c r="L1047" i="5"/>
  <c r="AX1045" i="5"/>
  <c r="AW1041" i="5"/>
  <c r="BH1029" i="5"/>
  <c r="AD1029" i="5" s="1"/>
  <c r="AW1018" i="5"/>
  <c r="BH1012" i="5"/>
  <c r="AD1012" i="5" s="1"/>
  <c r="BH1010" i="5"/>
  <c r="AF1010" i="5" s="1"/>
  <c r="BI1003" i="5"/>
  <c r="AE1003" i="5" s="1"/>
  <c r="BH995" i="5"/>
  <c r="AD995" i="5" s="1"/>
  <c r="K987" i="5"/>
  <c r="AX985" i="5"/>
  <c r="BI974" i="5"/>
  <c r="AE974" i="5" s="1"/>
  <c r="BI958" i="5"/>
  <c r="AE958" i="5" s="1"/>
  <c r="BH954" i="5"/>
  <c r="AD954" i="5" s="1"/>
  <c r="BH950" i="5"/>
  <c r="AD950" i="5" s="1"/>
  <c r="K1086" i="5"/>
  <c r="K1085" i="5" s="1"/>
  <c r="AX1095" i="5"/>
  <c r="Z1092" i="5"/>
  <c r="BI1086" i="5"/>
  <c r="AE1086" i="5" s="1"/>
  <c r="AL1081" i="5"/>
  <c r="AL1074" i="5"/>
  <c r="BI1072" i="5"/>
  <c r="AC1072" i="5" s="1"/>
  <c r="AS1066" i="5"/>
  <c r="AT1066" i="5"/>
  <c r="BI1056" i="5"/>
  <c r="AC1056" i="5" s="1"/>
  <c r="K1048" i="5"/>
  <c r="AW1045" i="5"/>
  <c r="AX1037" i="5"/>
  <c r="BI1033" i="5"/>
  <c r="AC1033" i="5" s="1"/>
  <c r="M1026" i="5"/>
  <c r="AX1020" i="5"/>
  <c r="BH1016" i="5"/>
  <c r="AD1016" i="5" s="1"/>
  <c r="K1010" i="5"/>
  <c r="BH1003" i="5"/>
  <c r="AD1003" i="5" s="1"/>
  <c r="AX999" i="5"/>
  <c r="AL990" i="5"/>
  <c r="AW985" i="5"/>
  <c r="BH981" i="5"/>
  <c r="AD981" i="5" s="1"/>
  <c r="AL977" i="5"/>
  <c r="BH974" i="5"/>
  <c r="AD974" i="5" s="1"/>
  <c r="BI970" i="5"/>
  <c r="AE970" i="5" s="1"/>
  <c r="BI964" i="5"/>
  <c r="AE964" i="5" s="1"/>
  <c r="BH958" i="5"/>
  <c r="AD958" i="5" s="1"/>
  <c r="BI947" i="5"/>
  <c r="AE947" i="5" s="1"/>
  <c r="AX944" i="5"/>
  <c r="BI942" i="5"/>
  <c r="J1098" i="5"/>
  <c r="J1097" i="5" s="1"/>
  <c r="BH1086" i="5"/>
  <c r="M1059" i="5"/>
  <c r="BI1054" i="5"/>
  <c r="AE1054" i="5" s="1"/>
  <c r="AS1053" i="5"/>
  <c r="M1050" i="5"/>
  <c r="M1047" i="5" s="1"/>
  <c r="M1041" i="5"/>
  <c r="K1039" i="5"/>
  <c r="AX1012" i="5"/>
  <c r="BH970" i="5"/>
  <c r="AD970" i="5" s="1"/>
  <c r="BH964" i="5"/>
  <c r="AD964" i="5" s="1"/>
  <c r="BI952" i="5"/>
  <c r="AE952" i="5" s="1"/>
  <c r="AX950" i="5"/>
  <c r="K859" i="5"/>
  <c r="BI939" i="5"/>
  <c r="AE939" i="5" s="1"/>
  <c r="BH928" i="5"/>
  <c r="AD928" i="5" s="1"/>
  <c r="BH919" i="5"/>
  <c r="AB919" i="5" s="1"/>
  <c r="BC915" i="5"/>
  <c r="M878" i="5"/>
  <c r="AX873" i="5"/>
  <c r="J859" i="5"/>
  <c r="AX850" i="5"/>
  <c r="BH848" i="5"/>
  <c r="AD848" i="5" s="1"/>
  <c r="M785" i="5"/>
  <c r="K785" i="5"/>
  <c r="L756" i="5"/>
  <c r="AB743" i="5"/>
  <c r="BI908" i="5"/>
  <c r="AE908" i="5" s="1"/>
  <c r="AB823" i="5"/>
  <c r="K810" i="5"/>
  <c r="K791" i="5"/>
  <c r="AB781" i="5"/>
  <c r="AV772" i="5"/>
  <c r="BI922" i="5"/>
  <c r="AE922" i="5" s="1"/>
  <c r="AL922" i="5"/>
  <c r="BI913" i="5"/>
  <c r="AE913" i="5" s="1"/>
  <c r="AL913" i="5"/>
  <c r="BH908" i="5"/>
  <c r="AD908" i="5" s="1"/>
  <c r="AX899" i="5"/>
  <c r="AW891" i="5"/>
  <c r="AX886" i="5"/>
  <c r="AW880" i="5"/>
  <c r="BI859" i="5"/>
  <c r="K853" i="5"/>
  <c r="BC825" i="5"/>
  <c r="BH815" i="5"/>
  <c r="AB813" i="5"/>
  <c r="AL807" i="5"/>
  <c r="BH805" i="5"/>
  <c r="AW800" i="5"/>
  <c r="K796" i="5"/>
  <c r="BI791" i="5"/>
  <c r="AC791" i="5" s="1"/>
  <c r="BI785" i="5"/>
  <c r="L777" i="5"/>
  <c r="BH750" i="5"/>
  <c r="AW743" i="5"/>
  <c r="AV743" i="5" s="1"/>
  <c r="AX934" i="5"/>
  <c r="BH922" i="5"/>
  <c r="AD922" i="5" s="1"/>
  <c r="AW919" i="5"/>
  <c r="BC919" i="5" s="1"/>
  <c r="K919" i="5"/>
  <c r="AX917" i="5"/>
  <c r="AV917" i="5" s="1"/>
  <c r="AX904" i="5"/>
  <c r="AV904" i="5" s="1"/>
  <c r="AW899" i="5"/>
  <c r="AW886" i="5"/>
  <c r="AX855" i="5"/>
  <c r="BC855" i="5" s="1"/>
  <c r="M850" i="5"/>
  <c r="BI840" i="5"/>
  <c r="AE840" i="5" s="1"/>
  <c r="BH830" i="5"/>
  <c r="AD830" i="5" s="1"/>
  <c r="AW827" i="5"/>
  <c r="AV827" i="5" s="1"/>
  <c r="K827" i="5"/>
  <c r="AW823" i="5"/>
  <c r="M823" i="5"/>
  <c r="K821" i="5"/>
  <c r="BH817" i="5"/>
  <c r="BI796" i="5"/>
  <c r="AC796" i="5" s="1"/>
  <c r="BH791" i="5"/>
  <c r="BH785" i="5"/>
  <c r="BH783" i="5"/>
  <c r="AW781" i="5"/>
  <c r="K763" i="5"/>
  <c r="BH753" i="5"/>
  <c r="AW747" i="5"/>
  <c r="BC745" i="5"/>
  <c r="AW934" i="5"/>
  <c r="AX928" i="5"/>
  <c r="BI863" i="5"/>
  <c r="BH840" i="5"/>
  <c r="AD840" i="5" s="1"/>
  <c r="AL835" i="5"/>
  <c r="BH796" i="5"/>
  <c r="AB788" i="5"/>
  <c r="BI772" i="5"/>
  <c r="AV766" i="5"/>
  <c r="K745" i="5"/>
  <c r="AX939" i="5"/>
  <c r="AV939" i="5" s="1"/>
  <c r="AW928" i="5"/>
  <c r="AX908" i="5"/>
  <c r="AW896" i="5"/>
  <c r="AL891" i="5"/>
  <c r="AL880" i="5"/>
  <c r="BC859" i="5"/>
  <c r="BI850" i="5"/>
  <c r="AC850" i="5" s="1"/>
  <c r="BH832" i="5"/>
  <c r="AD832" i="5" s="1"/>
  <c r="K825" i="5"/>
  <c r="AW815" i="5"/>
  <c r="K781" i="5"/>
  <c r="BH774" i="5"/>
  <c r="BH772" i="5"/>
  <c r="AW753" i="5"/>
  <c r="AV753" i="5" s="1"/>
  <c r="BC750" i="5"/>
  <c r="BC931" i="5"/>
  <c r="BI917" i="5"/>
  <c r="AE917" i="5" s="1"/>
  <c r="AX913" i="5"/>
  <c r="BC913" i="5" s="1"/>
  <c r="AW908" i="5"/>
  <c r="BH899" i="5"/>
  <c r="AD899" i="5" s="1"/>
  <c r="AL899" i="5"/>
  <c r="BH886" i="5"/>
  <c r="AD886" i="5" s="1"/>
  <c r="AX863" i="5"/>
  <c r="AV863" i="5" s="1"/>
  <c r="AV859" i="5"/>
  <c r="AX857" i="5"/>
  <c r="K857" i="5"/>
  <c r="BH850" i="5"/>
  <c r="AD850" i="5" s="1"/>
  <c r="BH838" i="5"/>
  <c r="AD838" i="5" s="1"/>
  <c r="BI825" i="5"/>
  <c r="AL825" i="5"/>
  <c r="BH819" i="5"/>
  <c r="K815" i="5"/>
  <c r="BC796" i="5"/>
  <c r="AW791" i="5"/>
  <c r="AW785" i="5"/>
  <c r="K750" i="5"/>
  <c r="AW735" i="5"/>
  <c r="AX694" i="5"/>
  <c r="AW678" i="5"/>
  <c r="AW642" i="5"/>
  <c r="K615" i="5"/>
  <c r="AL703" i="5"/>
  <c r="AU702" i="5" s="1"/>
  <c r="AW700" i="5"/>
  <c r="BI697" i="5"/>
  <c r="AG697" i="5" s="1"/>
  <c r="BI687" i="5"/>
  <c r="AC687" i="5" s="1"/>
  <c r="K687" i="5"/>
  <c r="K683" i="5"/>
  <c r="AV680" i="5"/>
  <c r="AS672" i="5"/>
  <c r="M668" i="5"/>
  <c r="M667" i="5" s="1"/>
  <c r="AL639" i="5"/>
  <c r="K637" i="5"/>
  <c r="AL635" i="5"/>
  <c r="K633" i="5"/>
  <c r="BC623" i="5"/>
  <c r="L711" i="5"/>
  <c r="BH706" i="5"/>
  <c r="AD706" i="5" s="1"/>
  <c r="BH691" i="5"/>
  <c r="AB691" i="5" s="1"/>
  <c r="K685" i="5"/>
  <c r="BI668" i="5"/>
  <c r="K668" i="5"/>
  <c r="K667" i="5" s="1"/>
  <c r="K652" i="5"/>
  <c r="AL650" i="5"/>
  <c r="BI633" i="5"/>
  <c r="AE633" i="5" s="1"/>
  <c r="AL623" i="5"/>
  <c r="BH735" i="5"/>
  <c r="AD735" i="5" s="1"/>
  <c r="L717" i="5"/>
  <c r="BI712" i="5"/>
  <c r="AE712" i="5" s="1"/>
  <c r="J691" i="5"/>
  <c r="BI685" i="5"/>
  <c r="AC685" i="5" s="1"/>
  <c r="AW665" i="5"/>
  <c r="BC665" i="5" s="1"/>
  <c r="BI652" i="5"/>
  <c r="AE652" i="5" s="1"/>
  <c r="K648" i="5"/>
  <c r="AL645" i="5"/>
  <c r="M642" i="5"/>
  <c r="BH639" i="5"/>
  <c r="AD639" i="5" s="1"/>
  <c r="BI637" i="5"/>
  <c r="AE637" i="5" s="1"/>
  <c r="BH635" i="5"/>
  <c r="AD635" i="5" s="1"/>
  <c r="BH633" i="5"/>
  <c r="AD633" i="5" s="1"/>
  <c r="BH631" i="5"/>
  <c r="AF631" i="5" s="1"/>
  <c r="AW629" i="5"/>
  <c r="M627" i="5"/>
  <c r="K627" i="5"/>
  <c r="AX706" i="5"/>
  <c r="BI700" i="5"/>
  <c r="AE700" i="5" s="1"/>
  <c r="BI694" i="5"/>
  <c r="AL689" i="5"/>
  <c r="BH685" i="5"/>
  <c r="BI680" i="5"/>
  <c r="BH678" i="5"/>
  <c r="AD678" i="5" s="1"/>
  <c r="AW675" i="5"/>
  <c r="AW673" i="5"/>
  <c r="M657" i="5"/>
  <c r="BH654" i="5"/>
  <c r="AD654" i="5" s="1"/>
  <c r="BH652" i="5"/>
  <c r="AD652" i="5" s="1"/>
  <c r="M625" i="5"/>
  <c r="BI623" i="5"/>
  <c r="AE623" i="5" s="1"/>
  <c r="BH620" i="5"/>
  <c r="AB620" i="5" s="1"/>
  <c r="BH700" i="5"/>
  <c r="AD700" i="5" s="1"/>
  <c r="L672" i="5"/>
  <c r="BH650" i="5"/>
  <c r="AD650" i="5" s="1"/>
  <c r="AS647" i="5"/>
  <c r="BH642" i="5"/>
  <c r="AD642" i="5" s="1"/>
  <c r="BI627" i="5"/>
  <c r="AE627" i="5" s="1"/>
  <c r="BH623" i="5"/>
  <c r="AF623" i="5" s="1"/>
  <c r="BI615" i="5"/>
  <c r="AE615" i="5" s="1"/>
  <c r="K680" i="5"/>
  <c r="BI737" i="5"/>
  <c r="AE737" i="5" s="1"/>
  <c r="AX735" i="5"/>
  <c r="BI724" i="5"/>
  <c r="AE724" i="5" s="1"/>
  <c r="BI715" i="5"/>
  <c r="AE715" i="5" s="1"/>
  <c r="AX712" i="5"/>
  <c r="BH689" i="5"/>
  <c r="AW685" i="5"/>
  <c r="BC685" i="5" s="1"/>
  <c r="AW668" i="5"/>
  <c r="AV668" i="5" s="1"/>
  <c r="K665" i="5"/>
  <c r="BH657" i="5"/>
  <c r="AD657" i="5" s="1"/>
  <c r="BH648" i="5"/>
  <c r="AD648" i="5" s="1"/>
  <c r="BH645" i="5"/>
  <c r="AD645" i="5" s="1"/>
  <c r="AW633" i="5"/>
  <c r="BH627" i="5"/>
  <c r="AF627" i="5" s="1"/>
  <c r="BI625" i="5"/>
  <c r="AE625" i="5" s="1"/>
  <c r="AW620" i="5"/>
  <c r="BH615" i="5"/>
  <c r="AB615" i="5" s="1"/>
  <c r="BH609" i="5"/>
  <c r="AB609" i="5" s="1"/>
  <c r="BH601" i="5"/>
  <c r="AF601" i="5" s="1"/>
  <c r="AW599" i="5"/>
  <c r="BH588" i="5"/>
  <c r="AF588" i="5" s="1"/>
  <c r="AE574" i="5"/>
  <c r="BH566" i="5"/>
  <c r="AD566" i="5" s="1"/>
  <c r="BH561" i="5"/>
  <c r="AF561" i="5" s="1"/>
  <c r="BH558" i="5"/>
  <c r="AD558" i="5" s="1"/>
  <c r="BH549" i="5"/>
  <c r="AD549" i="5" s="1"/>
  <c r="BI543" i="5"/>
  <c r="AE543" i="5" s="1"/>
  <c r="BH532" i="5"/>
  <c r="AF532" i="5" s="1"/>
  <c r="BH524" i="5"/>
  <c r="AF524" i="5" s="1"/>
  <c r="BH522" i="5"/>
  <c r="AD522" i="5" s="1"/>
  <c r="K477" i="5"/>
  <c r="BH594" i="5"/>
  <c r="AB594" i="5" s="1"/>
  <c r="BI579" i="5"/>
  <c r="AE579" i="5" s="1"/>
  <c r="BH572" i="5"/>
  <c r="AD572" i="5" s="1"/>
  <c r="BC569" i="5"/>
  <c r="BH543" i="5"/>
  <c r="AD543" i="5" s="1"/>
  <c r="AW538" i="5"/>
  <c r="M534" i="5"/>
  <c r="M515" i="5"/>
  <c r="AW510" i="5"/>
  <c r="AW499" i="5"/>
  <c r="M493" i="5"/>
  <c r="J475" i="5"/>
  <c r="AW609" i="5"/>
  <c r="AV609" i="5" s="1"/>
  <c r="AW586" i="5"/>
  <c r="K586" i="5"/>
  <c r="BH579" i="5"/>
  <c r="AF579" i="5" s="1"/>
  <c r="BH577" i="5"/>
  <c r="AD577" i="5" s="1"/>
  <c r="AW566" i="5"/>
  <c r="AW558" i="5"/>
  <c r="AW549" i="5"/>
  <c r="K543" i="5"/>
  <c r="AW522" i="5"/>
  <c r="AW488" i="5"/>
  <c r="BH482" i="5"/>
  <c r="K609" i="5"/>
  <c r="BH597" i="5"/>
  <c r="AF597" i="5" s="1"/>
  <c r="AV546" i="5"/>
  <c r="AW543" i="5"/>
  <c r="AV543" i="5" s="1"/>
  <c r="K541" i="5"/>
  <c r="BH534" i="5"/>
  <c r="AD534" i="5" s="1"/>
  <c r="K528" i="5"/>
  <c r="BH515" i="5"/>
  <c r="AD515" i="5" s="1"/>
  <c r="L509" i="5"/>
  <c r="BH493" i="5"/>
  <c r="AD493" i="5" s="1"/>
  <c r="J491" i="5"/>
  <c r="K488" i="5"/>
  <c r="M482" i="5"/>
  <c r="AX480" i="5"/>
  <c r="BI477" i="5"/>
  <c r="BI467" i="5"/>
  <c r="M599" i="5"/>
  <c r="BH581" i="5"/>
  <c r="AD581" i="5" s="1"/>
  <c r="K569" i="5"/>
  <c r="K526" i="5"/>
  <c r="AL513" i="5"/>
  <c r="AV507" i="5"/>
  <c r="BI475" i="5"/>
  <c r="AE475" i="5" s="1"/>
  <c r="BI470" i="5"/>
  <c r="AE470" i="5" s="1"/>
  <c r="J458" i="5"/>
  <c r="J451" i="5"/>
  <c r="AW590" i="5"/>
  <c r="AL588" i="5"/>
  <c r="BH584" i="5"/>
  <c r="AF584" i="5" s="1"/>
  <c r="K546" i="5"/>
  <c r="AW534" i="5"/>
  <c r="K524" i="5"/>
  <c r="AW515" i="5"/>
  <c r="K505" i="5"/>
  <c r="BH496" i="5"/>
  <c r="AF496" i="5" s="1"/>
  <c r="AW493" i="5"/>
  <c r="AL488" i="5"/>
  <c r="AW482" i="5"/>
  <c r="AD477" i="5"/>
  <c r="BH475" i="5"/>
  <c r="BH546" i="5"/>
  <c r="AF546" i="5" s="1"/>
  <c r="BH541" i="5"/>
  <c r="AF541" i="5" s="1"/>
  <c r="BI538" i="5"/>
  <c r="AE538" i="5" s="1"/>
  <c r="BI530" i="5"/>
  <c r="BI528" i="5"/>
  <c r="AE528" i="5" s="1"/>
  <c r="BI526" i="5"/>
  <c r="AE526" i="5" s="1"/>
  <c r="AL524" i="5"/>
  <c r="BH510" i="5"/>
  <c r="AD510" i="5" s="1"/>
  <c r="BI507" i="5"/>
  <c r="K507" i="5"/>
  <c r="BC349" i="5"/>
  <c r="AV349" i="5"/>
  <c r="K336" i="5"/>
  <c r="K335" i="5" s="1"/>
  <c r="BI448" i="5"/>
  <c r="AE448" i="5" s="1"/>
  <c r="J443" i="5"/>
  <c r="AX432" i="5"/>
  <c r="AV432" i="5" s="1"/>
  <c r="AX429" i="5"/>
  <c r="J427" i="5"/>
  <c r="AV414" i="5"/>
  <c r="BI398" i="5"/>
  <c r="AC398" i="5" s="1"/>
  <c r="AX392" i="5"/>
  <c r="BC392" i="5" s="1"/>
  <c r="BH386" i="5"/>
  <c r="AB386" i="5" s="1"/>
  <c r="BI379" i="5"/>
  <c r="J377" i="5"/>
  <c r="AL369" i="5"/>
  <c r="AX367" i="5"/>
  <c r="AW351" i="5"/>
  <c r="AL339" i="5"/>
  <c r="L335" i="5"/>
  <c r="BH326" i="5"/>
  <c r="AB326" i="5" s="1"/>
  <c r="BH448" i="5"/>
  <c r="AD448" i="5" s="1"/>
  <c r="AX446" i="5"/>
  <c r="BI406" i="5"/>
  <c r="AC406" i="5" s="1"/>
  <c r="BI400" i="5"/>
  <c r="K379" i="5"/>
  <c r="AW355" i="5"/>
  <c r="AV353" i="5"/>
  <c r="M333" i="5"/>
  <c r="AL329" i="5"/>
  <c r="AX324" i="5"/>
  <c r="J318" i="5"/>
  <c r="J317" i="5" s="1"/>
  <c r="BI443" i="5"/>
  <c r="AE443" i="5" s="1"/>
  <c r="BH437" i="5"/>
  <c r="AD437" i="5" s="1"/>
  <c r="J432" i="5"/>
  <c r="BI417" i="5"/>
  <c r="AE417" i="5" s="1"/>
  <c r="J414" i="5"/>
  <c r="BI404" i="5"/>
  <c r="BI396" i="5"/>
  <c r="J392" i="5"/>
  <c r="BH373" i="5"/>
  <c r="AB373" i="5" s="1"/>
  <c r="AL361" i="5"/>
  <c r="BH359" i="5"/>
  <c r="AB359" i="5" s="1"/>
  <c r="BI339" i="5"/>
  <c r="AX314" i="5"/>
  <c r="BI336" i="5"/>
  <c r="AX404" i="5"/>
  <c r="BI388" i="5"/>
  <c r="BH357" i="5"/>
  <c r="AW341" i="5"/>
  <c r="K329" i="5"/>
  <c r="M324" i="5"/>
  <c r="J448" i="5"/>
  <c r="AX424" i="5"/>
  <c r="J381" i="5"/>
  <c r="BH377" i="5"/>
  <c r="AX375" i="5"/>
  <c r="BH361" i="5"/>
  <c r="BH353" i="5"/>
  <c r="AX339" i="5"/>
  <c r="M331" i="5"/>
  <c r="AX329" i="5"/>
  <c r="AV329" i="5" s="1"/>
  <c r="AL326" i="5"/>
  <c r="M314" i="5"/>
  <c r="M313" i="5" s="1"/>
  <c r="AL314" i="5"/>
  <c r="AU313" i="5" s="1"/>
  <c r="AX443" i="5"/>
  <c r="BC443" i="5" s="1"/>
  <c r="AB414" i="5"/>
  <c r="AC412" i="5"/>
  <c r="BH410" i="5"/>
  <c r="AB410" i="5" s="1"/>
  <c r="AX396" i="5"/>
  <c r="AC392" i="5"/>
  <c r="AX388" i="5"/>
  <c r="AE247" i="5"/>
  <c r="AC247" i="5"/>
  <c r="J305" i="5"/>
  <c r="BH292" i="5"/>
  <c r="BI287" i="5"/>
  <c r="J240" i="5"/>
  <c r="BI231" i="5"/>
  <c r="AE231" i="5" s="1"/>
  <c r="L228" i="5"/>
  <c r="BI224" i="5"/>
  <c r="AW222" i="5"/>
  <c r="AC216" i="5"/>
  <c r="BI199" i="5"/>
  <c r="BH287" i="5"/>
  <c r="BI283" i="5"/>
  <c r="AX279" i="5"/>
  <c r="BI275" i="5"/>
  <c r="AL275" i="5"/>
  <c r="AW269" i="5"/>
  <c r="BI260" i="5"/>
  <c r="M256" i="5"/>
  <c r="M254" i="5"/>
  <c r="AX251" i="5"/>
  <c r="BC251" i="5" s="1"/>
  <c r="BH240" i="5"/>
  <c r="AB240" i="5" s="1"/>
  <c r="M224" i="5"/>
  <c r="BH209" i="5"/>
  <c r="AB209" i="5" s="1"/>
  <c r="BI206" i="5"/>
  <c r="BH199" i="5"/>
  <c r="AX311" i="5"/>
  <c r="J309" i="5"/>
  <c r="AL305" i="5"/>
  <c r="AW301" i="5"/>
  <c r="AL290" i="5"/>
  <c r="BH283" i="5"/>
  <c r="AW279" i="5"/>
  <c r="BC279" i="5" s="1"/>
  <c r="AC279" i="5"/>
  <c r="K272" i="5"/>
  <c r="BH260" i="5"/>
  <c r="AX231" i="5"/>
  <c r="AX224" i="5"/>
  <c r="AL188" i="5"/>
  <c r="AS184" i="5"/>
  <c r="BI303" i="5"/>
  <c r="BI299" i="5"/>
  <c r="AX292" i="5"/>
  <c r="AB279" i="5"/>
  <c r="AX209" i="5"/>
  <c r="BI203" i="5"/>
  <c r="BH196" i="5"/>
  <c r="AB196" i="5" s="1"/>
  <c r="L295" i="5"/>
  <c r="AX287" i="5"/>
  <c r="AL265" i="5"/>
  <c r="BH256" i="5"/>
  <c r="AC240" i="5"/>
  <c r="BI229" i="5"/>
  <c r="AL214" i="5"/>
  <c r="AW209" i="5"/>
  <c r="BH188" i="5"/>
  <c r="BI307" i="5"/>
  <c r="AC307" i="5" s="1"/>
  <c r="AW287" i="5"/>
  <c r="BH285" i="5"/>
  <c r="AB285" i="5" s="1"/>
  <c r="AX283" i="5"/>
  <c r="BC283" i="5" s="1"/>
  <c r="AL279" i="5"/>
  <c r="AX275" i="5"/>
  <c r="BC275" i="5" s="1"/>
  <c r="AL272" i="5"/>
  <c r="BI269" i="5"/>
  <c r="AL258" i="5"/>
  <c r="AL254" i="5"/>
  <c r="AL251" i="5"/>
  <c r="AX218" i="5"/>
  <c r="BI214" i="5"/>
  <c r="AC214" i="5" s="1"/>
  <c r="AX203" i="5"/>
  <c r="K195" i="5"/>
  <c r="AC309" i="5"/>
  <c r="AX260" i="5"/>
  <c r="AX256" i="5"/>
  <c r="BI254" i="5"/>
  <c r="BI251" i="5"/>
  <c r="AW247" i="5"/>
  <c r="AL199" i="5"/>
  <c r="AU195" i="5" s="1"/>
  <c r="AC193" i="5"/>
  <c r="AC185" i="5"/>
  <c r="BH177" i="5"/>
  <c r="AF177" i="5" s="1"/>
  <c r="AX163" i="5"/>
  <c r="J154" i="5"/>
  <c r="K150" i="5"/>
  <c r="BI128" i="5"/>
  <c r="K125" i="5"/>
  <c r="AX122" i="5"/>
  <c r="K177" i="5"/>
  <c r="K160" i="5"/>
  <c r="K159" i="5" s="1"/>
  <c r="M150" i="5"/>
  <c r="BI145" i="5"/>
  <c r="AC145" i="5" s="1"/>
  <c r="BI137" i="5"/>
  <c r="AE137" i="5" s="1"/>
  <c r="AL111" i="5"/>
  <c r="AS174" i="5"/>
  <c r="AL150" i="5"/>
  <c r="BH137" i="5"/>
  <c r="AD137" i="5" s="1"/>
  <c r="BI108" i="5"/>
  <c r="AC108" i="5" s="1"/>
  <c r="BI177" i="5"/>
  <c r="AC177" i="5" s="1"/>
  <c r="AL148" i="5"/>
  <c r="L110" i="5"/>
  <c r="K179" i="5"/>
  <c r="BI150" i="5"/>
  <c r="AE150" i="5" s="1"/>
  <c r="BH135" i="5"/>
  <c r="AD135" i="5" s="1"/>
  <c r="BI111" i="5"/>
  <c r="AS162" i="5"/>
  <c r="AW160" i="5"/>
  <c r="BC160" i="5" s="1"/>
  <c r="BH154" i="5"/>
  <c r="J135" i="5"/>
  <c r="AW177" i="5"/>
  <c r="BI122" i="5"/>
  <c r="AT110" i="5"/>
  <c r="AX108" i="5"/>
  <c r="J16" i="4" s="1"/>
  <c r="AC14" i="5"/>
  <c r="AE14" i="5"/>
  <c r="AW104" i="5"/>
  <c r="BH102" i="5"/>
  <c r="AL98" i="5"/>
  <c r="BI94" i="5"/>
  <c r="AC94" i="5" s="1"/>
  <c r="AT85" i="5"/>
  <c r="BH77" i="5"/>
  <c r="BH75" i="5"/>
  <c r="AF75" i="5" s="1"/>
  <c r="BI73" i="5"/>
  <c r="BH65" i="5"/>
  <c r="K65" i="5"/>
  <c r="AL52" i="5"/>
  <c r="K52" i="5"/>
  <c r="M44" i="5"/>
  <c r="M43" i="5" s="1"/>
  <c r="J38" i="5"/>
  <c r="M36" i="5"/>
  <c r="M31" i="5"/>
  <c r="BH86" i="5"/>
  <c r="AB86" i="5" s="1"/>
  <c r="AS85" i="5"/>
  <c r="BH73" i="5"/>
  <c r="J52" i="5"/>
  <c r="L43" i="5"/>
  <c r="K62" i="5"/>
  <c r="BH96" i="5"/>
  <c r="AD96" i="5" s="1"/>
  <c r="BH88" i="5"/>
  <c r="AW71" i="5"/>
  <c r="J71" i="5"/>
  <c r="BI60" i="5"/>
  <c r="AC60" i="5" s="1"/>
  <c r="BI52" i="5"/>
  <c r="AG52" i="5" s="1"/>
  <c r="AL44" i="5"/>
  <c r="AW41" i="5"/>
  <c r="BC41" i="5" s="1"/>
  <c r="AL36" i="5"/>
  <c r="AU35" i="5" s="1"/>
  <c r="AW33" i="5"/>
  <c r="AV33" i="5" s="1"/>
  <c r="AE33" i="5"/>
  <c r="BI31" i="5"/>
  <c r="AE31" i="5" s="1"/>
  <c r="M25" i="5"/>
  <c r="K25" i="5"/>
  <c r="AX14" i="5"/>
  <c r="AV14" i="5" s="1"/>
  <c r="Z102" i="5"/>
  <c r="BI98" i="5"/>
  <c r="Z98" i="5"/>
  <c r="AX94" i="5"/>
  <c r="BC94" i="5" s="1"/>
  <c r="J94" i="5"/>
  <c r="K80" i="5"/>
  <c r="AX77" i="5"/>
  <c r="BH60" i="5"/>
  <c r="AL46" i="5"/>
  <c r="BH44" i="5"/>
  <c r="AD44" i="5" s="1"/>
  <c r="AS43" i="5"/>
  <c r="L35" i="5"/>
  <c r="AW65" i="5"/>
  <c r="AV65" i="5" s="1"/>
  <c r="K31" i="5"/>
  <c r="BI25" i="5"/>
  <c r="J75" i="5"/>
  <c r="AW73" i="5"/>
  <c r="BC73" i="5" s="1"/>
  <c r="BH69" i="5"/>
  <c r="M62" i="5"/>
  <c r="BH49" i="5"/>
  <c r="AV62" i="5"/>
  <c r="AV52" i="5"/>
  <c r="AO1111" i="5"/>
  <c r="BH1111" i="5" s="1"/>
  <c r="C45" i="7"/>
  <c r="H1111" i="5" s="1"/>
  <c r="L1370" i="5"/>
  <c r="L1369" i="5" s="1"/>
  <c r="K59" i="4" s="1"/>
  <c r="AG1371" i="5"/>
  <c r="AX1111" i="5"/>
  <c r="J45" i="4" s="1"/>
  <c r="AG1111" i="5"/>
  <c r="AW1115" i="5"/>
  <c r="AV1115" i="5" s="1"/>
  <c r="K47" i="4" s="1"/>
  <c r="P47" i="4" s="1"/>
  <c r="BI1115" i="5"/>
  <c r="AF1115" i="5"/>
  <c r="AF1119" i="5"/>
  <c r="BC1572" i="5"/>
  <c r="AV1572" i="5"/>
  <c r="BC1566" i="5"/>
  <c r="AV1566" i="5"/>
  <c r="BC1537" i="5"/>
  <c r="AV1537" i="5"/>
  <c r="BC1541" i="5"/>
  <c r="BC1504" i="5"/>
  <c r="AV1504" i="5"/>
  <c r="L75" i="4"/>
  <c r="AE1551" i="5"/>
  <c r="AG1551" i="5"/>
  <c r="AB1545" i="5"/>
  <c r="AF1545" i="5"/>
  <c r="AE1511" i="5"/>
  <c r="AG1511" i="5"/>
  <c r="I66" i="4"/>
  <c r="AV1466" i="5"/>
  <c r="AX1461" i="5"/>
  <c r="K1461" i="5"/>
  <c r="BI1461" i="5"/>
  <c r="AB1457" i="5"/>
  <c r="AD1457" i="5"/>
  <c r="AE1442" i="5"/>
  <c r="AE1427" i="5"/>
  <c r="AG1427" i="5"/>
  <c r="AH1408" i="5"/>
  <c r="Z1408" i="5"/>
  <c r="AH1399" i="5"/>
  <c r="Z1399" i="5"/>
  <c r="L1390" i="5"/>
  <c r="AK1391" i="5"/>
  <c r="AT1390" i="5" s="1"/>
  <c r="AH1377" i="5"/>
  <c r="Z1377" i="5"/>
  <c r="Z1371" i="5"/>
  <c r="AH1371" i="5"/>
  <c r="P56" i="4"/>
  <c r="M1360" i="5"/>
  <c r="M1359" i="5" s="1"/>
  <c r="AL1360" i="5"/>
  <c r="AU1359" i="5" s="1"/>
  <c r="L1359" i="5"/>
  <c r="AJ1360" i="5"/>
  <c r="AS1359" i="5" s="1"/>
  <c r="AB1357" i="5"/>
  <c r="AD1357" i="5"/>
  <c r="AJ1334" i="5"/>
  <c r="AL1334" i="5"/>
  <c r="M1334" i="5"/>
  <c r="AK1334" i="5"/>
  <c r="AJ1326" i="5"/>
  <c r="AL1326" i="5"/>
  <c r="M1326" i="5"/>
  <c r="AK1326" i="5"/>
  <c r="AJ1318" i="5"/>
  <c r="AL1318" i="5"/>
  <c r="M1318" i="5"/>
  <c r="AK1318" i="5"/>
  <c r="AJ1310" i="5"/>
  <c r="AL1310" i="5"/>
  <c r="M1310" i="5"/>
  <c r="AK1310" i="5"/>
  <c r="AJ1302" i="5"/>
  <c r="AL1302" i="5"/>
  <c r="M1302" i="5"/>
  <c r="AK1302" i="5"/>
  <c r="AF1288" i="5"/>
  <c r="AB1288" i="5"/>
  <c r="Z1111" i="5"/>
  <c r="AH1111" i="5"/>
  <c r="AX1104" i="5"/>
  <c r="BI1104" i="5"/>
  <c r="K1104" i="5"/>
  <c r="K1103" i="5" s="1"/>
  <c r="BF1037" i="5"/>
  <c r="O1028" i="5"/>
  <c r="M999" i="5"/>
  <c r="AL999" i="5"/>
  <c r="AJ999" i="5"/>
  <c r="AK999" i="5"/>
  <c r="AH733" i="5"/>
  <c r="Z733" i="5"/>
  <c r="J1584" i="5"/>
  <c r="BH1572" i="5"/>
  <c r="AS1571" i="5"/>
  <c r="K1572" i="5"/>
  <c r="BH1566" i="5"/>
  <c r="K1566" i="5"/>
  <c r="AW1553" i="5"/>
  <c r="AW1549" i="5"/>
  <c r="AG1545" i="5"/>
  <c r="BI1541" i="5"/>
  <c r="BI1537" i="5"/>
  <c r="BI1518" i="5"/>
  <c r="AW1513" i="5"/>
  <c r="AW1509" i="5"/>
  <c r="BI1504" i="5"/>
  <c r="AS1503" i="5"/>
  <c r="K1504" i="5"/>
  <c r="K1503" i="5" s="1"/>
  <c r="AW1494" i="5"/>
  <c r="BH1478" i="5"/>
  <c r="AG1478" i="5"/>
  <c r="J1478" i="5"/>
  <c r="J1477" i="5" s="1"/>
  <c r="K1473" i="5"/>
  <c r="K1472" i="5" s="1"/>
  <c r="AX1473" i="5"/>
  <c r="BI1473" i="5"/>
  <c r="AL1466" i="5"/>
  <c r="AU1465" i="5" s="1"/>
  <c r="AJ1466" i="5"/>
  <c r="AS1465" i="5" s="1"/>
  <c r="AX1453" i="5"/>
  <c r="K1453" i="5"/>
  <c r="BI1453" i="5"/>
  <c r="AH1451" i="5"/>
  <c r="AB1449" i="5"/>
  <c r="AD1449" i="5"/>
  <c r="AC1442" i="5"/>
  <c r="AE1436" i="5"/>
  <c r="AG1436" i="5"/>
  <c r="O1418" i="5"/>
  <c r="M1416" i="5"/>
  <c r="M1415" i="5" s="1"/>
  <c r="BI1408" i="5"/>
  <c r="BI1399" i="5"/>
  <c r="Z1396" i="5"/>
  <c r="Z1394" i="5"/>
  <c r="AJ1391" i="5"/>
  <c r="AS1390" i="5" s="1"/>
  <c r="BI1377" i="5"/>
  <c r="L20" i="3"/>
  <c r="L57" i="4"/>
  <c r="AH1354" i="5"/>
  <c r="AJ1347" i="5"/>
  <c r="AL1347" i="5"/>
  <c r="M1347" i="5"/>
  <c r="AK1347" i="5"/>
  <c r="AT1342" i="5" s="1"/>
  <c r="K1334" i="5"/>
  <c r="K1326" i="5"/>
  <c r="K1318" i="5"/>
  <c r="K1310" i="5"/>
  <c r="K1302" i="5"/>
  <c r="AX1280" i="5"/>
  <c r="BC1280" i="5" s="1"/>
  <c r="K1280" i="5"/>
  <c r="BI1280" i="5"/>
  <c r="AX1237" i="5"/>
  <c r="K1237" i="5"/>
  <c r="BI1237" i="5"/>
  <c r="AH1174" i="5"/>
  <c r="Z1174" i="5"/>
  <c r="BC1154" i="5"/>
  <c r="AW1104" i="5"/>
  <c r="BH1104" i="5"/>
  <c r="J1104" i="5"/>
  <c r="J1103" i="5" s="1"/>
  <c r="L960" i="5"/>
  <c r="BC1528" i="5"/>
  <c r="BC1523" i="5"/>
  <c r="AV1523" i="5"/>
  <c r="AB1354" i="5"/>
  <c r="AD1354" i="5"/>
  <c r="AF1354" i="5"/>
  <c r="AW1081" i="5"/>
  <c r="BH1081" i="5"/>
  <c r="AJ956" i="5"/>
  <c r="AK956" i="5"/>
  <c r="AL956" i="5"/>
  <c r="M956" i="5"/>
  <c r="AH709" i="5"/>
  <c r="Z709" i="5"/>
  <c r="AD1578" i="5"/>
  <c r="AF1578" i="5"/>
  <c r="AE1566" i="5"/>
  <c r="BI1561" i="5"/>
  <c r="K1488" i="5"/>
  <c r="K1485" i="5" s="1"/>
  <c r="AX1434" i="5"/>
  <c r="K1434" i="5"/>
  <c r="BI1406" i="5"/>
  <c r="AG1375" i="5"/>
  <c r="AK1360" i="5"/>
  <c r="AT1359" i="5" s="1"/>
  <c r="AC1334" i="5"/>
  <c r="AG1334" i="5"/>
  <c r="AE1334" i="5"/>
  <c r="AC1318" i="5"/>
  <c r="AG1318" i="5"/>
  <c r="AX1257" i="5"/>
  <c r="BC1257" i="5" s="1"/>
  <c r="K1257" i="5"/>
  <c r="BI1257" i="5"/>
  <c r="AF1086" i="5"/>
  <c r="AB1086" i="5"/>
  <c r="AD1086" i="5"/>
  <c r="AG1039" i="5"/>
  <c r="AC1039" i="5"/>
  <c r="AH956" i="5"/>
  <c r="Z956" i="5"/>
  <c r="AB952" i="5"/>
  <c r="AH815" i="5"/>
  <c r="Z815" i="5"/>
  <c r="AH813" i="5"/>
  <c r="Z813" i="5"/>
  <c r="AG781" i="5"/>
  <c r="AE781" i="5"/>
  <c r="AH715" i="5"/>
  <c r="Z715" i="5"/>
  <c r="AH1588" i="5"/>
  <c r="Z1588" i="5"/>
  <c r="M1588" i="5"/>
  <c r="AJ1588" i="5"/>
  <c r="AH1582" i="5"/>
  <c r="AH1580" i="5"/>
  <c r="Z1580" i="5"/>
  <c r="O1577" i="5"/>
  <c r="O1576" i="5" s="1"/>
  <c r="AB1561" i="5"/>
  <c r="AF1561" i="5"/>
  <c r="K1561" i="5"/>
  <c r="AF1557" i="5"/>
  <c r="K1557" i="5"/>
  <c r="BF1547" i="5"/>
  <c r="AE1539" i="5"/>
  <c r="AG1539" i="5"/>
  <c r="AV1535" i="5"/>
  <c r="AF1533" i="5"/>
  <c r="K1533" i="5"/>
  <c r="BF1521" i="5"/>
  <c r="AB1488" i="5"/>
  <c r="AF1488" i="5"/>
  <c r="AS1472" i="5"/>
  <c r="AD1461" i="5"/>
  <c r="AX1442" i="5"/>
  <c r="K1442" i="5"/>
  <c r="M1434" i="5"/>
  <c r="AJ1434" i="5"/>
  <c r="AK1434" i="5"/>
  <c r="AL1434" i="5"/>
  <c r="J1427" i="5"/>
  <c r="AW1427" i="5"/>
  <c r="BH1427" i="5"/>
  <c r="AX1421" i="5"/>
  <c r="BI1421" i="5"/>
  <c r="AS1410" i="5"/>
  <c r="AH1403" i="5"/>
  <c r="Z1403" i="5"/>
  <c r="K1403" i="5"/>
  <c r="AC1363" i="5"/>
  <c r="AG1363" i="5"/>
  <c r="AG1347" i="5"/>
  <c r="AE1347" i="5"/>
  <c r="Z1343" i="5"/>
  <c r="AH1343" i="5"/>
  <c r="AB1336" i="5"/>
  <c r="AF1336" i="5"/>
  <c r="AB1328" i="5"/>
  <c r="AF1328" i="5"/>
  <c r="AB1320" i="5"/>
  <c r="AF1320" i="5"/>
  <c r="AB1312" i="5"/>
  <c r="AD1312" i="5"/>
  <c r="AF1312" i="5"/>
  <c r="AB1304" i="5"/>
  <c r="AD1304" i="5"/>
  <c r="AF1304" i="5"/>
  <c r="AB1296" i="5"/>
  <c r="AF1296" i="5"/>
  <c r="AF1284" i="5"/>
  <c r="AB1284" i="5"/>
  <c r="AX1276" i="5"/>
  <c r="K1276" i="5"/>
  <c r="BI1276" i="5"/>
  <c r="AC1263" i="5"/>
  <c r="AE1263" i="5"/>
  <c r="AC1239" i="5"/>
  <c r="AE1239" i="5"/>
  <c r="AG1239" i="5"/>
  <c r="AH1150" i="5"/>
  <c r="Z1150" i="5"/>
  <c r="AW1022" i="5"/>
  <c r="J1022" i="5"/>
  <c r="BH1022" i="5"/>
  <c r="AB975" i="5"/>
  <c r="AF975" i="5"/>
  <c r="AB972" i="5"/>
  <c r="AD972" i="5"/>
  <c r="AF972" i="5"/>
  <c r="AB967" i="5"/>
  <c r="AF967" i="5"/>
  <c r="AW911" i="5"/>
  <c r="J911" i="5"/>
  <c r="BH911" i="5"/>
  <c r="M1584" i="5"/>
  <c r="AJ1584" i="5"/>
  <c r="AF1541" i="5"/>
  <c r="AB1537" i="5"/>
  <c r="AF1537" i="5"/>
  <c r="AB1518" i="5"/>
  <c r="AF1518" i="5"/>
  <c r="AB1466" i="5"/>
  <c r="AD1466" i="5"/>
  <c r="AE1444" i="5"/>
  <c r="AG1444" i="5"/>
  <c r="AX1424" i="5"/>
  <c r="BC1424" i="5" s="1"/>
  <c r="K1424" i="5"/>
  <c r="L1415" i="5"/>
  <c r="AK1416" i="5"/>
  <c r="AT1415" i="5" s="1"/>
  <c r="AH1406" i="5"/>
  <c r="Z1406" i="5"/>
  <c r="O1353" i="5"/>
  <c r="BF1354" i="5"/>
  <c r="L55" i="4" s="1"/>
  <c r="AG1180" i="5"/>
  <c r="AX1074" i="5"/>
  <c r="BC1074" i="5" s="1"/>
  <c r="BI1074" i="5"/>
  <c r="AC947" i="5"/>
  <c r="AG947" i="5"/>
  <c r="AJ902" i="5"/>
  <c r="AK902" i="5"/>
  <c r="AL902" i="5"/>
  <c r="M902" i="5"/>
  <c r="AJ896" i="5"/>
  <c r="AK896" i="5"/>
  <c r="AL896" i="5"/>
  <c r="L862" i="5"/>
  <c r="M896" i="5"/>
  <c r="BI1533" i="5"/>
  <c r="BI1488" i="5"/>
  <c r="M1424" i="5"/>
  <c r="AJ1424" i="5"/>
  <c r="AK1424" i="5"/>
  <c r="AL1424" i="5"/>
  <c r="AC1326" i="5"/>
  <c r="AG1326" i="5"/>
  <c r="AE1326" i="5"/>
  <c r="AC1310" i="5"/>
  <c r="AG1310" i="5"/>
  <c r="AE1310" i="5"/>
  <c r="AC1302" i="5"/>
  <c r="AG1302" i="5"/>
  <c r="AE1302" i="5"/>
  <c r="K1294" i="5"/>
  <c r="BI1294" i="5"/>
  <c r="AG1176" i="5"/>
  <c r="AC1176" i="5"/>
  <c r="AH1578" i="5"/>
  <c r="BI1553" i="5"/>
  <c r="BI1549" i="5"/>
  <c r="AD1541" i="5"/>
  <c r="AD1537" i="5"/>
  <c r="K1515" i="5"/>
  <c r="BI1513" i="5"/>
  <c r="BI1509" i="5"/>
  <c r="BI1494" i="5"/>
  <c r="AS1493" i="5"/>
  <c r="K1494" i="5"/>
  <c r="L66" i="4"/>
  <c r="AF1466" i="5"/>
  <c r="AG1459" i="5"/>
  <c r="AK1457" i="5"/>
  <c r="AL1457" i="5"/>
  <c r="M1457" i="5"/>
  <c r="AD1453" i="5"/>
  <c r="O1448" i="5"/>
  <c r="M1442" i="5"/>
  <c r="AJ1442" i="5"/>
  <c r="AK1442" i="5"/>
  <c r="AL1442" i="5"/>
  <c r="J1436" i="5"/>
  <c r="AW1436" i="5"/>
  <c r="BH1436" i="5"/>
  <c r="AX1432" i="5"/>
  <c r="BI1432" i="5"/>
  <c r="AH1421" i="5"/>
  <c r="Z1421" i="5"/>
  <c r="BI1403" i="5"/>
  <c r="BC1399" i="5"/>
  <c r="AV1399" i="5"/>
  <c r="K20" i="3"/>
  <c r="K57" i="4"/>
  <c r="AF1357" i="5"/>
  <c r="AD1349" i="5"/>
  <c r="AF1349" i="5"/>
  <c r="AK1259" i="5"/>
  <c r="AL1259" i="5"/>
  <c r="M1259" i="5"/>
  <c r="AJ1259" i="5"/>
  <c r="AX1229" i="5"/>
  <c r="BC1229" i="5" s="1"/>
  <c r="K1229" i="5"/>
  <c r="BI1229" i="5"/>
  <c r="AX1221" i="5"/>
  <c r="BC1221" i="5" s="1"/>
  <c r="K1221" i="5"/>
  <c r="BI1221" i="5"/>
  <c r="AX1213" i="5"/>
  <c r="BC1213" i="5" s="1"/>
  <c r="K1213" i="5"/>
  <c r="BI1213" i="5"/>
  <c r="AX1205" i="5"/>
  <c r="BC1205" i="5" s="1"/>
  <c r="K1205" i="5"/>
  <c r="BI1205" i="5"/>
  <c r="AX1197" i="5"/>
  <c r="BC1197" i="5" s="1"/>
  <c r="K1197" i="5"/>
  <c r="BI1197" i="5"/>
  <c r="AX1189" i="5"/>
  <c r="AV1189" i="5" s="1"/>
  <c r="K1189" i="5"/>
  <c r="BI1189" i="5"/>
  <c r="AG1148" i="5"/>
  <c r="AG1119" i="5"/>
  <c r="AC1119" i="5"/>
  <c r="AE1119" i="5"/>
  <c r="K18" i="3"/>
  <c r="K48" i="4"/>
  <c r="AG1098" i="5"/>
  <c r="AC1098" i="5"/>
  <c r="AX1092" i="5"/>
  <c r="BI1092" i="5"/>
  <c r="K1092" i="5"/>
  <c r="K1091" i="5" s="1"/>
  <c r="AW1063" i="5"/>
  <c r="BH1063" i="5"/>
  <c r="J1063" i="5"/>
  <c r="AK1584" i="5"/>
  <c r="AL1582" i="5"/>
  <c r="AJ1582" i="5"/>
  <c r="M1580" i="5"/>
  <c r="AJ1580" i="5"/>
  <c r="AK1580" i="5"/>
  <c r="AX1394" i="5"/>
  <c r="K1394" i="5"/>
  <c r="BI1394" i="5"/>
  <c r="AX1261" i="5"/>
  <c r="BC1261" i="5" s="1"/>
  <c r="K1261" i="5"/>
  <c r="BI1261" i="5"/>
  <c r="AG1086" i="5"/>
  <c r="J1081" i="5"/>
  <c r="J1080" i="5" s="1"/>
  <c r="K1074" i="5"/>
  <c r="K1071" i="5" s="1"/>
  <c r="M1563" i="5"/>
  <c r="AL1586" i="5"/>
  <c r="AJ1586" i="5"/>
  <c r="AF1580" i="5"/>
  <c r="K1553" i="5"/>
  <c r="BH1549" i="5"/>
  <c r="BI1523" i="5"/>
  <c r="K1513" i="5"/>
  <c r="AC1511" i="5"/>
  <c r="BH1509" i="5"/>
  <c r="AS1508" i="5"/>
  <c r="K1509" i="5"/>
  <c r="BI1498" i="5"/>
  <c r="K1498" i="5"/>
  <c r="BH1494" i="5"/>
  <c r="BI1483" i="5"/>
  <c r="K1483" i="5"/>
  <c r="AF1473" i="5"/>
  <c r="Z1461" i="5"/>
  <c r="AG1451" i="5"/>
  <c r="AK1449" i="5"/>
  <c r="AL1449" i="5"/>
  <c r="L1448" i="5"/>
  <c r="M1449" i="5"/>
  <c r="J1444" i="5"/>
  <c r="AW1444" i="5"/>
  <c r="BH1444" i="5"/>
  <c r="AX1440" i="5"/>
  <c r="BI1440" i="5"/>
  <c r="AH1432" i="5"/>
  <c r="Z1432" i="5"/>
  <c r="BI1424" i="5"/>
  <c r="AH1401" i="5"/>
  <c r="Z1401" i="5"/>
  <c r="J63" i="4"/>
  <c r="AH1379" i="5"/>
  <c r="Z1379" i="5"/>
  <c r="AE1375" i="5"/>
  <c r="AW1371" i="5"/>
  <c r="J1371" i="5"/>
  <c r="J1370" i="5" s="1"/>
  <c r="J1369" i="5" s="1"/>
  <c r="BH1371" i="5"/>
  <c r="AC1367" i="5"/>
  <c r="AE1367" i="5"/>
  <c r="AG1367" i="5"/>
  <c r="Z1338" i="5"/>
  <c r="AH1338" i="5"/>
  <c r="Z1330" i="5"/>
  <c r="AH1330" i="5"/>
  <c r="Z1322" i="5"/>
  <c r="AH1322" i="5"/>
  <c r="Z1314" i="5"/>
  <c r="AH1314" i="5"/>
  <c r="Z1306" i="5"/>
  <c r="AH1306" i="5"/>
  <c r="Z1298" i="5"/>
  <c r="AH1298" i="5"/>
  <c r="AH1286" i="5"/>
  <c r="Z1286" i="5"/>
  <c r="AG1266" i="5"/>
  <c r="AC1266" i="5"/>
  <c r="AE1266" i="5"/>
  <c r="AW1241" i="5"/>
  <c r="J1241" i="5"/>
  <c r="BH1241" i="5"/>
  <c r="AG1144" i="5"/>
  <c r="AC1144" i="5"/>
  <c r="AF1098" i="5"/>
  <c r="AB1098" i="5"/>
  <c r="AD1098" i="5"/>
  <c r="AW1092" i="5"/>
  <c r="BH1092" i="5"/>
  <c r="J1092" i="5"/>
  <c r="J1091" i="5" s="1"/>
  <c r="AC1001" i="5"/>
  <c r="AG1001" i="5"/>
  <c r="AH977" i="5"/>
  <c r="Z977" i="5"/>
  <c r="L941" i="5"/>
  <c r="AB915" i="5"/>
  <c r="AF915" i="5"/>
  <c r="AH1584" i="5"/>
  <c r="Z1584" i="5"/>
  <c r="BH1584" i="5"/>
  <c r="AF1504" i="5"/>
  <c r="AX1396" i="5"/>
  <c r="K1396" i="5"/>
  <c r="BI1396" i="5"/>
  <c r="AS1381" i="5"/>
  <c r="AX1246" i="5"/>
  <c r="AV1246" i="5" s="1"/>
  <c r="K1246" i="5"/>
  <c r="BI1246" i="5"/>
  <c r="AK1582" i="5"/>
  <c r="AE1572" i="5"/>
  <c r="BI1557" i="5"/>
  <c r="AD1545" i="5"/>
  <c r="L73" i="4"/>
  <c r="BH1553" i="5"/>
  <c r="AC1551" i="5"/>
  <c r="K1549" i="5"/>
  <c r="BI1528" i="5"/>
  <c r="BH1513" i="5"/>
  <c r="AK1586" i="5"/>
  <c r="BC1582" i="5"/>
  <c r="AD1580" i="5"/>
  <c r="AB1578" i="5"/>
  <c r="BC1557" i="5"/>
  <c r="AV1557" i="5"/>
  <c r="AV1551" i="5"/>
  <c r="AV1533" i="5"/>
  <c r="AB1528" i="5"/>
  <c r="AF1528" i="5"/>
  <c r="K1528" i="5"/>
  <c r="AB1523" i="5"/>
  <c r="AF1523" i="5"/>
  <c r="K1523" i="5"/>
  <c r="AF1498" i="5"/>
  <c r="BC1488" i="5"/>
  <c r="AV1488" i="5"/>
  <c r="AB1483" i="5"/>
  <c r="AF1483" i="5"/>
  <c r="AL1469" i="5"/>
  <c r="AU1468" i="5" s="1"/>
  <c r="AJ1469" i="5"/>
  <c r="AS1468" i="5" s="1"/>
  <c r="BC1466" i="5"/>
  <c r="AH1440" i="5"/>
  <c r="Z1440" i="5"/>
  <c r="BI1434" i="5"/>
  <c r="K1432" i="5"/>
  <c r="BC1430" i="5"/>
  <c r="AC1427" i="5"/>
  <c r="L1418" i="5"/>
  <c r="AG1401" i="5"/>
  <c r="AE1401" i="5"/>
  <c r="J1398" i="5"/>
  <c r="M1391" i="5"/>
  <c r="M1390" i="5" s="1"/>
  <c r="BI1379" i="5"/>
  <c r="Z1357" i="5"/>
  <c r="AH1357" i="5"/>
  <c r="Z1351" i="5"/>
  <c r="AH1351" i="5"/>
  <c r="AG1263" i="5"/>
  <c r="AC1255" i="5"/>
  <c r="AG1255" i="5"/>
  <c r="AE1255" i="5"/>
  <c r="AF1253" i="5"/>
  <c r="AB1253" i="5"/>
  <c r="AD1253" i="5"/>
  <c r="BF1235" i="5"/>
  <c r="O1182" i="5"/>
  <c r="AC1231" i="5"/>
  <c r="AG1231" i="5"/>
  <c r="AG1156" i="5"/>
  <c r="AC1156" i="5"/>
  <c r="BF1126" i="5"/>
  <c r="O1125" i="5"/>
  <c r="AH911" i="5"/>
  <c r="Z911" i="5"/>
  <c r="AJ1578" i="5"/>
  <c r="AK1569" i="5"/>
  <c r="AT1568" i="5" s="1"/>
  <c r="AK1564" i="5"/>
  <c r="AT1563" i="5" s="1"/>
  <c r="AK1531" i="5"/>
  <c r="AK1521" i="5"/>
  <c r="AT1520" i="5" s="1"/>
  <c r="AK1516" i="5"/>
  <c r="AT1515" i="5" s="1"/>
  <c r="AK1511" i="5"/>
  <c r="AT1508" i="5" s="1"/>
  <c r="AK1506" i="5"/>
  <c r="AT1503" i="5" s="1"/>
  <c r="L1503" i="5"/>
  <c r="AK1501" i="5"/>
  <c r="AT1500" i="5" s="1"/>
  <c r="AK1496" i="5"/>
  <c r="AT1493" i="5" s="1"/>
  <c r="L1493" i="5"/>
  <c r="AK1491" i="5"/>
  <c r="AT1490" i="5" s="1"/>
  <c r="AK1486" i="5"/>
  <c r="AT1485" i="5" s="1"/>
  <c r="AK1481" i="5"/>
  <c r="AT1480" i="5" s="1"/>
  <c r="L1477" i="5"/>
  <c r="AL1463" i="5"/>
  <c r="AG1457" i="5"/>
  <c r="AL1455" i="5"/>
  <c r="AG1449" i="5"/>
  <c r="AL1444" i="5"/>
  <c r="AF1440" i="5"/>
  <c r="AL1436" i="5"/>
  <c r="AF1432" i="5"/>
  <c r="AL1427" i="5"/>
  <c r="AF1421" i="5"/>
  <c r="L65" i="4"/>
  <c r="AG1413" i="5"/>
  <c r="AG1411" i="5"/>
  <c r="J1393" i="5"/>
  <c r="AG1388" i="5"/>
  <c r="AG1386" i="5"/>
  <c r="AG1384" i="5"/>
  <c r="AG1382" i="5"/>
  <c r="AB1367" i="5"/>
  <c r="AF1367" i="5"/>
  <c r="BH1363" i="5"/>
  <c r="BI1357" i="5"/>
  <c r="M1354" i="5"/>
  <c r="M1353" i="5" s="1"/>
  <c r="AL1354" i="5"/>
  <c r="AU1353" i="5" s="1"/>
  <c r="BI1351" i="5"/>
  <c r="M1349" i="5"/>
  <c r="AL1349" i="5"/>
  <c r="BI1343" i="5"/>
  <c r="O1342" i="5"/>
  <c r="BI1338" i="5"/>
  <c r="M1336" i="5"/>
  <c r="AL1336" i="5"/>
  <c r="BI1330" i="5"/>
  <c r="M1328" i="5"/>
  <c r="AL1328" i="5"/>
  <c r="BI1322" i="5"/>
  <c r="M1320" i="5"/>
  <c r="AL1320" i="5"/>
  <c r="BI1314" i="5"/>
  <c r="M1312" i="5"/>
  <c r="AL1312" i="5"/>
  <c r="BI1306" i="5"/>
  <c r="M1304" i="5"/>
  <c r="AL1304" i="5"/>
  <c r="BI1298" i="5"/>
  <c r="M1296" i="5"/>
  <c r="AL1296" i="5"/>
  <c r="AD1292" i="5"/>
  <c r="AC1290" i="5"/>
  <c r="AE1290" i="5"/>
  <c r="AG1290" i="5"/>
  <c r="K1286" i="5"/>
  <c r="BI1286" i="5"/>
  <c r="AW1237" i="5"/>
  <c r="J1237" i="5"/>
  <c r="BH1237" i="5"/>
  <c r="AG1152" i="5"/>
  <c r="AH1119" i="5"/>
  <c r="Z1119" i="5"/>
  <c r="AG1048" i="5"/>
  <c r="AC1048" i="5"/>
  <c r="AE1048" i="5"/>
  <c r="AB1001" i="5"/>
  <c r="AD1001" i="5"/>
  <c r="AF1001" i="5"/>
  <c r="AH952" i="5"/>
  <c r="Z952" i="5"/>
  <c r="AH902" i="5"/>
  <c r="Z902" i="5"/>
  <c r="M1521" i="5"/>
  <c r="AG1516" i="5"/>
  <c r="M1516" i="5"/>
  <c r="AG1506" i="5"/>
  <c r="M1501" i="5"/>
  <c r="M1500" i="5" s="1"/>
  <c r="AG1491" i="5"/>
  <c r="M1491" i="5"/>
  <c r="M1490" i="5" s="1"/>
  <c r="AG1486" i="5"/>
  <c r="M1486" i="5"/>
  <c r="M1481" i="5"/>
  <c r="M1480" i="5" s="1"/>
  <c r="AG1475" i="5"/>
  <c r="M1475" i="5"/>
  <c r="M1473" i="5"/>
  <c r="L1472" i="5"/>
  <c r="K1466" i="5"/>
  <c r="K1465" i="5" s="1"/>
  <c r="J1457" i="5"/>
  <c r="J1449" i="5"/>
  <c r="AG1446" i="5"/>
  <c r="AG1438" i="5"/>
  <c r="AG1430" i="5"/>
  <c r="AG1419" i="5"/>
  <c r="K1416" i="5"/>
  <c r="K1415" i="5" s="1"/>
  <c r="J64" i="4"/>
  <c r="AJ1396" i="5"/>
  <c r="AJ1394" i="5"/>
  <c r="K1391" i="5"/>
  <c r="K1390" i="5" s="1"/>
  <c r="M1371" i="5"/>
  <c r="M1370" i="5" s="1"/>
  <c r="M1369" i="5" s="1"/>
  <c r="AJ1371" i="5"/>
  <c r="AS1370" i="5" s="1"/>
  <c r="K1367" i="5"/>
  <c r="K1366" i="5" s="1"/>
  <c r="K1365" i="5" s="1"/>
  <c r="AD1360" i="5"/>
  <c r="AX1351" i="5"/>
  <c r="AX1343" i="5"/>
  <c r="AX1338" i="5"/>
  <c r="AX1330" i="5"/>
  <c r="AX1322" i="5"/>
  <c r="AX1314" i="5"/>
  <c r="AX1306" i="5"/>
  <c r="AX1298" i="5"/>
  <c r="AX1292" i="5"/>
  <c r="BI1292" i="5"/>
  <c r="AW1276" i="5"/>
  <c r="J1276" i="5"/>
  <c r="BH1276" i="5"/>
  <c r="AX1266" i="5"/>
  <c r="BC1266" i="5" s="1"/>
  <c r="K1266" i="5"/>
  <c r="AX1255" i="5"/>
  <c r="K1255" i="5"/>
  <c r="AK1251" i="5"/>
  <c r="AL1251" i="5"/>
  <c r="M1251" i="5"/>
  <c r="AJ1251" i="5"/>
  <c r="AW1248" i="5"/>
  <c r="J1248" i="5"/>
  <c r="BH1248" i="5"/>
  <c r="AK1246" i="5"/>
  <c r="AL1246" i="5"/>
  <c r="AC1235" i="5"/>
  <c r="AE1235" i="5"/>
  <c r="AG1235" i="5"/>
  <c r="AG1172" i="5"/>
  <c r="AG1138" i="5"/>
  <c r="AE1138" i="5"/>
  <c r="AX1123" i="5"/>
  <c r="BI1123" i="5"/>
  <c r="BF1101" i="5"/>
  <c r="O1100" i="5"/>
  <c r="BF1089" i="5"/>
  <c r="O1088" i="5"/>
  <c r="AG1054" i="5"/>
  <c r="AC1054" i="5"/>
  <c r="AF1039" i="5"/>
  <c r="AB1039" i="5"/>
  <c r="AX1031" i="5"/>
  <c r="BI1031" i="5"/>
  <c r="K1031" i="5"/>
  <c r="AF1026" i="5"/>
  <c r="AB1026" i="5"/>
  <c r="AH1006" i="5"/>
  <c r="Z1006" i="5"/>
  <c r="AV993" i="5"/>
  <c r="AB937" i="5"/>
  <c r="AD937" i="5"/>
  <c r="AF937" i="5"/>
  <c r="AC911" i="5"/>
  <c r="AE911" i="5"/>
  <c r="AG911" i="5"/>
  <c r="AW878" i="5"/>
  <c r="BH878" i="5"/>
  <c r="J878" i="5"/>
  <c r="J868" i="5"/>
  <c r="AW868" i="5"/>
  <c r="BH868" i="5"/>
  <c r="L1577" i="5"/>
  <c r="L1576" i="5" s="1"/>
  <c r="BI1586" i="5"/>
  <c r="AU1472" i="5"/>
  <c r="AE1469" i="5"/>
  <c r="J1381" i="5"/>
  <c r="J21" i="3"/>
  <c r="J59" i="4"/>
  <c r="L1353" i="5"/>
  <c r="AH1347" i="5"/>
  <c r="M1345" i="5"/>
  <c r="AL1345" i="5"/>
  <c r="L54" i="4"/>
  <c r="M1340" i="5"/>
  <c r="AL1340" i="5"/>
  <c r="AH1334" i="5"/>
  <c r="M1332" i="5"/>
  <c r="AL1332" i="5"/>
  <c r="AH1326" i="5"/>
  <c r="M1324" i="5"/>
  <c r="AL1324" i="5"/>
  <c r="AH1318" i="5"/>
  <c r="M1316" i="5"/>
  <c r="AL1316" i="5"/>
  <c r="AH1310" i="5"/>
  <c r="M1308" i="5"/>
  <c r="AL1308" i="5"/>
  <c r="BC1304" i="5"/>
  <c r="AH1302" i="5"/>
  <c r="M1300" i="5"/>
  <c r="AL1300" i="5"/>
  <c r="AW1292" i="5"/>
  <c r="J1292" i="5"/>
  <c r="AC1278" i="5"/>
  <c r="AK1274" i="5"/>
  <c r="AL1274" i="5"/>
  <c r="AC1259" i="5"/>
  <c r="AJ1246" i="5"/>
  <c r="K1243" i="5"/>
  <c r="BI1243" i="5"/>
  <c r="AC1172" i="5"/>
  <c r="AG1168" i="5"/>
  <c r="AG1134" i="5"/>
  <c r="AE1134" i="5"/>
  <c r="AJ1115" i="5"/>
  <c r="AS1114" i="5" s="1"/>
  <c r="AK1115" i="5"/>
  <c r="AT1114" i="5" s="1"/>
  <c r="AL1115" i="5"/>
  <c r="AU1114" i="5" s="1"/>
  <c r="L1114" i="5"/>
  <c r="L1113" i="5" s="1"/>
  <c r="AJ1111" i="5"/>
  <c r="AS1110" i="5" s="1"/>
  <c r="AK1111" i="5"/>
  <c r="AT1110" i="5" s="1"/>
  <c r="AF1054" i="5"/>
  <c r="AB1054" i="5"/>
  <c r="AD1054" i="5"/>
  <c r="AW1048" i="5"/>
  <c r="BH1048" i="5"/>
  <c r="J1048" i="5"/>
  <c r="J1047" i="5" s="1"/>
  <c r="AX1043" i="5"/>
  <c r="AV1043" i="5" s="1"/>
  <c r="BI1043" i="5"/>
  <c r="K1043" i="5"/>
  <c r="AW1031" i="5"/>
  <c r="BH1031" i="5"/>
  <c r="J1031" i="5"/>
  <c r="AC1006" i="5"/>
  <c r="AE1006" i="5"/>
  <c r="AG1006" i="5"/>
  <c r="AJ1006" i="5"/>
  <c r="AL1006" i="5"/>
  <c r="L1005" i="5"/>
  <c r="AH997" i="5"/>
  <c r="Z997" i="5"/>
  <c r="M981" i="5"/>
  <c r="AJ981" i="5"/>
  <c r="BH883" i="5"/>
  <c r="AW883" i="5"/>
  <c r="J883" i="5"/>
  <c r="AC832" i="5"/>
  <c r="AG832" i="5"/>
  <c r="AE832" i="5"/>
  <c r="J1578" i="5"/>
  <c r="BI1559" i="5"/>
  <c r="K1551" i="5"/>
  <c r="K1539" i="5"/>
  <c r="BI1531" i="5"/>
  <c r="BI1526" i="5"/>
  <c r="K1511" i="5"/>
  <c r="BI1496" i="5"/>
  <c r="BI1481" i="5"/>
  <c r="BI1466" i="5"/>
  <c r="AE1446" i="5"/>
  <c r="AE1438" i="5"/>
  <c r="AE1430" i="5"/>
  <c r="AE1419" i="5"/>
  <c r="I56" i="4"/>
  <c r="AJ1363" i="5"/>
  <c r="AS1362" i="5" s="1"/>
  <c r="AL1363" i="5"/>
  <c r="AU1362" i="5" s="1"/>
  <c r="M1363" i="5"/>
  <c r="M1362" i="5" s="1"/>
  <c r="AJ1351" i="5"/>
  <c r="AL1351" i="5"/>
  <c r="M1351" i="5"/>
  <c r="AJ1343" i="5"/>
  <c r="AL1343" i="5"/>
  <c r="M1343" i="5"/>
  <c r="AJ1338" i="5"/>
  <c r="AL1338" i="5"/>
  <c r="M1338" i="5"/>
  <c r="AJ1330" i="5"/>
  <c r="AL1330" i="5"/>
  <c r="M1330" i="5"/>
  <c r="AJ1322" i="5"/>
  <c r="AL1322" i="5"/>
  <c r="M1322" i="5"/>
  <c r="AJ1314" i="5"/>
  <c r="AL1314" i="5"/>
  <c r="M1314" i="5"/>
  <c r="AJ1306" i="5"/>
  <c r="AL1306" i="5"/>
  <c r="M1306" i="5"/>
  <c r="AJ1298" i="5"/>
  <c r="AL1298" i="5"/>
  <c r="M1298" i="5"/>
  <c r="BF1286" i="5"/>
  <c r="O1273" i="5"/>
  <c r="AG1241" i="5"/>
  <c r="AC1241" i="5"/>
  <c r="AG1233" i="5"/>
  <c r="AC1233" i="5"/>
  <c r="AG1164" i="5"/>
  <c r="AG1128" i="5"/>
  <c r="AE1128" i="5"/>
  <c r="AX1119" i="5"/>
  <c r="K1119" i="5"/>
  <c r="K1118" i="5" s="1"/>
  <c r="K1117" i="5" s="1"/>
  <c r="I18" i="3"/>
  <c r="I48" i="4"/>
  <c r="I17" i="3"/>
  <c r="I46" i="4"/>
  <c r="AW1069" i="5"/>
  <c r="BH1069" i="5"/>
  <c r="J1069" i="5"/>
  <c r="J1066" i="5" s="1"/>
  <c r="AG1035" i="5"/>
  <c r="M1020" i="5"/>
  <c r="AK1020" i="5"/>
  <c r="AT1005" i="5" s="1"/>
  <c r="AB1010" i="5"/>
  <c r="AW983" i="5"/>
  <c r="J983" i="5"/>
  <c r="BH983" i="5"/>
  <c r="AX906" i="5"/>
  <c r="K906" i="5"/>
  <c r="BI906" i="5"/>
  <c r="BI1582" i="5"/>
  <c r="BI1564" i="5"/>
  <c r="BI1521" i="5"/>
  <c r="BI1501" i="5"/>
  <c r="Z1457" i="5"/>
  <c r="Z1449" i="5"/>
  <c r="BI1416" i="5"/>
  <c r="L64" i="4"/>
  <c r="AK1411" i="5"/>
  <c r="AT1410" i="5" s="1"/>
  <c r="BI1391" i="5"/>
  <c r="AK1382" i="5"/>
  <c r="AT1381" i="5" s="1"/>
  <c r="K1375" i="5"/>
  <c r="AK1363" i="5"/>
  <c r="AT1362" i="5" s="1"/>
  <c r="BC1357" i="5"/>
  <c r="AJ1357" i="5"/>
  <c r="AS1356" i="5" s="1"/>
  <c r="AL1357" i="5"/>
  <c r="AU1356" i="5" s="1"/>
  <c r="M1357" i="5"/>
  <c r="M1356" i="5" s="1"/>
  <c r="Z1349" i="5"/>
  <c r="BH1345" i="5"/>
  <c r="AJ1345" i="5"/>
  <c r="Z1336" i="5"/>
  <c r="Z1328" i="5"/>
  <c r="Z1320" i="5"/>
  <c r="Z1312" i="5"/>
  <c r="Z1304" i="5"/>
  <c r="Z1296" i="5"/>
  <c r="AK1290" i="5"/>
  <c r="AL1290" i="5"/>
  <c r="AC1274" i="5"/>
  <c r="AE1274" i="5"/>
  <c r="AG1274" i="5"/>
  <c r="L1273" i="5"/>
  <c r="AW1271" i="5"/>
  <c r="J1271" i="5"/>
  <c r="J1270" i="5" s="1"/>
  <c r="BH1271" i="5"/>
  <c r="AF1245" i="5"/>
  <c r="AB1245" i="5"/>
  <c r="AX1225" i="5"/>
  <c r="AV1225" i="5" s="1"/>
  <c r="K1225" i="5"/>
  <c r="BI1225" i="5"/>
  <c r="AX1217" i="5"/>
  <c r="AV1217" i="5" s="1"/>
  <c r="K1217" i="5"/>
  <c r="BI1217" i="5"/>
  <c r="AX1209" i="5"/>
  <c r="AV1209" i="5" s="1"/>
  <c r="K1209" i="5"/>
  <c r="BI1209" i="5"/>
  <c r="AX1201" i="5"/>
  <c r="BC1201" i="5" s="1"/>
  <c r="K1201" i="5"/>
  <c r="BI1201" i="5"/>
  <c r="AX1193" i="5"/>
  <c r="AV1193" i="5" s="1"/>
  <c r="K1193" i="5"/>
  <c r="BI1193" i="5"/>
  <c r="AX1185" i="5"/>
  <c r="K1185" i="5"/>
  <c r="BI1185" i="5"/>
  <c r="AC1164" i="5"/>
  <c r="AG1160" i="5"/>
  <c r="AE1160" i="5"/>
  <c r="AG1081" i="5"/>
  <c r="AC1081" i="5"/>
  <c r="AX1063" i="5"/>
  <c r="BI1063" i="5"/>
  <c r="K1063" i="5"/>
  <c r="AX1059" i="5"/>
  <c r="AV1059" i="5" s="1"/>
  <c r="BI1059" i="5"/>
  <c r="K1059" i="5"/>
  <c r="AX1026" i="5"/>
  <c r="AV1026" i="5" s="1"/>
  <c r="BI1026" i="5"/>
  <c r="K1026" i="5"/>
  <c r="AJ937" i="5"/>
  <c r="AK937" i="5"/>
  <c r="AL937" i="5"/>
  <c r="AW906" i="5"/>
  <c r="BH906" i="5"/>
  <c r="AC1360" i="5"/>
  <c r="AC1354" i="5"/>
  <c r="AW1351" i="5"/>
  <c r="AW1347" i="5"/>
  <c r="AC1345" i="5"/>
  <c r="AW1343" i="5"/>
  <c r="AC1340" i="5"/>
  <c r="AW1338" i="5"/>
  <c r="AC1336" i="5"/>
  <c r="AW1334" i="5"/>
  <c r="AC1332" i="5"/>
  <c r="AW1330" i="5"/>
  <c r="AC1328" i="5"/>
  <c r="AW1326" i="5"/>
  <c r="AC1324" i="5"/>
  <c r="AW1322" i="5"/>
  <c r="AC1320" i="5"/>
  <c r="AW1318" i="5"/>
  <c r="AC1316" i="5"/>
  <c r="AW1314" i="5"/>
  <c r="AC1312" i="5"/>
  <c r="AW1310" i="5"/>
  <c r="AC1308" i="5"/>
  <c r="AW1306" i="5"/>
  <c r="AC1304" i="5"/>
  <c r="AW1302" i="5"/>
  <c r="AC1300" i="5"/>
  <c r="AW1298" i="5"/>
  <c r="AC1296" i="5"/>
  <c r="AW1294" i="5"/>
  <c r="J1288" i="5"/>
  <c r="BI1284" i="5"/>
  <c r="AG1282" i="5"/>
  <c r="AK1278" i="5"/>
  <c r="AL1278" i="5"/>
  <c r="AG1268" i="5"/>
  <c r="AX1263" i="5"/>
  <c r="BI1253" i="5"/>
  <c r="AG1251" i="5"/>
  <c r="J1245" i="5"/>
  <c r="AH1239" i="5"/>
  <c r="AK1239" i="5"/>
  <c r="AL1239" i="5"/>
  <c r="BH1233" i="5"/>
  <c r="K1233" i="5"/>
  <c r="AX1231" i="5"/>
  <c r="AK1227" i="5"/>
  <c r="AL1227" i="5"/>
  <c r="AK1223" i="5"/>
  <c r="AL1223" i="5"/>
  <c r="AK1219" i="5"/>
  <c r="AL1219" i="5"/>
  <c r="AK1215" i="5"/>
  <c r="AL1215" i="5"/>
  <c r="AK1211" i="5"/>
  <c r="AL1211" i="5"/>
  <c r="AK1207" i="5"/>
  <c r="AL1207" i="5"/>
  <c r="AK1203" i="5"/>
  <c r="AL1203" i="5"/>
  <c r="AK1199" i="5"/>
  <c r="AL1199" i="5"/>
  <c r="AK1195" i="5"/>
  <c r="AL1195" i="5"/>
  <c r="AK1191" i="5"/>
  <c r="AL1191" i="5"/>
  <c r="BC1189" i="5"/>
  <c r="AK1187" i="5"/>
  <c r="AL1187" i="5"/>
  <c r="AK1183" i="5"/>
  <c r="AL1183" i="5"/>
  <c r="BH1180" i="5"/>
  <c r="J1180" i="5"/>
  <c r="BH1176" i="5"/>
  <c r="J1176" i="5"/>
  <c r="BH1172" i="5"/>
  <c r="J1172" i="5"/>
  <c r="BH1168" i="5"/>
  <c r="J1168" i="5"/>
  <c r="BH1164" i="5"/>
  <c r="J1164" i="5"/>
  <c r="BH1160" i="5"/>
  <c r="J1160" i="5"/>
  <c r="BH1156" i="5"/>
  <c r="J1156" i="5"/>
  <c r="BH1152" i="5"/>
  <c r="J1152" i="5"/>
  <c r="BH1148" i="5"/>
  <c r="J1148" i="5"/>
  <c r="BH1144" i="5"/>
  <c r="J1144" i="5"/>
  <c r="AK1141" i="5"/>
  <c r="AT1140" i="5" s="1"/>
  <c r="AL1141" i="5"/>
  <c r="AU1140" i="5" s="1"/>
  <c r="BH1138" i="5"/>
  <c r="J1138" i="5"/>
  <c r="BH1134" i="5"/>
  <c r="J1134" i="5"/>
  <c r="AK1131" i="5"/>
  <c r="AT1130" i="5" s="1"/>
  <c r="AL1131" i="5"/>
  <c r="AU1130" i="5" s="1"/>
  <c r="BH1128" i="5"/>
  <c r="J1128" i="5"/>
  <c r="J1125" i="5" s="1"/>
  <c r="I49" i="4"/>
  <c r="L46" i="4"/>
  <c r="L17" i="3"/>
  <c r="O1110" i="5"/>
  <c r="O1109" i="5" s="1"/>
  <c r="K1098" i="5"/>
  <c r="K1097" i="5" s="1"/>
  <c r="O1071" i="5"/>
  <c r="AT1053" i="5"/>
  <c r="AF1035" i="5"/>
  <c r="AB1035" i="5"/>
  <c r="AX1022" i="5"/>
  <c r="K1022" i="5"/>
  <c r="AC1010" i="5"/>
  <c r="AG1010" i="5"/>
  <c r="AH1001" i="5"/>
  <c r="Z1001" i="5"/>
  <c r="AB987" i="5"/>
  <c r="AD987" i="5"/>
  <c r="AF987" i="5"/>
  <c r="AX983" i="5"/>
  <c r="K983" i="5"/>
  <c r="AC956" i="5"/>
  <c r="AC952" i="5"/>
  <c r="AB931" i="5"/>
  <c r="AF931" i="5"/>
  <c r="BC925" i="5"/>
  <c r="AV925" i="5"/>
  <c r="AG830" i="5"/>
  <c r="AC830" i="5"/>
  <c r="AX660" i="5"/>
  <c r="BC660" i="5" s="1"/>
  <c r="BI660" i="5"/>
  <c r="K660" i="5"/>
  <c r="AC633" i="5"/>
  <c r="AG633" i="5"/>
  <c r="Z1263" i="5"/>
  <c r="AK1235" i="5"/>
  <c r="AL1235" i="5"/>
  <c r="BC1233" i="5"/>
  <c r="Z1231" i="5"/>
  <c r="AD1119" i="5"/>
  <c r="K1115" i="5"/>
  <c r="K1114" i="5" s="1"/>
  <c r="K1113" i="5" s="1"/>
  <c r="J16" i="3"/>
  <c r="J44" i="4"/>
  <c r="J1074" i="5"/>
  <c r="K1069" i="5"/>
  <c r="J1059" i="5"/>
  <c r="J1043" i="5"/>
  <c r="AJ1010" i="5"/>
  <c r="AL1010" i="5"/>
  <c r="M1010" i="5"/>
  <c r="AJ1001" i="5"/>
  <c r="AL1001" i="5"/>
  <c r="O960" i="5"/>
  <c r="AB947" i="5"/>
  <c r="AX902" i="5"/>
  <c r="BI902" i="5"/>
  <c r="AL844" i="5"/>
  <c r="L843" i="5"/>
  <c r="AJ844" i="5"/>
  <c r="AG1360" i="5"/>
  <c r="AG1354" i="5"/>
  <c r="AG1349" i="5"/>
  <c r="AG1345" i="5"/>
  <c r="AG1340" i="5"/>
  <c r="AG1336" i="5"/>
  <c r="AG1332" i="5"/>
  <c r="AG1328" i="5"/>
  <c r="AG1324" i="5"/>
  <c r="AG1320" i="5"/>
  <c r="AG1316" i="5"/>
  <c r="AG1312" i="5"/>
  <c r="AG1308" i="5"/>
  <c r="AG1304" i="5"/>
  <c r="AG1300" i="5"/>
  <c r="AG1296" i="5"/>
  <c r="AV1288" i="5"/>
  <c r="AK1286" i="5"/>
  <c r="AL1286" i="5"/>
  <c r="AK1255" i="5"/>
  <c r="AL1255" i="5"/>
  <c r="AV1245" i="5"/>
  <c r="AJ1243" i="5"/>
  <c r="AV1180" i="5"/>
  <c r="BC1180" i="5"/>
  <c r="AK1178" i="5"/>
  <c r="AL1178" i="5"/>
  <c r="AV1176" i="5"/>
  <c r="BC1176" i="5"/>
  <c r="AK1174" i="5"/>
  <c r="AL1174" i="5"/>
  <c r="AK1170" i="5"/>
  <c r="AL1170" i="5"/>
  <c r="AV1168" i="5"/>
  <c r="BC1168" i="5"/>
  <c r="AK1166" i="5"/>
  <c r="AL1166" i="5"/>
  <c r="AV1164" i="5"/>
  <c r="BC1164" i="5"/>
  <c r="AK1162" i="5"/>
  <c r="AL1162" i="5"/>
  <c r="AV1160" i="5"/>
  <c r="BC1160" i="5"/>
  <c r="AK1158" i="5"/>
  <c r="AL1158" i="5"/>
  <c r="AV1156" i="5"/>
  <c r="BC1156" i="5"/>
  <c r="AK1154" i="5"/>
  <c r="AL1154" i="5"/>
  <c r="AV1152" i="5"/>
  <c r="BC1152" i="5"/>
  <c r="AK1150" i="5"/>
  <c r="AL1150" i="5"/>
  <c r="AV1148" i="5"/>
  <c r="BC1148" i="5"/>
  <c r="AK1146" i="5"/>
  <c r="AL1146" i="5"/>
  <c r="AV1138" i="5"/>
  <c r="BC1138" i="5"/>
  <c r="AK1136" i="5"/>
  <c r="AT1133" i="5" s="1"/>
  <c r="AL1136" i="5"/>
  <c r="AU1133" i="5" s="1"/>
  <c r="AV1134" i="5"/>
  <c r="BC1134" i="5"/>
  <c r="AV1128" i="5"/>
  <c r="BC1128" i="5"/>
  <c r="AK1126" i="5"/>
  <c r="AT1125" i="5" s="1"/>
  <c r="AL1126" i="5"/>
  <c r="AU1125" i="5" s="1"/>
  <c r="AF1123" i="5"/>
  <c r="L18" i="3"/>
  <c r="L48" i="4"/>
  <c r="AH1115" i="5"/>
  <c r="Z1115" i="5"/>
  <c r="AF1074" i="5"/>
  <c r="AB1074" i="5"/>
  <c r="AF1059" i="5"/>
  <c r="AB1059" i="5"/>
  <c r="BH1043" i="5"/>
  <c r="AV1035" i="5"/>
  <c r="BC1035" i="5"/>
  <c r="AH1022" i="5"/>
  <c r="Z1022" i="5"/>
  <c r="AH983" i="5"/>
  <c r="Z983" i="5"/>
  <c r="AW956" i="5"/>
  <c r="BH956" i="5"/>
  <c r="J952" i="5"/>
  <c r="J941" i="5" s="1"/>
  <c r="AW902" i="5"/>
  <c r="BH902" i="5"/>
  <c r="J902" i="5"/>
  <c r="M857" i="5"/>
  <c r="AL857" i="5"/>
  <c r="AJ857" i="5"/>
  <c r="AK857" i="5"/>
  <c r="AX844" i="5"/>
  <c r="K844" i="5"/>
  <c r="BI844" i="5"/>
  <c r="AH821" i="5"/>
  <c r="Z821" i="5"/>
  <c r="AK1243" i="5"/>
  <c r="AL1243" i="5"/>
  <c r="O1143" i="5"/>
  <c r="P52" i="4"/>
  <c r="O1133" i="5"/>
  <c r="L51" i="4"/>
  <c r="M1119" i="5"/>
  <c r="M1118" i="5" s="1"/>
  <c r="M1117" i="5" s="1"/>
  <c r="AJ1119" i="5"/>
  <c r="AS1118" i="5" s="1"/>
  <c r="AK1119" i="5"/>
  <c r="AT1118" i="5" s="1"/>
  <c r="AL1119" i="5"/>
  <c r="AU1118" i="5" s="1"/>
  <c r="AG1115" i="5"/>
  <c r="AD1074" i="5"/>
  <c r="BI1022" i="5"/>
  <c r="AJ1022" i="5"/>
  <c r="AL1022" i="5"/>
  <c r="AX1006" i="5"/>
  <c r="K1006" i="5"/>
  <c r="AX997" i="5"/>
  <c r="K997" i="5"/>
  <c r="BI997" i="5"/>
  <c r="M995" i="5"/>
  <c r="AJ995" i="5"/>
  <c r="BI983" i="5"/>
  <c r="AJ983" i="5"/>
  <c r="AL983" i="5"/>
  <c r="AG975" i="5"/>
  <c r="AG956" i="5"/>
  <c r="BC952" i="5"/>
  <c r="AV952" i="5"/>
  <c r="AB942" i="5"/>
  <c r="AH906" i="5"/>
  <c r="Z906" i="5"/>
  <c r="AJ906" i="5"/>
  <c r="AK906" i="5"/>
  <c r="AL906" i="5"/>
  <c r="M906" i="5"/>
  <c r="AX896" i="5"/>
  <c r="BI896" i="5"/>
  <c r="K896" i="5"/>
  <c r="AX889" i="5"/>
  <c r="BI889" i="5"/>
  <c r="AG821" i="5"/>
  <c r="AE821" i="5"/>
  <c r="AG807" i="5"/>
  <c r="AE807" i="5"/>
  <c r="AC807" i="5"/>
  <c r="BI1288" i="5"/>
  <c r="AV1284" i="5"/>
  <c r="AK1282" i="5"/>
  <c r="AL1282" i="5"/>
  <c r="AK1268" i="5"/>
  <c r="AT1265" i="5" s="1"/>
  <c r="AL1268" i="5"/>
  <c r="AU1265" i="5" s="1"/>
  <c r="AK1263" i="5"/>
  <c r="AL1263" i="5"/>
  <c r="BH1257" i="5"/>
  <c r="AV1253" i="5"/>
  <c r="BI1245" i="5"/>
  <c r="AK1231" i="5"/>
  <c r="AL1231" i="5"/>
  <c r="L1143" i="5"/>
  <c r="L1133" i="5"/>
  <c r="AV1098" i="5"/>
  <c r="BC1098" i="5"/>
  <c r="AV1086" i="5"/>
  <c r="BC1086" i="5"/>
  <c r="AV1054" i="5"/>
  <c r="BC1054" i="5"/>
  <c r="O1053" i="5"/>
  <c r="AV1039" i="5"/>
  <c r="BC1039" i="5"/>
  <c r="AX1018" i="5"/>
  <c r="K1018" i="5"/>
  <c r="BI1018" i="5"/>
  <c r="AH1012" i="5"/>
  <c r="Z1012" i="5"/>
  <c r="AW1006" i="5"/>
  <c r="J1006" i="5"/>
  <c r="BH1006" i="5"/>
  <c r="AW1001" i="5"/>
  <c r="J1001" i="5"/>
  <c r="AW997" i="5"/>
  <c r="J997" i="5"/>
  <c r="BH997" i="5"/>
  <c r="BC961" i="5"/>
  <c r="AV961" i="5"/>
  <c r="AG952" i="5"/>
  <c r="AX937" i="5"/>
  <c r="BI937" i="5"/>
  <c r="K937" i="5"/>
  <c r="AV931" i="5"/>
  <c r="AB896" i="5"/>
  <c r="AD896" i="5"/>
  <c r="AF896" i="5"/>
  <c r="AB889" i="5"/>
  <c r="AF889" i="5"/>
  <c r="AD889" i="5"/>
  <c r="AX883" i="5"/>
  <c r="BI883" i="5"/>
  <c r="AX878" i="5"/>
  <c r="BI878" i="5"/>
  <c r="AB859" i="5"/>
  <c r="AD859" i="5"/>
  <c r="AF859" i="5"/>
  <c r="AK844" i="5"/>
  <c r="AC823" i="5"/>
  <c r="AG823" i="5"/>
  <c r="AE823" i="5"/>
  <c r="L38" i="4"/>
  <c r="AX783" i="5"/>
  <c r="BC783" i="5" s="1"/>
  <c r="K783" i="5"/>
  <c r="BI783" i="5"/>
  <c r="BH687" i="5"/>
  <c r="J687" i="5"/>
  <c r="AW687" i="5"/>
  <c r="AD1115" i="5"/>
  <c r="AE1111" i="5"/>
  <c r="L1106" i="5"/>
  <c r="L1100" i="5"/>
  <c r="L1094" i="5"/>
  <c r="L1088" i="5"/>
  <c r="L1071" i="5"/>
  <c r="L1066" i="5"/>
  <c r="L1028" i="5"/>
  <c r="AH1018" i="5"/>
  <c r="Z1018" i="5"/>
  <c r="AJ997" i="5"/>
  <c r="AL997" i="5"/>
  <c r="AH937" i="5"/>
  <c r="Z937" i="5"/>
  <c r="AJ931" i="5"/>
  <c r="AK931" i="5"/>
  <c r="AL931" i="5"/>
  <c r="AH896" i="5"/>
  <c r="Z896" i="5"/>
  <c r="J889" i="5"/>
  <c r="BC863" i="5"/>
  <c r="O862" i="5"/>
  <c r="BF863" i="5"/>
  <c r="AG857" i="5"/>
  <c r="AE857" i="5"/>
  <c r="AC857" i="5"/>
  <c r="AL827" i="5"/>
  <c r="M827" i="5"/>
  <c r="AJ827" i="5"/>
  <c r="AL805" i="5"/>
  <c r="L804" i="5"/>
  <c r="M805" i="5"/>
  <c r="AX794" i="5"/>
  <c r="BC794" i="5" s="1"/>
  <c r="K794" i="5"/>
  <c r="BI794" i="5"/>
  <c r="M772" i="5"/>
  <c r="AK772" i="5"/>
  <c r="AJ772" i="5"/>
  <c r="O729" i="5"/>
  <c r="BF730" i="5"/>
  <c r="O705" i="5"/>
  <c r="BF706" i="5"/>
  <c r="AE1215" i="5"/>
  <c r="AE1199" i="5"/>
  <c r="AE1191" i="5"/>
  <c r="AE1150" i="5"/>
  <c r="AE1141" i="5"/>
  <c r="AE1136" i="5"/>
  <c r="AE1131" i="5"/>
  <c r="AE1126" i="5"/>
  <c r="AD1111" i="5"/>
  <c r="AE1107" i="5"/>
  <c r="AE1101" i="5"/>
  <c r="AE1095" i="5"/>
  <c r="AE1089" i="5"/>
  <c r="AE1045" i="5"/>
  <c r="AE1029" i="5"/>
  <c r="AG1024" i="5"/>
  <c r="AJ1018" i="5"/>
  <c r="AL1018" i="5"/>
  <c r="AJ1016" i="5"/>
  <c r="AH993" i="5"/>
  <c r="Z993" i="5"/>
  <c r="AH979" i="5"/>
  <c r="Z979" i="5"/>
  <c r="AJ961" i="5"/>
  <c r="AK961" i="5"/>
  <c r="AL961" i="5"/>
  <c r="O941" i="5"/>
  <c r="J937" i="5"/>
  <c r="AH931" i="5"/>
  <c r="Z931" i="5"/>
  <c r="K931" i="5"/>
  <c r="AJ925" i="5"/>
  <c r="AK925" i="5"/>
  <c r="AL925" i="5"/>
  <c r="J896" i="5"/>
  <c r="AH889" i="5"/>
  <c r="Z889" i="5"/>
  <c r="K855" i="5"/>
  <c r="AW853" i="5"/>
  <c r="J853" i="5"/>
  <c r="BH853" i="5"/>
  <c r="M830" i="5"/>
  <c r="L829" i="5"/>
  <c r="AJ830" i="5"/>
  <c r="AL819" i="5"/>
  <c r="M819" i="5"/>
  <c r="AK819" i="5"/>
  <c r="K805" i="5"/>
  <c r="AG766" i="5"/>
  <c r="AC766" i="5"/>
  <c r="AE766" i="5"/>
  <c r="AC763" i="5"/>
  <c r="AG763" i="5"/>
  <c r="AE763" i="5"/>
  <c r="O723" i="5"/>
  <c r="BF724" i="5"/>
  <c r="AJ721" i="5"/>
  <c r="AS720" i="5" s="1"/>
  <c r="AL721" i="5"/>
  <c r="AU720" i="5" s="1"/>
  <c r="L720" i="5"/>
  <c r="AK721" i="5"/>
  <c r="AT720" i="5" s="1"/>
  <c r="AD1278" i="5"/>
  <c r="BH1018" i="5"/>
  <c r="AH1014" i="5"/>
  <c r="Z1014" i="5"/>
  <c r="AL1003" i="5"/>
  <c r="BI993" i="5"/>
  <c r="AJ993" i="5"/>
  <c r="AL993" i="5"/>
  <c r="AJ990" i="5"/>
  <c r="BI979" i="5"/>
  <c r="AJ979" i="5"/>
  <c r="AL979" i="5"/>
  <c r="AJ967" i="5"/>
  <c r="AK967" i="5"/>
  <c r="AL967" i="5"/>
  <c r="AH961" i="5"/>
  <c r="Z961" i="5"/>
  <c r="K961" i="5"/>
  <c r="BI931" i="5"/>
  <c r="J931" i="5"/>
  <c r="AH925" i="5"/>
  <c r="Z925" i="5"/>
  <c r="K925" i="5"/>
  <c r="AJ919" i="5"/>
  <c r="AK919" i="5"/>
  <c r="AL919" i="5"/>
  <c r="AV915" i="5"/>
  <c r="M868" i="5"/>
  <c r="AJ868" i="5"/>
  <c r="AK868" i="5"/>
  <c r="AL868" i="5"/>
  <c r="AH855" i="5"/>
  <c r="Z855" i="5"/>
  <c r="AG840" i="5"/>
  <c r="AL838" i="5"/>
  <c r="M838" i="5"/>
  <c r="AJ838" i="5"/>
  <c r="AX835" i="5"/>
  <c r="K835" i="5"/>
  <c r="BI835" i="5"/>
  <c r="AL832" i="5"/>
  <c r="M832" i="5"/>
  <c r="AJ832" i="5"/>
  <c r="M821" i="5"/>
  <c r="AL821" i="5"/>
  <c r="AL815" i="5"/>
  <c r="M815" i="5"/>
  <c r="L812" i="5"/>
  <c r="AJ815" i="5"/>
  <c r="AK805" i="5"/>
  <c r="AT804" i="5" s="1"/>
  <c r="AE796" i="5"/>
  <c r="AC785" i="5"/>
  <c r="AG785" i="5"/>
  <c r="AE785" i="5"/>
  <c r="AH783" i="5"/>
  <c r="Z783" i="5"/>
  <c r="AW733" i="5"/>
  <c r="J733" i="5"/>
  <c r="BH733" i="5"/>
  <c r="Z730" i="5"/>
  <c r="AH730" i="5"/>
  <c r="AW727" i="5"/>
  <c r="J727" i="5"/>
  <c r="J726" i="5" s="1"/>
  <c r="BH727" i="5"/>
  <c r="AW709" i="5"/>
  <c r="J709" i="5"/>
  <c r="J708" i="5" s="1"/>
  <c r="BH709" i="5"/>
  <c r="Z706" i="5"/>
  <c r="AH706" i="5"/>
  <c r="M1271" i="5"/>
  <c r="M1270" i="5" s="1"/>
  <c r="M1266" i="5"/>
  <c r="M1144" i="5"/>
  <c r="M1134" i="5"/>
  <c r="M1123" i="5"/>
  <c r="M1122" i="5" s="1"/>
  <c r="AL1107" i="5"/>
  <c r="AU1106" i="5" s="1"/>
  <c r="M1104" i="5"/>
  <c r="M1103" i="5" s="1"/>
  <c r="AL1101" i="5"/>
  <c r="AU1100" i="5" s="1"/>
  <c r="M1098" i="5"/>
  <c r="M1097" i="5" s="1"/>
  <c r="AL1095" i="5"/>
  <c r="AU1094" i="5" s="1"/>
  <c r="M1092" i="5"/>
  <c r="M1091" i="5" s="1"/>
  <c r="AL1089" i="5"/>
  <c r="AU1088" i="5" s="1"/>
  <c r="M1086" i="5"/>
  <c r="M1085" i="5" s="1"/>
  <c r="AL1083" i="5"/>
  <c r="AU1080" i="5" s="1"/>
  <c r="M1081" i="5"/>
  <c r="AL1076" i="5"/>
  <c r="AL1072" i="5"/>
  <c r="AL1067" i="5"/>
  <c r="AL1061" i="5"/>
  <c r="AL1056" i="5"/>
  <c r="AL1050" i="5"/>
  <c r="AU1047" i="5" s="1"/>
  <c r="AL1045" i="5"/>
  <c r="AL1041" i="5"/>
  <c r="AL1037" i="5"/>
  <c r="AL1033" i="5"/>
  <c r="AL1029" i="5"/>
  <c r="BI1014" i="5"/>
  <c r="AJ1014" i="5"/>
  <c r="AL1014" i="5"/>
  <c r="BH993" i="5"/>
  <c r="K993" i="5"/>
  <c r="AH987" i="5"/>
  <c r="Z987" i="5"/>
  <c r="BH979" i="5"/>
  <c r="K979" i="5"/>
  <c r="AJ975" i="5"/>
  <c r="AK975" i="5"/>
  <c r="AL975" i="5"/>
  <c r="AJ972" i="5"/>
  <c r="AK972" i="5"/>
  <c r="AL972" i="5"/>
  <c r="AH967" i="5"/>
  <c r="Z967" i="5"/>
  <c r="BI961" i="5"/>
  <c r="AJ947" i="5"/>
  <c r="AK947" i="5"/>
  <c r="AL947" i="5"/>
  <c r="AJ942" i="5"/>
  <c r="AK942" i="5"/>
  <c r="AL942" i="5"/>
  <c r="BI925" i="5"/>
  <c r="AH919" i="5"/>
  <c r="Z919" i="5"/>
  <c r="AJ915" i="5"/>
  <c r="AK915" i="5"/>
  <c r="AL915" i="5"/>
  <c r="AG855" i="5"/>
  <c r="Z844" i="5"/>
  <c r="AL830" i="5"/>
  <c r="AK827" i="5"/>
  <c r="AJ805" i="5"/>
  <c r="AH800" i="5"/>
  <c r="Z800" i="5"/>
  <c r="AL772" i="5"/>
  <c r="AU765" i="5" s="1"/>
  <c r="M735" i="5"/>
  <c r="AJ735" i="5"/>
  <c r="AK735" i="5"/>
  <c r="AL735" i="5"/>
  <c r="Z712" i="5"/>
  <c r="AH712" i="5"/>
  <c r="M1024" i="5"/>
  <c r="K1014" i="5"/>
  <c r="AH1010" i="5"/>
  <c r="Z1010" i="5"/>
  <c r="AJ1003" i="5"/>
  <c r="AJ987" i="5"/>
  <c r="AL987" i="5"/>
  <c r="AH975" i="5"/>
  <c r="Z975" i="5"/>
  <c r="K975" i="5"/>
  <c r="AH972" i="5"/>
  <c r="Z972" i="5"/>
  <c r="K972" i="5"/>
  <c r="AG967" i="5"/>
  <c r="AF961" i="5"/>
  <c r="AJ952" i="5"/>
  <c r="AK952" i="5"/>
  <c r="AL952" i="5"/>
  <c r="AH947" i="5"/>
  <c r="Z947" i="5"/>
  <c r="K947" i="5"/>
  <c r="AH942" i="5"/>
  <c r="Z942" i="5"/>
  <c r="K942" i="5"/>
  <c r="AF925" i="5"/>
  <c r="AG919" i="5"/>
  <c r="AH915" i="5"/>
  <c r="Z915" i="5"/>
  <c r="K915" i="5"/>
  <c r="AJ911" i="5"/>
  <c r="AK911" i="5"/>
  <c r="AL911" i="5"/>
  <c r="AX868" i="5"/>
  <c r="K868" i="5"/>
  <c r="AG853" i="5"/>
  <c r="AC853" i="5"/>
  <c r="AC838" i="5"/>
  <c r="AE838" i="5"/>
  <c r="AK830" i="5"/>
  <c r="AT829" i="5" s="1"/>
  <c r="AH827" i="5"/>
  <c r="Z827" i="5"/>
  <c r="AV821" i="5"/>
  <c r="BC821" i="5"/>
  <c r="AJ819" i="5"/>
  <c r="BI805" i="5"/>
  <c r="AG802" i="5"/>
  <c r="AC802" i="5"/>
  <c r="AV830" i="5"/>
  <c r="AE827" i="5"/>
  <c r="AX819" i="5"/>
  <c r="BI819" i="5"/>
  <c r="AX813" i="5"/>
  <c r="AV813" i="5" s="1"/>
  <c r="BI813" i="5"/>
  <c r="AG788" i="5"/>
  <c r="AC788" i="5"/>
  <c r="AE788" i="5"/>
  <c r="AU777" i="5"/>
  <c r="AX778" i="5"/>
  <c r="AV778" i="5" s="1"/>
  <c r="K778" i="5"/>
  <c r="BI778" i="5"/>
  <c r="AX757" i="5"/>
  <c r="K757" i="5"/>
  <c r="BI757" i="5"/>
  <c r="M750" i="5"/>
  <c r="AK750" i="5"/>
  <c r="AJ750" i="5"/>
  <c r="M745" i="5"/>
  <c r="AK745" i="5"/>
  <c r="AJ745" i="5"/>
  <c r="AH737" i="5"/>
  <c r="Z737" i="5"/>
  <c r="AJ727" i="5"/>
  <c r="AS726" i="5" s="1"/>
  <c r="AL727" i="5"/>
  <c r="AU726" i="5" s="1"/>
  <c r="L726" i="5"/>
  <c r="AW703" i="5"/>
  <c r="BH703" i="5"/>
  <c r="AX620" i="5"/>
  <c r="K620" i="5"/>
  <c r="BI620" i="5"/>
  <c r="AW1020" i="5"/>
  <c r="AG1020" i="5"/>
  <c r="AW1016" i="5"/>
  <c r="AG1016" i="5"/>
  <c r="AW1012" i="5"/>
  <c r="AG1012" i="5"/>
  <c r="AW1008" i="5"/>
  <c r="AG1008" i="5"/>
  <c r="AW1003" i="5"/>
  <c r="AG1003" i="5"/>
  <c r="AW999" i="5"/>
  <c r="AG999" i="5"/>
  <c r="AW995" i="5"/>
  <c r="AG995" i="5"/>
  <c r="AW990" i="5"/>
  <c r="AG990" i="5"/>
  <c r="AG985" i="5"/>
  <c r="AG981" i="5"/>
  <c r="AG977" i="5"/>
  <c r="AG974" i="5"/>
  <c r="AW970" i="5"/>
  <c r="AG970" i="5"/>
  <c r="AW964" i="5"/>
  <c r="AG964" i="5"/>
  <c r="AG958" i="5"/>
  <c r="AW954" i="5"/>
  <c r="AG954" i="5"/>
  <c r="AW950" i="5"/>
  <c r="AG950" i="5"/>
  <c r="AG944" i="5"/>
  <c r="AG939" i="5"/>
  <c r="AL889" i="5"/>
  <c r="AL883" i="5"/>
  <c r="AL878" i="5"/>
  <c r="AX817" i="5"/>
  <c r="K817" i="5"/>
  <c r="AE815" i="5"/>
  <c r="AG772" i="5"/>
  <c r="AC772" i="5"/>
  <c r="AE772" i="5"/>
  <c r="AG750" i="5"/>
  <c r="AG745" i="5"/>
  <c r="AH727" i="5"/>
  <c r="Z727" i="5"/>
  <c r="Z724" i="5"/>
  <c r="AH724" i="5"/>
  <c r="AW721" i="5"/>
  <c r="J721" i="5"/>
  <c r="J720" i="5" s="1"/>
  <c r="BH721" i="5"/>
  <c r="O717" i="5"/>
  <c r="BF718" i="5"/>
  <c r="AH703" i="5"/>
  <c r="Z703" i="5"/>
  <c r="AX673" i="5"/>
  <c r="BI673" i="5"/>
  <c r="K673" i="5"/>
  <c r="K672" i="5" s="1"/>
  <c r="AF429" i="5"/>
  <c r="AB429" i="5"/>
  <c r="AD429" i="5"/>
  <c r="AK889" i="5"/>
  <c r="AK883" i="5"/>
  <c r="AK878" i="5"/>
  <c r="Z868" i="5"/>
  <c r="AC863" i="5"/>
  <c r="AG850" i="5"/>
  <c r="AX848" i="5"/>
  <c r="BI848" i="5"/>
  <c r="K840" i="5"/>
  <c r="L39" i="4"/>
  <c r="AK825" i="5"/>
  <c r="Z823" i="5"/>
  <c r="K813" i="5"/>
  <c r="AX802" i="5"/>
  <c r="BC802" i="5" s="1"/>
  <c r="K802" i="5"/>
  <c r="Z798" i="5"/>
  <c r="AG791" i="5"/>
  <c r="AX788" i="5"/>
  <c r="AV788" i="5" s="1"/>
  <c r="K788" i="5"/>
  <c r="K787" i="5" s="1"/>
  <c r="M788" i="5"/>
  <c r="M787" i="5" s="1"/>
  <c r="AK788" i="5"/>
  <c r="AT787" i="5" s="1"/>
  <c r="L787" i="5"/>
  <c r="AJ788" i="5"/>
  <c r="AS787" i="5" s="1"/>
  <c r="AE750" i="5"/>
  <c r="AE745" i="5"/>
  <c r="AJ715" i="5"/>
  <c r="AS714" i="5" s="1"/>
  <c r="AL715" i="5"/>
  <c r="AU714" i="5" s="1"/>
  <c r="L714" i="5"/>
  <c r="AE703" i="5"/>
  <c r="AC703" i="5"/>
  <c r="AG703" i="5"/>
  <c r="AH700" i="5"/>
  <c r="Z700" i="5"/>
  <c r="AF691" i="5"/>
  <c r="AD691" i="5"/>
  <c r="Z883" i="5"/>
  <c r="Z878" i="5"/>
  <c r="BH863" i="5"/>
  <c r="AL863" i="5"/>
  <c r="AK859" i="5"/>
  <c r="J857" i="5"/>
  <c r="AW857" i="5"/>
  <c r="Z857" i="5"/>
  <c r="AJ855" i="5"/>
  <c r="M855" i="5"/>
  <c r="AJ835" i="5"/>
  <c r="AX832" i="5"/>
  <c r="K832" i="5"/>
  <c r="AJ825" i="5"/>
  <c r="AX823" i="5"/>
  <c r="K823" i="5"/>
  <c r="BI817" i="5"/>
  <c r="M817" i="5"/>
  <c r="AJ817" i="5"/>
  <c r="Z807" i="5"/>
  <c r="M802" i="5"/>
  <c r="AJ802" i="5"/>
  <c r="AL800" i="5"/>
  <c r="AU790" i="5" s="1"/>
  <c r="M800" i="5"/>
  <c r="AK800" i="5"/>
  <c r="M766" i="5"/>
  <c r="AK766" i="5"/>
  <c r="L765" i="5"/>
  <c r="AJ766" i="5"/>
  <c r="AJ737" i="5"/>
  <c r="AL737" i="5"/>
  <c r="AH721" i="5"/>
  <c r="Z721" i="5"/>
  <c r="Z718" i="5"/>
  <c r="AH718" i="5"/>
  <c r="AW715" i="5"/>
  <c r="J715" i="5"/>
  <c r="J714" i="5" s="1"/>
  <c r="BH715" i="5"/>
  <c r="O711" i="5"/>
  <c r="BF712" i="5"/>
  <c r="AW697" i="5"/>
  <c r="BH697" i="5"/>
  <c r="J697" i="5"/>
  <c r="J696" i="5" s="1"/>
  <c r="BI689" i="5"/>
  <c r="K689" i="5"/>
  <c r="AG687" i="5"/>
  <c r="AE687" i="5"/>
  <c r="AK863" i="5"/>
  <c r="AJ859" i="5"/>
  <c r="AE850" i="5"/>
  <c r="M848" i="5"/>
  <c r="AL848" i="5"/>
  <c r="BC830" i="5"/>
  <c r="AX807" i="5"/>
  <c r="BC807" i="5" s="1"/>
  <c r="K807" i="5"/>
  <c r="AV805" i="5"/>
  <c r="AX798" i="5"/>
  <c r="K798" i="5"/>
  <c r="BI798" i="5"/>
  <c r="Z778" i="5"/>
  <c r="AV774" i="5"/>
  <c r="BC774" i="5"/>
  <c r="Z757" i="5"/>
  <c r="BC753" i="5"/>
  <c r="M739" i="5"/>
  <c r="AJ739" i="5"/>
  <c r="AK739" i="5"/>
  <c r="AW737" i="5"/>
  <c r="J737" i="5"/>
  <c r="BH737" i="5"/>
  <c r="AJ733" i="5"/>
  <c r="AL733" i="5"/>
  <c r="L732" i="5"/>
  <c r="AJ709" i="5"/>
  <c r="AS708" i="5" s="1"/>
  <c r="AL709" i="5"/>
  <c r="AU708" i="5" s="1"/>
  <c r="L708" i="5"/>
  <c r="AH615" i="5"/>
  <c r="Z615" i="5"/>
  <c r="AX601" i="5"/>
  <c r="BC601" i="5" s="1"/>
  <c r="K601" i="5"/>
  <c r="BI601" i="5"/>
  <c r="AX588" i="5"/>
  <c r="BC588" i="5" s="1"/>
  <c r="K588" i="5"/>
  <c r="BI588" i="5"/>
  <c r="AX558" i="5"/>
  <c r="BI558" i="5"/>
  <c r="K558" i="5"/>
  <c r="K772" i="5"/>
  <c r="K766" i="5"/>
  <c r="AE685" i="5"/>
  <c r="AG685" i="5"/>
  <c r="AV683" i="5"/>
  <c r="BC683" i="5"/>
  <c r="Z663" i="5"/>
  <c r="AC625" i="5"/>
  <c r="AG625" i="5"/>
  <c r="AH543" i="5"/>
  <c r="Z543" i="5"/>
  <c r="Z402" i="5"/>
  <c r="AH402" i="5"/>
  <c r="AW398" i="5"/>
  <c r="BH398" i="5"/>
  <c r="J398" i="5"/>
  <c r="Z835" i="5"/>
  <c r="M798" i="5"/>
  <c r="AK798" i="5"/>
  <c r="M794" i="5"/>
  <c r="AK794" i="5"/>
  <c r="M783" i="5"/>
  <c r="AK783" i="5"/>
  <c r="M778" i="5"/>
  <c r="AK778" i="5"/>
  <c r="BI774" i="5"/>
  <c r="BI769" i="5"/>
  <c r="M757" i="5"/>
  <c r="AK757" i="5"/>
  <c r="AT756" i="5" s="1"/>
  <c r="BI753" i="5"/>
  <c r="BI747" i="5"/>
  <c r="AU742" i="5"/>
  <c r="M730" i="5"/>
  <c r="M729" i="5" s="1"/>
  <c r="AJ730" i="5"/>
  <c r="AS729" i="5" s="1"/>
  <c r="M724" i="5"/>
  <c r="M723" i="5" s="1"/>
  <c r="AJ724" i="5"/>
  <c r="AS723" i="5" s="1"/>
  <c r="M718" i="5"/>
  <c r="M717" i="5" s="1"/>
  <c r="AJ718" i="5"/>
  <c r="AS717" i="5" s="1"/>
  <c r="M712" i="5"/>
  <c r="M711" i="5" s="1"/>
  <c r="AJ712" i="5"/>
  <c r="AS711" i="5" s="1"/>
  <c r="M706" i="5"/>
  <c r="M705" i="5" s="1"/>
  <c r="AJ706" i="5"/>
  <c r="AS705" i="5" s="1"/>
  <c r="AX691" i="5"/>
  <c r="AV691" i="5" s="1"/>
  <c r="K691" i="5"/>
  <c r="BI691" i="5"/>
  <c r="AH586" i="5"/>
  <c r="Z586" i="5"/>
  <c r="AB461" i="5"/>
  <c r="AD461" i="5"/>
  <c r="AF461" i="5"/>
  <c r="AJ461" i="5"/>
  <c r="AL461" i="5"/>
  <c r="M461" i="5"/>
  <c r="AK461" i="5"/>
  <c r="Z825" i="5"/>
  <c r="AJ807" i="5"/>
  <c r="AJ798" i="5"/>
  <c r="AJ794" i="5"/>
  <c r="AJ783" i="5"/>
  <c r="AJ778" i="5"/>
  <c r="K774" i="5"/>
  <c r="K769" i="5"/>
  <c r="AJ757" i="5"/>
  <c r="AS756" i="5" s="1"/>
  <c r="K753" i="5"/>
  <c r="K747" i="5"/>
  <c r="AG743" i="5"/>
  <c r="K743" i="5"/>
  <c r="AK730" i="5"/>
  <c r="AT729" i="5" s="1"/>
  <c r="AK724" i="5"/>
  <c r="AT723" i="5" s="1"/>
  <c r="AK718" i="5"/>
  <c r="AT717" i="5" s="1"/>
  <c r="AK712" i="5"/>
  <c r="AT711" i="5" s="1"/>
  <c r="AK706" i="5"/>
  <c r="AT705" i="5" s="1"/>
  <c r="AE697" i="5"/>
  <c r="AH683" i="5"/>
  <c r="Z683" i="5"/>
  <c r="AC609" i="5"/>
  <c r="AG609" i="5"/>
  <c r="L37" i="4"/>
  <c r="L36" i="4"/>
  <c r="AX635" i="5"/>
  <c r="AV635" i="5" s="1"/>
  <c r="BI635" i="5"/>
  <c r="K635" i="5"/>
  <c r="AX603" i="5"/>
  <c r="BI603" i="5"/>
  <c r="AH572" i="5"/>
  <c r="Z572" i="5"/>
  <c r="AX347" i="5"/>
  <c r="K347" i="5"/>
  <c r="BI347" i="5"/>
  <c r="AF343" i="5"/>
  <c r="AD343" i="5"/>
  <c r="AB343" i="5"/>
  <c r="AE743" i="5"/>
  <c r="AX703" i="5"/>
  <c r="K703" i="5"/>
  <c r="K702" i="5" s="1"/>
  <c r="AH691" i="5"/>
  <c r="Z691" i="5"/>
  <c r="AH678" i="5"/>
  <c r="Z678" i="5"/>
  <c r="AX654" i="5"/>
  <c r="BC654" i="5" s="1"/>
  <c r="BI654" i="5"/>
  <c r="K654" i="5"/>
  <c r="AK637" i="5"/>
  <c r="AL637" i="5"/>
  <c r="M637" i="5"/>
  <c r="AJ637" i="5"/>
  <c r="AH530" i="5"/>
  <c r="Z530" i="5"/>
  <c r="AK526" i="5"/>
  <c r="AL526" i="5"/>
  <c r="M526" i="5"/>
  <c r="L521" i="5"/>
  <c r="AJ526" i="5"/>
  <c r="K491" i="5"/>
  <c r="AX491" i="5"/>
  <c r="AV491" i="5" s="1"/>
  <c r="BI491" i="5"/>
  <c r="J848" i="5"/>
  <c r="O843" i="5"/>
  <c r="J840" i="5"/>
  <c r="J835" i="5"/>
  <c r="J830" i="5"/>
  <c r="J825" i="5"/>
  <c r="J821" i="5"/>
  <c r="J817" i="5"/>
  <c r="J813" i="5"/>
  <c r="J807" i="5"/>
  <c r="J804" i="5" s="1"/>
  <c r="O804" i="5"/>
  <c r="J802" i="5"/>
  <c r="J798" i="5"/>
  <c r="J794" i="5"/>
  <c r="O790" i="5"/>
  <c r="J788" i="5"/>
  <c r="J787" i="5" s="1"/>
  <c r="J783" i="5"/>
  <c r="J778" i="5"/>
  <c r="J772" i="5"/>
  <c r="J766" i="5"/>
  <c r="J757" i="5"/>
  <c r="J756" i="5" s="1"/>
  <c r="J750" i="5"/>
  <c r="J745" i="5"/>
  <c r="O742" i="5"/>
  <c r="K737" i="5"/>
  <c r="K733" i="5"/>
  <c r="K727" i="5"/>
  <c r="K726" i="5" s="1"/>
  <c r="K721" i="5"/>
  <c r="K720" i="5" s="1"/>
  <c r="K715" i="5"/>
  <c r="K714" i="5" s="1"/>
  <c r="K709" i="5"/>
  <c r="K708" i="5" s="1"/>
  <c r="AG694" i="5"/>
  <c r="AV689" i="5"/>
  <c r="AX678" i="5"/>
  <c r="BI678" i="5"/>
  <c r="K678" i="5"/>
  <c r="K677" i="5" s="1"/>
  <c r="M678" i="5"/>
  <c r="AL678" i="5"/>
  <c r="AJ678" i="5"/>
  <c r="AS677" i="5" s="1"/>
  <c r="AX663" i="5"/>
  <c r="BI663" i="5"/>
  <c r="AK648" i="5"/>
  <c r="AL648" i="5"/>
  <c r="L647" i="5"/>
  <c r="M648" i="5"/>
  <c r="AG627" i="5"/>
  <c r="AC615" i="5"/>
  <c r="AK603" i="5"/>
  <c r="AL603" i="5"/>
  <c r="AX599" i="5"/>
  <c r="K599" i="5"/>
  <c r="BI599" i="5"/>
  <c r="AC572" i="5"/>
  <c r="AG572" i="5"/>
  <c r="AE572" i="5"/>
  <c r="AC566" i="5"/>
  <c r="AE566" i="5"/>
  <c r="AC543" i="5"/>
  <c r="AX522" i="5"/>
  <c r="AV522" i="5" s="1"/>
  <c r="BI522" i="5"/>
  <c r="K522" i="5"/>
  <c r="AH467" i="5"/>
  <c r="AF464" i="5"/>
  <c r="AB464" i="5"/>
  <c r="BI451" i="5"/>
  <c r="K451" i="5"/>
  <c r="AX451" i="5"/>
  <c r="AV451" i="5" s="1"/>
  <c r="AD396" i="5"/>
  <c r="AF396" i="5"/>
  <c r="AL379" i="5"/>
  <c r="AK379" i="5"/>
  <c r="M379" i="5"/>
  <c r="AJ379" i="5"/>
  <c r="AK341" i="5"/>
  <c r="AJ341" i="5"/>
  <c r="M341" i="5"/>
  <c r="L790" i="5"/>
  <c r="L742" i="5"/>
  <c r="AL700" i="5"/>
  <c r="AU699" i="5" s="1"/>
  <c r="AL697" i="5"/>
  <c r="AU696" i="5" s="1"/>
  <c r="AC648" i="5"/>
  <c r="AG623" i="5"/>
  <c r="AC623" i="5"/>
  <c r="AH620" i="5"/>
  <c r="Z620" i="5"/>
  <c r="Z594" i="5"/>
  <c r="AK543" i="5"/>
  <c r="AL543" i="5"/>
  <c r="M543" i="5"/>
  <c r="AJ543" i="5"/>
  <c r="AX536" i="5"/>
  <c r="AV536" i="5" s="1"/>
  <c r="K536" i="5"/>
  <c r="BI536" i="5"/>
  <c r="AG528" i="5"/>
  <c r="AC528" i="5"/>
  <c r="AC402" i="5"/>
  <c r="AG402" i="5"/>
  <c r="AE402" i="5"/>
  <c r="L682" i="5"/>
  <c r="AX657" i="5"/>
  <c r="BI657" i="5"/>
  <c r="AG648" i="5"/>
  <c r="AX642" i="5"/>
  <c r="BI642" i="5"/>
  <c r="AC637" i="5"/>
  <c r="AK615" i="5"/>
  <c r="AL615" i="5"/>
  <c r="M615" i="5"/>
  <c r="AX612" i="5"/>
  <c r="AV612" i="5" s="1"/>
  <c r="BI612" i="5"/>
  <c r="K612" i="5"/>
  <c r="L611" i="5"/>
  <c r="AJ603" i="5"/>
  <c r="AC549" i="5"/>
  <c r="AG549" i="5"/>
  <c r="AE549" i="5"/>
  <c r="AK538" i="5"/>
  <c r="AL538" i="5"/>
  <c r="M538" i="5"/>
  <c r="AG524" i="5"/>
  <c r="AC524" i="5"/>
  <c r="AE524" i="5"/>
  <c r="AX513" i="5"/>
  <c r="AV513" i="5" s="1"/>
  <c r="K513" i="5"/>
  <c r="BI513" i="5"/>
  <c r="AX493" i="5"/>
  <c r="BI493" i="5"/>
  <c r="K493" i="5"/>
  <c r="Z472" i="5"/>
  <c r="AH472" i="5"/>
  <c r="AH470" i="5"/>
  <c r="Z470" i="5"/>
  <c r="AJ441" i="5"/>
  <c r="AL441" i="5"/>
  <c r="M441" i="5"/>
  <c r="AK441" i="5"/>
  <c r="AW404" i="5"/>
  <c r="BH404" i="5"/>
  <c r="J404" i="5"/>
  <c r="AJ700" i="5"/>
  <c r="AS699" i="5" s="1"/>
  <c r="AJ697" i="5"/>
  <c r="AS696" i="5" s="1"/>
  <c r="BF694" i="5"/>
  <c r="AJ691" i="5"/>
  <c r="M691" i="5"/>
  <c r="AL687" i="5"/>
  <c r="BI683" i="5"/>
  <c r="O682" i="5"/>
  <c r="BC680" i="5"/>
  <c r="L677" i="5"/>
  <c r="AX675" i="5"/>
  <c r="BC675" i="5" s="1"/>
  <c r="BI675" i="5"/>
  <c r="AK652" i="5"/>
  <c r="AL652" i="5"/>
  <c r="M652" i="5"/>
  <c r="AX650" i="5"/>
  <c r="BC650" i="5" s="1"/>
  <c r="BI650" i="5"/>
  <c r="K645" i="5"/>
  <c r="K642" i="5"/>
  <c r="AG637" i="5"/>
  <c r="AX629" i="5"/>
  <c r="BC629" i="5" s="1"/>
  <c r="K629" i="5"/>
  <c r="BI629" i="5"/>
  <c r="BC625" i="5"/>
  <c r="AK620" i="5"/>
  <c r="AL620" i="5"/>
  <c r="AJ620" i="5"/>
  <c r="AG597" i="5"/>
  <c r="AC597" i="5"/>
  <c r="AE597" i="5"/>
  <c r="AK594" i="5"/>
  <c r="AL594" i="5"/>
  <c r="M594" i="5"/>
  <c r="AX592" i="5"/>
  <c r="BC592" i="5" s="1"/>
  <c r="BI592" i="5"/>
  <c r="K592" i="5"/>
  <c r="AX577" i="5"/>
  <c r="K577" i="5"/>
  <c r="BI577" i="5"/>
  <c r="AW408" i="5"/>
  <c r="J408" i="5"/>
  <c r="BH408" i="5"/>
  <c r="M700" i="5"/>
  <c r="M699" i="5" s="1"/>
  <c r="M697" i="5"/>
  <c r="M696" i="5" s="1"/>
  <c r="AJ687" i="5"/>
  <c r="M687" i="5"/>
  <c r="AL683" i="5"/>
  <c r="M683" i="5"/>
  <c r="M675" i="5"/>
  <c r="AS656" i="5"/>
  <c r="K657" i="5"/>
  <c r="AX639" i="5"/>
  <c r="AV639" i="5" s="1"/>
  <c r="BI639" i="5"/>
  <c r="AK633" i="5"/>
  <c r="AL633" i="5"/>
  <c r="M633" i="5"/>
  <c r="AX631" i="5"/>
  <c r="AV631" i="5" s="1"/>
  <c r="K631" i="5"/>
  <c r="BI631" i="5"/>
  <c r="AV627" i="5"/>
  <c r="BC627" i="5"/>
  <c r="AH603" i="5"/>
  <c r="Z603" i="5"/>
  <c r="AX556" i="5"/>
  <c r="BC556" i="5" s="1"/>
  <c r="BI556" i="5"/>
  <c r="AV551" i="5"/>
  <c r="BC551" i="5"/>
  <c r="AH510" i="5"/>
  <c r="Z510" i="5"/>
  <c r="AL680" i="5"/>
  <c r="M680" i="5"/>
  <c r="AK680" i="5"/>
  <c r="AT677" i="5" s="1"/>
  <c r="AC652" i="5"/>
  <c r="BI645" i="5"/>
  <c r="AJ615" i="5"/>
  <c r="AH609" i="5"/>
  <c r="Z609" i="5"/>
  <c r="AX594" i="5"/>
  <c r="BC594" i="5" s="1"/>
  <c r="BI594" i="5"/>
  <c r="AK586" i="5"/>
  <c r="AL586" i="5"/>
  <c r="M586" i="5"/>
  <c r="AG569" i="5"/>
  <c r="M558" i="5"/>
  <c r="AX553" i="5"/>
  <c r="K553" i="5"/>
  <c r="BI553" i="5"/>
  <c r="AH549" i="5"/>
  <c r="Z549" i="5"/>
  <c r="AG543" i="5"/>
  <c r="AG541" i="5"/>
  <c r="AE541" i="5"/>
  <c r="AC541" i="5"/>
  <c r="AJ538" i="5"/>
  <c r="AK505" i="5"/>
  <c r="AL505" i="5"/>
  <c r="M505" i="5"/>
  <c r="AX502" i="5"/>
  <c r="BI502" i="5"/>
  <c r="K502" i="5"/>
  <c r="BC448" i="5"/>
  <c r="AV448" i="5"/>
  <c r="AW446" i="5"/>
  <c r="BH446" i="5"/>
  <c r="J446" i="5"/>
  <c r="AW421" i="5"/>
  <c r="J421" i="5"/>
  <c r="BH421" i="5"/>
  <c r="BI369" i="5"/>
  <c r="K369" i="5"/>
  <c r="AX369" i="5"/>
  <c r="AH367" i="5"/>
  <c r="Z367" i="5"/>
  <c r="AK668" i="5"/>
  <c r="AT667" i="5" s="1"/>
  <c r="AL668" i="5"/>
  <c r="AU667" i="5" s="1"/>
  <c r="BI665" i="5"/>
  <c r="AV645" i="5"/>
  <c r="AK629" i="5"/>
  <c r="AL629" i="5"/>
  <c r="AV623" i="5"/>
  <c r="BI618" i="5"/>
  <c r="K618" i="5"/>
  <c r="AK609" i="5"/>
  <c r="AL609" i="5"/>
  <c r="AX606" i="5"/>
  <c r="BC606" i="5" s="1"/>
  <c r="K606" i="5"/>
  <c r="BI606" i="5"/>
  <c r="AX597" i="5"/>
  <c r="AV597" i="5" s="1"/>
  <c r="K597" i="5"/>
  <c r="BI590" i="5"/>
  <c r="AC586" i="5"/>
  <c r="AG586" i="5"/>
  <c r="BI584" i="5"/>
  <c r="K561" i="5"/>
  <c r="AX532" i="5"/>
  <c r="AV532" i="5" s="1"/>
  <c r="K532" i="5"/>
  <c r="BI532" i="5"/>
  <c r="AC499" i="5"/>
  <c r="AG499" i="5"/>
  <c r="AB448" i="5"/>
  <c r="AF448" i="5"/>
  <c r="BI437" i="5"/>
  <c r="K437" i="5"/>
  <c r="AH424" i="5"/>
  <c r="Z424" i="5"/>
  <c r="AC414" i="5"/>
  <c r="AG414" i="5"/>
  <c r="AE414" i="5"/>
  <c r="Z410" i="5"/>
  <c r="AH410" i="5"/>
  <c r="AD369" i="5"/>
  <c r="AB369" i="5"/>
  <c r="AB336" i="5"/>
  <c r="AD336" i="5"/>
  <c r="AF336" i="5"/>
  <c r="AK82" i="5"/>
  <c r="M82" i="5"/>
  <c r="AL82" i="5"/>
  <c r="AJ82" i="5"/>
  <c r="AE73" i="5"/>
  <c r="AC73" i="5"/>
  <c r="AG73" i="5"/>
  <c r="AG579" i="5"/>
  <c r="AC579" i="5"/>
  <c r="AX572" i="5"/>
  <c r="K572" i="5"/>
  <c r="AK572" i="5"/>
  <c r="AL572" i="5"/>
  <c r="AG561" i="5"/>
  <c r="AE561" i="5"/>
  <c r="AX534" i="5"/>
  <c r="BI534" i="5"/>
  <c r="AV528" i="5"/>
  <c r="BC528" i="5"/>
  <c r="AJ456" i="5"/>
  <c r="AL456" i="5"/>
  <c r="M456" i="5"/>
  <c r="AK456" i="5"/>
  <c r="AB451" i="5"/>
  <c r="BF451" i="5"/>
  <c r="L29" i="4" s="1"/>
  <c r="O450" i="5"/>
  <c r="M439" i="5"/>
  <c r="AL439" i="5"/>
  <c r="AK439" i="5"/>
  <c r="AJ439" i="5"/>
  <c r="Z427" i="5"/>
  <c r="AH427" i="5"/>
  <c r="AF412" i="5"/>
  <c r="AD412" i="5"/>
  <c r="AW406" i="5"/>
  <c r="J406" i="5"/>
  <c r="BH406" i="5"/>
  <c r="BI390" i="5"/>
  <c r="K390" i="5"/>
  <c r="AX390" i="5"/>
  <c r="AL367" i="5"/>
  <c r="M367" i="5"/>
  <c r="AJ367" i="5"/>
  <c r="AK367" i="5"/>
  <c r="AL355" i="5"/>
  <c r="M355" i="5"/>
  <c r="AJ355" i="5"/>
  <c r="AK355" i="5"/>
  <c r="K326" i="5"/>
  <c r="AX326" i="5"/>
  <c r="AV326" i="5" s="1"/>
  <c r="BI326" i="5"/>
  <c r="AX321" i="5"/>
  <c r="K321" i="5"/>
  <c r="BI321" i="5"/>
  <c r="AF226" i="5"/>
  <c r="AD226" i="5"/>
  <c r="AF154" i="5"/>
  <c r="AB154" i="5"/>
  <c r="AD154" i="5"/>
  <c r="M400" i="5"/>
  <c r="AL400" i="5"/>
  <c r="AJ400" i="5"/>
  <c r="AK400" i="5"/>
  <c r="M357" i="5"/>
  <c r="AJ357" i="5"/>
  <c r="BH347" i="5"/>
  <c r="AW347" i="5"/>
  <c r="J347" i="5"/>
  <c r="O233" i="5"/>
  <c r="BF237" i="5"/>
  <c r="L26" i="4" s="1"/>
  <c r="J677" i="5"/>
  <c r="Z673" i="5"/>
  <c r="K590" i="5"/>
  <c r="AX581" i="5"/>
  <c r="BI581" i="5"/>
  <c r="M581" i="5"/>
  <c r="Z577" i="5"/>
  <c r="AK566" i="5"/>
  <c r="AL566" i="5"/>
  <c r="AX549" i="5"/>
  <c r="K549" i="5"/>
  <c r="AK549" i="5"/>
  <c r="AL549" i="5"/>
  <c r="AC538" i="5"/>
  <c r="AG538" i="5"/>
  <c r="AC526" i="5"/>
  <c r="AG526" i="5"/>
  <c r="AX515" i="5"/>
  <c r="BI515" i="5"/>
  <c r="AH505" i="5"/>
  <c r="Z505" i="5"/>
  <c r="AK499" i="5"/>
  <c r="AL499" i="5"/>
  <c r="M499" i="5"/>
  <c r="AX496" i="5"/>
  <c r="BC496" i="5" s="1"/>
  <c r="K496" i="5"/>
  <c r="BI496" i="5"/>
  <c r="AH482" i="5"/>
  <c r="AF453" i="5"/>
  <c r="AB453" i="5"/>
  <c r="M453" i="5"/>
  <c r="AL453" i="5"/>
  <c r="AK453" i="5"/>
  <c r="L450" i="5"/>
  <c r="AJ453" i="5"/>
  <c r="AW388" i="5"/>
  <c r="BH388" i="5"/>
  <c r="J388" i="5"/>
  <c r="AD373" i="5"/>
  <c r="AF373" i="5"/>
  <c r="Z185" i="5"/>
  <c r="AH185" i="5"/>
  <c r="O184" i="5"/>
  <c r="BF185" i="5"/>
  <c r="BC179" i="5"/>
  <c r="AV179" i="5"/>
  <c r="BI133" i="5"/>
  <c r="K133" i="5"/>
  <c r="AX133" i="5"/>
  <c r="Z680" i="5"/>
  <c r="AK663" i="5"/>
  <c r="AL663" i="5"/>
  <c r="AK657" i="5"/>
  <c r="AL657" i="5"/>
  <c r="AK642" i="5"/>
  <c r="AT641" i="5" s="1"/>
  <c r="AL642" i="5"/>
  <c r="AU641" i="5" s="1"/>
  <c r="AK625" i="5"/>
  <c r="AL625" i="5"/>
  <c r="AV618" i="5"/>
  <c r="K584" i="5"/>
  <c r="K581" i="5"/>
  <c r="AV579" i="5"/>
  <c r="BC579" i="5"/>
  <c r="AJ566" i="5"/>
  <c r="AX519" i="5"/>
  <c r="K519" i="5"/>
  <c r="BI519" i="5"/>
  <c r="K515" i="5"/>
  <c r="AC505" i="5"/>
  <c r="AE505" i="5"/>
  <c r="M480" i="5"/>
  <c r="AK480" i="5"/>
  <c r="BC477" i="5"/>
  <c r="AJ467" i="5"/>
  <c r="AL467" i="5"/>
  <c r="AK467" i="5"/>
  <c r="J453" i="5"/>
  <c r="AW441" i="5"/>
  <c r="BH441" i="5"/>
  <c r="J441" i="5"/>
  <c r="AX437" i="5"/>
  <c r="AV437" i="5" s="1"/>
  <c r="AC421" i="5"/>
  <c r="AG421" i="5"/>
  <c r="AJ421" i="5"/>
  <c r="AL421" i="5"/>
  <c r="M421" i="5"/>
  <c r="AK421" i="5"/>
  <c r="L416" i="5"/>
  <c r="AW412" i="5"/>
  <c r="J412" i="5"/>
  <c r="AG406" i="5"/>
  <c r="AE406" i="5"/>
  <c r="AH404" i="5"/>
  <c r="Z404" i="5"/>
  <c r="AX402" i="5"/>
  <c r="AV402" i="5" s="1"/>
  <c r="K402" i="5"/>
  <c r="AJ398" i="5"/>
  <c r="AL398" i="5"/>
  <c r="M398" i="5"/>
  <c r="AK398" i="5"/>
  <c r="AV381" i="5"/>
  <c r="K345" i="5"/>
  <c r="BI345" i="5"/>
  <c r="AX345" i="5"/>
  <c r="AV345" i="5" s="1"/>
  <c r="AW343" i="5"/>
  <c r="J343" i="5"/>
  <c r="AE339" i="5"/>
  <c r="AC339" i="5"/>
  <c r="AG339" i="5"/>
  <c r="AJ499" i="5"/>
  <c r="AS485" i="5" s="1"/>
  <c r="Z488" i="5"/>
  <c r="AH488" i="5"/>
  <c r="BH472" i="5"/>
  <c r="AW472" i="5"/>
  <c r="J472" i="5"/>
  <c r="M458" i="5"/>
  <c r="AL458" i="5"/>
  <c r="AJ458" i="5"/>
  <c r="AK458" i="5"/>
  <c r="AW417" i="5"/>
  <c r="BH417" i="5"/>
  <c r="J417" i="5"/>
  <c r="AG398" i="5"/>
  <c r="AE398" i="5"/>
  <c r="AH388" i="5"/>
  <c r="AF369" i="5"/>
  <c r="AL359" i="5"/>
  <c r="AJ359" i="5"/>
  <c r="M359" i="5"/>
  <c r="AK359" i="5"/>
  <c r="AL357" i="5"/>
  <c r="AL351" i="5"/>
  <c r="M351" i="5"/>
  <c r="AJ351" i="5"/>
  <c r="AK351" i="5"/>
  <c r="Z321" i="5"/>
  <c r="AH321" i="5"/>
  <c r="AX258" i="5"/>
  <c r="BC258" i="5" s="1"/>
  <c r="BI258" i="5"/>
  <c r="K258" i="5"/>
  <c r="AF247" i="5"/>
  <c r="AD247" i="5"/>
  <c r="BF209" i="5"/>
  <c r="L25" i="4" s="1"/>
  <c r="O205" i="5"/>
  <c r="J193" i="5"/>
  <c r="J192" i="5" s="1"/>
  <c r="BH193" i="5"/>
  <c r="AW193" i="5"/>
  <c r="AK530" i="5"/>
  <c r="AL530" i="5"/>
  <c r="AK510" i="5"/>
  <c r="AL510" i="5"/>
  <c r="AG488" i="5"/>
  <c r="Z486" i="5"/>
  <c r="AH486" i="5"/>
  <c r="O485" i="5"/>
  <c r="BF486" i="5"/>
  <c r="L30" i="4" s="1"/>
  <c r="AV480" i="5"/>
  <c r="AC467" i="5"/>
  <c r="AE467" i="5"/>
  <c r="AG467" i="5"/>
  <c r="M443" i="5"/>
  <c r="AL443" i="5"/>
  <c r="AJ443" i="5"/>
  <c r="AF439" i="5"/>
  <c r="AF437" i="5"/>
  <c r="AC432" i="5"/>
  <c r="AG432" i="5"/>
  <c r="AW429" i="5"/>
  <c r="J429" i="5"/>
  <c r="AW424" i="5"/>
  <c r="J424" i="5"/>
  <c r="BH424" i="5"/>
  <c r="AH417" i="5"/>
  <c r="Z417" i="5"/>
  <c r="O416" i="5"/>
  <c r="AJ406" i="5"/>
  <c r="AL406" i="5"/>
  <c r="M406" i="5"/>
  <c r="AK406" i="5"/>
  <c r="AC394" i="5"/>
  <c r="AG394" i="5"/>
  <c r="AE394" i="5"/>
  <c r="AW369" i="5"/>
  <c r="J369" i="5"/>
  <c r="AH326" i="5"/>
  <c r="AX265" i="5"/>
  <c r="BI265" i="5"/>
  <c r="K265" i="5"/>
  <c r="AX243" i="5"/>
  <c r="BI243" i="5"/>
  <c r="K243" i="5"/>
  <c r="AF181" i="5"/>
  <c r="AD181" i="5"/>
  <c r="AB181" i="5"/>
  <c r="AG88" i="5"/>
  <c r="AE88" i="5"/>
  <c r="AK590" i="5"/>
  <c r="AL590" i="5"/>
  <c r="AV584" i="5"/>
  <c r="K574" i="5"/>
  <c r="BI551" i="5"/>
  <c r="K551" i="5"/>
  <c r="AK534" i="5"/>
  <c r="AL534" i="5"/>
  <c r="AG530" i="5"/>
  <c r="K530" i="5"/>
  <c r="AV524" i="5"/>
  <c r="AK515" i="5"/>
  <c r="AL515" i="5"/>
  <c r="AG510" i="5"/>
  <c r="K510" i="5"/>
  <c r="AK493" i="5"/>
  <c r="AL493" i="5"/>
  <c r="AK486" i="5"/>
  <c r="AL486" i="5"/>
  <c r="L485" i="5"/>
  <c r="M486" i="5"/>
  <c r="AF477" i="5"/>
  <c r="Z475" i="5"/>
  <c r="AH475" i="5"/>
  <c r="AF467" i="5"/>
  <c r="AB467" i="5"/>
  <c r="AB458" i="5"/>
  <c r="AC446" i="5"/>
  <c r="AG446" i="5"/>
  <c r="AE446" i="5"/>
  <c r="AK443" i="5"/>
  <c r="AD434" i="5"/>
  <c r="AF434" i="5"/>
  <c r="AB434" i="5"/>
  <c r="AE432" i="5"/>
  <c r="AD410" i="5"/>
  <c r="AH398" i="5"/>
  <c r="AW394" i="5"/>
  <c r="BH394" i="5"/>
  <c r="J394" i="5"/>
  <c r="AJ390" i="5"/>
  <c r="AL390" i="5"/>
  <c r="M390" i="5"/>
  <c r="AK390" i="5"/>
  <c r="M388" i="5"/>
  <c r="AL388" i="5"/>
  <c r="AK388" i="5"/>
  <c r="K386" i="5"/>
  <c r="BI386" i="5"/>
  <c r="AC379" i="5"/>
  <c r="AE379" i="5"/>
  <c r="M377" i="5"/>
  <c r="AK377" i="5"/>
  <c r="AW371" i="5"/>
  <c r="BH371" i="5"/>
  <c r="J371" i="5"/>
  <c r="M365" i="5"/>
  <c r="AK365" i="5"/>
  <c r="AL365" i="5"/>
  <c r="AJ365" i="5"/>
  <c r="K361" i="5"/>
  <c r="BI361" i="5"/>
  <c r="AX361" i="5"/>
  <c r="BC361" i="5" s="1"/>
  <c r="AH305" i="5"/>
  <c r="Z305" i="5"/>
  <c r="J243" i="5"/>
  <c r="BH243" i="5"/>
  <c r="AW243" i="5"/>
  <c r="K175" i="5"/>
  <c r="AX175" i="5"/>
  <c r="BI175" i="5"/>
  <c r="BF175" i="5"/>
  <c r="O174" i="5"/>
  <c r="AE108" i="5"/>
  <c r="AG108" i="5"/>
  <c r="AK599" i="5"/>
  <c r="AL599" i="5"/>
  <c r="AK577" i="5"/>
  <c r="AL577" i="5"/>
  <c r="AV561" i="5"/>
  <c r="AK553" i="5"/>
  <c r="AL553" i="5"/>
  <c r="AV541" i="5"/>
  <c r="BI482" i="5"/>
  <c r="AX482" i="5"/>
  <c r="AJ477" i="5"/>
  <c r="AL477" i="5"/>
  <c r="M477" i="5"/>
  <c r="AK477" i="5"/>
  <c r="J470" i="5"/>
  <c r="AW467" i="5"/>
  <c r="J467" i="5"/>
  <c r="BI456" i="5"/>
  <c r="K456" i="5"/>
  <c r="AX456" i="5"/>
  <c r="J439" i="5"/>
  <c r="M434" i="5"/>
  <c r="AL434" i="5"/>
  <c r="AV410" i="5"/>
  <c r="AD402" i="5"/>
  <c r="Z394" i="5"/>
  <c r="AH394" i="5"/>
  <c r="AJ394" i="5"/>
  <c r="AL394" i="5"/>
  <c r="M394" i="5"/>
  <c r="AW390" i="5"/>
  <c r="BH390" i="5"/>
  <c r="J390" i="5"/>
  <c r="AF386" i="5"/>
  <c r="AD386" i="5"/>
  <c r="BI381" i="5"/>
  <c r="K381" i="5"/>
  <c r="BH379" i="5"/>
  <c r="AW379" i="5"/>
  <c r="AJ377" i="5"/>
  <c r="AX363" i="5"/>
  <c r="K363" i="5"/>
  <c r="BI363" i="5"/>
  <c r="AH361" i="5"/>
  <c r="Z361" i="5"/>
  <c r="AB290" i="5"/>
  <c r="AF290" i="5"/>
  <c r="AD290" i="5"/>
  <c r="AV279" i="5"/>
  <c r="AE277" i="5"/>
  <c r="AC277" i="5"/>
  <c r="AG277" i="5"/>
  <c r="AH216" i="5"/>
  <c r="Z216" i="5"/>
  <c r="AW165" i="5"/>
  <c r="J165" i="5"/>
  <c r="BH165" i="5"/>
  <c r="Z590" i="5"/>
  <c r="AK581" i="5"/>
  <c r="AL581" i="5"/>
  <c r="L560" i="5"/>
  <c r="AK558" i="5"/>
  <c r="AL558" i="5"/>
  <c r="Z534" i="5"/>
  <c r="AK522" i="5"/>
  <c r="AL522" i="5"/>
  <c r="Z515" i="5"/>
  <c r="Z493" i="5"/>
  <c r="K482" i="5"/>
  <c r="BC480" i="5"/>
  <c r="AV475" i="5"/>
  <c r="K472" i="5"/>
  <c r="BI472" i="5"/>
  <c r="AW456" i="5"/>
  <c r="BH456" i="5"/>
  <c r="J456" i="5"/>
  <c r="AH453" i="5"/>
  <c r="Z446" i="5"/>
  <c r="AH446" i="5"/>
  <c r="AJ446" i="5"/>
  <c r="AL446" i="5"/>
  <c r="M446" i="5"/>
  <c r="BI441" i="5"/>
  <c r="K441" i="5"/>
  <c r="AX441" i="5"/>
  <c r="AK434" i="5"/>
  <c r="K394" i="5"/>
  <c r="M392" i="5"/>
  <c r="AL392" i="5"/>
  <c r="AJ392" i="5"/>
  <c r="AL386" i="5"/>
  <c r="M386" i="5"/>
  <c r="AK386" i="5"/>
  <c r="AJ386" i="5"/>
  <c r="Z377" i="5"/>
  <c r="AH377" i="5"/>
  <c r="AH373" i="5"/>
  <c r="Z373" i="5"/>
  <c r="BH363" i="5"/>
  <c r="AW363" i="5"/>
  <c r="AX359" i="5"/>
  <c r="AV359" i="5" s="1"/>
  <c r="K359" i="5"/>
  <c r="BI359" i="5"/>
  <c r="AW336" i="5"/>
  <c r="J336" i="5"/>
  <c r="J335" i="5" s="1"/>
  <c r="AG331" i="5"/>
  <c r="AE331" i="5"/>
  <c r="AC331" i="5"/>
  <c r="AH281" i="5"/>
  <c r="Z281" i="5"/>
  <c r="J218" i="5"/>
  <c r="AW218" i="5"/>
  <c r="BH218" i="5"/>
  <c r="AX168" i="5"/>
  <c r="K168" i="5"/>
  <c r="K167" i="5" s="1"/>
  <c r="BI168" i="5"/>
  <c r="AK69" i="5"/>
  <c r="AL69" i="5"/>
  <c r="L48" i="5"/>
  <c r="M69" i="5"/>
  <c r="AJ69" i="5"/>
  <c r="J660" i="5"/>
  <c r="J656" i="5" s="1"/>
  <c r="O656" i="5"/>
  <c r="J654" i="5"/>
  <c r="J650" i="5"/>
  <c r="O647" i="5"/>
  <c r="J645" i="5"/>
  <c r="J641" i="5" s="1"/>
  <c r="O641" i="5"/>
  <c r="J639" i="5"/>
  <c r="J635" i="5"/>
  <c r="J631" i="5"/>
  <c r="AD627" i="5"/>
  <c r="J627" i="5"/>
  <c r="J623" i="5"/>
  <c r="J618" i="5"/>
  <c r="AD612" i="5"/>
  <c r="J612" i="5"/>
  <c r="AD606" i="5"/>
  <c r="J606" i="5"/>
  <c r="J601" i="5"/>
  <c r="AD597" i="5"/>
  <c r="J597" i="5"/>
  <c r="J592" i="5"/>
  <c r="J588" i="5"/>
  <c r="J584" i="5"/>
  <c r="J579" i="5"/>
  <c r="J574" i="5"/>
  <c r="J569" i="5"/>
  <c r="J561" i="5"/>
  <c r="AD556" i="5"/>
  <c r="J556" i="5"/>
  <c r="J551" i="5"/>
  <c r="J546" i="5"/>
  <c r="J541" i="5"/>
  <c r="AD536" i="5"/>
  <c r="J536" i="5"/>
  <c r="J532" i="5"/>
  <c r="AD528" i="5"/>
  <c r="J528" i="5"/>
  <c r="J524" i="5"/>
  <c r="O521" i="5"/>
  <c r="AD519" i="5"/>
  <c r="J519" i="5"/>
  <c r="AD513" i="5"/>
  <c r="J513" i="5"/>
  <c r="O509" i="5"/>
  <c r="J507" i="5"/>
  <c r="J502" i="5"/>
  <c r="J496" i="5"/>
  <c r="M448" i="5"/>
  <c r="AL448" i="5"/>
  <c r="AC427" i="5"/>
  <c r="AG427" i="5"/>
  <c r="AC410" i="5"/>
  <c r="AG410" i="5"/>
  <c r="J410" i="5"/>
  <c r="K406" i="5"/>
  <c r="AJ402" i="5"/>
  <c r="AL402" i="5"/>
  <c r="M402" i="5"/>
  <c r="J400" i="5"/>
  <c r="M396" i="5"/>
  <c r="AL396" i="5"/>
  <c r="BH392" i="5"/>
  <c r="AG377" i="5"/>
  <c r="AC377" i="5"/>
  <c r="AE377" i="5"/>
  <c r="AE375" i="5"/>
  <c r="BI367" i="5"/>
  <c r="AX357" i="5"/>
  <c r="BC357" i="5" s="1"/>
  <c r="K357" i="5"/>
  <c r="BI357" i="5"/>
  <c r="Z357" i="5"/>
  <c r="Z331" i="5"/>
  <c r="AH331" i="5"/>
  <c r="O320" i="5"/>
  <c r="BF321" i="5"/>
  <c r="BH314" i="5"/>
  <c r="AF311" i="5"/>
  <c r="AD311" i="5"/>
  <c r="J281" i="5"/>
  <c r="BH281" i="5"/>
  <c r="AW281" i="5"/>
  <c r="AG214" i="5"/>
  <c r="AE214" i="5"/>
  <c r="AJ209" i="5"/>
  <c r="AL209" i="5"/>
  <c r="M209" i="5"/>
  <c r="AK209" i="5"/>
  <c r="L205" i="5"/>
  <c r="AT195" i="5"/>
  <c r="AG181" i="5"/>
  <c r="AC181" i="5"/>
  <c r="AE181" i="5"/>
  <c r="J168" i="5"/>
  <c r="J167" i="5" s="1"/>
  <c r="BH168" i="5"/>
  <c r="AW168" i="5"/>
  <c r="J120" i="5"/>
  <c r="AW120" i="5"/>
  <c r="BH120" i="5"/>
  <c r="AD629" i="5"/>
  <c r="AD625" i="5"/>
  <c r="AD620" i="5"/>
  <c r="AD590" i="5"/>
  <c r="AK488" i="5"/>
  <c r="AF480" i="5"/>
  <c r="AK472" i="5"/>
  <c r="AK470" i="5"/>
  <c r="K467" i="5"/>
  <c r="BC464" i="5"/>
  <c r="AE461" i="5"/>
  <c r="AJ451" i="5"/>
  <c r="AL451" i="5"/>
  <c r="M451" i="5"/>
  <c r="AJ437" i="5"/>
  <c r="AL437" i="5"/>
  <c r="M437" i="5"/>
  <c r="J434" i="5"/>
  <c r="M429" i="5"/>
  <c r="AL429" i="5"/>
  <c r="AK417" i="5"/>
  <c r="M412" i="5"/>
  <c r="AL412" i="5"/>
  <c r="AK404" i="5"/>
  <c r="BC386" i="5"/>
  <c r="J386" i="5"/>
  <c r="AW375" i="5"/>
  <c r="BH375" i="5"/>
  <c r="BI365" i="5"/>
  <c r="K365" i="5"/>
  <c r="AG353" i="5"/>
  <c r="AC353" i="5"/>
  <c r="AE353" i="5"/>
  <c r="AX351" i="5"/>
  <c r="BI351" i="5"/>
  <c r="K351" i="5"/>
  <c r="BI349" i="5"/>
  <c r="K349" i="5"/>
  <c r="M349" i="5"/>
  <c r="AK349" i="5"/>
  <c r="AL349" i="5"/>
  <c r="AX331" i="5"/>
  <c r="BC331" i="5" s="1"/>
  <c r="K331" i="5"/>
  <c r="J321" i="5"/>
  <c r="BH321" i="5"/>
  <c r="AW321" i="5"/>
  <c r="BC318" i="5"/>
  <c r="AW314" i="5"/>
  <c r="AB309" i="5"/>
  <c r="AD309" i="5"/>
  <c r="AV305" i="5"/>
  <c r="O295" i="5"/>
  <c r="AD285" i="5"/>
  <c r="AF285" i="5"/>
  <c r="AJ285" i="5"/>
  <c r="AK285" i="5"/>
  <c r="M285" i="5"/>
  <c r="AL285" i="5"/>
  <c r="AJ281" i="5"/>
  <c r="AK281" i="5"/>
  <c r="M281" i="5"/>
  <c r="O268" i="5"/>
  <c r="AG254" i="5"/>
  <c r="BI222" i="5"/>
  <c r="AX222" i="5"/>
  <c r="K222" i="5"/>
  <c r="AU174" i="5"/>
  <c r="O153" i="5"/>
  <c r="BF154" i="5"/>
  <c r="L21" i="4" s="1"/>
  <c r="AB150" i="5"/>
  <c r="AD150" i="5"/>
  <c r="AF150" i="5"/>
  <c r="Z120" i="5"/>
  <c r="AH120" i="5"/>
  <c r="M673" i="5"/>
  <c r="M561" i="5"/>
  <c r="M488" i="5"/>
  <c r="AL482" i="5"/>
  <c r="AL475" i="5"/>
  <c r="AJ472" i="5"/>
  <c r="AL472" i="5"/>
  <c r="AJ470" i="5"/>
  <c r="J464" i="5"/>
  <c r="AJ432" i="5"/>
  <c r="AL432" i="5"/>
  <c r="M432" i="5"/>
  <c r="M424" i="5"/>
  <c r="AL424" i="5"/>
  <c r="BC414" i="5"/>
  <c r="AJ414" i="5"/>
  <c r="AL414" i="5"/>
  <c r="M414" i="5"/>
  <c r="M408" i="5"/>
  <c r="AL408" i="5"/>
  <c r="AH390" i="5"/>
  <c r="AH386" i="5"/>
  <c r="Z386" i="5"/>
  <c r="AL375" i="5"/>
  <c r="AK375" i="5"/>
  <c r="AX373" i="5"/>
  <c r="AV373" i="5" s="1"/>
  <c r="AG371" i="5"/>
  <c r="AH369" i="5"/>
  <c r="Z369" i="5"/>
  <c r="BH367" i="5"/>
  <c r="AW367" i="5"/>
  <c r="AG355" i="5"/>
  <c r="M353" i="5"/>
  <c r="AK353" i="5"/>
  <c r="J331" i="5"/>
  <c r="BH331" i="5"/>
  <c r="AF324" i="5"/>
  <c r="AD324" i="5"/>
  <c r="AB324" i="5"/>
  <c r="AS320" i="5"/>
  <c r="L320" i="5"/>
  <c r="BI318" i="5"/>
  <c r="K318" i="5"/>
  <c r="K317" i="5" s="1"/>
  <c r="J307" i="5"/>
  <c r="AW307" i="5"/>
  <c r="BH307" i="5"/>
  <c r="AH301" i="5"/>
  <c r="Z301" i="5"/>
  <c r="AX290" i="5"/>
  <c r="BI290" i="5"/>
  <c r="K290" i="5"/>
  <c r="AT228" i="5"/>
  <c r="AL135" i="5"/>
  <c r="M135" i="5"/>
  <c r="AJ135" i="5"/>
  <c r="AK135" i="5"/>
  <c r="AC113" i="5"/>
  <c r="AG113" i="5"/>
  <c r="AE113" i="5"/>
  <c r="AL108" i="5"/>
  <c r="AU107" i="5" s="1"/>
  <c r="AJ108" i="5"/>
  <c r="AS107" i="5" s="1"/>
  <c r="L107" i="5"/>
  <c r="M108" i="5"/>
  <c r="M107" i="5" s="1"/>
  <c r="AK108" i="5"/>
  <c r="AT107" i="5" s="1"/>
  <c r="M60" i="5"/>
  <c r="AK482" i="5"/>
  <c r="AK475" i="5"/>
  <c r="AK448" i="5"/>
  <c r="AJ427" i="5"/>
  <c r="AL427" i="5"/>
  <c r="M427" i="5"/>
  <c r="M417" i="5"/>
  <c r="AL417" i="5"/>
  <c r="AJ410" i="5"/>
  <c r="AL410" i="5"/>
  <c r="M410" i="5"/>
  <c r="M404" i="5"/>
  <c r="AL404" i="5"/>
  <c r="Z381" i="5"/>
  <c r="AH381" i="5"/>
  <c r="AG373" i="5"/>
  <c r="AE373" i="5"/>
  <c r="AC373" i="5"/>
  <c r="Z365" i="5"/>
  <c r="AH365" i="5"/>
  <c r="AD359" i="5"/>
  <c r="AF359" i="5"/>
  <c r="Z349" i="5"/>
  <c r="AH349" i="5"/>
  <c r="AG343" i="5"/>
  <c r="AE343" i="5"/>
  <c r="AB305" i="5"/>
  <c r="AF305" i="5"/>
  <c r="AF301" i="5"/>
  <c r="AX296" i="5"/>
  <c r="BI296" i="5"/>
  <c r="K296" i="5"/>
  <c r="AW224" i="5"/>
  <c r="BH224" i="5"/>
  <c r="K165" i="5"/>
  <c r="BI165" i="5"/>
  <c r="AX165" i="5"/>
  <c r="AX148" i="5"/>
  <c r="K148" i="5"/>
  <c r="BI148" i="5"/>
  <c r="AB135" i="5"/>
  <c r="AF135" i="5"/>
  <c r="AW122" i="5"/>
  <c r="BH122" i="5"/>
  <c r="J122" i="5"/>
  <c r="AD116" i="5"/>
  <c r="AF116" i="5"/>
  <c r="AB116" i="5"/>
  <c r="Z359" i="5"/>
  <c r="AD341" i="5"/>
  <c r="L338" i="5"/>
  <c r="Z336" i="5"/>
  <c r="BI301" i="5"/>
  <c r="AX281" i="5"/>
  <c r="K281" i="5"/>
  <c r="BH265" i="5"/>
  <c r="J265" i="5"/>
  <c r="J231" i="5"/>
  <c r="AW231" i="5"/>
  <c r="BH231" i="5"/>
  <c r="AG226" i="5"/>
  <c r="AE226" i="5"/>
  <c r="AW216" i="5"/>
  <c r="J216" i="5"/>
  <c r="BH216" i="5"/>
  <c r="Z212" i="5"/>
  <c r="AH212" i="5"/>
  <c r="AD206" i="5"/>
  <c r="AF206" i="5"/>
  <c r="AB206" i="5"/>
  <c r="J156" i="5"/>
  <c r="J153" i="5" s="1"/>
  <c r="AW156" i="5"/>
  <c r="AC120" i="5"/>
  <c r="AG120" i="5"/>
  <c r="AE120" i="5"/>
  <c r="AF86" i="5"/>
  <c r="AD86" i="5"/>
  <c r="AG46" i="5"/>
  <c r="AC46" i="5"/>
  <c r="BH31" i="5"/>
  <c r="AW31" i="5"/>
  <c r="J31" i="5"/>
  <c r="M371" i="5"/>
  <c r="AW365" i="5"/>
  <c r="J365" i="5"/>
  <c r="AB365" i="5"/>
  <c r="AJ363" i="5"/>
  <c r="M363" i="5"/>
  <c r="AK361" i="5"/>
  <c r="Z351" i="5"/>
  <c r="AJ347" i="5"/>
  <c r="M347" i="5"/>
  <c r="AK345" i="5"/>
  <c r="AF341" i="5"/>
  <c r="O338" i="5"/>
  <c r="AF318" i="5"/>
  <c r="AB318" i="5"/>
  <c r="AK314" i="5"/>
  <c r="AT313" i="5" s="1"/>
  <c r="AJ314" i="5"/>
  <c r="AS313" i="5" s="1"/>
  <c r="AE307" i="5"/>
  <c r="BC301" i="5"/>
  <c r="AV301" i="5"/>
  <c r="AJ301" i="5"/>
  <c r="AK301" i="5"/>
  <c r="K285" i="5"/>
  <c r="BI281" i="5"/>
  <c r="AX277" i="5"/>
  <c r="BC277" i="5" s="1"/>
  <c r="K277" i="5"/>
  <c r="AK220" i="5"/>
  <c r="M220" i="5"/>
  <c r="AL220" i="5"/>
  <c r="O202" i="5"/>
  <c r="BF203" i="5"/>
  <c r="K172" i="5"/>
  <c r="K171" i="5" s="1"/>
  <c r="AX172" i="5"/>
  <c r="BI172" i="5"/>
  <c r="BH156" i="5"/>
  <c r="AK145" i="5"/>
  <c r="AT142" i="5" s="1"/>
  <c r="AJ145" i="5"/>
  <c r="AS142" i="5" s="1"/>
  <c r="M145" i="5"/>
  <c r="AW139" i="5"/>
  <c r="J139" i="5"/>
  <c r="BH139" i="5"/>
  <c r="O132" i="5"/>
  <c r="BF133" i="5"/>
  <c r="AC125" i="5"/>
  <c r="AE125" i="5"/>
  <c r="Z96" i="5"/>
  <c r="AH96" i="5"/>
  <c r="AW339" i="5"/>
  <c r="BH339" i="5"/>
  <c r="K301" i="5"/>
  <c r="BC285" i="5"/>
  <c r="J234" i="5"/>
  <c r="AW234" i="5"/>
  <c r="BH234" i="5"/>
  <c r="AW229" i="5"/>
  <c r="J229" i="5"/>
  <c r="BH229" i="5"/>
  <c r="AJ220" i="5"/>
  <c r="AE203" i="5"/>
  <c r="AC203" i="5"/>
  <c r="AF196" i="5"/>
  <c r="AD196" i="5"/>
  <c r="AG188" i="5"/>
  <c r="AE188" i="5"/>
  <c r="AK163" i="5"/>
  <c r="AT162" i="5" s="1"/>
  <c r="AL163" i="5"/>
  <c r="AU162" i="5" s="1"/>
  <c r="L162" i="5"/>
  <c r="M163" i="5"/>
  <c r="AL145" i="5"/>
  <c r="BF120" i="5"/>
  <c r="O119" i="5"/>
  <c r="AV100" i="5"/>
  <c r="BC100" i="5"/>
  <c r="AC98" i="5"/>
  <c r="AE98" i="5"/>
  <c r="AG98" i="5"/>
  <c r="AK381" i="5"/>
  <c r="J373" i="5"/>
  <c r="Z355" i="5"/>
  <c r="BH333" i="5"/>
  <c r="AD329" i="5"/>
  <c r="AB296" i="5"/>
  <c r="AF296" i="5"/>
  <c r="AB272" i="5"/>
  <c r="AF272" i="5"/>
  <c r="AD272" i="5"/>
  <c r="AW265" i="5"/>
  <c r="AB258" i="5"/>
  <c r="AF258" i="5"/>
  <c r="AD258" i="5"/>
  <c r="Z243" i="5"/>
  <c r="AH243" i="5"/>
  <c r="BC214" i="5"/>
  <c r="AV214" i="5"/>
  <c r="AJ203" i="5"/>
  <c r="AS202" i="5" s="1"/>
  <c r="AL203" i="5"/>
  <c r="AU202" i="5" s="1"/>
  <c r="L202" i="5"/>
  <c r="AK203" i="5"/>
  <c r="AT202" i="5" s="1"/>
  <c r="O195" i="5"/>
  <c r="BF196" i="5"/>
  <c r="AK156" i="5"/>
  <c r="AT153" i="5" s="1"/>
  <c r="AL156" i="5"/>
  <c r="AU153" i="5" s="1"/>
  <c r="M156" i="5"/>
  <c r="M153" i="5" s="1"/>
  <c r="AJ156" i="5"/>
  <c r="AS153" i="5" s="1"/>
  <c r="AJ139" i="5"/>
  <c r="AK139" i="5"/>
  <c r="AL139" i="5"/>
  <c r="M139" i="5"/>
  <c r="AV137" i="5"/>
  <c r="BC137" i="5"/>
  <c r="AX135" i="5"/>
  <c r="BC135" i="5" s="1"/>
  <c r="BI135" i="5"/>
  <c r="J130" i="5"/>
  <c r="BH130" i="5"/>
  <c r="AW130" i="5"/>
  <c r="AF128" i="5"/>
  <c r="AB128" i="5"/>
  <c r="AD128" i="5"/>
  <c r="AL120" i="5"/>
  <c r="AJ120" i="5"/>
  <c r="L119" i="5"/>
  <c r="M120" i="5"/>
  <c r="AK120" i="5"/>
  <c r="AF94" i="5"/>
  <c r="AD94" i="5"/>
  <c r="AB94" i="5"/>
  <c r="AE77" i="5"/>
  <c r="AG77" i="5"/>
  <c r="J361" i="5"/>
  <c r="J357" i="5"/>
  <c r="J353" i="5"/>
  <c r="J349" i="5"/>
  <c r="J345" i="5"/>
  <c r="AT320" i="5"/>
  <c r="BI305" i="5"/>
  <c r="AJ305" i="5"/>
  <c r="AK305" i="5"/>
  <c r="AH285" i="5"/>
  <c r="Z285" i="5"/>
  <c r="AF277" i="5"/>
  <c r="AV275" i="5"/>
  <c r="AB254" i="5"/>
  <c r="AF254" i="5"/>
  <c r="AG247" i="5"/>
  <c r="AJ237" i="5"/>
  <c r="AS233" i="5" s="1"/>
  <c r="AL237" i="5"/>
  <c r="M237" i="5"/>
  <c r="AJ231" i="5"/>
  <c r="AL231" i="5"/>
  <c r="AU228" i="5" s="1"/>
  <c r="J226" i="5"/>
  <c r="AJ218" i="5"/>
  <c r="AL218" i="5"/>
  <c r="AK212" i="5"/>
  <c r="AL212" i="5"/>
  <c r="M212" i="5"/>
  <c r="AC196" i="5"/>
  <c r="L192" i="5"/>
  <c r="M193" i="5"/>
  <c r="M192" i="5" s="1"/>
  <c r="AJ193" i="5"/>
  <c r="AS192" i="5" s="1"/>
  <c r="AK193" i="5"/>
  <c r="AT192" i="5" s="1"/>
  <c r="AK185" i="5"/>
  <c r="AL185" i="5"/>
  <c r="L184" i="5"/>
  <c r="M185" i="5"/>
  <c r="Z163" i="5"/>
  <c r="AH163" i="5"/>
  <c r="AG150" i="5"/>
  <c r="AF148" i="5"/>
  <c r="AB148" i="5"/>
  <c r="AX130" i="5"/>
  <c r="K130" i="5"/>
  <c r="BI130" i="5"/>
  <c r="BC125" i="5"/>
  <c r="AV125" i="5"/>
  <c r="M122" i="5"/>
  <c r="AK122" i="5"/>
  <c r="AL122" i="5"/>
  <c r="AJ122" i="5"/>
  <c r="Z113" i="5"/>
  <c r="AH113" i="5"/>
  <c r="AK104" i="5"/>
  <c r="AJ104" i="5"/>
  <c r="AE102" i="5"/>
  <c r="K96" i="5"/>
  <c r="AX96" i="5"/>
  <c r="BI96" i="5"/>
  <c r="Z88" i="5"/>
  <c r="AH88" i="5"/>
  <c r="Z65" i="5"/>
  <c r="AH65" i="5"/>
  <c r="O246" i="5"/>
  <c r="Z240" i="5"/>
  <c r="AH240" i="5"/>
  <c r="AG231" i="5"/>
  <c r="AH222" i="5"/>
  <c r="AG218" i="5"/>
  <c r="J203" i="5"/>
  <c r="J202" i="5" s="1"/>
  <c r="AW203" i="5"/>
  <c r="BH203" i="5"/>
  <c r="J196" i="5"/>
  <c r="J195" i="5" s="1"/>
  <c r="AV160" i="5"/>
  <c r="J143" i="5"/>
  <c r="AW143" i="5"/>
  <c r="BH143" i="5"/>
  <c r="BH125" i="5"/>
  <c r="O115" i="5"/>
  <c r="BF116" i="5"/>
  <c r="L18" i="4" s="1"/>
  <c r="AE60" i="5"/>
  <c r="AG60" i="5"/>
  <c r="O48" i="5"/>
  <c r="AB23" i="5"/>
  <c r="AF23" i="5"/>
  <c r="AL331" i="5"/>
  <c r="AF326" i="5"/>
  <c r="AL321" i="5"/>
  <c r="AH296" i="5"/>
  <c r="Z296" i="5"/>
  <c r="AH290" i="5"/>
  <c r="Z290" i="5"/>
  <c r="K247" i="5"/>
  <c r="AX247" i="5"/>
  <c r="BC247" i="5" s="1"/>
  <c r="L246" i="5"/>
  <c r="M247" i="5"/>
  <c r="AJ247" i="5"/>
  <c r="AS246" i="5" s="1"/>
  <c r="AK247" i="5"/>
  <c r="AK240" i="5"/>
  <c r="AL240" i="5"/>
  <c r="M240" i="5"/>
  <c r="AC231" i="5"/>
  <c r="K214" i="5"/>
  <c r="K188" i="5"/>
  <c r="K184" i="5" s="1"/>
  <c r="J148" i="5"/>
  <c r="AH139" i="5"/>
  <c r="AF137" i="5"/>
  <c r="AB137" i="5"/>
  <c r="AL125" i="5"/>
  <c r="AJ125" i="5"/>
  <c r="M125" i="5"/>
  <c r="AK125" i="5"/>
  <c r="M116" i="5"/>
  <c r="M115" i="5" s="1"/>
  <c r="AJ116" i="5"/>
  <c r="AS115" i="5" s="1"/>
  <c r="BH113" i="5"/>
  <c r="AW113" i="5"/>
  <c r="K100" i="5"/>
  <c r="BI100" i="5"/>
  <c r="AD92" i="5"/>
  <c r="AF92" i="5"/>
  <c r="AX75" i="5"/>
  <c r="BI75" i="5"/>
  <c r="AF29" i="5"/>
  <c r="AD29" i="5"/>
  <c r="AB29" i="5"/>
  <c r="J25" i="5"/>
  <c r="BH25" i="5"/>
  <c r="AW25" i="5"/>
  <c r="AJ296" i="5"/>
  <c r="AK296" i="5"/>
  <c r="AJ290" i="5"/>
  <c r="AK290" i="5"/>
  <c r="L268" i="5"/>
  <c r="K254" i="5"/>
  <c r="Z214" i="5"/>
  <c r="AH214" i="5"/>
  <c r="J206" i="5"/>
  <c r="AW206" i="5"/>
  <c r="Z188" i="5"/>
  <c r="AH188" i="5"/>
  <c r="AW181" i="5"/>
  <c r="BI179" i="5"/>
  <c r="O162" i="5"/>
  <c r="BF163" i="5"/>
  <c r="AF160" i="5"/>
  <c r="AB160" i="5"/>
  <c r="AD160" i="5"/>
  <c r="K154" i="5"/>
  <c r="K153" i="5" s="1"/>
  <c r="AX154" i="5"/>
  <c r="BI154" i="5"/>
  <c r="AW148" i="5"/>
  <c r="AD148" i="5"/>
  <c r="AG143" i="5"/>
  <c r="AL130" i="5"/>
  <c r="AJ130" i="5"/>
  <c r="AK130" i="5"/>
  <c r="AW116" i="5"/>
  <c r="J116" i="5"/>
  <c r="J115" i="5" s="1"/>
  <c r="L17" i="4"/>
  <c r="O110" i="5"/>
  <c r="L91" i="5"/>
  <c r="AX86" i="5"/>
  <c r="K86" i="5"/>
  <c r="K85" i="5" s="1"/>
  <c r="BI86" i="5"/>
  <c r="AH36" i="5"/>
  <c r="Z36" i="5"/>
  <c r="K228" i="5"/>
  <c r="AC139" i="5"/>
  <c r="AX120" i="5"/>
  <c r="K120" i="5"/>
  <c r="K119" i="5" s="1"/>
  <c r="AV104" i="5"/>
  <c r="AF102" i="5"/>
  <c r="AB102" i="5"/>
  <c r="AH46" i="5"/>
  <c r="Z46" i="5"/>
  <c r="AF303" i="5"/>
  <c r="AF299" i="5"/>
  <c r="AF292" i="5"/>
  <c r="AF287" i="5"/>
  <c r="AF283" i="5"/>
  <c r="AF279" i="5"/>
  <c r="AK277" i="5"/>
  <c r="AF275" i="5"/>
  <c r="AK272" i="5"/>
  <c r="AF269" i="5"/>
  <c r="AK265" i="5"/>
  <c r="AF260" i="5"/>
  <c r="AK258" i="5"/>
  <c r="AF256" i="5"/>
  <c r="AK254" i="5"/>
  <c r="AF251" i="5"/>
  <c r="Z247" i="5"/>
  <c r="AK243" i="5"/>
  <c r="AD237" i="5"/>
  <c r="AJ229" i="5"/>
  <c r="AH226" i="5"/>
  <c r="M226" i="5"/>
  <c r="AL224" i="5"/>
  <c r="AF220" i="5"/>
  <c r="AJ216" i="5"/>
  <c r="AK214" i="5"/>
  <c r="AD209" i="5"/>
  <c r="AH196" i="5"/>
  <c r="M196" i="5"/>
  <c r="L195" i="5"/>
  <c r="Z193" i="5"/>
  <c r="AK188" i="5"/>
  <c r="AD177" i="5"/>
  <c r="AD163" i="5"/>
  <c r="J160" i="5"/>
  <c r="J159" i="5" s="1"/>
  <c r="AE145" i="5"/>
  <c r="L142" i="5"/>
  <c r="AG139" i="5"/>
  <c r="K139" i="5"/>
  <c r="AW133" i="5"/>
  <c r="BH133" i="5"/>
  <c r="M133" i="5"/>
  <c r="AK133" i="5"/>
  <c r="AL133" i="5"/>
  <c r="Z128" i="5"/>
  <c r="AW111" i="5"/>
  <c r="J111" i="5"/>
  <c r="J110" i="5" s="1"/>
  <c r="Z111" i="5"/>
  <c r="AD108" i="5"/>
  <c r="AD102" i="5"/>
  <c r="AH27" i="5"/>
  <c r="Z27" i="5"/>
  <c r="Z277" i="5"/>
  <c r="Z272" i="5"/>
  <c r="Z265" i="5"/>
  <c r="Z258" i="5"/>
  <c r="Z254" i="5"/>
  <c r="M243" i="5"/>
  <c r="M229" i="5"/>
  <c r="M228" i="5" s="1"/>
  <c r="AX226" i="5"/>
  <c r="AV226" i="5" s="1"/>
  <c r="AK224" i="5"/>
  <c r="AL222" i="5"/>
  <c r="M214" i="5"/>
  <c r="AW199" i="5"/>
  <c r="AX196" i="5"/>
  <c r="AV196" i="5" s="1"/>
  <c r="AS195" i="5"/>
  <c r="M188" i="5"/>
  <c r="L153" i="5"/>
  <c r="J137" i="5"/>
  <c r="AW128" i="5"/>
  <c r="J128" i="5"/>
  <c r="BF125" i="5"/>
  <c r="O124" i="5"/>
  <c r="AX113" i="5"/>
  <c r="AK73" i="5"/>
  <c r="M73" i="5"/>
  <c r="AL73" i="5"/>
  <c r="AX71" i="5"/>
  <c r="K71" i="5"/>
  <c r="BI71" i="5"/>
  <c r="K69" i="5"/>
  <c r="BI69" i="5"/>
  <c r="AX69" i="5"/>
  <c r="AX67" i="5"/>
  <c r="BI67" i="5"/>
  <c r="Z44" i="5"/>
  <c r="AH44" i="5"/>
  <c r="AK222" i="5"/>
  <c r="AB177" i="5"/>
  <c r="AH133" i="5"/>
  <c r="J133" i="5"/>
  <c r="J132" i="5" s="1"/>
  <c r="BH111" i="5"/>
  <c r="BC104" i="5"/>
  <c r="AK100" i="5"/>
  <c r="AL100" i="5"/>
  <c r="J98" i="5"/>
  <c r="AW98" i="5"/>
  <c r="BH98" i="5"/>
  <c r="AJ94" i="5"/>
  <c r="M94" i="5"/>
  <c r="AL94" i="5"/>
  <c r="AX88" i="5"/>
  <c r="K73" i="5"/>
  <c r="AW67" i="5"/>
  <c r="BH67" i="5"/>
  <c r="AF41" i="5"/>
  <c r="AF62" i="5"/>
  <c r="J62" i="5"/>
  <c r="BH46" i="5"/>
  <c r="J46" i="5"/>
  <c r="J43" i="5" s="1"/>
  <c r="AW46" i="5"/>
  <c r="AE29" i="5"/>
  <c r="AG29" i="5"/>
  <c r="AG23" i="5"/>
  <c r="AC23" i="5"/>
  <c r="AE23" i="5"/>
  <c r="AF21" i="5"/>
  <c r="AB21" i="5"/>
  <c r="AL113" i="5"/>
  <c r="AU110" i="5" s="1"/>
  <c r="AJ113" i="5"/>
  <c r="AS110" i="5" s="1"/>
  <c r="M110" i="5"/>
  <c r="AE104" i="5"/>
  <c r="AE94" i="5"/>
  <c r="J92" i="5"/>
  <c r="AW92" i="5"/>
  <c r="O91" i="5"/>
  <c r="O85" i="5"/>
  <c r="AJ77" i="5"/>
  <c r="M77" i="5"/>
  <c r="AL71" i="5"/>
  <c r="M71" i="5"/>
  <c r="AJ71" i="5"/>
  <c r="AH67" i="5"/>
  <c r="Z67" i="5"/>
  <c r="AK65" i="5"/>
  <c r="AL65" i="5"/>
  <c r="AK60" i="5"/>
  <c r="AK49" i="5"/>
  <c r="M49" i="5"/>
  <c r="AJ49" i="5"/>
  <c r="AS35" i="5"/>
  <c r="AE21" i="5"/>
  <c r="M92" i="5"/>
  <c r="AJ92" i="5"/>
  <c r="AU85" i="5"/>
  <c r="L85" i="5"/>
  <c r="M86" i="5"/>
  <c r="M85" i="5" s="1"/>
  <c r="AL80" i="5"/>
  <c r="AK80" i="5"/>
  <c r="AL60" i="5"/>
  <c r="AJ60" i="5"/>
  <c r="AC49" i="5"/>
  <c r="AE49" i="5"/>
  <c r="BF38" i="5"/>
  <c r="L13" i="4" s="1"/>
  <c r="O35" i="5"/>
  <c r="AB36" i="5"/>
  <c r="AD36" i="5"/>
  <c r="AF36" i="5"/>
  <c r="J23" i="5"/>
  <c r="AG41" i="5"/>
  <c r="AF38" i="5"/>
  <c r="AD38" i="5"/>
  <c r="AG31" i="5"/>
  <c r="AC31" i="5"/>
  <c r="J29" i="5"/>
  <c r="AW29" i="5"/>
  <c r="AE128" i="5"/>
  <c r="AE122" i="5"/>
  <c r="AE116" i="5"/>
  <c r="AE111" i="5"/>
  <c r="J36" i="5"/>
  <c r="AW36" i="5"/>
  <c r="AC27" i="5"/>
  <c r="AG27" i="5"/>
  <c r="AX23" i="5"/>
  <c r="AV23" i="5" s="1"/>
  <c r="K23" i="5"/>
  <c r="AS13" i="5"/>
  <c r="AK14" i="5"/>
  <c r="L13" i="5"/>
  <c r="AL14" i="5"/>
  <c r="O13" i="5"/>
  <c r="AF33" i="5"/>
  <c r="AB75" i="5"/>
  <c r="Z71" i="5"/>
  <c r="BI62" i="5"/>
  <c r="AK62" i="5"/>
  <c r="BH52" i="5"/>
  <c r="AK44" i="5"/>
  <c r="AT43" i="5" s="1"/>
  <c r="K27" i="5"/>
  <c r="AX27" i="5"/>
  <c r="BC1451" i="5" l="1"/>
  <c r="AD603" i="5"/>
  <c r="AD574" i="5"/>
  <c r="AV145" i="5"/>
  <c r="AV750" i="5"/>
  <c r="AE1211" i="5"/>
  <c r="AD615" i="5"/>
  <c r="AV620" i="5"/>
  <c r="M1133" i="5"/>
  <c r="AD1268" i="5"/>
  <c r="BC1290" i="5"/>
  <c r="BC904" i="5"/>
  <c r="AD14" i="5"/>
  <c r="AV652" i="5"/>
  <c r="AV1041" i="5"/>
  <c r="BC1150" i="5"/>
  <c r="AV1336" i="5"/>
  <c r="BC1282" i="5"/>
  <c r="AE1282" i="5"/>
  <c r="AV718" i="5"/>
  <c r="AV461" i="5"/>
  <c r="AB794" i="5"/>
  <c r="AB1399" i="5"/>
  <c r="BC108" i="5"/>
  <c r="L21" i="3"/>
  <c r="AB345" i="5"/>
  <c r="AD925" i="5"/>
  <c r="BC880" i="5"/>
  <c r="AB745" i="5"/>
  <c r="AB1406" i="5"/>
  <c r="BC1547" i="5"/>
  <c r="AV1024" i="5"/>
  <c r="L62" i="4"/>
  <c r="AV272" i="5"/>
  <c r="AD507" i="5"/>
  <c r="AU184" i="5"/>
  <c r="AE1158" i="5"/>
  <c r="AV1394" i="5"/>
  <c r="AE987" i="5"/>
  <c r="AD1225" i="5"/>
  <c r="AV303" i="5"/>
  <c r="I37" i="4"/>
  <c r="AV1174" i="5"/>
  <c r="AB747" i="5"/>
  <c r="AE1580" i="5"/>
  <c r="K1342" i="5"/>
  <c r="AV269" i="5"/>
  <c r="AU1410" i="5"/>
  <c r="BC1449" i="5"/>
  <c r="AE1166" i="5"/>
  <c r="BC172" i="5"/>
  <c r="AD551" i="5"/>
  <c r="AE1170" i="5"/>
  <c r="AV470" i="5"/>
  <c r="AV615" i="5"/>
  <c r="BC491" i="5"/>
  <c r="AV685" i="5"/>
  <c r="AE1174" i="5"/>
  <c r="AE1227" i="5"/>
  <c r="BC1089" i="5"/>
  <c r="AV1126" i="5"/>
  <c r="AB1401" i="5"/>
  <c r="AV1588" i="5"/>
  <c r="AV108" i="5"/>
  <c r="K16" i="4" s="1"/>
  <c r="N16" i="4" s="1"/>
  <c r="AV290" i="5"/>
  <c r="AE1178" i="5"/>
  <c r="BC1312" i="5"/>
  <c r="AV1255" i="5"/>
  <c r="M641" i="5"/>
  <c r="AB825" i="5"/>
  <c r="AU1520" i="5"/>
  <c r="BC1580" i="5"/>
  <c r="AV1095" i="5"/>
  <c r="AV49" i="5"/>
  <c r="M1410" i="5"/>
  <c r="BC1539" i="5"/>
  <c r="AV977" i="5"/>
  <c r="BC14" i="5"/>
  <c r="AD618" i="5"/>
  <c r="AE1061" i="5"/>
  <c r="AE1183" i="5"/>
  <c r="AV700" i="5"/>
  <c r="I36" i="4"/>
  <c r="AV1185" i="5"/>
  <c r="AV220" i="5"/>
  <c r="BC1246" i="5"/>
  <c r="I16" i="4"/>
  <c r="AV222" i="5"/>
  <c r="AV392" i="5"/>
  <c r="BC1396" i="5"/>
  <c r="BC1354" i="5"/>
  <c r="BC1453" i="5"/>
  <c r="J24" i="3"/>
  <c r="BC850" i="5"/>
  <c r="BC972" i="5"/>
  <c r="K1133" i="5"/>
  <c r="K162" i="5"/>
  <c r="AV41" i="5"/>
  <c r="AD491" i="5"/>
  <c r="J55" i="4"/>
  <c r="AD623" i="5"/>
  <c r="AV947" i="5"/>
  <c r="AE1195" i="5"/>
  <c r="AE1069" i="5"/>
  <c r="AE1180" i="5"/>
  <c r="BC292" i="5"/>
  <c r="BC311" i="5"/>
  <c r="AD1193" i="5"/>
  <c r="AV82" i="5"/>
  <c r="AV1486" i="5"/>
  <c r="M1571" i="5"/>
  <c r="J1530" i="5"/>
  <c r="J1471" i="5" s="1"/>
  <c r="I23" i="3" s="1"/>
  <c r="L22" i="4"/>
  <c r="AD1282" i="5"/>
  <c r="AV21" i="5"/>
  <c r="AD599" i="5"/>
  <c r="AV663" i="5"/>
  <c r="AV942" i="5"/>
  <c r="AV987" i="5"/>
  <c r="AE1203" i="5"/>
  <c r="K1374" i="5"/>
  <c r="AV1282" i="5"/>
  <c r="BC1024" i="5"/>
  <c r="AB1504" i="5"/>
  <c r="AC408" i="5"/>
  <c r="AV439" i="5"/>
  <c r="BC1056" i="5"/>
  <c r="BC1178" i="5"/>
  <c r="BC977" i="5"/>
  <c r="BC296" i="5"/>
  <c r="BC269" i="5"/>
  <c r="J268" i="5"/>
  <c r="AD592" i="5"/>
  <c r="BC188" i="5"/>
  <c r="AV975" i="5"/>
  <c r="AE1041" i="5"/>
  <c r="BC1320" i="5"/>
  <c r="M1472" i="5"/>
  <c r="AV1408" i="5"/>
  <c r="AV1469" i="5"/>
  <c r="AV458" i="5"/>
  <c r="AV637" i="5"/>
  <c r="K1047" i="5"/>
  <c r="I73" i="4"/>
  <c r="AV1586" i="5"/>
  <c r="AV60" i="5"/>
  <c r="AV237" i="5"/>
  <c r="J17" i="4"/>
  <c r="AC292" i="5"/>
  <c r="BC86" i="5"/>
  <c r="AC218" i="5"/>
  <c r="AD569" i="5"/>
  <c r="AV309" i="5"/>
  <c r="AV240" i="5"/>
  <c r="J1265" i="5"/>
  <c r="AB1403" i="5"/>
  <c r="BC49" i="5"/>
  <c r="M1508" i="5"/>
  <c r="L28" i="4"/>
  <c r="AV333" i="5"/>
  <c r="J1071" i="5"/>
  <c r="AV1446" i="5"/>
  <c r="AV1496" i="5"/>
  <c r="AV1578" i="5"/>
  <c r="J21" i="4"/>
  <c r="BC581" i="5"/>
  <c r="AV505" i="5"/>
  <c r="BC889" i="5"/>
  <c r="BC1172" i="5"/>
  <c r="BC377" i="5"/>
  <c r="AV819" i="5"/>
  <c r="M1265" i="5"/>
  <c r="AV1229" i="5"/>
  <c r="AV913" i="5"/>
  <c r="AB1473" i="5"/>
  <c r="M35" i="5"/>
  <c r="AB220" i="5"/>
  <c r="BC648" i="5"/>
  <c r="AV974" i="5"/>
  <c r="BC1419" i="5"/>
  <c r="BC44" i="5"/>
  <c r="AV730" i="5"/>
  <c r="BC324" i="5"/>
  <c r="AB757" i="5"/>
  <c r="AV486" i="5"/>
  <c r="AV1150" i="5"/>
  <c r="BC694" i="5"/>
  <c r="BC981" i="5"/>
  <c r="BC254" i="5"/>
  <c r="AE1083" i="5"/>
  <c r="AD942" i="5"/>
  <c r="J66" i="4"/>
  <c r="AT1530" i="5"/>
  <c r="M1448" i="5"/>
  <c r="AV38" i="5"/>
  <c r="AD1201" i="5"/>
  <c r="AU1393" i="5"/>
  <c r="BC220" i="5"/>
  <c r="AV1072" i="5"/>
  <c r="BC1067" i="5"/>
  <c r="J162" i="5"/>
  <c r="K21" i="3"/>
  <c r="AB1498" i="5"/>
  <c r="BC260" i="5"/>
  <c r="AB269" i="5"/>
  <c r="BC1162" i="5"/>
  <c r="AE1268" i="5"/>
  <c r="J19" i="4"/>
  <c r="BC222" i="5"/>
  <c r="AV1278" i="5"/>
  <c r="J509" i="5"/>
  <c r="AD579" i="5"/>
  <c r="BC572" i="5"/>
  <c r="BC603" i="5"/>
  <c r="AS742" i="5"/>
  <c r="AU1066" i="5"/>
  <c r="AV694" i="5"/>
  <c r="BC743" i="5"/>
  <c r="AE1162" i="5"/>
  <c r="L40" i="4"/>
  <c r="AV1056" i="5"/>
  <c r="J1133" i="5"/>
  <c r="BC1263" i="5"/>
  <c r="AV1367" i="5"/>
  <c r="K58" i="4" s="1"/>
  <c r="N58" i="4" s="1"/>
  <c r="M1520" i="5"/>
  <c r="AV1243" i="5"/>
  <c r="AV1413" i="5"/>
  <c r="K64" i="4" s="1"/>
  <c r="AV324" i="5"/>
  <c r="AV558" i="5"/>
  <c r="BC724" i="5"/>
  <c r="AB769" i="5"/>
  <c r="AE919" i="5"/>
  <c r="AV1067" i="5"/>
  <c r="AV1375" i="5"/>
  <c r="AV102" i="5"/>
  <c r="BC212" i="5"/>
  <c r="BC1551" i="5"/>
  <c r="M1398" i="5"/>
  <c r="M1393" i="5"/>
  <c r="BC163" i="5"/>
  <c r="AV1506" i="5"/>
  <c r="BC937" i="5"/>
  <c r="AB27" i="5"/>
  <c r="AD27" i="5"/>
  <c r="AD1286" i="5"/>
  <c r="M804" i="5"/>
  <c r="AV94" i="5"/>
  <c r="K205" i="5"/>
  <c r="K124" i="5"/>
  <c r="BC359" i="5"/>
  <c r="BC351" i="5"/>
  <c r="AD532" i="5"/>
  <c r="AV629" i="5"/>
  <c r="J790" i="5"/>
  <c r="BC823" i="5"/>
  <c r="AE1067" i="5"/>
  <c r="AU804" i="5"/>
  <c r="AV1221" i="5"/>
  <c r="I58" i="4"/>
  <c r="J51" i="4"/>
  <c r="I57" i="4"/>
  <c r="AV944" i="5"/>
  <c r="BC985" i="5"/>
  <c r="BC1076" i="5"/>
  <c r="J1374" i="5"/>
  <c r="BC1521" i="5"/>
  <c r="J73" i="4"/>
  <c r="BC979" i="5"/>
  <c r="AV1511" i="5"/>
  <c r="AV1251" i="5"/>
  <c r="O1471" i="5"/>
  <c r="L23" i="3" s="1"/>
  <c r="I63" i="4"/>
  <c r="BC1559" i="5"/>
  <c r="BC400" i="5"/>
  <c r="BC427" i="5"/>
  <c r="AV1463" i="5"/>
  <c r="M756" i="5"/>
  <c r="AV967" i="5"/>
  <c r="AE1076" i="5"/>
  <c r="BC1185" i="5"/>
  <c r="AV1406" i="5"/>
  <c r="L32" i="4"/>
  <c r="AV1037" i="5"/>
  <c r="BC706" i="5"/>
  <c r="AV299" i="5"/>
  <c r="AV739" i="5"/>
  <c r="AV981" i="5"/>
  <c r="BC1308" i="5"/>
  <c r="J174" i="5"/>
  <c r="AV453" i="5"/>
  <c r="BC185" i="5"/>
  <c r="BC69" i="5"/>
  <c r="BC609" i="5"/>
  <c r="I51" i="4"/>
  <c r="K1265" i="5"/>
  <c r="AV1516" i="5"/>
  <c r="AT1448" i="5"/>
  <c r="AV1498" i="5"/>
  <c r="AC1475" i="5"/>
  <c r="BC1481" i="5"/>
  <c r="AV355" i="5"/>
  <c r="J295" i="5"/>
  <c r="BC486" i="5"/>
  <c r="L20" i="4"/>
  <c r="J246" i="5"/>
  <c r="AS132" i="5"/>
  <c r="BC333" i="5"/>
  <c r="AD427" i="5"/>
  <c r="AT732" i="5"/>
  <c r="BC769" i="5"/>
  <c r="K756" i="5"/>
  <c r="AD1274" i="5"/>
  <c r="I64" i="4"/>
  <c r="J71" i="4"/>
  <c r="AV1377" i="5"/>
  <c r="AV1403" i="5"/>
  <c r="BC1446" i="5"/>
  <c r="BC1578" i="5"/>
  <c r="BC1461" i="5"/>
  <c r="BC530" i="5"/>
  <c r="AB807" i="5"/>
  <c r="I35" i="4"/>
  <c r="AB800" i="5"/>
  <c r="AV1360" i="5"/>
  <c r="M1530" i="5"/>
  <c r="AV1391" i="5"/>
  <c r="AV1388" i="5"/>
  <c r="AU295" i="5"/>
  <c r="BC1158" i="5"/>
  <c r="L19" i="4"/>
  <c r="AU233" i="5"/>
  <c r="M162" i="5"/>
  <c r="BC519" i="5"/>
  <c r="AV556" i="5"/>
  <c r="BC599" i="5"/>
  <c r="AT777" i="5"/>
  <c r="AV769" i="5"/>
  <c r="AE1146" i="5"/>
  <c r="AV844" i="5"/>
  <c r="BC1026" i="5"/>
  <c r="AD1010" i="5"/>
  <c r="AC1086" i="5"/>
  <c r="AV283" i="5"/>
  <c r="AB798" i="5"/>
  <c r="AB827" i="5"/>
  <c r="AE975" i="5"/>
  <c r="BC1101" i="5"/>
  <c r="AB1343" i="5"/>
  <c r="BC1345" i="5"/>
  <c r="AV1555" i="5"/>
  <c r="M13" i="5"/>
  <c r="BC303" i="5"/>
  <c r="M174" i="5"/>
  <c r="AV77" i="5"/>
  <c r="BC642" i="5"/>
  <c r="M843" i="5"/>
  <c r="AU1577" i="5"/>
  <c r="AV1483" i="5"/>
  <c r="BC1506" i="5"/>
  <c r="I75" i="4"/>
  <c r="AE967" i="5"/>
  <c r="M1381" i="5"/>
  <c r="J1520" i="5"/>
  <c r="M295" i="5"/>
  <c r="AV434" i="5"/>
  <c r="AV256" i="5"/>
  <c r="AV1166" i="5"/>
  <c r="AB1486" i="5"/>
  <c r="BC1463" i="5"/>
  <c r="BC1486" i="5"/>
  <c r="AD1446" i="5"/>
  <c r="AB1446" i="5"/>
  <c r="AV1521" i="5"/>
  <c r="AE510" i="5"/>
  <c r="AV1340" i="5"/>
  <c r="BC1239" i="5"/>
  <c r="BC432" i="5"/>
  <c r="AD1290" i="5"/>
  <c r="AE1207" i="5"/>
  <c r="AD1294" i="5"/>
  <c r="AT91" i="5"/>
  <c r="BC150" i="5"/>
  <c r="AV44" i="5"/>
  <c r="BC355" i="5"/>
  <c r="AV574" i="5"/>
  <c r="AV588" i="5"/>
  <c r="J829" i="5"/>
  <c r="AV747" i="5"/>
  <c r="AT765" i="5"/>
  <c r="AV919" i="5"/>
  <c r="AE1033" i="5"/>
  <c r="BC944" i="5"/>
  <c r="L43" i="4"/>
  <c r="J70" i="4"/>
  <c r="AV1545" i="5"/>
  <c r="AV1158" i="5"/>
  <c r="AV1501" i="5"/>
  <c r="K69" i="4" s="1"/>
  <c r="N69" i="4" s="1"/>
  <c r="AV1379" i="5"/>
  <c r="O1373" i="5"/>
  <c r="L22" i="3" s="1"/>
  <c r="BC77" i="5"/>
  <c r="AB355" i="5"/>
  <c r="M509" i="5"/>
  <c r="I32" i="4"/>
  <c r="AV706" i="5"/>
  <c r="J682" i="5"/>
  <c r="BC886" i="5"/>
  <c r="BC838" i="5"/>
  <c r="AV1328" i="5"/>
  <c r="AV1582" i="5"/>
  <c r="M1028" i="5"/>
  <c r="BC237" i="5"/>
  <c r="AB1388" i="5"/>
  <c r="AD1430" i="5"/>
  <c r="AB1430" i="5"/>
  <c r="AE1072" i="5"/>
  <c r="BC566" i="5"/>
  <c r="AB301" i="5"/>
  <c r="AV296" i="5"/>
  <c r="AD601" i="5"/>
  <c r="J742" i="5"/>
  <c r="AV163" i="5"/>
  <c r="AV798" i="5"/>
  <c r="I42" i="4"/>
  <c r="AE38" i="5"/>
  <c r="AV675" i="5"/>
  <c r="AU1530" i="5"/>
  <c r="AV810" i="5"/>
  <c r="BC730" i="5"/>
  <c r="BC1061" i="5"/>
  <c r="AD1539" i="5"/>
  <c r="AB1539" i="5"/>
  <c r="AB810" i="5"/>
  <c r="M1053" i="5"/>
  <c r="AU1381" i="5"/>
  <c r="AD586" i="5"/>
  <c r="AV566" i="5"/>
  <c r="BC747" i="5"/>
  <c r="J233" i="5"/>
  <c r="AD502" i="5"/>
  <c r="BC33" i="5"/>
  <c r="M124" i="5"/>
  <c r="AD541" i="5"/>
  <c r="AV427" i="5"/>
  <c r="AV660" i="5"/>
  <c r="AC697" i="5"/>
  <c r="BC558" i="5"/>
  <c r="AE1223" i="5"/>
  <c r="BC1037" i="5"/>
  <c r="AE1578" i="5"/>
  <c r="BC1411" i="5"/>
  <c r="BC1459" i="5"/>
  <c r="BC1496" i="5"/>
  <c r="L72" i="4"/>
  <c r="AV1014" i="5"/>
  <c r="K1571" i="5"/>
  <c r="AV1478" i="5"/>
  <c r="AE160" i="5"/>
  <c r="AE915" i="5"/>
  <c r="BC891" i="5"/>
  <c r="BC1095" i="5"/>
  <c r="AD1209" i="5"/>
  <c r="AB1408" i="5"/>
  <c r="BC1434" i="5"/>
  <c r="AV1136" i="5"/>
  <c r="BC1511" i="5"/>
  <c r="AD349" i="5"/>
  <c r="AB349" i="5"/>
  <c r="J48" i="5"/>
  <c r="AV251" i="5"/>
  <c r="K233" i="5"/>
  <c r="AU13" i="5"/>
  <c r="AV27" i="5"/>
  <c r="M195" i="5"/>
  <c r="BC60" i="5"/>
  <c r="AD609" i="5"/>
  <c r="AD631" i="5"/>
  <c r="BC453" i="5"/>
  <c r="J32" i="4"/>
  <c r="AT742" i="5"/>
  <c r="AE1050" i="5"/>
  <c r="AV1144" i="5"/>
  <c r="AV1584" i="5"/>
  <c r="AT1418" i="5"/>
  <c r="I68" i="4"/>
  <c r="AV80" i="5"/>
  <c r="AV260" i="5"/>
  <c r="BC712" i="5"/>
  <c r="AV928" i="5"/>
  <c r="I62" i="4"/>
  <c r="AC272" i="5"/>
  <c r="AV922" i="5"/>
  <c r="AV1416" i="5"/>
  <c r="BC1416" i="5"/>
  <c r="I24" i="4"/>
  <c r="M142" i="5"/>
  <c r="BC373" i="5"/>
  <c r="AD443" i="5"/>
  <c r="AD546" i="5"/>
  <c r="AV937" i="5"/>
  <c r="L53" i="4"/>
  <c r="K485" i="5"/>
  <c r="AV400" i="5"/>
  <c r="AG116" i="5"/>
  <c r="AC116" i="5"/>
  <c r="J43" i="4"/>
  <c r="BC1442" i="5"/>
  <c r="AB802" i="5"/>
  <c r="K1381" i="5"/>
  <c r="BC1083" i="5"/>
  <c r="AC1251" i="5"/>
  <c r="AE1251" i="5"/>
  <c r="AE234" i="5"/>
  <c r="AC234" i="5"/>
  <c r="AU677" i="5"/>
  <c r="AS521" i="5"/>
  <c r="M611" i="5"/>
  <c r="M1080" i="5"/>
  <c r="K1066" i="5"/>
  <c r="K1028" i="5"/>
  <c r="M1515" i="5"/>
  <c r="K246" i="5"/>
  <c r="AU119" i="5"/>
  <c r="AU656" i="5"/>
  <c r="K812" i="5"/>
  <c r="K777" i="5"/>
  <c r="AV807" i="5"/>
  <c r="AE1037" i="5"/>
  <c r="AV1018" i="5"/>
  <c r="AV1061" i="5"/>
  <c r="AV1101" i="5"/>
  <c r="AV1197" i="5"/>
  <c r="BC1209" i="5"/>
  <c r="AV1564" i="5"/>
  <c r="BC1251" i="5"/>
  <c r="AS1393" i="5"/>
  <c r="AV1561" i="5"/>
  <c r="K1480" i="5"/>
  <c r="AV855" i="5"/>
  <c r="K1398" i="5"/>
  <c r="AV1401" i="5"/>
  <c r="AC220" i="5"/>
  <c r="M320" i="5"/>
  <c r="AB821" i="5"/>
  <c r="AV1559" i="5"/>
  <c r="M1374" i="5"/>
  <c r="AF329" i="5"/>
  <c r="AB329" i="5"/>
  <c r="AB145" i="5"/>
  <c r="AD145" i="5"/>
  <c r="AD1126" i="5"/>
  <c r="AB1126" i="5"/>
  <c r="AD1511" i="5"/>
  <c r="AB1511" i="5"/>
  <c r="BC549" i="5"/>
  <c r="AV603" i="5"/>
  <c r="BC502" i="5"/>
  <c r="J320" i="5"/>
  <c r="AU205" i="5"/>
  <c r="AD524" i="5"/>
  <c r="AD588" i="5"/>
  <c r="I28" i="4"/>
  <c r="K829" i="5"/>
  <c r="BC974" i="5"/>
  <c r="K1182" i="5"/>
  <c r="I71" i="4"/>
  <c r="AV1239" i="5"/>
  <c r="AE1584" i="5"/>
  <c r="BC1401" i="5"/>
  <c r="AV1574" i="5"/>
  <c r="BC71" i="5"/>
  <c r="BC1146" i="5"/>
  <c r="AV1531" i="5"/>
  <c r="AV1419" i="5"/>
  <c r="AF351" i="5"/>
  <c r="AB351" i="5"/>
  <c r="BC299" i="5"/>
  <c r="K1410" i="5"/>
  <c r="J35" i="5"/>
  <c r="M91" i="5"/>
  <c r="AU124" i="5"/>
  <c r="BC256" i="5"/>
  <c r="M560" i="5"/>
  <c r="BC175" i="5"/>
  <c r="K647" i="5"/>
  <c r="AS777" i="5"/>
  <c r="K790" i="5"/>
  <c r="AU1053" i="5"/>
  <c r="J1005" i="5"/>
  <c r="K862" i="5"/>
  <c r="AU1143" i="5"/>
  <c r="BC1394" i="5"/>
  <c r="BC1033" i="5"/>
  <c r="AE1588" i="5"/>
  <c r="M1418" i="5"/>
  <c r="K48" i="5"/>
  <c r="BC209" i="5"/>
  <c r="M1503" i="5"/>
  <c r="BC1574" i="5"/>
  <c r="AD275" i="5"/>
  <c r="AB275" i="5"/>
  <c r="AC1413" i="5"/>
  <c r="AE1413" i="5"/>
  <c r="M1143" i="5"/>
  <c r="J72" i="4"/>
  <c r="BC1255" i="5"/>
  <c r="K1448" i="5"/>
  <c r="BC1268" i="5"/>
  <c r="AU246" i="5"/>
  <c r="AB251" i="5"/>
  <c r="BC482" i="5"/>
  <c r="BC488" i="5"/>
  <c r="BC526" i="5"/>
  <c r="BC620" i="5"/>
  <c r="AV735" i="5"/>
  <c r="BC934" i="5"/>
  <c r="AV899" i="5"/>
  <c r="J1342" i="5"/>
  <c r="BC1501" i="5"/>
  <c r="AV763" i="5"/>
  <c r="BC763" i="5"/>
  <c r="AD766" i="5"/>
  <c r="AB766" i="5"/>
  <c r="AD1531" i="5"/>
  <c r="AB1531" i="5"/>
  <c r="K295" i="5"/>
  <c r="AV311" i="5"/>
  <c r="K742" i="5"/>
  <c r="AT233" i="5"/>
  <c r="O106" i="5"/>
  <c r="L15" i="4" s="1"/>
  <c r="K142" i="5"/>
  <c r="AU485" i="5"/>
  <c r="BC345" i="5"/>
  <c r="BC543" i="5"/>
  <c r="K656" i="5"/>
  <c r="BC536" i="5"/>
  <c r="O741" i="5"/>
  <c r="L15" i="3" s="1"/>
  <c r="AE1056" i="5"/>
  <c r="K1053" i="5"/>
  <c r="I43" i="4"/>
  <c r="K1563" i="5"/>
  <c r="AB381" i="5"/>
  <c r="M656" i="5"/>
  <c r="AV908" i="5"/>
  <c r="AV850" i="5"/>
  <c r="AD961" i="5"/>
  <c r="AV1083" i="5"/>
  <c r="J42" i="4"/>
  <c r="AV1363" i="5"/>
  <c r="K56" i="4" s="1"/>
  <c r="N56" i="4" s="1"/>
  <c r="AV1384" i="5"/>
  <c r="AE256" i="5"/>
  <c r="AC256" i="5"/>
  <c r="BC82" i="5"/>
  <c r="AD1136" i="5"/>
  <c r="AB1136" i="5"/>
  <c r="AD299" i="5"/>
  <c r="AB299" i="5"/>
  <c r="BC1136" i="5"/>
  <c r="AC52" i="5"/>
  <c r="M672" i="5"/>
  <c r="K416" i="5"/>
  <c r="J124" i="5"/>
  <c r="M246" i="5"/>
  <c r="J142" i="5"/>
  <c r="BC326" i="5"/>
  <c r="AS268" i="5"/>
  <c r="AD496" i="5"/>
  <c r="L33" i="4"/>
  <c r="BC700" i="5"/>
  <c r="AE1154" i="5"/>
  <c r="AE1187" i="5"/>
  <c r="AE1219" i="5"/>
  <c r="AV1074" i="5"/>
  <c r="BC1123" i="5"/>
  <c r="AV1205" i="5"/>
  <c r="BC1363" i="5"/>
  <c r="J1028" i="5"/>
  <c r="M941" i="5"/>
  <c r="AV1518" i="5"/>
  <c r="AV665" i="5"/>
  <c r="M1071" i="5"/>
  <c r="AV1170" i="5"/>
  <c r="AV1308" i="5"/>
  <c r="M1493" i="5"/>
  <c r="AV1569" i="5"/>
  <c r="AF432" i="5"/>
  <c r="AD432" i="5"/>
  <c r="BC1286" i="5"/>
  <c r="AD778" i="5"/>
  <c r="AB778" i="5"/>
  <c r="AU268" i="5"/>
  <c r="J1577" i="5"/>
  <c r="J1576" i="5" s="1"/>
  <c r="I74" i="4" s="1"/>
  <c r="AF1588" i="5"/>
  <c r="AD1588" i="5"/>
  <c r="J75" i="4"/>
  <c r="AS1577" i="5"/>
  <c r="AD1501" i="5"/>
  <c r="AB1501" i="5"/>
  <c r="AD1442" i="5"/>
  <c r="AB1442" i="5"/>
  <c r="AV1543" i="5"/>
  <c r="BC1543" i="5"/>
  <c r="AD1543" i="5"/>
  <c r="AB1543" i="5"/>
  <c r="AD1419" i="5"/>
  <c r="AB1419" i="5"/>
  <c r="L1373" i="5"/>
  <c r="AD1496" i="5"/>
  <c r="AB1496" i="5"/>
  <c r="AD1547" i="5"/>
  <c r="AB1547" i="5"/>
  <c r="AE1506" i="5"/>
  <c r="AC1506" i="5"/>
  <c r="AD1394" i="5"/>
  <c r="AB1394" i="5"/>
  <c r="AD1438" i="5"/>
  <c r="AB1438" i="5"/>
  <c r="AE1535" i="5"/>
  <c r="AC1535" i="5"/>
  <c r="AU1418" i="5"/>
  <c r="BC1375" i="5"/>
  <c r="AS1418" i="5"/>
  <c r="K1418" i="5"/>
  <c r="J1418" i="5"/>
  <c r="J68" i="4"/>
  <c r="AD1379" i="5"/>
  <c r="AB1379" i="5"/>
  <c r="AD1475" i="5"/>
  <c r="AB1475" i="5"/>
  <c r="AV1442" i="5"/>
  <c r="K1520" i="5"/>
  <c r="K1493" i="5"/>
  <c r="AV1434" i="5"/>
  <c r="AV1424" i="5"/>
  <c r="I72" i="4"/>
  <c r="AD1559" i="5"/>
  <c r="AB1559" i="5"/>
  <c r="BC1386" i="5"/>
  <c r="AV1386" i="5"/>
  <c r="AD1535" i="5"/>
  <c r="AB1535" i="5"/>
  <c r="BC1457" i="5"/>
  <c r="AV1457" i="5"/>
  <c r="AD1377" i="5"/>
  <c r="AB1377" i="5"/>
  <c r="AE1491" i="5"/>
  <c r="AC1491" i="5"/>
  <c r="M1485" i="5"/>
  <c r="I65" i="4"/>
  <c r="K1530" i="5"/>
  <c r="AD1506" i="5"/>
  <c r="AB1506" i="5"/>
  <c r="BC1564" i="5"/>
  <c r="AV1481" i="5"/>
  <c r="AD1434" i="5"/>
  <c r="AB1434" i="5"/>
  <c r="K1393" i="5"/>
  <c r="AD1375" i="5"/>
  <c r="AB1375" i="5"/>
  <c r="AV1526" i="5"/>
  <c r="BC1526" i="5"/>
  <c r="AE1547" i="5"/>
  <c r="AC1547" i="5"/>
  <c r="AD1455" i="5"/>
  <c r="AB1455" i="5"/>
  <c r="AD1521" i="5"/>
  <c r="AB1521" i="5"/>
  <c r="AV1438" i="5"/>
  <c r="AD1384" i="5"/>
  <c r="AB1384" i="5"/>
  <c r="AU1374" i="5"/>
  <c r="J65" i="4"/>
  <c r="BC1382" i="5"/>
  <c r="AV1382" i="5"/>
  <c r="BC1555" i="5"/>
  <c r="AD1491" i="5"/>
  <c r="AB1491" i="5"/>
  <c r="AV1491" i="5"/>
  <c r="AV1475" i="5"/>
  <c r="K55" i="4"/>
  <c r="N55" i="4" s="1"/>
  <c r="AV1324" i="5"/>
  <c r="BC1324" i="5"/>
  <c r="AC1349" i="5"/>
  <c r="AV1296" i="5"/>
  <c r="AD1351" i="5"/>
  <c r="AB1351" i="5"/>
  <c r="AV1332" i="5"/>
  <c r="M1273" i="5"/>
  <c r="AS1273" i="5"/>
  <c r="AF1280" i="5"/>
  <c r="AD1280" i="5"/>
  <c r="BC1316" i="5"/>
  <c r="BC1360" i="5"/>
  <c r="L1121" i="5"/>
  <c r="K19" i="3" s="1"/>
  <c r="K1273" i="5"/>
  <c r="AV1300" i="5"/>
  <c r="J1273" i="5"/>
  <c r="AS1182" i="5"/>
  <c r="AV1123" i="5"/>
  <c r="AV1213" i="5"/>
  <c r="BC1225" i="5"/>
  <c r="I52" i="4"/>
  <c r="BC1141" i="5"/>
  <c r="AV1141" i="5"/>
  <c r="K52" i="4" s="1"/>
  <c r="N52" i="4" s="1"/>
  <c r="AF1205" i="5"/>
  <c r="AD1205" i="5"/>
  <c r="AV1131" i="5"/>
  <c r="BC1131" i="5"/>
  <c r="AV1187" i="5"/>
  <c r="BC1187" i="5"/>
  <c r="AV1203" i="5"/>
  <c r="BC1203" i="5"/>
  <c r="AV1219" i="5"/>
  <c r="BC1219" i="5"/>
  <c r="BC1126" i="5"/>
  <c r="K1143" i="5"/>
  <c r="BC1183" i="5"/>
  <c r="AV1183" i="5"/>
  <c r="BC1199" i="5"/>
  <c r="AV1199" i="5"/>
  <c r="BC1215" i="5"/>
  <c r="AV1215" i="5"/>
  <c r="BC1193" i="5"/>
  <c r="AV1146" i="5"/>
  <c r="BC1174" i="5"/>
  <c r="AF1213" i="5"/>
  <c r="AD1213" i="5"/>
  <c r="AV1259" i="5"/>
  <c r="BC1259" i="5"/>
  <c r="AD1141" i="5"/>
  <c r="AB1141" i="5"/>
  <c r="AD1131" i="5"/>
  <c r="AB1131" i="5"/>
  <c r="BC1274" i="5"/>
  <c r="AV1274" i="5"/>
  <c r="AF1189" i="5"/>
  <c r="AD1189" i="5"/>
  <c r="AF1221" i="5"/>
  <c r="AD1221" i="5"/>
  <c r="BC1235" i="5"/>
  <c r="AV1235" i="5"/>
  <c r="BC1170" i="5"/>
  <c r="AV1195" i="5"/>
  <c r="BC1195" i="5"/>
  <c r="AV1211" i="5"/>
  <c r="BC1211" i="5"/>
  <c r="AV1227" i="5"/>
  <c r="BC1227" i="5"/>
  <c r="AV1178" i="5"/>
  <c r="M1182" i="5"/>
  <c r="AT1143" i="5"/>
  <c r="I53" i="4"/>
  <c r="J1182" i="5"/>
  <c r="BC1191" i="5"/>
  <c r="AV1191" i="5"/>
  <c r="BC1207" i="5"/>
  <c r="AV1207" i="5"/>
  <c r="BC1223" i="5"/>
  <c r="AV1223" i="5"/>
  <c r="AG1248" i="5"/>
  <c r="AE1248" i="5"/>
  <c r="AV1266" i="5"/>
  <c r="AF1197" i="5"/>
  <c r="AD1197" i="5"/>
  <c r="AF1229" i="5"/>
  <c r="AD1229" i="5"/>
  <c r="AG1271" i="5"/>
  <c r="AE1271" i="5"/>
  <c r="AF1261" i="5"/>
  <c r="AD1261" i="5"/>
  <c r="AV1162" i="5"/>
  <c r="BC1072" i="5"/>
  <c r="AV1029" i="5"/>
  <c r="BC1029" i="5"/>
  <c r="AT960" i="5"/>
  <c r="BC1043" i="5"/>
  <c r="BC1018" i="5"/>
  <c r="M960" i="5"/>
  <c r="AV1050" i="5"/>
  <c r="BC1050" i="5"/>
  <c r="AC942" i="5"/>
  <c r="AE942" i="5"/>
  <c r="K941" i="5"/>
  <c r="AU1071" i="5"/>
  <c r="J41" i="4"/>
  <c r="AV1010" i="5"/>
  <c r="J1053" i="5"/>
  <c r="BC1059" i="5"/>
  <c r="K1005" i="5"/>
  <c r="M1005" i="5"/>
  <c r="J960" i="5"/>
  <c r="AV1045" i="5"/>
  <c r="BC1045" i="5"/>
  <c r="AV985" i="5"/>
  <c r="BC1041" i="5"/>
  <c r="BC958" i="5"/>
  <c r="AV815" i="5"/>
  <c r="BC815" i="5"/>
  <c r="AD796" i="5"/>
  <c r="AB796" i="5"/>
  <c r="AD791" i="5"/>
  <c r="AB791" i="5"/>
  <c r="AD815" i="5"/>
  <c r="AB815" i="5"/>
  <c r="M790" i="5"/>
  <c r="M765" i="5"/>
  <c r="J39" i="4"/>
  <c r="AS829" i="5"/>
  <c r="BC908" i="5"/>
  <c r="AD819" i="5"/>
  <c r="AB819" i="5"/>
  <c r="BC928" i="5"/>
  <c r="BC827" i="5"/>
  <c r="AD817" i="5"/>
  <c r="AB817" i="5"/>
  <c r="I38" i="4"/>
  <c r="AV802" i="5"/>
  <c r="J843" i="5"/>
  <c r="AG825" i="5"/>
  <c r="AC825" i="5"/>
  <c r="AD753" i="5"/>
  <c r="AB753" i="5"/>
  <c r="AV800" i="5"/>
  <c r="BC800" i="5"/>
  <c r="BC844" i="5"/>
  <c r="AV783" i="5"/>
  <c r="BC813" i="5"/>
  <c r="AS862" i="5"/>
  <c r="AV889" i="5"/>
  <c r="AV785" i="5"/>
  <c r="BC785" i="5"/>
  <c r="AD772" i="5"/>
  <c r="AB772" i="5"/>
  <c r="AV934" i="5"/>
  <c r="AD805" i="5"/>
  <c r="AB805" i="5"/>
  <c r="AC859" i="5"/>
  <c r="AE859" i="5"/>
  <c r="AV891" i="5"/>
  <c r="I40" i="4"/>
  <c r="AD919" i="5"/>
  <c r="AV791" i="5"/>
  <c r="BC791" i="5"/>
  <c r="AD774" i="5"/>
  <c r="AB774" i="5"/>
  <c r="AG863" i="5"/>
  <c r="AE863" i="5"/>
  <c r="AV781" i="5"/>
  <c r="BC781" i="5"/>
  <c r="BC899" i="5"/>
  <c r="AV873" i="5"/>
  <c r="BC873" i="5"/>
  <c r="BC939" i="5"/>
  <c r="AD785" i="5"/>
  <c r="AB785" i="5"/>
  <c r="M812" i="5"/>
  <c r="M777" i="5"/>
  <c r="M862" i="5"/>
  <c r="AV896" i="5"/>
  <c r="AS765" i="5"/>
  <c r="J40" i="4"/>
  <c r="AU829" i="5"/>
  <c r="AT812" i="5"/>
  <c r="AD783" i="5"/>
  <c r="AB783" i="5"/>
  <c r="AD750" i="5"/>
  <c r="AB750" i="5"/>
  <c r="AV886" i="5"/>
  <c r="AV880" i="5"/>
  <c r="BC917" i="5"/>
  <c r="AT611" i="5"/>
  <c r="AV650" i="5"/>
  <c r="AE694" i="5"/>
  <c r="AC694" i="5"/>
  <c r="BC691" i="5"/>
  <c r="AU611" i="5"/>
  <c r="J33" i="4"/>
  <c r="BC735" i="5"/>
  <c r="BC633" i="5"/>
  <c r="AV633" i="5"/>
  <c r="AD689" i="5"/>
  <c r="AB689" i="5"/>
  <c r="I31" i="4"/>
  <c r="BC668" i="5"/>
  <c r="BC639" i="5"/>
  <c r="AT656" i="5"/>
  <c r="AS611" i="5"/>
  <c r="M682" i="5"/>
  <c r="M732" i="5"/>
  <c r="J647" i="5"/>
  <c r="AU732" i="5"/>
  <c r="K682" i="5"/>
  <c r="AC680" i="5"/>
  <c r="AE680" i="5"/>
  <c r="AC668" i="5"/>
  <c r="AE668" i="5"/>
  <c r="AV712" i="5"/>
  <c r="AD685" i="5"/>
  <c r="AB685" i="5"/>
  <c r="K450" i="5"/>
  <c r="AV519" i="5"/>
  <c r="AC530" i="5"/>
  <c r="AE530" i="5"/>
  <c r="AV586" i="5"/>
  <c r="BC586" i="5"/>
  <c r="BC451" i="5"/>
  <c r="AD561" i="5"/>
  <c r="AD584" i="5"/>
  <c r="AS560" i="5"/>
  <c r="AV606" i="5"/>
  <c r="J30" i="4"/>
  <c r="J521" i="5"/>
  <c r="I30" i="4"/>
  <c r="K560" i="5"/>
  <c r="AV581" i="5"/>
  <c r="AV549" i="5"/>
  <c r="BC590" i="5"/>
  <c r="AV590" i="5"/>
  <c r="BC538" i="5"/>
  <c r="AV538" i="5"/>
  <c r="AD594" i="5"/>
  <c r="AV601" i="5"/>
  <c r="BC532" i="5"/>
  <c r="M521" i="5"/>
  <c r="AV488" i="5"/>
  <c r="AG507" i="5"/>
  <c r="AE507" i="5"/>
  <c r="BC499" i="5"/>
  <c r="AV499" i="5"/>
  <c r="AC477" i="5"/>
  <c r="AE477" i="5"/>
  <c r="J485" i="5"/>
  <c r="AV482" i="5"/>
  <c r="AT560" i="5"/>
  <c r="AB475" i="5"/>
  <c r="AD475" i="5"/>
  <c r="AV510" i="5"/>
  <c r="BC510" i="5"/>
  <c r="AB482" i="5"/>
  <c r="AD482" i="5"/>
  <c r="AD353" i="5"/>
  <c r="AB353" i="5"/>
  <c r="J29" i="4"/>
  <c r="AU338" i="5"/>
  <c r="K338" i="5"/>
  <c r="M338" i="5"/>
  <c r="AD361" i="5"/>
  <c r="AB361" i="5"/>
  <c r="AV341" i="5"/>
  <c r="BC341" i="5"/>
  <c r="AT338" i="5"/>
  <c r="K320" i="5"/>
  <c r="AD357" i="5"/>
  <c r="AB357" i="5"/>
  <c r="AV443" i="5"/>
  <c r="AV396" i="5"/>
  <c r="BC396" i="5"/>
  <c r="AF377" i="5"/>
  <c r="AB377" i="5"/>
  <c r="AE388" i="5"/>
  <c r="AC388" i="5"/>
  <c r="J28" i="4"/>
  <c r="J338" i="5"/>
  <c r="BC437" i="5"/>
  <c r="AG336" i="5"/>
  <c r="AC336" i="5"/>
  <c r="AE400" i="5"/>
  <c r="AC400" i="5"/>
  <c r="BC329" i="5"/>
  <c r="AV361" i="5"/>
  <c r="AE396" i="5"/>
  <c r="AC396" i="5"/>
  <c r="AE404" i="5"/>
  <c r="AC404" i="5"/>
  <c r="AV287" i="5"/>
  <c r="BC287" i="5"/>
  <c r="AD256" i="5"/>
  <c r="AB256" i="5"/>
  <c r="M268" i="5"/>
  <c r="BC196" i="5"/>
  <c r="M233" i="5"/>
  <c r="BC290" i="5"/>
  <c r="AE269" i="5"/>
  <c r="AC269" i="5"/>
  <c r="AD188" i="5"/>
  <c r="AB188" i="5"/>
  <c r="AD260" i="5"/>
  <c r="AB260" i="5"/>
  <c r="AE283" i="5"/>
  <c r="AC283" i="5"/>
  <c r="AE275" i="5"/>
  <c r="AC275" i="5"/>
  <c r="AE251" i="5"/>
  <c r="AC251" i="5"/>
  <c r="AD287" i="5"/>
  <c r="AB287" i="5"/>
  <c r="AS205" i="5"/>
  <c r="AT268" i="5"/>
  <c r="AE254" i="5"/>
  <c r="AC254" i="5"/>
  <c r="AV292" i="5"/>
  <c r="AE299" i="5"/>
  <c r="AC299" i="5"/>
  <c r="AE199" i="5"/>
  <c r="AC199" i="5"/>
  <c r="AE287" i="5"/>
  <c r="AC287" i="5"/>
  <c r="AE303" i="5"/>
  <c r="AC303" i="5"/>
  <c r="AF199" i="5"/>
  <c r="AB199" i="5"/>
  <c r="AE260" i="5"/>
  <c r="AC260" i="5"/>
  <c r="AD292" i="5"/>
  <c r="AB292" i="5"/>
  <c r="AT295" i="5"/>
  <c r="AS295" i="5"/>
  <c r="J26" i="4"/>
  <c r="AE229" i="5"/>
  <c r="AC229" i="5"/>
  <c r="AE206" i="5"/>
  <c r="AC206" i="5"/>
  <c r="AV209" i="5"/>
  <c r="J24" i="4"/>
  <c r="K268" i="5"/>
  <c r="I27" i="4"/>
  <c r="AD283" i="5"/>
  <c r="AB283" i="5"/>
  <c r="AE224" i="5"/>
  <c r="AC224" i="5"/>
  <c r="K174" i="5"/>
  <c r="AV177" i="5"/>
  <c r="BC177" i="5"/>
  <c r="AU132" i="5"/>
  <c r="AG128" i="5"/>
  <c r="AC128" i="5"/>
  <c r="J22" i="4"/>
  <c r="AT119" i="5"/>
  <c r="I22" i="4"/>
  <c r="AV172" i="5"/>
  <c r="M119" i="5"/>
  <c r="AU142" i="5"/>
  <c r="AG122" i="5"/>
  <c r="AC122" i="5"/>
  <c r="AG111" i="5"/>
  <c r="AC111" i="5"/>
  <c r="AD73" i="5"/>
  <c r="AB73" i="5"/>
  <c r="AD88" i="5"/>
  <c r="AB88" i="5"/>
  <c r="BC23" i="5"/>
  <c r="AV86" i="5"/>
  <c r="AG25" i="5"/>
  <c r="AE25" i="5"/>
  <c r="AD60" i="5"/>
  <c r="AB60" i="5"/>
  <c r="AD65" i="5"/>
  <c r="AB65" i="5"/>
  <c r="J13" i="5"/>
  <c r="AU43" i="5"/>
  <c r="BC65" i="5"/>
  <c r="AU48" i="5"/>
  <c r="J13" i="4"/>
  <c r="AD49" i="5"/>
  <c r="AB49" i="5"/>
  <c r="AD77" i="5"/>
  <c r="AB77" i="5"/>
  <c r="AV71" i="5"/>
  <c r="K91" i="5"/>
  <c r="K13" i="5"/>
  <c r="AV73" i="5"/>
  <c r="J14" i="4"/>
  <c r="AD69" i="5"/>
  <c r="AB69" i="5"/>
  <c r="BD1111" i="5"/>
  <c r="BJ1111" i="5"/>
  <c r="L1111" i="5"/>
  <c r="AW1111" i="5"/>
  <c r="AV1111" i="5" s="1"/>
  <c r="K45" i="4" s="1"/>
  <c r="J1111" i="5"/>
  <c r="J1110" i="5" s="1"/>
  <c r="J1109" i="5" s="1"/>
  <c r="BC1115" i="5"/>
  <c r="I47" i="4"/>
  <c r="C27" i="1"/>
  <c r="C20" i="1"/>
  <c r="C21" i="1"/>
  <c r="AB1111" i="5"/>
  <c r="AF1111" i="5"/>
  <c r="N47" i="4"/>
  <c r="AC1115" i="5"/>
  <c r="AE1115" i="5"/>
  <c r="K22" i="3"/>
  <c r="K61" i="4"/>
  <c r="AS338" i="5"/>
  <c r="AC663" i="5"/>
  <c r="AE663" i="5"/>
  <c r="AG663" i="5"/>
  <c r="L34" i="4"/>
  <c r="AC558" i="5"/>
  <c r="AE558" i="5"/>
  <c r="AG558" i="5"/>
  <c r="AG848" i="5"/>
  <c r="AC848" i="5"/>
  <c r="AE848" i="5"/>
  <c r="AV1003" i="5"/>
  <c r="BC1003" i="5"/>
  <c r="AV1020" i="5"/>
  <c r="BC1020" i="5"/>
  <c r="AF993" i="5"/>
  <c r="AD993" i="5"/>
  <c r="AB993" i="5"/>
  <c r="AD709" i="5"/>
  <c r="AF709" i="5"/>
  <c r="AB709" i="5"/>
  <c r="AD733" i="5"/>
  <c r="AF733" i="5"/>
  <c r="AB733" i="5"/>
  <c r="AV835" i="5"/>
  <c r="BC835" i="5"/>
  <c r="BC853" i="5"/>
  <c r="AV853" i="5"/>
  <c r="AV687" i="5"/>
  <c r="BC687" i="5"/>
  <c r="P37" i="4"/>
  <c r="BC896" i="5"/>
  <c r="J17" i="3"/>
  <c r="J46" i="4"/>
  <c r="AG660" i="5"/>
  <c r="AC660" i="5"/>
  <c r="AE660" i="5"/>
  <c r="AF1134" i="5"/>
  <c r="AB1134" i="5"/>
  <c r="AD1134" i="5"/>
  <c r="AF1148" i="5"/>
  <c r="AB1148" i="5"/>
  <c r="AD1148" i="5"/>
  <c r="AF1164" i="5"/>
  <c r="AB1164" i="5"/>
  <c r="AD1164" i="5"/>
  <c r="AF1180" i="5"/>
  <c r="AB1180" i="5"/>
  <c r="AD1180" i="5"/>
  <c r="AV1231" i="5"/>
  <c r="BC1231" i="5"/>
  <c r="AG1253" i="5"/>
  <c r="AC1253" i="5"/>
  <c r="AE1253" i="5"/>
  <c r="AG1026" i="5"/>
  <c r="AC1026" i="5"/>
  <c r="AE1026" i="5"/>
  <c r="AG1201" i="5"/>
  <c r="AC1201" i="5"/>
  <c r="AE1201" i="5"/>
  <c r="J18" i="3"/>
  <c r="J48" i="4"/>
  <c r="AS1342" i="5"/>
  <c r="AE1481" i="5"/>
  <c r="AG1481" i="5"/>
  <c r="AC1481" i="5"/>
  <c r="I24" i="3"/>
  <c r="AF1048" i="5"/>
  <c r="AB1048" i="5"/>
  <c r="AD1048" i="5"/>
  <c r="P58" i="4"/>
  <c r="AC1586" i="5"/>
  <c r="AE1586" i="5"/>
  <c r="AG1586" i="5"/>
  <c r="J62" i="4"/>
  <c r="AE1396" i="5"/>
  <c r="AG1396" i="5"/>
  <c r="AC1396" i="5"/>
  <c r="P55" i="4"/>
  <c r="AG1197" i="5"/>
  <c r="AC1197" i="5"/>
  <c r="AE1197" i="5"/>
  <c r="N20" i="3"/>
  <c r="P20" i="3"/>
  <c r="BC1022" i="5"/>
  <c r="AV1022" i="5"/>
  <c r="AF1081" i="5"/>
  <c r="AB1081" i="5"/>
  <c r="AD1081" i="5"/>
  <c r="AG1280" i="5"/>
  <c r="AC1280" i="5"/>
  <c r="AE1280" i="5"/>
  <c r="AG1377" i="5"/>
  <c r="AE1377" i="5"/>
  <c r="AC1377" i="5"/>
  <c r="AC1518" i="5"/>
  <c r="AG1518" i="5"/>
  <c r="AE1518" i="5"/>
  <c r="AF52" i="5"/>
  <c r="AB52" i="5"/>
  <c r="AD52" i="5"/>
  <c r="AT13" i="5"/>
  <c r="C28" i="1"/>
  <c r="F28" i="1" s="1"/>
  <c r="AV29" i="5"/>
  <c r="BC29" i="5"/>
  <c r="AF98" i="5"/>
  <c r="AD98" i="5"/>
  <c r="AB98" i="5"/>
  <c r="AV175" i="5"/>
  <c r="J205" i="5"/>
  <c r="AE75" i="5"/>
  <c r="AC75" i="5"/>
  <c r="AG75" i="5"/>
  <c r="AE100" i="5"/>
  <c r="AC100" i="5"/>
  <c r="AG100" i="5"/>
  <c r="AS124" i="5"/>
  <c r="AT184" i="5"/>
  <c r="AD234" i="5"/>
  <c r="AF234" i="5"/>
  <c r="AB234" i="5"/>
  <c r="BC365" i="5"/>
  <c r="AV365" i="5"/>
  <c r="AV156" i="5"/>
  <c r="BC156" i="5"/>
  <c r="AD216" i="5"/>
  <c r="AF216" i="5"/>
  <c r="AB216" i="5"/>
  <c r="AG296" i="5"/>
  <c r="AE296" i="5"/>
  <c r="AC296" i="5"/>
  <c r="AV321" i="5"/>
  <c r="BC321" i="5"/>
  <c r="BC336" i="5"/>
  <c r="AV336" i="5"/>
  <c r="AC441" i="5"/>
  <c r="AG441" i="5"/>
  <c r="AE441" i="5"/>
  <c r="AF456" i="5"/>
  <c r="AD456" i="5"/>
  <c r="AB456" i="5"/>
  <c r="K509" i="5"/>
  <c r="BC429" i="5"/>
  <c r="AV429" i="5"/>
  <c r="BC193" i="5"/>
  <c r="AV193" i="5"/>
  <c r="BC412" i="5"/>
  <c r="AV412" i="5"/>
  <c r="K132" i="5"/>
  <c r="AG496" i="5"/>
  <c r="AC496" i="5"/>
  <c r="AE496" i="5"/>
  <c r="BC513" i="5"/>
  <c r="BC347" i="5"/>
  <c r="AV347" i="5"/>
  <c r="AC534" i="5"/>
  <c r="AE534" i="5"/>
  <c r="AG534" i="5"/>
  <c r="AV572" i="5"/>
  <c r="AG502" i="5"/>
  <c r="AE502" i="5"/>
  <c r="AC502" i="5"/>
  <c r="AC594" i="5"/>
  <c r="AG594" i="5"/>
  <c r="AE594" i="5"/>
  <c r="AD408" i="5"/>
  <c r="AB408" i="5"/>
  <c r="AF408" i="5"/>
  <c r="AC683" i="5"/>
  <c r="AE683" i="5"/>
  <c r="AG683" i="5"/>
  <c r="AF404" i="5"/>
  <c r="AB404" i="5"/>
  <c r="AD404" i="5"/>
  <c r="J31" i="4"/>
  <c r="BC612" i="5"/>
  <c r="AC599" i="5"/>
  <c r="AE599" i="5"/>
  <c r="AG599" i="5"/>
  <c r="AC769" i="5"/>
  <c r="AE769" i="5"/>
  <c r="AG769" i="5"/>
  <c r="I33" i="4"/>
  <c r="AS732" i="5"/>
  <c r="AG798" i="5"/>
  <c r="AE798" i="5"/>
  <c r="AC798" i="5"/>
  <c r="AC689" i="5"/>
  <c r="AE689" i="5"/>
  <c r="AG689" i="5"/>
  <c r="BC715" i="5"/>
  <c r="AV715" i="5"/>
  <c r="AV857" i="5"/>
  <c r="BC857" i="5"/>
  <c r="AV848" i="5"/>
  <c r="BC848" i="5"/>
  <c r="AC620" i="5"/>
  <c r="AG620" i="5"/>
  <c r="AE620" i="5"/>
  <c r="BC657" i="5"/>
  <c r="J732" i="5"/>
  <c r="AV823" i="5"/>
  <c r="K960" i="5"/>
  <c r="AS960" i="5"/>
  <c r="AG794" i="5"/>
  <c r="AE794" i="5"/>
  <c r="AC794" i="5"/>
  <c r="AC878" i="5"/>
  <c r="AE878" i="5"/>
  <c r="AG878" i="5"/>
  <c r="BC1006" i="5"/>
  <c r="AV1006" i="5"/>
  <c r="AC896" i="5"/>
  <c r="AE896" i="5"/>
  <c r="AG896" i="5"/>
  <c r="AC983" i="5"/>
  <c r="AE983" i="5"/>
  <c r="AG983" i="5"/>
  <c r="AC902" i="5"/>
  <c r="AE902" i="5"/>
  <c r="AG902" i="5"/>
  <c r="AV1257" i="5"/>
  <c r="AU1182" i="5"/>
  <c r="AV1261" i="5"/>
  <c r="AG1284" i="5"/>
  <c r="AC1284" i="5"/>
  <c r="AE1284" i="5"/>
  <c r="BC1306" i="5"/>
  <c r="AV1306" i="5"/>
  <c r="BC1322" i="5"/>
  <c r="AV1322" i="5"/>
  <c r="BC1338" i="5"/>
  <c r="AV1338" i="5"/>
  <c r="AG1225" i="5"/>
  <c r="AC1225" i="5"/>
  <c r="AE1225" i="5"/>
  <c r="AV1271" i="5"/>
  <c r="BC1271" i="5"/>
  <c r="AD1345" i="5"/>
  <c r="AB1345" i="5"/>
  <c r="AF1345" i="5"/>
  <c r="AV1473" i="5"/>
  <c r="AB983" i="5"/>
  <c r="AD983" i="5"/>
  <c r="AF983" i="5"/>
  <c r="J49" i="4"/>
  <c r="AV1119" i="5"/>
  <c r="K49" i="4" s="1"/>
  <c r="AE1496" i="5"/>
  <c r="AG1496" i="5"/>
  <c r="AC1496" i="5"/>
  <c r="I41" i="4"/>
  <c r="AV1048" i="5"/>
  <c r="BC1048" i="5"/>
  <c r="K17" i="3"/>
  <c r="K46" i="4"/>
  <c r="AV1292" i="5"/>
  <c r="BC1292" i="5"/>
  <c r="K24" i="3"/>
  <c r="K74" i="4"/>
  <c r="J57" i="4"/>
  <c r="J20" i="3"/>
  <c r="L1471" i="5"/>
  <c r="AV1237" i="5"/>
  <c r="BC1237" i="5"/>
  <c r="AC1314" i="5"/>
  <c r="AG1314" i="5"/>
  <c r="AE1314" i="5"/>
  <c r="AE1434" i="5"/>
  <c r="AG1434" i="5"/>
  <c r="AC1434" i="5"/>
  <c r="AB1553" i="5"/>
  <c r="AF1553" i="5"/>
  <c r="AD1553" i="5"/>
  <c r="AU1448" i="5"/>
  <c r="AC1483" i="5"/>
  <c r="AG1483" i="5"/>
  <c r="AE1483" i="5"/>
  <c r="AB1509" i="5"/>
  <c r="AF1509" i="5"/>
  <c r="AD1509" i="5"/>
  <c r="AG1092" i="5"/>
  <c r="AE1092" i="5"/>
  <c r="AC1092" i="5"/>
  <c r="AG1221" i="5"/>
  <c r="AC1221" i="5"/>
  <c r="AE1221" i="5"/>
  <c r="AC1494" i="5"/>
  <c r="AE1494" i="5"/>
  <c r="AG1494" i="5"/>
  <c r="AV1263" i="5"/>
  <c r="AC1488" i="5"/>
  <c r="AE1488" i="5"/>
  <c r="AG1488" i="5"/>
  <c r="AC1421" i="5"/>
  <c r="AE1421" i="5"/>
  <c r="AG1421" i="5"/>
  <c r="AV1081" i="5"/>
  <c r="BC1081" i="5"/>
  <c r="AG1408" i="5"/>
  <c r="AE1408" i="5"/>
  <c r="AC1408" i="5"/>
  <c r="BC1494" i="5"/>
  <c r="AV1494" i="5"/>
  <c r="AB1566" i="5"/>
  <c r="AF1566" i="5"/>
  <c r="AD1566" i="5"/>
  <c r="AE1461" i="5"/>
  <c r="AG1461" i="5"/>
  <c r="AC1461" i="5"/>
  <c r="BC231" i="5"/>
  <c r="AV231" i="5"/>
  <c r="J20" i="4"/>
  <c r="AC629" i="5"/>
  <c r="AG629" i="5"/>
  <c r="AE629" i="5"/>
  <c r="AG612" i="5"/>
  <c r="AE612" i="5"/>
  <c r="AC612" i="5"/>
  <c r="AG635" i="5"/>
  <c r="AE635" i="5"/>
  <c r="AC635" i="5"/>
  <c r="O12" i="5"/>
  <c r="AF390" i="5"/>
  <c r="AD390" i="5"/>
  <c r="AB390" i="5"/>
  <c r="AF193" i="5"/>
  <c r="AB193" i="5"/>
  <c r="AD193" i="5"/>
  <c r="AG258" i="5"/>
  <c r="AC258" i="5"/>
  <c r="AE258" i="5"/>
  <c r="AG345" i="5"/>
  <c r="AE345" i="5"/>
  <c r="AC345" i="5"/>
  <c r="AT450" i="5"/>
  <c r="AV135" i="5"/>
  <c r="AF347" i="5"/>
  <c r="AD347" i="5"/>
  <c r="AB347" i="5"/>
  <c r="AC326" i="5"/>
  <c r="AE326" i="5"/>
  <c r="AG326" i="5"/>
  <c r="AC390" i="5"/>
  <c r="AG390" i="5"/>
  <c r="AE390" i="5"/>
  <c r="BC404" i="5"/>
  <c r="AV404" i="5"/>
  <c r="AG536" i="5"/>
  <c r="AC536" i="5"/>
  <c r="AE536" i="5"/>
  <c r="AB687" i="5"/>
  <c r="AF687" i="5"/>
  <c r="AD687" i="5"/>
  <c r="AD997" i="5"/>
  <c r="AF997" i="5"/>
  <c r="AB997" i="5"/>
  <c r="AF1138" i="5"/>
  <c r="AB1138" i="5"/>
  <c r="AD1138" i="5"/>
  <c r="AF1152" i="5"/>
  <c r="AB1152" i="5"/>
  <c r="AD1152" i="5"/>
  <c r="AF1168" i="5"/>
  <c r="AB1168" i="5"/>
  <c r="AD1168" i="5"/>
  <c r="AF1233" i="5"/>
  <c r="AB1233" i="5"/>
  <c r="AD1233" i="5"/>
  <c r="AB906" i="5"/>
  <c r="AD906" i="5"/>
  <c r="AF906" i="5"/>
  <c r="AG1185" i="5"/>
  <c r="AC1185" i="5"/>
  <c r="AE1185" i="5"/>
  <c r="AC1391" i="5"/>
  <c r="AE1391" i="5"/>
  <c r="AG1391" i="5"/>
  <c r="AE1501" i="5"/>
  <c r="AG1501" i="5"/>
  <c r="AC1501" i="5"/>
  <c r="AF1031" i="5"/>
  <c r="AB1031" i="5"/>
  <c r="AD1031" i="5"/>
  <c r="O1121" i="5"/>
  <c r="AC1246" i="5"/>
  <c r="AE1246" i="5"/>
  <c r="AG1246" i="5"/>
  <c r="AC1440" i="5"/>
  <c r="AG1440" i="5"/>
  <c r="AE1440" i="5"/>
  <c r="AC1294" i="5"/>
  <c r="AG1294" i="5"/>
  <c r="AE1294" i="5"/>
  <c r="AC1533" i="5"/>
  <c r="AE1533" i="5"/>
  <c r="AG1533" i="5"/>
  <c r="AB911" i="5"/>
  <c r="AD911" i="5"/>
  <c r="AF911" i="5"/>
  <c r="AG1276" i="5"/>
  <c r="AE1276" i="5"/>
  <c r="AC1276" i="5"/>
  <c r="AV25" i="5"/>
  <c r="BC25" i="5"/>
  <c r="BC113" i="5"/>
  <c r="AV113" i="5"/>
  <c r="AG96" i="5"/>
  <c r="AE96" i="5"/>
  <c r="AC96" i="5"/>
  <c r="M485" i="5"/>
  <c r="AG551" i="5"/>
  <c r="AC551" i="5"/>
  <c r="AE551" i="5"/>
  <c r="AF441" i="5"/>
  <c r="AD441" i="5"/>
  <c r="AB441" i="5"/>
  <c r="AC451" i="5"/>
  <c r="AG451" i="5"/>
  <c r="AE451" i="5"/>
  <c r="M647" i="5"/>
  <c r="AF697" i="5"/>
  <c r="AB697" i="5"/>
  <c r="AD697" i="5"/>
  <c r="AV832" i="5"/>
  <c r="BC832" i="5"/>
  <c r="AD721" i="5"/>
  <c r="AF721" i="5"/>
  <c r="AB721" i="5"/>
  <c r="BC1217" i="5"/>
  <c r="BC1294" i="5"/>
  <c r="AV1294" i="5"/>
  <c r="BC1310" i="5"/>
  <c r="AV1310" i="5"/>
  <c r="I54" i="4"/>
  <c r="BC1343" i="5"/>
  <c r="AV1343" i="5"/>
  <c r="AE1521" i="5"/>
  <c r="AG1521" i="5"/>
  <c r="AC1521" i="5"/>
  <c r="AV1031" i="5"/>
  <c r="BC1031" i="5"/>
  <c r="AU1273" i="5"/>
  <c r="P71" i="4"/>
  <c r="AF1241" i="5"/>
  <c r="AB1241" i="5"/>
  <c r="AD1241" i="5"/>
  <c r="AV1440" i="5"/>
  <c r="BC1440" i="5"/>
  <c r="AB1494" i="5"/>
  <c r="AF1494" i="5"/>
  <c r="AD1494" i="5"/>
  <c r="AG1205" i="5"/>
  <c r="AC1205" i="5"/>
  <c r="AE1205" i="5"/>
  <c r="AC1549" i="5"/>
  <c r="AG1549" i="5"/>
  <c r="AE1549" i="5"/>
  <c r="AD1427" i="5"/>
  <c r="AF1427" i="5"/>
  <c r="AB1427" i="5"/>
  <c r="AG1237" i="5"/>
  <c r="AE1237" i="5"/>
  <c r="AC1237" i="5"/>
  <c r="AF25" i="5"/>
  <c r="AD25" i="5"/>
  <c r="AB25" i="5"/>
  <c r="AB113" i="5"/>
  <c r="AD113" i="5"/>
  <c r="AF113" i="5"/>
  <c r="AT246" i="5"/>
  <c r="BC96" i="5"/>
  <c r="AV96" i="5"/>
  <c r="BC130" i="5"/>
  <c r="AV130" i="5"/>
  <c r="BC154" i="5"/>
  <c r="AE172" i="5"/>
  <c r="AG172" i="5"/>
  <c r="AC172" i="5"/>
  <c r="AE165" i="5"/>
  <c r="AG165" i="5"/>
  <c r="AC165" i="5"/>
  <c r="AU416" i="5"/>
  <c r="L106" i="5"/>
  <c r="AV307" i="5"/>
  <c r="BC307" i="5"/>
  <c r="AD375" i="5"/>
  <c r="AF375" i="5"/>
  <c r="AB375" i="5"/>
  <c r="I19" i="4"/>
  <c r="BC120" i="5"/>
  <c r="AV120" i="5"/>
  <c r="AV258" i="5"/>
  <c r="AB314" i="5"/>
  <c r="AD314" i="5"/>
  <c r="AF314" i="5"/>
  <c r="AD379" i="5"/>
  <c r="AB379" i="5"/>
  <c r="AF379" i="5"/>
  <c r="BC467" i="5"/>
  <c r="AV467" i="5"/>
  <c r="BC243" i="5"/>
  <c r="AV243" i="5"/>
  <c r="AV357" i="5"/>
  <c r="BC441" i="5"/>
  <c r="AV441" i="5"/>
  <c r="AV515" i="5"/>
  <c r="BC515" i="5"/>
  <c r="AC437" i="5"/>
  <c r="AG437" i="5"/>
  <c r="AE437" i="5"/>
  <c r="AG532" i="5"/>
  <c r="AC532" i="5"/>
  <c r="AE532" i="5"/>
  <c r="AG584" i="5"/>
  <c r="AC584" i="5"/>
  <c r="AE584" i="5"/>
  <c r="AF446" i="5"/>
  <c r="AB446" i="5"/>
  <c r="AD446" i="5"/>
  <c r="AG556" i="5"/>
  <c r="AC556" i="5"/>
  <c r="AE556" i="5"/>
  <c r="AG639" i="5"/>
  <c r="AE639" i="5"/>
  <c r="AC639" i="5"/>
  <c r="AU682" i="5"/>
  <c r="K641" i="5"/>
  <c r="AC675" i="5"/>
  <c r="AE675" i="5"/>
  <c r="AG675" i="5"/>
  <c r="AC493" i="5"/>
  <c r="AG493" i="5"/>
  <c r="AE493" i="5"/>
  <c r="L741" i="5"/>
  <c r="M677" i="5"/>
  <c r="J765" i="5"/>
  <c r="AV642" i="5"/>
  <c r="AC603" i="5"/>
  <c r="AG603" i="5"/>
  <c r="AE603" i="5"/>
  <c r="AS790" i="5"/>
  <c r="BC737" i="5"/>
  <c r="AV737" i="5"/>
  <c r="AT862" i="5"/>
  <c r="BC697" i="5"/>
  <c r="AV697" i="5"/>
  <c r="AU862" i="5"/>
  <c r="J38" i="4"/>
  <c r="BC788" i="5"/>
  <c r="AV970" i="5"/>
  <c r="BC970" i="5"/>
  <c r="AV995" i="5"/>
  <c r="BC995" i="5"/>
  <c r="BC1012" i="5"/>
  <c r="AV1012" i="5"/>
  <c r="AF703" i="5"/>
  <c r="AB703" i="5"/>
  <c r="AD703" i="5"/>
  <c r="J36" i="4"/>
  <c r="BC757" i="5"/>
  <c r="I39" i="4"/>
  <c r="AU941" i="5"/>
  <c r="AF979" i="5"/>
  <c r="AB979" i="5"/>
  <c r="AD979" i="5"/>
  <c r="AU1028" i="5"/>
  <c r="AF1018" i="5"/>
  <c r="AD1018" i="5"/>
  <c r="AB1018" i="5"/>
  <c r="K35" i="4"/>
  <c r="AV794" i="5"/>
  <c r="BC997" i="5"/>
  <c r="AV997" i="5"/>
  <c r="AC1018" i="5"/>
  <c r="AE1018" i="5"/>
  <c r="AG1018" i="5"/>
  <c r="AC1022" i="5"/>
  <c r="AE1022" i="5"/>
  <c r="AG1022" i="5"/>
  <c r="K843" i="5"/>
  <c r="AF1128" i="5"/>
  <c r="AB1128" i="5"/>
  <c r="AD1128" i="5"/>
  <c r="AF1156" i="5"/>
  <c r="AB1156" i="5"/>
  <c r="AD1156" i="5"/>
  <c r="AF1172" i="5"/>
  <c r="AB1172" i="5"/>
  <c r="AD1172" i="5"/>
  <c r="AV1201" i="5"/>
  <c r="AG1059" i="5"/>
  <c r="AC1059" i="5"/>
  <c r="AE1059" i="5"/>
  <c r="N44" i="4"/>
  <c r="AE1564" i="5"/>
  <c r="AG1564" i="5"/>
  <c r="AC1564" i="5"/>
  <c r="AE1531" i="5"/>
  <c r="AG1531" i="5"/>
  <c r="AC1531" i="5"/>
  <c r="AU1005" i="5"/>
  <c r="AT1273" i="5"/>
  <c r="J862" i="5"/>
  <c r="AC1322" i="5"/>
  <c r="AG1322" i="5"/>
  <c r="AE1322" i="5"/>
  <c r="AC1343" i="5"/>
  <c r="AG1343" i="5"/>
  <c r="AE1343" i="5"/>
  <c r="AB1513" i="5"/>
  <c r="AF1513" i="5"/>
  <c r="AD1513" i="5"/>
  <c r="AV1092" i="5"/>
  <c r="BC1092" i="5"/>
  <c r="AD1444" i="5"/>
  <c r="AF1444" i="5"/>
  <c r="AB1444" i="5"/>
  <c r="AG1229" i="5"/>
  <c r="AC1229" i="5"/>
  <c r="AE1229" i="5"/>
  <c r="K63" i="4"/>
  <c r="AC1432" i="5"/>
  <c r="AE1432" i="5"/>
  <c r="AG1432" i="5"/>
  <c r="AC1509" i="5"/>
  <c r="AG1509" i="5"/>
  <c r="AE1509" i="5"/>
  <c r="AC1553" i="5"/>
  <c r="AG1553" i="5"/>
  <c r="AE1553" i="5"/>
  <c r="AG1074" i="5"/>
  <c r="AC1074" i="5"/>
  <c r="AE1074" i="5"/>
  <c r="BC911" i="5"/>
  <c r="AV911" i="5"/>
  <c r="AV1427" i="5"/>
  <c r="BC1427" i="5"/>
  <c r="P69" i="4"/>
  <c r="AF1104" i="5"/>
  <c r="AB1104" i="5"/>
  <c r="AD1104" i="5"/>
  <c r="AC1504" i="5"/>
  <c r="AE1504" i="5"/>
  <c r="AG1504" i="5"/>
  <c r="AB1572" i="5"/>
  <c r="AF1572" i="5"/>
  <c r="AD1572" i="5"/>
  <c r="K66" i="4"/>
  <c r="L12" i="5"/>
  <c r="AE67" i="5"/>
  <c r="AC67" i="5"/>
  <c r="AG67" i="5"/>
  <c r="AE154" i="5"/>
  <c r="AG154" i="5"/>
  <c r="AC154" i="5"/>
  <c r="AV143" i="5"/>
  <c r="BC143" i="5"/>
  <c r="AV343" i="5"/>
  <c r="BC343" i="5"/>
  <c r="AG618" i="5"/>
  <c r="AE618" i="5"/>
  <c r="AC618" i="5"/>
  <c r="AG645" i="5"/>
  <c r="AC645" i="5"/>
  <c r="AE645" i="5"/>
  <c r="BC456" i="5"/>
  <c r="AV456" i="5"/>
  <c r="AG491" i="5"/>
  <c r="AC491" i="5"/>
  <c r="AE491" i="5"/>
  <c r="BC631" i="5"/>
  <c r="AV964" i="5"/>
  <c r="BC964" i="5"/>
  <c r="AG757" i="5"/>
  <c r="AE757" i="5"/>
  <c r="AC757" i="5"/>
  <c r="AC805" i="5"/>
  <c r="AE805" i="5"/>
  <c r="AG805" i="5"/>
  <c r="AV657" i="5"/>
  <c r="AC961" i="5"/>
  <c r="AG961" i="5"/>
  <c r="AE961" i="5"/>
  <c r="BC709" i="5"/>
  <c r="AV709" i="5"/>
  <c r="N64" i="4"/>
  <c r="P64" i="4"/>
  <c r="AB156" i="5"/>
  <c r="AD156" i="5"/>
  <c r="AF156" i="5"/>
  <c r="BC216" i="5"/>
  <c r="AV216" i="5"/>
  <c r="AB265" i="5"/>
  <c r="AF265" i="5"/>
  <c r="AD265" i="5"/>
  <c r="AV122" i="5"/>
  <c r="BC122" i="5"/>
  <c r="AD307" i="5"/>
  <c r="AF307" i="5"/>
  <c r="AB307" i="5"/>
  <c r="AF367" i="5"/>
  <c r="AD367" i="5"/>
  <c r="AB367" i="5"/>
  <c r="AG349" i="5"/>
  <c r="AE349" i="5"/>
  <c r="AC349" i="5"/>
  <c r="AG365" i="5"/>
  <c r="AE365" i="5"/>
  <c r="AC365" i="5"/>
  <c r="AC979" i="5"/>
  <c r="AG979" i="5"/>
  <c r="AE979" i="5"/>
  <c r="BC1326" i="5"/>
  <c r="AV1326" i="5"/>
  <c r="AG1209" i="5"/>
  <c r="AC1209" i="5"/>
  <c r="AE1209" i="5"/>
  <c r="BC868" i="5"/>
  <c r="AV868" i="5"/>
  <c r="AF1276" i="5"/>
  <c r="AB1276" i="5"/>
  <c r="AD1276" i="5"/>
  <c r="AB1363" i="5"/>
  <c r="AF1363" i="5"/>
  <c r="AD1363" i="5"/>
  <c r="AC1541" i="5"/>
  <c r="AG1541" i="5"/>
  <c r="AE1541" i="5"/>
  <c r="BC88" i="5"/>
  <c r="AV88" i="5"/>
  <c r="AE71" i="5"/>
  <c r="AG71" i="5"/>
  <c r="AC71" i="5"/>
  <c r="AT132" i="5"/>
  <c r="AS228" i="5"/>
  <c r="I18" i="4"/>
  <c r="AV116" i="5"/>
  <c r="K18" i="4" s="1"/>
  <c r="BC116" i="5"/>
  <c r="J25" i="4"/>
  <c r="AV247" i="5"/>
  <c r="AF130" i="5"/>
  <c r="AB130" i="5"/>
  <c r="AD130" i="5"/>
  <c r="AV154" i="5"/>
  <c r="AD229" i="5"/>
  <c r="AF229" i="5"/>
  <c r="AB229" i="5"/>
  <c r="AF339" i="5"/>
  <c r="AB339" i="5"/>
  <c r="AD339" i="5"/>
  <c r="AB139" i="5"/>
  <c r="AF139" i="5"/>
  <c r="AD139" i="5"/>
  <c r="M416" i="5"/>
  <c r="AB331" i="5"/>
  <c r="AF331" i="5"/>
  <c r="AD331" i="5"/>
  <c r="AC222" i="5"/>
  <c r="AG222" i="5"/>
  <c r="AE222" i="5"/>
  <c r="BC314" i="5"/>
  <c r="AV314" i="5"/>
  <c r="AC351" i="5"/>
  <c r="AG351" i="5"/>
  <c r="AE351" i="5"/>
  <c r="BC375" i="5"/>
  <c r="AV375" i="5"/>
  <c r="M450" i="5"/>
  <c r="J119" i="5"/>
  <c r="AC472" i="5"/>
  <c r="AG472" i="5"/>
  <c r="AE472" i="5"/>
  <c r="AU521" i="5"/>
  <c r="AC482" i="5"/>
  <c r="AG482" i="5"/>
  <c r="AE482" i="5"/>
  <c r="AD243" i="5"/>
  <c r="AF243" i="5"/>
  <c r="AB243" i="5"/>
  <c r="AF371" i="5"/>
  <c r="AD371" i="5"/>
  <c r="AB371" i="5"/>
  <c r="AC386" i="5"/>
  <c r="AG386" i="5"/>
  <c r="AE386" i="5"/>
  <c r="AV331" i="5"/>
  <c r="AD424" i="5"/>
  <c r="AB424" i="5"/>
  <c r="AF424" i="5"/>
  <c r="AU509" i="5"/>
  <c r="J416" i="5"/>
  <c r="BC472" i="5"/>
  <c r="AV472" i="5"/>
  <c r="J450" i="5"/>
  <c r="AV496" i="5"/>
  <c r="L24" i="4"/>
  <c r="AV351" i="5"/>
  <c r="BC406" i="5"/>
  <c r="AV406" i="5"/>
  <c r="AV594" i="5"/>
  <c r="BC446" i="5"/>
  <c r="AV446" i="5"/>
  <c r="AC577" i="5"/>
  <c r="AG577" i="5"/>
  <c r="AE577" i="5"/>
  <c r="AV493" i="5"/>
  <c r="BC493" i="5"/>
  <c r="K521" i="5"/>
  <c r="AU647" i="5"/>
  <c r="AV599" i="5"/>
  <c r="AG691" i="5"/>
  <c r="AE691" i="5"/>
  <c r="AC691" i="5"/>
  <c r="AC747" i="5"/>
  <c r="AE747" i="5"/>
  <c r="AG747" i="5"/>
  <c r="AD398" i="5"/>
  <c r="AF398" i="5"/>
  <c r="AB398" i="5"/>
  <c r="K765" i="5"/>
  <c r="AG601" i="5"/>
  <c r="AE601" i="5"/>
  <c r="AC601" i="5"/>
  <c r="AB863" i="5"/>
  <c r="AD863" i="5"/>
  <c r="AF863" i="5"/>
  <c r="AG673" i="5"/>
  <c r="AC673" i="5"/>
  <c r="AE673" i="5"/>
  <c r="BC721" i="5"/>
  <c r="AV721" i="5"/>
  <c r="AV817" i="5"/>
  <c r="BC817" i="5"/>
  <c r="AV950" i="5"/>
  <c r="BC950" i="5"/>
  <c r="AV703" i="5"/>
  <c r="BC703" i="5"/>
  <c r="AG778" i="5"/>
  <c r="AE778" i="5"/>
  <c r="AC778" i="5"/>
  <c r="AG813" i="5"/>
  <c r="AE813" i="5"/>
  <c r="AC813" i="5"/>
  <c r="AT941" i="5"/>
  <c r="BC727" i="5"/>
  <c r="AV727" i="5"/>
  <c r="BC798" i="5"/>
  <c r="M829" i="5"/>
  <c r="AT843" i="5"/>
  <c r="AC937" i="5"/>
  <c r="AE937" i="5"/>
  <c r="AG937" i="5"/>
  <c r="AF1257" i="5"/>
  <c r="AD1257" i="5"/>
  <c r="AB1257" i="5"/>
  <c r="AG1288" i="5"/>
  <c r="AE1288" i="5"/>
  <c r="AC1288" i="5"/>
  <c r="AC997" i="5"/>
  <c r="AE997" i="5"/>
  <c r="AG997" i="5"/>
  <c r="AB956" i="5"/>
  <c r="AD956" i="5"/>
  <c r="AF956" i="5"/>
  <c r="AS843" i="5"/>
  <c r="J1143" i="5"/>
  <c r="BC1298" i="5"/>
  <c r="AV1298" i="5"/>
  <c r="BC1314" i="5"/>
  <c r="AV1314" i="5"/>
  <c r="BC1330" i="5"/>
  <c r="AV1330" i="5"/>
  <c r="BC1347" i="5"/>
  <c r="AV1347" i="5"/>
  <c r="N16" i="3"/>
  <c r="AG1193" i="5"/>
  <c r="AC1193" i="5"/>
  <c r="AE1193" i="5"/>
  <c r="AC1416" i="5"/>
  <c r="AE1416" i="5"/>
  <c r="AG1416" i="5"/>
  <c r="AC1582" i="5"/>
  <c r="AE1582" i="5"/>
  <c r="AG1582" i="5"/>
  <c r="BC883" i="5"/>
  <c r="AV883" i="5"/>
  <c r="AS1005" i="5"/>
  <c r="AG1043" i="5"/>
  <c r="AC1043" i="5"/>
  <c r="AE1043" i="5"/>
  <c r="AC1243" i="5"/>
  <c r="AG1243" i="5"/>
  <c r="AE1243" i="5"/>
  <c r="AF1248" i="5"/>
  <c r="AD1248" i="5"/>
  <c r="AB1248" i="5"/>
  <c r="AV1276" i="5"/>
  <c r="BC1276" i="5"/>
  <c r="AV1461" i="5"/>
  <c r="AC1528" i="5"/>
  <c r="AE1528" i="5"/>
  <c r="AG1528" i="5"/>
  <c r="AV1241" i="5"/>
  <c r="BC1241" i="5"/>
  <c r="AF1371" i="5"/>
  <c r="AD1371" i="5"/>
  <c r="AB1371" i="5"/>
  <c r="AV1444" i="5"/>
  <c r="BC1444" i="5"/>
  <c r="AC1498" i="5"/>
  <c r="AG1498" i="5"/>
  <c r="AE1498" i="5"/>
  <c r="AC1523" i="5"/>
  <c r="AE1523" i="5"/>
  <c r="AG1523" i="5"/>
  <c r="AT1577" i="5"/>
  <c r="N48" i="4"/>
  <c r="P48" i="4"/>
  <c r="AG1189" i="5"/>
  <c r="AC1189" i="5"/>
  <c r="AE1189" i="5"/>
  <c r="BC1432" i="5"/>
  <c r="AV1432" i="5"/>
  <c r="AV1104" i="5"/>
  <c r="BC1104" i="5"/>
  <c r="AV1396" i="5"/>
  <c r="AE1453" i="5"/>
  <c r="AG1453" i="5"/>
  <c r="AC1453" i="5"/>
  <c r="BC1549" i="5"/>
  <c r="AV1549" i="5"/>
  <c r="AG1104" i="5"/>
  <c r="AE1104" i="5"/>
  <c r="AC1104" i="5"/>
  <c r="AV36" i="5"/>
  <c r="BC36" i="5"/>
  <c r="I20" i="4"/>
  <c r="BC133" i="5"/>
  <c r="AV133" i="5"/>
  <c r="BC394" i="5"/>
  <c r="AV394" i="5"/>
  <c r="AB321" i="5"/>
  <c r="AF321" i="5"/>
  <c r="AD321" i="5"/>
  <c r="AC456" i="5"/>
  <c r="AG456" i="5"/>
  <c r="AE456" i="5"/>
  <c r="BC369" i="5"/>
  <c r="AV369" i="5"/>
  <c r="AG519" i="5"/>
  <c r="AC519" i="5"/>
  <c r="AE519" i="5"/>
  <c r="AG133" i="5"/>
  <c r="AE133" i="5"/>
  <c r="AC133" i="5"/>
  <c r="AV534" i="5"/>
  <c r="BC534" i="5"/>
  <c r="BC421" i="5"/>
  <c r="AV421" i="5"/>
  <c r="AG592" i="5"/>
  <c r="AE592" i="5"/>
  <c r="AC592" i="5"/>
  <c r="AG588" i="5"/>
  <c r="AC588" i="5"/>
  <c r="AE588" i="5"/>
  <c r="BC990" i="5"/>
  <c r="AV990" i="5"/>
  <c r="AT1182" i="5"/>
  <c r="AB868" i="5"/>
  <c r="AF868" i="5"/>
  <c r="AD868" i="5"/>
  <c r="AC1357" i="5"/>
  <c r="AG1357" i="5"/>
  <c r="AE1357" i="5"/>
  <c r="AC62" i="5"/>
  <c r="AG62" i="5"/>
  <c r="AE62" i="5"/>
  <c r="BC67" i="5"/>
  <c r="AV67" i="5"/>
  <c r="AC69" i="5"/>
  <c r="AE69" i="5"/>
  <c r="AG69" i="5"/>
  <c r="AG86" i="5"/>
  <c r="AE86" i="5"/>
  <c r="AC86" i="5"/>
  <c r="AG168" i="5"/>
  <c r="AE168" i="5"/>
  <c r="AC168" i="5"/>
  <c r="AC359" i="5"/>
  <c r="AE359" i="5"/>
  <c r="AG359" i="5"/>
  <c r="BC408" i="5"/>
  <c r="AV408" i="5"/>
  <c r="AC642" i="5"/>
  <c r="AE642" i="5"/>
  <c r="AG642" i="5"/>
  <c r="AC925" i="5"/>
  <c r="AG925" i="5"/>
  <c r="AE925" i="5"/>
  <c r="AS812" i="5"/>
  <c r="AG783" i="5"/>
  <c r="AE783" i="5"/>
  <c r="AC783" i="5"/>
  <c r="AC883" i="5"/>
  <c r="AE883" i="5"/>
  <c r="AG883" i="5"/>
  <c r="AG1245" i="5"/>
  <c r="AE1245" i="5"/>
  <c r="AC1245" i="5"/>
  <c r="AC844" i="5"/>
  <c r="AE844" i="5"/>
  <c r="AG844" i="5"/>
  <c r="AF1092" i="5"/>
  <c r="AB1092" i="5"/>
  <c r="AD1092" i="5"/>
  <c r="I13" i="4"/>
  <c r="BC27" i="5"/>
  <c r="AS48" i="5"/>
  <c r="BC92" i="5"/>
  <c r="AV92" i="5"/>
  <c r="AV46" i="5"/>
  <c r="BC46" i="5"/>
  <c r="AS91" i="5"/>
  <c r="M48" i="5"/>
  <c r="J91" i="5"/>
  <c r="AU91" i="5"/>
  <c r="AV199" i="5"/>
  <c r="BC199" i="5"/>
  <c r="M132" i="5"/>
  <c r="AB125" i="5"/>
  <c r="AD125" i="5"/>
  <c r="AF125" i="5"/>
  <c r="M184" i="5"/>
  <c r="BC226" i="5"/>
  <c r="BC265" i="5"/>
  <c r="AV265" i="5"/>
  <c r="I21" i="4"/>
  <c r="J228" i="5"/>
  <c r="AV339" i="5"/>
  <c r="BC339" i="5"/>
  <c r="J27" i="4"/>
  <c r="BC31" i="5"/>
  <c r="AV31" i="5"/>
  <c r="AE301" i="5"/>
  <c r="AC301" i="5"/>
  <c r="AG301" i="5"/>
  <c r="AB224" i="5"/>
  <c r="AD224" i="5"/>
  <c r="AF224" i="5"/>
  <c r="AC290" i="5"/>
  <c r="AG290" i="5"/>
  <c r="AE290" i="5"/>
  <c r="AU450" i="5"/>
  <c r="BC168" i="5"/>
  <c r="AV168" i="5"/>
  <c r="AT205" i="5"/>
  <c r="BC281" i="5"/>
  <c r="AV281" i="5"/>
  <c r="AG357" i="5"/>
  <c r="AE357" i="5"/>
  <c r="AC357" i="5"/>
  <c r="BC402" i="5"/>
  <c r="J560" i="5"/>
  <c r="AD218" i="5"/>
  <c r="AF218" i="5"/>
  <c r="AB218" i="5"/>
  <c r="BC363" i="5"/>
  <c r="AV363" i="5"/>
  <c r="AT521" i="5"/>
  <c r="AF165" i="5"/>
  <c r="AD165" i="5"/>
  <c r="AB165" i="5"/>
  <c r="AG381" i="5"/>
  <c r="AC381" i="5"/>
  <c r="AE381" i="5"/>
  <c r="AV502" i="5"/>
  <c r="AV592" i="5"/>
  <c r="AG361" i="5"/>
  <c r="AE361" i="5"/>
  <c r="AC361" i="5"/>
  <c r="BC371" i="5"/>
  <c r="AV371" i="5"/>
  <c r="AT485" i="5"/>
  <c r="AT509" i="5"/>
  <c r="AF417" i="5"/>
  <c r="AD417" i="5"/>
  <c r="AB417" i="5"/>
  <c r="AD472" i="5"/>
  <c r="AF472" i="5"/>
  <c r="AB472" i="5"/>
  <c r="AS416" i="5"/>
  <c r="O183" i="5"/>
  <c r="AD388" i="5"/>
  <c r="AF388" i="5"/>
  <c r="AB388" i="5"/>
  <c r="AU560" i="5"/>
  <c r="BC597" i="5"/>
  <c r="AG665" i="5"/>
  <c r="AC665" i="5"/>
  <c r="AE665" i="5"/>
  <c r="BC522" i="5"/>
  <c r="AC553" i="5"/>
  <c r="AG553" i="5"/>
  <c r="AE553" i="5"/>
  <c r="AG631" i="5"/>
  <c r="AC631" i="5"/>
  <c r="AE631" i="5"/>
  <c r="AS682" i="5"/>
  <c r="AG650" i="5"/>
  <c r="AE650" i="5"/>
  <c r="AC650" i="5"/>
  <c r="AG513" i="5"/>
  <c r="AC513" i="5"/>
  <c r="AE513" i="5"/>
  <c r="AC522" i="5"/>
  <c r="AE522" i="5"/>
  <c r="AG522" i="5"/>
  <c r="AT647" i="5"/>
  <c r="AG678" i="5"/>
  <c r="AC678" i="5"/>
  <c r="AE678" i="5"/>
  <c r="K732" i="5"/>
  <c r="J777" i="5"/>
  <c r="BC635" i="5"/>
  <c r="AC753" i="5"/>
  <c r="AE753" i="5"/>
  <c r="AG753" i="5"/>
  <c r="BC398" i="5"/>
  <c r="AV398" i="5"/>
  <c r="AG817" i="5"/>
  <c r="AE817" i="5"/>
  <c r="AC817" i="5"/>
  <c r="AV673" i="5"/>
  <c r="BC673" i="5"/>
  <c r="AV999" i="5"/>
  <c r="BC999" i="5"/>
  <c r="AV1016" i="5"/>
  <c r="BC1016" i="5"/>
  <c r="M742" i="5"/>
  <c r="AS804" i="5"/>
  <c r="AS941" i="5"/>
  <c r="AU812" i="5"/>
  <c r="AG835" i="5"/>
  <c r="AC835" i="5"/>
  <c r="AE835" i="5"/>
  <c r="AC931" i="5"/>
  <c r="AE931" i="5"/>
  <c r="AG931" i="5"/>
  <c r="AF853" i="5"/>
  <c r="AB853" i="5"/>
  <c r="AD853" i="5"/>
  <c r="BC1001" i="5"/>
  <c r="AV1001" i="5"/>
  <c r="AV757" i="5"/>
  <c r="K36" i="4" s="1"/>
  <c r="AC889" i="5"/>
  <c r="AE889" i="5"/>
  <c r="AG889" i="5"/>
  <c r="AB902" i="5"/>
  <c r="AD902" i="5"/>
  <c r="AF902" i="5"/>
  <c r="BC956" i="5"/>
  <c r="AV956" i="5"/>
  <c r="BC1119" i="5"/>
  <c r="AF1144" i="5"/>
  <c r="AB1144" i="5"/>
  <c r="AD1144" i="5"/>
  <c r="AF1160" i="5"/>
  <c r="AB1160" i="5"/>
  <c r="AD1160" i="5"/>
  <c r="AF1176" i="5"/>
  <c r="AB1176" i="5"/>
  <c r="AD1176" i="5"/>
  <c r="AG1217" i="5"/>
  <c r="AC1217" i="5"/>
  <c r="AE1217" i="5"/>
  <c r="AC906" i="5"/>
  <c r="AE906" i="5"/>
  <c r="AG906" i="5"/>
  <c r="AF1069" i="5"/>
  <c r="AB1069" i="5"/>
  <c r="AD1069" i="5"/>
  <c r="M1342" i="5"/>
  <c r="M1121" i="5" s="1"/>
  <c r="AC1466" i="5"/>
  <c r="AE1466" i="5"/>
  <c r="AG1466" i="5"/>
  <c r="AB883" i="5"/>
  <c r="AF883" i="5"/>
  <c r="AD883" i="5"/>
  <c r="AB878" i="5"/>
  <c r="AF878" i="5"/>
  <c r="AD878" i="5"/>
  <c r="AG1123" i="5"/>
  <c r="AC1123" i="5"/>
  <c r="AE1123" i="5"/>
  <c r="AG1292" i="5"/>
  <c r="AE1292" i="5"/>
  <c r="AC1292" i="5"/>
  <c r="J54" i="4"/>
  <c r="J1448" i="5"/>
  <c r="J1373" i="5" s="1"/>
  <c r="AC1306" i="5"/>
  <c r="AG1306" i="5"/>
  <c r="AE1306" i="5"/>
  <c r="N21" i="3"/>
  <c r="P21" i="3"/>
  <c r="AC1557" i="5"/>
  <c r="AE1557" i="5"/>
  <c r="AG1557" i="5"/>
  <c r="AB1584" i="5"/>
  <c r="AF1584" i="5"/>
  <c r="AD1584" i="5"/>
  <c r="I21" i="3"/>
  <c r="I59" i="4"/>
  <c r="AF1063" i="5"/>
  <c r="AB1063" i="5"/>
  <c r="AD1063" i="5"/>
  <c r="N18" i="3"/>
  <c r="P18" i="3"/>
  <c r="AG1213" i="5"/>
  <c r="AC1213" i="5"/>
  <c r="AE1213" i="5"/>
  <c r="AD1436" i="5"/>
  <c r="AF1436" i="5"/>
  <c r="AB1436" i="5"/>
  <c r="AC1513" i="5"/>
  <c r="AG1513" i="5"/>
  <c r="AE1513" i="5"/>
  <c r="AB1022" i="5"/>
  <c r="AD1022" i="5"/>
  <c r="AF1022" i="5"/>
  <c r="L74" i="4"/>
  <c r="L24" i="3"/>
  <c r="BC663" i="5"/>
  <c r="AG1257" i="5"/>
  <c r="AE1257" i="5"/>
  <c r="AC1257" i="5"/>
  <c r="AG1406" i="5"/>
  <c r="AE1406" i="5"/>
  <c r="AC1406" i="5"/>
  <c r="AC1561" i="5"/>
  <c r="AE1561" i="5"/>
  <c r="AG1561" i="5"/>
  <c r="AG1399" i="5"/>
  <c r="AE1399" i="5"/>
  <c r="AC1399" i="5"/>
  <c r="BC1509" i="5"/>
  <c r="AV1509" i="5"/>
  <c r="BC1553" i="5"/>
  <c r="AV1553" i="5"/>
  <c r="AV1453" i="5"/>
  <c r="BC1473" i="5"/>
  <c r="I25" i="4"/>
  <c r="AV206" i="5"/>
  <c r="BC206" i="5"/>
  <c r="AG148" i="5"/>
  <c r="AE148" i="5"/>
  <c r="AC148" i="5"/>
  <c r="AV165" i="5"/>
  <c r="BC165" i="5"/>
  <c r="AB421" i="5"/>
  <c r="AD421" i="5"/>
  <c r="AF421" i="5"/>
  <c r="BC553" i="5"/>
  <c r="AV553" i="5"/>
  <c r="AF67" i="5"/>
  <c r="AB67" i="5"/>
  <c r="AD67" i="5"/>
  <c r="AV98" i="5"/>
  <c r="BC98" i="5"/>
  <c r="I17" i="4"/>
  <c r="BC111" i="5"/>
  <c r="AV111" i="5"/>
  <c r="K17" i="4" s="1"/>
  <c r="AC179" i="5"/>
  <c r="AG179" i="5"/>
  <c r="AE179" i="5"/>
  <c r="AV75" i="5"/>
  <c r="BC75" i="5"/>
  <c r="AD203" i="5"/>
  <c r="AF203" i="5"/>
  <c r="AB203" i="5"/>
  <c r="AC130" i="5"/>
  <c r="AG130" i="5"/>
  <c r="AE130" i="5"/>
  <c r="I26" i="4"/>
  <c r="AV234" i="5"/>
  <c r="BC234" i="5"/>
  <c r="AB122" i="5"/>
  <c r="AD122" i="5"/>
  <c r="AF122" i="5"/>
  <c r="BC367" i="5"/>
  <c r="AV367" i="5"/>
  <c r="AC367" i="5"/>
  <c r="AG367" i="5"/>
  <c r="AE367" i="5"/>
  <c r="J611" i="5"/>
  <c r="AE265" i="5"/>
  <c r="AG265" i="5"/>
  <c r="AC265" i="5"/>
  <c r="AC581" i="5"/>
  <c r="AE581" i="5"/>
  <c r="AG581" i="5"/>
  <c r="AG606" i="5"/>
  <c r="AC606" i="5"/>
  <c r="AE606" i="5"/>
  <c r="AC774" i="5"/>
  <c r="AE774" i="5"/>
  <c r="AG774" i="5"/>
  <c r="AD737" i="5"/>
  <c r="AF737" i="5"/>
  <c r="AB737" i="5"/>
  <c r="AV1008" i="5"/>
  <c r="BC1008" i="5"/>
  <c r="BC733" i="5"/>
  <c r="AV733" i="5"/>
  <c r="AC1338" i="5"/>
  <c r="AG1338" i="5"/>
  <c r="AE1338" i="5"/>
  <c r="AV1421" i="5"/>
  <c r="BC1421" i="5"/>
  <c r="AC1473" i="5"/>
  <c r="AE1473" i="5"/>
  <c r="AG1473" i="5"/>
  <c r="AC1537" i="5"/>
  <c r="AE1537" i="5"/>
  <c r="AG1537" i="5"/>
  <c r="AV181" i="5"/>
  <c r="BC181" i="5"/>
  <c r="BC203" i="5"/>
  <c r="AV203" i="5"/>
  <c r="AT416" i="5"/>
  <c r="AF120" i="5"/>
  <c r="AB120" i="5"/>
  <c r="AD120" i="5"/>
  <c r="BC379" i="5"/>
  <c r="AV379" i="5"/>
  <c r="BC390" i="5"/>
  <c r="AV390" i="5"/>
  <c r="AC515" i="5"/>
  <c r="AG515" i="5"/>
  <c r="AE515" i="5"/>
  <c r="AB406" i="5"/>
  <c r="AD406" i="5"/>
  <c r="AF406" i="5"/>
  <c r="AC1014" i="5"/>
  <c r="AG1014" i="5"/>
  <c r="AE1014" i="5"/>
  <c r="AD727" i="5"/>
  <c r="AF727" i="5"/>
  <c r="AB727" i="5"/>
  <c r="J53" i="4"/>
  <c r="L16" i="3"/>
  <c r="L44" i="4"/>
  <c r="BC906" i="5"/>
  <c r="AV906" i="5"/>
  <c r="BC983" i="5"/>
  <c r="AV983" i="5"/>
  <c r="AE1526" i="5"/>
  <c r="AG1526" i="5"/>
  <c r="AC1526" i="5"/>
  <c r="AC1286" i="5"/>
  <c r="AG1286" i="5"/>
  <c r="AE1286" i="5"/>
  <c r="AC1298" i="5"/>
  <c r="AG1298" i="5"/>
  <c r="AE1298" i="5"/>
  <c r="AG1379" i="5"/>
  <c r="AE1379" i="5"/>
  <c r="AC1379" i="5"/>
  <c r="AG1261" i="5"/>
  <c r="AC1261" i="5"/>
  <c r="AE1261" i="5"/>
  <c r="AV69" i="5"/>
  <c r="AT48" i="5"/>
  <c r="AB46" i="5"/>
  <c r="AD46" i="5"/>
  <c r="AF46" i="5"/>
  <c r="AF111" i="5"/>
  <c r="AB111" i="5"/>
  <c r="AD111" i="5"/>
  <c r="BC128" i="5"/>
  <c r="AV128" i="5"/>
  <c r="AB133" i="5"/>
  <c r="AD133" i="5"/>
  <c r="AF133" i="5"/>
  <c r="P16" i="4"/>
  <c r="AV148" i="5"/>
  <c r="BC148" i="5"/>
  <c r="AT124" i="5"/>
  <c r="AU320" i="5"/>
  <c r="I14" i="4"/>
  <c r="AF143" i="5"/>
  <c r="AD143" i="5"/>
  <c r="AB143" i="5"/>
  <c r="L183" i="5"/>
  <c r="AC305" i="5"/>
  <c r="AG305" i="5"/>
  <c r="AE305" i="5"/>
  <c r="AS119" i="5"/>
  <c r="AC135" i="5"/>
  <c r="AE135" i="5"/>
  <c r="AG135" i="5"/>
  <c r="AF333" i="5"/>
  <c r="AD333" i="5"/>
  <c r="AB333" i="5"/>
  <c r="BC229" i="5"/>
  <c r="AV229" i="5"/>
  <c r="BC139" i="5"/>
  <c r="AV139" i="5"/>
  <c r="AG281" i="5"/>
  <c r="AC281" i="5"/>
  <c r="AE281" i="5"/>
  <c r="AB31" i="5"/>
  <c r="AD31" i="5"/>
  <c r="AF31" i="5"/>
  <c r="AD231" i="5"/>
  <c r="AF231" i="5"/>
  <c r="AB231" i="5"/>
  <c r="BC224" i="5"/>
  <c r="AV224" i="5"/>
  <c r="AC318" i="5"/>
  <c r="AE318" i="5"/>
  <c r="AG318" i="5"/>
  <c r="AS450" i="5"/>
  <c r="AB168" i="5"/>
  <c r="AD168" i="5"/>
  <c r="AF168" i="5"/>
  <c r="M205" i="5"/>
  <c r="AB281" i="5"/>
  <c r="AF281" i="5"/>
  <c r="AD281" i="5"/>
  <c r="AB392" i="5"/>
  <c r="AD392" i="5"/>
  <c r="AF392" i="5"/>
  <c r="BC218" i="5"/>
  <c r="AV218" i="5"/>
  <c r="AF363" i="5"/>
  <c r="AD363" i="5"/>
  <c r="AB363" i="5"/>
  <c r="AC363" i="5"/>
  <c r="AG363" i="5"/>
  <c r="AE363" i="5"/>
  <c r="AE175" i="5"/>
  <c r="AG175" i="5"/>
  <c r="AC175" i="5"/>
  <c r="AV277" i="5"/>
  <c r="AF394" i="5"/>
  <c r="AB394" i="5"/>
  <c r="AD394" i="5"/>
  <c r="AG243" i="5"/>
  <c r="AE243" i="5"/>
  <c r="AC243" i="5"/>
  <c r="BC424" i="5"/>
  <c r="AV424" i="5"/>
  <c r="I29" i="4"/>
  <c r="AV417" i="5"/>
  <c r="BC417" i="5"/>
  <c r="AV388" i="5"/>
  <c r="BC388" i="5"/>
  <c r="AG321" i="5"/>
  <c r="AE321" i="5"/>
  <c r="AC321" i="5"/>
  <c r="AC590" i="5"/>
  <c r="AE590" i="5"/>
  <c r="AG590" i="5"/>
  <c r="AG369" i="5"/>
  <c r="AE369" i="5"/>
  <c r="AC369" i="5"/>
  <c r="AV577" i="5"/>
  <c r="BC577" i="5"/>
  <c r="K611" i="5"/>
  <c r="AC657" i="5"/>
  <c r="AG657" i="5"/>
  <c r="AE657" i="5"/>
  <c r="AV654" i="5"/>
  <c r="BC678" i="5"/>
  <c r="AV678" i="5"/>
  <c r="J812" i="5"/>
  <c r="AG654" i="5"/>
  <c r="AC654" i="5"/>
  <c r="AE654" i="5"/>
  <c r="AC347" i="5"/>
  <c r="AG347" i="5"/>
  <c r="AE347" i="5"/>
  <c r="AT790" i="5"/>
  <c r="AD715" i="5"/>
  <c r="AF715" i="5"/>
  <c r="AB715" i="5"/>
  <c r="AV954" i="5"/>
  <c r="BC954" i="5"/>
  <c r="J37" i="4"/>
  <c r="AC819" i="5"/>
  <c r="AE819" i="5"/>
  <c r="AG819" i="5"/>
  <c r="AC993" i="5"/>
  <c r="AG993" i="5"/>
  <c r="AE993" i="5"/>
  <c r="K804" i="5"/>
  <c r="AU960" i="5"/>
  <c r="BC819" i="5"/>
  <c r="BC778" i="5"/>
  <c r="AB1006" i="5"/>
  <c r="AD1006" i="5"/>
  <c r="AF1006" i="5"/>
  <c r="BC902" i="5"/>
  <c r="AV902" i="5"/>
  <c r="AF1043" i="5"/>
  <c r="AB1043" i="5"/>
  <c r="AD1043" i="5"/>
  <c r="AU843" i="5"/>
  <c r="AV1280" i="5"/>
  <c r="BC1302" i="5"/>
  <c r="AV1302" i="5"/>
  <c r="BC1318" i="5"/>
  <c r="AV1318" i="5"/>
  <c r="BC1334" i="5"/>
  <c r="AV1334" i="5"/>
  <c r="BC1351" i="5"/>
  <c r="AV1351" i="5"/>
  <c r="AG1063" i="5"/>
  <c r="AE1063" i="5"/>
  <c r="AC1063" i="5"/>
  <c r="AF1271" i="5"/>
  <c r="AD1271" i="5"/>
  <c r="AB1271" i="5"/>
  <c r="AV1069" i="5"/>
  <c r="BC1069" i="5"/>
  <c r="AU1342" i="5"/>
  <c r="AE1559" i="5"/>
  <c r="AG1559" i="5"/>
  <c r="AC1559" i="5"/>
  <c r="BC878" i="5"/>
  <c r="AV878" i="5"/>
  <c r="AG1031" i="5"/>
  <c r="AE1031" i="5"/>
  <c r="AC1031" i="5"/>
  <c r="AV1248" i="5"/>
  <c r="BC1248" i="5"/>
  <c r="AF1237" i="5"/>
  <c r="AB1237" i="5"/>
  <c r="AD1237" i="5"/>
  <c r="AC1330" i="5"/>
  <c r="AG1330" i="5"/>
  <c r="AE1330" i="5"/>
  <c r="AC1351" i="5"/>
  <c r="AG1351" i="5"/>
  <c r="AE1351" i="5"/>
  <c r="P59" i="4"/>
  <c r="N59" i="4"/>
  <c r="I60" i="4"/>
  <c r="BC1371" i="5"/>
  <c r="AV1371" i="5"/>
  <c r="K60" i="4" s="1"/>
  <c r="AC1424" i="5"/>
  <c r="AE1424" i="5"/>
  <c r="AG1424" i="5"/>
  <c r="K1508" i="5"/>
  <c r="AB1549" i="5"/>
  <c r="AF1549" i="5"/>
  <c r="AD1549" i="5"/>
  <c r="AE1394" i="5"/>
  <c r="AG1394" i="5"/>
  <c r="AC1394" i="5"/>
  <c r="M1577" i="5"/>
  <c r="M1576" i="5" s="1"/>
  <c r="AV1063" i="5"/>
  <c r="BC1063" i="5"/>
  <c r="N57" i="4"/>
  <c r="P57" i="4"/>
  <c r="AG1403" i="5"/>
  <c r="AE1403" i="5"/>
  <c r="AC1403" i="5"/>
  <c r="AV1436" i="5"/>
  <c r="BC1436" i="5"/>
  <c r="AB1478" i="5"/>
  <c r="AF1478" i="5"/>
  <c r="AD1478" i="5"/>
  <c r="BC1513" i="5"/>
  <c r="AV1513" i="5"/>
  <c r="I70" i="4"/>
  <c r="K73" i="4" l="1"/>
  <c r="L13" i="3"/>
  <c r="K51" i="4"/>
  <c r="N51" i="4" s="1"/>
  <c r="K71" i="4"/>
  <c r="N71" i="4" s="1"/>
  <c r="K70" i="4"/>
  <c r="N70" i="4" s="1"/>
  <c r="L61" i="4"/>
  <c r="K12" i="5"/>
  <c r="J12" i="4" s="1"/>
  <c r="L67" i="4"/>
  <c r="M1373" i="5"/>
  <c r="K75" i="4"/>
  <c r="N75" i="4" s="1"/>
  <c r="M12" i="5"/>
  <c r="K42" i="4"/>
  <c r="N42" i="4" s="1"/>
  <c r="K31" i="4"/>
  <c r="N31" i="4" s="1"/>
  <c r="K22" i="4"/>
  <c r="N22" i="4" s="1"/>
  <c r="K1121" i="5"/>
  <c r="K1471" i="5"/>
  <c r="J67" i="4" s="1"/>
  <c r="K21" i="4"/>
  <c r="N21" i="4" s="1"/>
  <c r="J106" i="5"/>
  <c r="K38" i="4"/>
  <c r="N38" i="4" s="1"/>
  <c r="K37" i="4"/>
  <c r="N37" i="4" s="1"/>
  <c r="K1373" i="5"/>
  <c r="K27" i="4"/>
  <c r="N27" i="4" s="1"/>
  <c r="K62" i="4"/>
  <c r="N62" i="4" s="1"/>
  <c r="M1471" i="5"/>
  <c r="M106" i="5"/>
  <c r="K13" i="4"/>
  <c r="N13" i="4" s="1"/>
  <c r="K106" i="5"/>
  <c r="J15" i="4" s="1"/>
  <c r="K39" i="4"/>
  <c r="N39" i="4" s="1"/>
  <c r="K43" i="4"/>
  <c r="N43" i="4" s="1"/>
  <c r="K28" i="4"/>
  <c r="N28" i="4" s="1"/>
  <c r="K24" i="4"/>
  <c r="N24" i="4" s="1"/>
  <c r="K20" i="4"/>
  <c r="N20" i="4" s="1"/>
  <c r="K72" i="4"/>
  <c r="N72" i="4" s="1"/>
  <c r="J12" i="5"/>
  <c r="I67" i="4"/>
  <c r="K50" i="4"/>
  <c r="P50" i="4" s="1"/>
  <c r="J1121" i="5"/>
  <c r="I19" i="3" s="1"/>
  <c r="K53" i="4"/>
  <c r="N53" i="4" s="1"/>
  <c r="K40" i="4"/>
  <c r="N40" i="4" s="1"/>
  <c r="K741" i="5"/>
  <c r="J15" i="3" s="1"/>
  <c r="J741" i="5"/>
  <c r="I15" i="3" s="1"/>
  <c r="K32" i="4"/>
  <c r="N32" i="4" s="1"/>
  <c r="K33" i="4"/>
  <c r="N33" i="4" s="1"/>
  <c r="K30" i="4"/>
  <c r="N30" i="4" s="1"/>
  <c r="J183" i="5"/>
  <c r="I14" i="3" s="1"/>
  <c r="K183" i="5"/>
  <c r="J23" i="4" s="1"/>
  <c r="M183" i="5"/>
  <c r="C19" i="1"/>
  <c r="C15" i="1"/>
  <c r="K14" i="4"/>
  <c r="N14" i="4" s="1"/>
  <c r="I16" i="3"/>
  <c r="I44" i="4"/>
  <c r="I45" i="4"/>
  <c r="BC1111" i="5"/>
  <c r="L1110" i="5"/>
  <c r="AL1111" i="5"/>
  <c r="AU1110" i="5" s="1"/>
  <c r="M1111" i="5"/>
  <c r="M1110" i="5" s="1"/>
  <c r="M1109" i="5" s="1"/>
  <c r="C17" i="1"/>
  <c r="C16" i="1"/>
  <c r="N45" i="4"/>
  <c r="P45" i="4"/>
  <c r="C18" i="1"/>
  <c r="P38" i="4"/>
  <c r="P27" i="4"/>
  <c r="P13" i="4"/>
  <c r="P30" i="4"/>
  <c r="P53" i="4"/>
  <c r="P40" i="4"/>
  <c r="P31" i="4"/>
  <c r="P43" i="4"/>
  <c r="P24" i="4"/>
  <c r="P14" i="4"/>
  <c r="P72" i="4"/>
  <c r="P70" i="4"/>
  <c r="P22" i="4"/>
  <c r="P33" i="4"/>
  <c r="P62" i="4"/>
  <c r="J34" i="4"/>
  <c r="P28" i="4"/>
  <c r="L14" i="3"/>
  <c r="L23" i="4"/>
  <c r="C14" i="1"/>
  <c r="I12" i="4"/>
  <c r="I12" i="3"/>
  <c r="J19" i="3"/>
  <c r="J50" i="4"/>
  <c r="N60" i="4"/>
  <c r="P60" i="4"/>
  <c r="K29" i="4"/>
  <c r="M741" i="5"/>
  <c r="P63" i="4"/>
  <c r="N63" i="4"/>
  <c r="N50" i="4"/>
  <c r="N36" i="4"/>
  <c r="P36" i="4"/>
  <c r="N46" i="4"/>
  <c r="P46" i="4"/>
  <c r="N19" i="3"/>
  <c r="P19" i="3"/>
  <c r="K12" i="3"/>
  <c r="K12" i="4"/>
  <c r="J23" i="3"/>
  <c r="K23" i="3"/>
  <c r="K67" i="4"/>
  <c r="N17" i="3"/>
  <c r="P17" i="3"/>
  <c r="P51" i="4"/>
  <c r="J61" i="4"/>
  <c r="J22" i="3"/>
  <c r="P20" i="4"/>
  <c r="P42" i="4"/>
  <c r="N66" i="4"/>
  <c r="P66" i="4"/>
  <c r="K15" i="3"/>
  <c r="K34" i="4"/>
  <c r="N61" i="4"/>
  <c r="P61" i="4"/>
  <c r="P39" i="4"/>
  <c r="K54" i="4"/>
  <c r="K26" i="4"/>
  <c r="K41" i="4"/>
  <c r="N22" i="3"/>
  <c r="P22" i="3"/>
  <c r="N17" i="4"/>
  <c r="P17" i="4"/>
  <c r="P32" i="4"/>
  <c r="P49" i="4"/>
  <c r="N49" i="4"/>
  <c r="I22" i="3"/>
  <c r="I61" i="4"/>
  <c r="K65" i="4"/>
  <c r="P75" i="4"/>
  <c r="K25" i="4"/>
  <c r="I15" i="4"/>
  <c r="I13" i="3"/>
  <c r="N18" i="4"/>
  <c r="P18" i="4"/>
  <c r="L12" i="3"/>
  <c r="L12" i="4"/>
  <c r="N74" i="4"/>
  <c r="P74" i="4"/>
  <c r="K14" i="3"/>
  <c r="K23" i="4"/>
  <c r="P73" i="4"/>
  <c r="N73" i="4"/>
  <c r="P21" i="4"/>
  <c r="P35" i="4"/>
  <c r="N35" i="4"/>
  <c r="K19" i="4"/>
  <c r="K15" i="4"/>
  <c r="K13" i="3"/>
  <c r="L50" i="4"/>
  <c r="L19" i="3"/>
  <c r="N24" i="3"/>
  <c r="P24" i="3"/>
  <c r="K68" i="4"/>
  <c r="J14" i="3" l="1"/>
  <c r="J13" i="3"/>
  <c r="I50" i="4"/>
  <c r="I34" i="4"/>
  <c r="I23" i="4"/>
  <c r="J12" i="3"/>
  <c r="M1590" i="5"/>
  <c r="L1109" i="5"/>
  <c r="L1590" i="5"/>
  <c r="C22" i="1"/>
  <c r="H21" i="2" s="1"/>
  <c r="N13" i="3"/>
  <c r="P13" i="3"/>
  <c r="N29" i="4"/>
  <c r="P29" i="4"/>
  <c r="P41" i="4"/>
  <c r="N41" i="4"/>
  <c r="N15" i="3"/>
  <c r="P15" i="3"/>
  <c r="P67" i="4"/>
  <c r="N67" i="4"/>
  <c r="N23" i="3"/>
  <c r="P23" i="3"/>
  <c r="P15" i="4"/>
  <c r="N15" i="4"/>
  <c r="P23" i="4"/>
  <c r="N23" i="4"/>
  <c r="N68" i="4"/>
  <c r="P68" i="4"/>
  <c r="N26" i="4"/>
  <c r="P26" i="4"/>
  <c r="N12" i="4"/>
  <c r="P12" i="4"/>
  <c r="P19" i="4"/>
  <c r="N19" i="4"/>
  <c r="N14" i="3"/>
  <c r="P14" i="3"/>
  <c r="P54" i="4"/>
  <c r="N54" i="4"/>
  <c r="N12" i="3"/>
  <c r="P12" i="3"/>
  <c r="N25" i="4"/>
  <c r="P25" i="4"/>
  <c r="N34" i="4"/>
  <c r="P34" i="4"/>
  <c r="N65" i="4"/>
  <c r="P65" i="4"/>
  <c r="I21" i="2" l="1"/>
  <c r="I14" i="1" s="1"/>
  <c r="I22" i="1" s="1"/>
  <c r="C29" i="1" s="1"/>
  <c r="K44" i="4"/>
  <c r="P44" i="4" s="1"/>
  <c r="K16" i="3"/>
  <c r="P16" i="3" s="1"/>
  <c r="K25" i="3" s="1"/>
  <c r="K76" i="4"/>
  <c r="I27" i="2" l="1"/>
  <c r="F29" i="2" s="1"/>
  <c r="F29" i="1"/>
  <c r="I28" i="1"/>
  <c r="I29" i="1" l="1"/>
</calcChain>
</file>

<file path=xl/sharedStrings.xml><?xml version="1.0" encoding="utf-8"?>
<sst xmlns="http://schemas.openxmlformats.org/spreadsheetml/2006/main" count="15327" uniqueCount="3744">
  <si>
    <t>Izolace proti vlhkosti svis. nátěr ALP, za studena 1x nátěr - včetně dodávky penetračního laku ALP</t>
  </si>
  <si>
    <t>360</t>
  </si>
  <si>
    <t>92</t>
  </si>
  <si>
    <t>560</t>
  </si>
  <si>
    <t>Fólie PVC tl. 1,0, š. 1300 mm zemní</t>
  </si>
  <si>
    <t>SO 05_1_</t>
  </si>
  <si>
    <t>Svislé a kompletní konstrukce</t>
  </si>
  <si>
    <t>439</t>
  </si>
  <si>
    <t>Bourání základů z betonu prostého</t>
  </si>
  <si>
    <t>498</t>
  </si>
  <si>
    <t>537</t>
  </si>
  <si>
    <t>165</t>
  </si>
  <si>
    <t>SO 03b</t>
  </si>
  <si>
    <t>Nástěnka K 247, pro výtokový ventil G 1/2</t>
  </si>
  <si>
    <t>(4,6+2,9+0,3)*0,3</t>
  </si>
  <si>
    <t>592</t>
  </si>
  <si>
    <t>Doba výstavby:</t>
  </si>
  <si>
    <t>Hloubené vykopávky</t>
  </si>
  <si>
    <t>198</t>
  </si>
  <si>
    <t>2*25*7,9</t>
  </si>
  <si>
    <t>297</t>
  </si>
  <si>
    <t>261</t>
  </si>
  <si>
    <t>412</t>
  </si>
  <si>
    <t>Zárubeň ocelová YH100   900x1970x100</t>
  </si>
  <si>
    <t>725219401R00</t>
  </si>
  <si>
    <t>162701105R00</t>
  </si>
  <si>
    <t>722181214RU1</t>
  </si>
  <si>
    <t>762341610R00</t>
  </si>
  <si>
    <t>323</t>
  </si>
  <si>
    <t>469</t>
  </si>
  <si>
    <t>Projektant</t>
  </si>
  <si>
    <t>919735113R00</t>
  </si>
  <si>
    <t>722220111R00</t>
  </si>
  <si>
    <t>H775</t>
  </si>
  <si>
    <t>67</t>
  </si>
  <si>
    <t>Vysekání výklenků zeď cihel. MVC, pl. nad 0,25 m2</t>
  </si>
  <si>
    <t>722237123R00</t>
  </si>
  <si>
    <t>725941140R00</t>
  </si>
  <si>
    <t>209</t>
  </si>
  <si>
    <t>272</t>
  </si>
  <si>
    <t>226</t>
  </si>
  <si>
    <t>725823134RT0</t>
  </si>
  <si>
    <t>283</t>
  </si>
  <si>
    <t>Sprchová zástěna čtvrtkruhová 80x80x185 cm</t>
  </si>
  <si>
    <t>Základ 15%</t>
  </si>
  <si>
    <t>Malby</t>
  </si>
  <si>
    <t>183</t>
  </si>
  <si>
    <t>prostupy VZT + vetrání + ZTI</t>
  </si>
  <si>
    <t>3*2*8</t>
  </si>
  <si>
    <t>hrubá plocha omítek - stávající hlavní budova - venkovní omítky</t>
  </si>
  <si>
    <t>;ztratné 10%; 1,3</t>
  </si>
  <si>
    <t>Propojení přepadu DK do stávajcí kanalizace na potrubí DN 400</t>
  </si>
  <si>
    <t>379</t>
  </si>
  <si>
    <t>71,15+53,9+0,2</t>
  </si>
  <si>
    <t>11,9*0,3*0,25</t>
  </si>
  <si>
    <t>4+2+2+2</t>
  </si>
  <si>
    <t>725013128R00</t>
  </si>
  <si>
    <t>Deska EPS fasádní s grafitem   tl. 240 x 500 x 1000 mm</t>
  </si>
  <si>
    <t>103</t>
  </si>
  <si>
    <t>zelená střecha</t>
  </si>
  <si>
    <t>Příplatek za práci v omez.prostoru,obkl.pórovinové</t>
  </si>
  <si>
    <t>14,5</t>
  </si>
  <si>
    <t>764421290R00</t>
  </si>
  <si>
    <t>Stropy trámové ze železobetonu C 25/30</t>
  </si>
  <si>
    <t>424</t>
  </si>
  <si>
    <t>6+6+2+2</t>
  </si>
  <si>
    <t>XPS - nová část   pozice P3</t>
  </si>
  <si>
    <t>Bourání stropů s keramickou výplní</t>
  </si>
  <si>
    <t>611653539 - PS2</t>
  </si>
  <si>
    <t>podlaha v bytech pod střechou - podlaží 3.00</t>
  </si>
  <si>
    <t>998721101R00</t>
  </si>
  <si>
    <t>2*24*0,25*0,25*0,25</t>
  </si>
  <si>
    <t>Bednění kotev.otvorů kleneb do 0,02 m2, hl. 0,50 m</t>
  </si>
  <si>
    <t>pozice D8 - míst. 1.05 - východ ven západní stěna</t>
  </si>
  <si>
    <t>627,31*15</t>
  </si>
  <si>
    <t>722237133R00</t>
  </si>
  <si>
    <t>6*26</t>
  </si>
  <si>
    <t>311156500VD</t>
  </si>
  <si>
    <t>vodorovná v nové části pozice P3</t>
  </si>
  <si>
    <t>hlavní rozvaděč 1NP</t>
  </si>
  <si>
    <t>strop (rovina + šikminy) nad sálem (1.02)  -zavěšený na ocelové konstrukci statické podlahy 2.NP</t>
  </si>
  <si>
    <t>pozice PS2</t>
  </si>
  <si>
    <t>předělová příčka 201/203</t>
  </si>
  <si>
    <t>962032314R00</t>
  </si>
  <si>
    <t>SO 02B_78_</t>
  </si>
  <si>
    <t>764352203R00</t>
  </si>
  <si>
    <t>632416250RT1</t>
  </si>
  <si>
    <t>pár</t>
  </si>
  <si>
    <t>Obetonování potrubí nebo zdiva stok betonem C25/30</t>
  </si>
  <si>
    <t>622421121RT2</t>
  </si>
  <si>
    <t>166</t>
  </si>
  <si>
    <t>HEB 200 strop B - strojovna nad sálem  (P7)</t>
  </si>
  <si>
    <t>základové pasy vnitřních zdí staré budovy</t>
  </si>
  <si>
    <t>podlahy 2NP</t>
  </si>
  <si>
    <t>602</t>
  </si>
  <si>
    <t>Montáž a dodávka kolejniček pro shrnovací záv+s do jeviště - před (D2) se stěnou</t>
  </si>
  <si>
    <t>;ztratné 15%; 40,2</t>
  </si>
  <si>
    <t>611437460 - ST01</t>
  </si>
  <si>
    <t>;ztratné 5%; 0,11</t>
  </si>
  <si>
    <t>jiřičky přesah římsy pro hnízda</t>
  </si>
  <si>
    <t>žebra pod vnitř. nosnými zdmi v přístavbě</t>
  </si>
  <si>
    <t>7*(3+3+5+4+4)</t>
  </si>
  <si>
    <t>228</t>
  </si>
  <si>
    <t>SO 05_4_</t>
  </si>
  <si>
    <t>361</t>
  </si>
  <si>
    <t>775511244R00</t>
  </si>
  <si>
    <t>28611120</t>
  </si>
  <si>
    <t>91</t>
  </si>
  <si>
    <t>275*0,22</t>
  </si>
  <si>
    <t>968062245R00</t>
  </si>
  <si>
    <t>Montáž tepelné izolace střech, kladená na sucho, 1 vrstva</t>
  </si>
  <si>
    <t>87</t>
  </si>
  <si>
    <t>480+50+20</t>
  </si>
  <si>
    <t>Pozice stropu P5</t>
  </si>
  <si>
    <t>24*2*4*0,08*0,06</t>
  </si>
  <si>
    <t>3,3</t>
  </si>
  <si>
    <t>-(2*0,8*2+0,9*2+1,3*2,3)</t>
  </si>
  <si>
    <t>Základ 21%</t>
  </si>
  <si>
    <t>20</t>
  </si>
  <si>
    <t>998781101R00</t>
  </si>
  <si>
    <t>733000100VD</t>
  </si>
  <si>
    <t>965048515R00</t>
  </si>
  <si>
    <t>Přesun hmot pro obklady keramické, výšky do 6 m</t>
  </si>
  <si>
    <t>237</t>
  </si>
  <si>
    <t>722172314R00</t>
  </si>
  <si>
    <t>Poplatek za uložení výkopku</t>
  </si>
  <si>
    <t>31142044</t>
  </si>
  <si>
    <t>721176126R00</t>
  </si>
  <si>
    <t>SO 05</t>
  </si>
  <si>
    <t>Dodávka</t>
  </si>
  <si>
    <t>721194105R00</t>
  </si>
  <si>
    <t>10*0,125</t>
  </si>
  <si>
    <t>NUS celkem z obj.</t>
  </si>
  <si>
    <t>28,53</t>
  </si>
  <si>
    <t>336</t>
  </si>
  <si>
    <t>419</t>
  </si>
  <si>
    <t>29+63+11+10+10</t>
  </si>
  <si>
    <t>19,8</t>
  </si>
  <si>
    <t>12,64</t>
  </si>
  <si>
    <t>Vyvedení odpadních výpustek D 110 x 2,3</t>
  </si>
  <si>
    <t>564661111R00</t>
  </si>
  <si>
    <t>64281219</t>
  </si>
  <si>
    <t>998767101R00</t>
  </si>
  <si>
    <t>Vyvedení odpadních výpustek D 40 x 1,8 včetně podomítkové zápachové uzávěrky HL 404.1</t>
  </si>
  <si>
    <t>312000105VD</t>
  </si>
  <si>
    <t>Potrubí HT odpadní svislé D 110 x 2,7 mm</t>
  </si>
  <si>
    <t>Montáž tvarovek jednoos. plast. gum.kroužek DN 150</t>
  </si>
  <si>
    <t>286134209</t>
  </si>
  <si>
    <t>18,54</t>
  </si>
  <si>
    <t xml:space="preserve"> celková délka sestavy 8,5m</t>
  </si>
  <si>
    <t>167</t>
  </si>
  <si>
    <t>(6,5+6,5+6,4+6)*2*0,5</t>
  </si>
  <si>
    <t>Okno systémové dřevené - 1200/21660 - trojsklo Uw &lt;0,74 - pozice O3</t>
  </si>
  <si>
    <t>711</t>
  </si>
  <si>
    <t>762341811R00</t>
  </si>
  <si>
    <t>Pás ochranný větrací l = 5000 mm š 100 mm</t>
  </si>
  <si>
    <t>Příčka sádrokarton. ocel.kce, 1x oplášť. tl.200 mm</t>
  </si>
  <si>
    <t>451504111R00</t>
  </si>
  <si>
    <t>556</t>
  </si>
  <si>
    <t>SO 02C_6_</t>
  </si>
  <si>
    <t>Příplatek za ztížení vykopávky v blízkosti vedení</t>
  </si>
  <si>
    <t>721290112R00</t>
  </si>
  <si>
    <t>Nové konstr.  - technika prostředí staveb - VZT</t>
  </si>
  <si>
    <t>448</t>
  </si>
  <si>
    <t>Potrubí z trub.závit.pozink.svařovan. 11343,DN 32</t>
  </si>
  <si>
    <t>Dokončovací práce</t>
  </si>
  <si>
    <t>Podklad  z betonu C 25/30 XA1,do 10 cm</t>
  </si>
  <si>
    <t>-4*2*0,9</t>
  </si>
  <si>
    <t>338</t>
  </si>
  <si>
    <t>87_</t>
  </si>
  <si>
    <t>4+2+2</t>
  </si>
  <si>
    <t>Montáž záklopu, vrchní na sraz, 2x deska</t>
  </si>
  <si>
    <t>590</t>
  </si>
  <si>
    <t>65+105</t>
  </si>
  <si>
    <t>171</t>
  </si>
  <si>
    <t>147</t>
  </si>
  <si>
    <t>Izolace proti vlhkosti vodor. nátěr ALP za studena 1x nátěr - včetně dodávky penetračního laku ALP</t>
  </si>
  <si>
    <t>13,74</t>
  </si>
  <si>
    <t>Název stavby:</t>
  </si>
  <si>
    <t>Hydrantový systém, box s plnými dveřmi Hydrantový systém D25 se stálotvarou hadicí dle ČSN 730873 EN 671 - 1. - 30m</t>
  </si>
  <si>
    <t>Ostatní materiál</t>
  </si>
  <si>
    <t>Otlučení omítek vnitřních stěn v rozsahu do 100 %</t>
  </si>
  <si>
    <t>Zárubeň ocelová YH100 1600x1970x100</t>
  </si>
  <si>
    <t>771575111R00</t>
  </si>
  <si>
    <t>dřevo</t>
  </si>
  <si>
    <t>725319101R00</t>
  </si>
  <si>
    <t>Přesun hmot pro podlahy syntetické, výšky do 6 m</t>
  </si>
  <si>
    <t>48</t>
  </si>
  <si>
    <t>29</t>
  </si>
  <si>
    <t>Potrubí z trub plastických, skleněných a čedičových</t>
  </si>
  <si>
    <t>495</t>
  </si>
  <si>
    <t>28610205</t>
  </si>
  <si>
    <t>Č</t>
  </si>
  <si>
    <t>60725014</t>
  </si>
  <si>
    <t>35*0,4*0,4</t>
  </si>
  <si>
    <t>411361821R00</t>
  </si>
  <si>
    <t>784111101R00</t>
  </si>
  <si>
    <t>10371500</t>
  </si>
  <si>
    <t>HEB 200 strop A - (P5)</t>
  </si>
  <si>
    <t>764</t>
  </si>
  <si>
    <t>Podlahová stěrka ext.syst.  EpoCem  cca 3 mm</t>
  </si>
  <si>
    <t>H762_</t>
  </si>
  <si>
    <t>SO 02B_3_</t>
  </si>
  <si>
    <t>89_</t>
  </si>
  <si>
    <t>Izolace návleková MIRELON PRO tl. stěny 6 mm vnitřní průměr 25 mm</t>
  </si>
  <si>
    <t>Nové konstr.  - dešťová kanalizace</t>
  </si>
  <si>
    <t>Sanitární příčka - stěna DTD HPL 28 -barva, dveře 70/1950 - 7x  - panel umístěn na rektifik. nožičkách (min. 150 mm)</t>
  </si>
  <si>
    <t>(1+5+1)*1,6</t>
  </si>
  <si>
    <t>86,9*1,8</t>
  </si>
  <si>
    <t>římsa zelené szřechy nadatikové zdivo</t>
  </si>
  <si>
    <t>42/5</t>
  </si>
  <si>
    <t>Odbočka kanalizační KGEA 125/ 110/45° PVC</t>
  </si>
  <si>
    <t>Poznámka:</t>
  </si>
  <si>
    <t>1,55</t>
  </si>
  <si>
    <t>(54,8+9,99)*0,15</t>
  </si>
  <si>
    <t>(2,1+3,5+3,6+5,1)*0,4*0,8</t>
  </si>
  <si>
    <t>283762208</t>
  </si>
  <si>
    <t>Lokalita:</t>
  </si>
  <si>
    <t>79</t>
  </si>
  <si>
    <t>Fólie  D140 speciál podstřešní difúzně otevřená</t>
  </si>
  <si>
    <t>Montáž laťování střech, vzdálenost latí 22 - 36 cm včetně dodávky řeziva, latě 4/6 cm</t>
  </si>
  <si>
    <t>20*(0,5+0,5+0,15)</t>
  </si>
  <si>
    <t>85,9</t>
  </si>
  <si>
    <t>Izolace</t>
  </si>
  <si>
    <t>71</t>
  </si>
  <si>
    <t>25*(8,5+8,5)*0,7</t>
  </si>
  <si>
    <t>16</t>
  </si>
  <si>
    <t>PSV</t>
  </si>
  <si>
    <t>SO 02B_2_</t>
  </si>
  <si>
    <t>H775_</t>
  </si>
  <si>
    <t>357</t>
  </si>
  <si>
    <t>132201110R00</t>
  </si>
  <si>
    <t>342264514RT2</t>
  </si>
  <si>
    <t>446</t>
  </si>
  <si>
    <t>189</t>
  </si>
  <si>
    <t>24</t>
  </si>
  <si>
    <t>721176114R00</t>
  </si>
  <si>
    <t>377</t>
  </si>
  <si>
    <t>SO 03e</t>
  </si>
  <si>
    <t>312000101VD</t>
  </si>
  <si>
    <t>Bez pevné podl.</t>
  </si>
  <si>
    <t>60515811</t>
  </si>
  <si>
    <t>zelená scha</t>
  </si>
  <si>
    <t>327</t>
  </si>
  <si>
    <t>961044111R00</t>
  </si>
  <si>
    <t>Celkem</t>
  </si>
  <si>
    <t>SO 02B_6_</t>
  </si>
  <si>
    <t>Zařízení staveniště</t>
  </si>
  <si>
    <t>764421280R00</t>
  </si>
  <si>
    <t>437</t>
  </si>
  <si>
    <t>1,04</t>
  </si>
  <si>
    <t>Rychletuhnoucí podsyp bal. 80 l z recyklovatelného polystyrénového granulátu a cementového pojiva pro suché podlahy</t>
  </si>
  <si>
    <t>Teploměr  D+M</t>
  </si>
  <si>
    <t>Osazení poklopu s rámem do 50 kg</t>
  </si>
  <si>
    <t>Přesun hmot pro vnitřní kanalizaci, výšky do 6 m</t>
  </si>
  <si>
    <t>Zkoušky - UO - KHS</t>
  </si>
  <si>
    <t>766_</t>
  </si>
  <si>
    <t>5 vrtů  25 cm  po výšce</t>
  </si>
  <si>
    <t>451319777R00</t>
  </si>
  <si>
    <t>11_</t>
  </si>
  <si>
    <t>871313121R00</t>
  </si>
  <si>
    <t>611653539 - PS1</t>
  </si>
  <si>
    <t>391</t>
  </si>
  <si>
    <t>31110716</t>
  </si>
  <si>
    <t>Tyč ocelová HEB 200, S235JR</t>
  </si>
  <si>
    <t>413</t>
  </si>
  <si>
    <t>456</t>
  </si>
  <si>
    <t>věnec (podél,šít Z; šít V)</t>
  </si>
  <si>
    <t>Izolace tepelná podlah na sucho, inverzní TI v základech - pod základovou deskou</t>
  </si>
  <si>
    <t>Svislá doprava suti a vybouraných hmot shozem</t>
  </si>
  <si>
    <t>příčné žebro mezi schodišti</t>
  </si>
  <si>
    <t>Potrubí z PPR, D 20x2,8 mm, PN 16, vč.zed.výpom.</t>
  </si>
  <si>
    <t>4</t>
  </si>
  <si>
    <t>97</t>
  </si>
  <si>
    <t>Madlo dvojité pevné bílé Novaservis dl. 564 mm</t>
  </si>
  <si>
    <t>121</t>
  </si>
  <si>
    <t>94</t>
  </si>
  <si>
    <t>Příplatek k podhledu sádrokart. za tl. desek 15 mm</t>
  </si>
  <si>
    <t>Tyč závitová M16, DIN 975</t>
  </si>
  <si>
    <t>SO 06</t>
  </si>
  <si>
    <t>Vlys podlahový tl. 21 buk dl.350 š. 50 mm výběr</t>
  </si>
  <si>
    <t>145</t>
  </si>
  <si>
    <t>553508771</t>
  </si>
  <si>
    <t xml:space="preserve"> panely (min. účinnost 19%)-(16kpl)+bateriový set (5,5)+měnič+WATTrouter+připojení na elektroměr</t>
  </si>
  <si>
    <t>60</t>
  </si>
  <si>
    <t>461</t>
  </si>
  <si>
    <t>Podlahy vlysové a parketové</t>
  </si>
  <si>
    <t>Základní rozpočtové náklady</t>
  </si>
  <si>
    <t>352</t>
  </si>
  <si>
    <t>547</t>
  </si>
  <si>
    <t>Zatepl.syst.  fasáda, miner.desky PV 200 mm - KOTVY NA TI CELKOVÉ TL. 300 MM DO CIHLENÉHO ZDIVA</t>
  </si>
  <si>
    <t>kotevní desky 10 mm (P7)</t>
  </si>
  <si>
    <t>235</t>
  </si>
  <si>
    <t>31142012</t>
  </si>
  <si>
    <t>Hloubení nezapažených jam hor.3 do 50 m3, strojně</t>
  </si>
  <si>
    <t>SO 02B_71_</t>
  </si>
  <si>
    <t>26</t>
  </si>
  <si>
    <t>Trubka kanalizační KGEM SN 4 PVC 110x3,2x3000 mm</t>
  </si>
  <si>
    <t>Deska EPS 100 s grafitem  SP 1000x500x140 mm</t>
  </si>
  <si>
    <t>28,53+41,85</t>
  </si>
  <si>
    <t>vazný trám 200/260 VT1</t>
  </si>
  <si>
    <t>Odtok vanový HL555N, odpad D 40/50 mm</t>
  </si>
  <si>
    <t>105</t>
  </si>
  <si>
    <t>578</t>
  </si>
  <si>
    <t>Dveře protipožární EI30 plné 90x197 cm CPL 0,2</t>
  </si>
  <si>
    <t>Dodávka a montáž elektromagnetického dvoucestného ventilu DN 40</t>
  </si>
  <si>
    <t>Výztuž stropů z betonářské oceli B500B (10 505)</t>
  </si>
  <si>
    <t>štítové zdivo brutto</t>
  </si>
  <si>
    <t>Odtoková souprava pro dřezy PP HL22 D 40 mm</t>
  </si>
  <si>
    <t>Vyrovnání podlah, samonivel. hmota Nivelit tl. 2mm</t>
  </si>
  <si>
    <t>Sazba DPH</t>
  </si>
  <si>
    <t>135</t>
  </si>
  <si>
    <t>SO 02B_9_</t>
  </si>
  <si>
    <t>616</t>
  </si>
  <si>
    <t>332</t>
  </si>
  <si>
    <t>Rekonstrukce a rozšíření objektu</t>
  </si>
  <si>
    <t>výkopy pro sítě v podlaze 1Np - sumárně splašková kanalizace</t>
  </si>
  <si>
    <t>Konstrukce ze zemin</t>
  </si>
  <si>
    <t>6,48</t>
  </si>
  <si>
    <t>H713</t>
  </si>
  <si>
    <t>722172312R00</t>
  </si>
  <si>
    <t>253</t>
  </si>
  <si>
    <t>Konstrukce klempířské</t>
  </si>
  <si>
    <t>Okno  systémové dřevené - 1960/710+2340/710fix+960/710 - do plochy 4760/710 - výklopné - ventilace (2x) - trojsklo Uw &lt;0,74 - pozice O4</t>
  </si>
  <si>
    <t>722264112R00</t>
  </si>
  <si>
    <t>SO 05_</t>
  </si>
  <si>
    <t>10,47+6,16</t>
  </si>
  <si>
    <t>Vodárna domácí samočinná s frekvenčním měničem</t>
  </si>
  <si>
    <t>721176102R00</t>
  </si>
  <si>
    <t>61160428</t>
  </si>
  <si>
    <t>59597010</t>
  </si>
  <si>
    <t>10ks/m2 desky</t>
  </si>
  <si>
    <t>Demontáž bednění střech rovných z prken hrubých</t>
  </si>
  <si>
    <t>973031151R00</t>
  </si>
  <si>
    <t>;ztratné 15%; 6,3</t>
  </si>
  <si>
    <t>Celkem bez DPH</t>
  </si>
  <si>
    <t>;ztratné 20%; 5,6</t>
  </si>
  <si>
    <t>podlaha  2x OSB 22  horní deska - strojovna nad sálem  (P7)</t>
  </si>
  <si>
    <t>451</t>
  </si>
  <si>
    <t>122</t>
  </si>
  <si>
    <t>965042241R00</t>
  </si>
  <si>
    <t>21*0,25</t>
  </si>
  <si>
    <t>0,76</t>
  </si>
  <si>
    <t>2*25*0,75</t>
  </si>
  <si>
    <t>3,9*0,185</t>
  </si>
  <si>
    <t>obnova omítek 1.NP zachované části budovy po jejich otlučení</t>
  </si>
  <si>
    <t>pozice D7</t>
  </si>
  <si>
    <t>Pás modifikovaný asfalt Elastodek 40 special miner</t>
  </si>
  <si>
    <t>Vedlejší a ostatní rozpočtové náklady</t>
  </si>
  <si>
    <t>podlahy</t>
  </si>
  <si>
    <t>Přirážka za 1 spoj elektrotvarovky d 110 mm</t>
  </si>
  <si>
    <t>536</t>
  </si>
  <si>
    <t>268</t>
  </si>
  <si>
    <t>floujet - 1 kpl</t>
  </si>
  <si>
    <t>2+2</t>
  </si>
  <si>
    <t>štít západ 2NP</t>
  </si>
  <si>
    <t>725845811R00</t>
  </si>
  <si>
    <t>273361315R00</t>
  </si>
  <si>
    <t>766412123T00</t>
  </si>
  <si>
    <t>979081121RT3</t>
  </si>
  <si>
    <t>291</t>
  </si>
  <si>
    <t>SO 04_1_</t>
  </si>
  <si>
    <t>895191111R00</t>
  </si>
  <si>
    <t>35+65+42</t>
  </si>
  <si>
    <t>Propojení plastového potrubí polyf.D 25 mm,vodovod</t>
  </si>
  <si>
    <t>D6A  - vstup do VZT</t>
  </si>
  <si>
    <t>138</t>
  </si>
  <si>
    <t>pilíře západního štítu</t>
  </si>
  <si>
    <t>781419706R00</t>
  </si>
  <si>
    <t>721_</t>
  </si>
  <si>
    <t>odpočet otvorů</t>
  </si>
  <si>
    <t>762522811R00</t>
  </si>
  <si>
    <t>SO 02B_4_</t>
  </si>
  <si>
    <t>63150898</t>
  </si>
  <si>
    <t>11,65</t>
  </si>
  <si>
    <t>411354173R00</t>
  </si>
  <si>
    <t>Montáž střešních oken rozměr atipická konstrukce 2800/1000 mm</t>
  </si>
  <si>
    <t>Bourání nosné konstrukce trámové ze dřeva měkkého</t>
  </si>
  <si>
    <t>622311139R00</t>
  </si>
  <si>
    <t>172</t>
  </si>
  <si>
    <t>7,1</t>
  </si>
  <si>
    <t>Hmotnost (t)</t>
  </si>
  <si>
    <t>250*0,10</t>
  </si>
  <si>
    <t>;ztratné 10%; 1,8</t>
  </si>
  <si>
    <t>SO 01_76_</t>
  </si>
  <si>
    <t>59764220</t>
  </si>
  <si>
    <t>Odstranění rozepření stěn - příložné - hl. do 4 m</t>
  </si>
  <si>
    <t>Montáž pojistné bezpečnostní sestravy o ohřívače TV + dodávka materiálu viz poznámka</t>
  </si>
  <si>
    <t>Zkouška těsnosti kanalizace vodou DN 200</t>
  </si>
  <si>
    <t>480*10/1000</t>
  </si>
  <si>
    <t>Izolace tepelná podlah na sucho, jednovrstvá</t>
  </si>
  <si>
    <t>Montáž provětrávací mřížky v podélním smeru + hřebene střechy</t>
  </si>
  <si>
    <t>Bednění kotev.otvorů desek do 0,01 m2, hl. 0,25 m</t>
  </si>
  <si>
    <t>979011311RT1</t>
  </si>
  <si>
    <t>438</t>
  </si>
  <si>
    <t>242</t>
  </si>
  <si>
    <t>722290234R00</t>
  </si>
  <si>
    <t>Oplechování říms z Pz plechu, rš 600 mm</t>
  </si>
  <si>
    <t>430321414R00</t>
  </si>
  <si>
    <t>Izolace proti vlhkosti vodorovná, fólií, volně</t>
  </si>
  <si>
    <t>223</t>
  </si>
  <si>
    <t>Deska Cetris PLUS tl. 18 mm</t>
  </si>
  <si>
    <t>0,15</t>
  </si>
  <si>
    <t>591</t>
  </si>
  <si>
    <t>SO 03a_</t>
  </si>
  <si>
    <t>;ztratné 20%; 59,5</t>
  </si>
  <si>
    <t>Balkón.dveře do rámu 1kř.do 1 m, vsazené do stěny</t>
  </si>
  <si>
    <t>Bednění stropu trámového, bednění vlastní- zřízení</t>
  </si>
  <si>
    <t>6</t>
  </si>
  <si>
    <t>764230410RAB</t>
  </si>
  <si>
    <t>Rozpočtové náklady v Kč</t>
  </si>
  <si>
    <t>962032641R00</t>
  </si>
  <si>
    <t>480*0,15</t>
  </si>
  <si>
    <t>pozice PS1</t>
  </si>
  <si>
    <t>pasy nosných zdí přístavby</t>
  </si>
  <si>
    <t>513</t>
  </si>
  <si>
    <t>Parapet interiér DTD Massive šíře 250 mm barevný</t>
  </si>
  <si>
    <t>krokve</t>
  </si>
  <si>
    <t>vazný trám 200/240 VT5+VT6</t>
  </si>
  <si>
    <t>2+4+1+1</t>
  </si>
  <si>
    <t>68</t>
  </si>
  <si>
    <t>307</t>
  </si>
  <si>
    <t>767995103R00</t>
  </si>
  <si>
    <t>2*30*8</t>
  </si>
  <si>
    <t>764321220R00</t>
  </si>
  <si>
    <t>81</t>
  </si>
  <si>
    <t>553453562</t>
  </si>
  <si>
    <t>979990101R00</t>
  </si>
  <si>
    <t>sloup vazby</t>
  </si>
  <si>
    <t>systémový lem oddělující substrát od kačírku - Ext zelené střechy</t>
  </si>
  <si>
    <t>575</t>
  </si>
  <si>
    <t>Potrubí z PPR, D 40x6,7 mm, PN 20, vč. zed. výpom.</t>
  </si>
  <si>
    <t>426</t>
  </si>
  <si>
    <t>216</t>
  </si>
  <si>
    <t>Bednění schodnic přímočarých - zřízení</t>
  </si>
  <si>
    <t>408</t>
  </si>
  <si>
    <t>B</t>
  </si>
  <si>
    <t>119</t>
  </si>
  <si>
    <t>1+2+1+1</t>
  </si>
  <si>
    <t>160</t>
  </si>
  <si>
    <t>Dveře vchodové systémové dřevené posuvné 2300/2200 vsazené do plochy 4800/2975  izolační trojsklo Ud &lt;0,81 viz specifokace D1</t>
  </si>
  <si>
    <t>Náklady na umístění stavby (NUS)</t>
  </si>
  <si>
    <t>63*4*4/1000</t>
  </si>
  <si>
    <t>Čerpadlo elektronické oběhové Wilo STAR Z20/1</t>
  </si>
  <si>
    <t>Zdravotně technické instalace</t>
  </si>
  <si>
    <t>Osazení zárubní dveřních ocelových, pl. do 4,5 m2</t>
  </si>
  <si>
    <t>343</t>
  </si>
  <si>
    <t>60726123</t>
  </si>
  <si>
    <t>Přesun hmot pro budovy zděné výšky do 6 m</t>
  </si>
  <si>
    <t>42</t>
  </si>
  <si>
    <t>765312810R00</t>
  </si>
  <si>
    <t>Výztuž schodišť. konstrukcí přímočarých BSt 500 S</t>
  </si>
  <si>
    <t>Beton asfalt. ACL 16+ ložný, š. do 3 m, tl. 7 cm</t>
  </si>
  <si>
    <t>;ztratné 15%; 1,32</t>
  </si>
  <si>
    <t>254+142</t>
  </si>
  <si>
    <t>231</t>
  </si>
  <si>
    <t>82</t>
  </si>
  <si>
    <t>Montáž</t>
  </si>
  <si>
    <t>899721112R00</t>
  </si>
  <si>
    <t>604</t>
  </si>
  <si>
    <t>pasy vnitřních zdí přístavby</t>
  </si>
  <si>
    <t>Předokenní žaluzie - plechový kastlík + AL vodící lišty 22/20 mm - RAL 9006  délka kastlíku 4500 mm</t>
  </si>
  <si>
    <t>229</t>
  </si>
  <si>
    <t>Datum, razítko a podpis</t>
  </si>
  <si>
    <t>Vodoměr FAKTUARČNÍ  DN 50x300mm,Qn 15</t>
  </si>
  <si>
    <t>vzejde z výberového řízení</t>
  </si>
  <si>
    <t>61160414</t>
  </si>
  <si>
    <t>;ztratné 10%; 0,84</t>
  </si>
  <si>
    <t>(5+5+4+4+3+3+5,5)*0,3*0,6</t>
  </si>
  <si>
    <t>612421637T00</t>
  </si>
  <si>
    <t>Nátěr truhlářských výrobků (exteriér) pigment 3x</t>
  </si>
  <si>
    <t>10,23</t>
  </si>
  <si>
    <t>776_</t>
  </si>
  <si>
    <t>ZRN celkem</t>
  </si>
  <si>
    <t>31142056</t>
  </si>
  <si>
    <t>968072455R00</t>
  </si>
  <si>
    <t>20*4+20*2,5   20písmen (výška 500mm šířka 400-500 mm) - tl. plech 2 mm - antikoro + podpurná ACT kon</t>
  </si>
  <si>
    <t>272321411R00</t>
  </si>
  <si>
    <t>Zásyp ruční se zhutněním</t>
  </si>
  <si>
    <t>H764</t>
  </si>
  <si>
    <t>obklad zateplení fasády + vytažení do atik v přístavbě  (sklonování v podélné linii)</t>
  </si>
  <si>
    <t>;ztratné 20%; 18,4</t>
  </si>
  <si>
    <t>Lak dřevěných podlah , Z+2x,přebroušení</t>
  </si>
  <si>
    <t>28323200</t>
  </si>
  <si>
    <t>60515814</t>
  </si>
  <si>
    <t>Revizní dvířka Promat do SDK podhledu, 400x400 mm</t>
  </si>
  <si>
    <t>obetonování VŠ + betonová težká deska stropu</t>
  </si>
  <si>
    <t>(2,1+3,5+3,6+5,,1)*2*0,25</t>
  </si>
  <si>
    <t>Nové konstr.  - vodovodní přípojka</t>
  </si>
  <si>
    <t>60775323</t>
  </si>
  <si>
    <t>Postřik stěn maltou s adhezní přís."Asoplast - MZ"</t>
  </si>
  <si>
    <t>;ztratné 20%; 0,576</t>
  </si>
  <si>
    <t>722181211RT7</t>
  </si>
  <si>
    <t>17_</t>
  </si>
  <si>
    <t>Příplatek za zdvojení KZS, tl.300 mm, hmoždinky</t>
  </si>
  <si>
    <t>Předokenní žaluzie - žaluzie AL 90 mm RAL 9006 el. pohon + ovládání ze třídy - 2400/2245</t>
  </si>
  <si>
    <t>Obkládačka  mat</t>
  </si>
  <si>
    <t>765_</t>
  </si>
  <si>
    <t>Položení separační fólie</t>
  </si>
  <si>
    <t>382</t>
  </si>
  <si>
    <t>Izolace proti vlhk. vodorovná pásy přitavením 2 vrstvy - materiál ve specifikaci</t>
  </si>
  <si>
    <t>721194105RM1</t>
  </si>
  <si>
    <t>24+2+6+2</t>
  </si>
  <si>
    <t>2*(2*8,2*0,6)</t>
  </si>
  <si>
    <t>762722120RT3</t>
  </si>
  <si>
    <t>Vpusť podlahová se zápachovou uzávěrkou HL80.1 mřížka nerez 115 x 115 mm, odpad D 50/75 mm</t>
  </si>
  <si>
    <t>Dveře systémové dřevené jednokřídlé 900/2250, plná výplň + fixní boční zaskení do plochy 1440/2920  izolační trojsklo Ud &lt;0,81</t>
  </si>
  <si>
    <t>Vanička sprchová RONDA 80 EX</t>
  </si>
  <si>
    <t>431</t>
  </si>
  <si>
    <t>Potrubí HT svodné (ležaté) v zemi DN 125 x 3,1 mm</t>
  </si>
  <si>
    <t>Osazení zárubní dveřních hliníkových, pl. do 2,5 m2</t>
  </si>
  <si>
    <t>69</t>
  </si>
  <si>
    <t>283765412</t>
  </si>
  <si>
    <t>304</t>
  </si>
  <si>
    <t>Dveře vnitřní laminované plné 1kř. 80x197 cm</t>
  </si>
  <si>
    <t>MAR (VZT/TOP/ZTI)</t>
  </si>
  <si>
    <t>141</t>
  </si>
  <si>
    <t>bezpečnostní sklo</t>
  </si>
  <si>
    <t>440</t>
  </si>
  <si>
    <t>21*2</t>
  </si>
  <si>
    <t>;ztratné 10%; 54,968</t>
  </si>
  <si>
    <t>Z99999_</t>
  </si>
  <si>
    <t>Fólie PVC 810 tl. 1,0 mm, š. 1300 mm střešní</t>
  </si>
  <si>
    <t>4ks/m2 desky</t>
  </si>
  <si>
    <t>554</t>
  </si>
  <si>
    <t>33</t>
  </si>
  <si>
    <t>Kohout vod.kulový s vypouš.,GIACOMINI R250DS DN 25</t>
  </si>
  <si>
    <t>270</t>
  </si>
  <si>
    <t>33*0,3</t>
  </si>
  <si>
    <t>Oplechování říms z Pz-polastovaný plechu, rš 400 mm</t>
  </si>
  <si>
    <t>312000203VD</t>
  </si>
  <si>
    <t>258</t>
  </si>
  <si>
    <t>263</t>
  </si>
  <si>
    <t>podlahy v 1.NP</t>
  </si>
  <si>
    <t>SO 06_</t>
  </si>
  <si>
    <t>soklové zdivo pro okna (smerem do ulice)</t>
  </si>
  <si>
    <t>-(1*2,2+3,8*3,2+4,6*3,2+1,3*2,9+4,8*0,7+2*1,2*2,2+1,5*2,2+5,4*2,7+5,6*0,7)</t>
  </si>
  <si>
    <t>DPH 15%</t>
  </si>
  <si>
    <t>331</t>
  </si>
  <si>
    <t>2*25</t>
  </si>
  <si>
    <t>SO 04_72_</t>
  </si>
  <si>
    <t>Ing. Jiří Šír - VISTA</t>
  </si>
  <si>
    <t>349</t>
  </si>
  <si>
    <t>631</t>
  </si>
  <si>
    <t>Zkoušky - hluk EXT/INT -  KHS</t>
  </si>
  <si>
    <t>622491141R00</t>
  </si>
  <si>
    <t>;ztratné 20%; 61,4</t>
  </si>
  <si>
    <t>78</t>
  </si>
  <si>
    <t>18,83</t>
  </si>
  <si>
    <t>431351122R00</t>
  </si>
  <si>
    <t>Dveře vchodové posuvné  systémové dřevené zdvižné, dvoudílné - 1300/3300, vsazené do plochy 2970/3430 mm, izolační trojsklo Ud &lt;0,81 viz specifok D2</t>
  </si>
  <si>
    <t>pro osazení nosníků</t>
  </si>
  <si>
    <t>Pažení a rozepření stěn rýh - příložné - hl.do 2 m</t>
  </si>
  <si>
    <t>120</t>
  </si>
  <si>
    <t>SO 03e_</t>
  </si>
  <si>
    <t>63</t>
  </si>
  <si>
    <t>230</t>
  </si>
  <si>
    <t>SO 02C</t>
  </si>
  <si>
    <t>375</t>
  </si>
  <si>
    <t>;ztratné 10%; 1,25</t>
  </si>
  <si>
    <t>311271177RT6</t>
  </si>
  <si>
    <t>783_</t>
  </si>
  <si>
    <t>Stěny a příčky</t>
  </si>
  <si>
    <t>Zavětrování s podepřením, prkny 32 mm  včetně dodávky prken tloušťky 24 mm</t>
  </si>
  <si>
    <t>průměrná tl 100 mm (podklad pod nášlap - vrstva obsahuje systémové uložení podlahového topení)  P1+3</t>
  </si>
  <si>
    <t>322</t>
  </si>
  <si>
    <t>H764_</t>
  </si>
  <si>
    <t>154</t>
  </si>
  <si>
    <t>Položení podlah. desek ve dvou vrstvách šroubovan.</t>
  </si>
  <si>
    <t>Broušení betonových povrchů do tl. 5 mm</t>
  </si>
  <si>
    <t>192</t>
  </si>
  <si>
    <t>771275521R00</t>
  </si>
  <si>
    <t>422</t>
  </si>
  <si>
    <t>5*20*8*0,25*1,2</t>
  </si>
  <si>
    <t>28375972</t>
  </si>
  <si>
    <t>Montáž keram.dlaždic a schodovek na stupnice,TM</t>
  </si>
  <si>
    <t>pilíř u komímna</t>
  </si>
  <si>
    <t>Konstrukce</t>
  </si>
  <si>
    <t>137</t>
  </si>
  <si>
    <t>431351128R00</t>
  </si>
  <si>
    <t>324</t>
  </si>
  <si>
    <t>plocha podlahy</t>
  </si>
  <si>
    <t>;ztratné 20%; 50</t>
  </si>
  <si>
    <t>potrubí DK</t>
  </si>
  <si>
    <t>28651702.A</t>
  </si>
  <si>
    <t>178</t>
  </si>
  <si>
    <t>680*3</t>
  </si>
  <si>
    <t>schodiště</t>
  </si>
  <si>
    <t>573</t>
  </si>
  <si>
    <t>515</t>
  </si>
  <si>
    <t>24551191</t>
  </si>
  <si>
    <t>Základna</t>
  </si>
  <si>
    <t>721194109R00</t>
  </si>
  <si>
    <t>25</t>
  </si>
  <si>
    <t>195</t>
  </si>
  <si>
    <t>kus</t>
  </si>
  <si>
    <t>požární voda</t>
  </si>
  <si>
    <t>SO 03b_73_</t>
  </si>
  <si>
    <t>Zemní práce</t>
  </si>
  <si>
    <t>Odkopávky a prokopávky</t>
  </si>
  <si>
    <t>potrubí VP</t>
  </si>
  <si>
    <t>SO 04_4_</t>
  </si>
  <si>
    <t>SO 03c_</t>
  </si>
  <si>
    <t>Okno  systémové dřevené - 1270/830+2740/830 - do plochy 4260/830 - výklopné - ventilace - trojsklo Uw &lt;0,74 - pozice O2</t>
  </si>
  <si>
    <t>(160+38+39)*0,15</t>
  </si>
  <si>
    <t>zakončení "kapotáž vyzníků" v podélném směru</t>
  </si>
  <si>
    <t>342266111RW7</t>
  </si>
  <si>
    <t>28651652.A</t>
  </si>
  <si>
    <t>(31,7*7+12,3*6,3)*(0,8-0,15)</t>
  </si>
  <si>
    <t>+ KOMAXIT oboustranný</t>
  </si>
  <si>
    <t>721242110RT1</t>
  </si>
  <si>
    <t>10 cm stará budova nad kamenivem  Pozice P1</t>
  </si>
  <si>
    <t>Výztuž základových kleneb z oceli BSt 500 S</t>
  </si>
  <si>
    <t>63*(0,65+0,7)</t>
  </si>
  <si>
    <t>-(2*0,8*2+0,9*2+1,3*2,3)*0,15</t>
  </si>
  <si>
    <t>Dodávky</t>
  </si>
  <si>
    <t>763</t>
  </si>
  <si>
    <t>219</t>
  </si>
  <si>
    <t>Dveře vchodové  systémové dřevené jednokřídlé 900/2150, plné</t>
  </si>
  <si>
    <t>Oplechování říms z Pz plechu, rš 700 mm</t>
  </si>
  <si>
    <t>soustava</t>
  </si>
  <si>
    <t>411351102R00</t>
  </si>
  <si>
    <t>342261213RS3</t>
  </si>
  <si>
    <t>2,16</t>
  </si>
  <si>
    <t>Potrubí z trub.závit.pozink.svařovan. 11343,DN 25</t>
  </si>
  <si>
    <t>Oprava podlah plastbet. do 10 mm, Polylite 415-041</t>
  </si>
  <si>
    <t>89,54</t>
  </si>
  <si>
    <t>SO 05_8_</t>
  </si>
  <si>
    <t>Bourání mazanin betonových tl. nad 10 cm, nad 4 m2</t>
  </si>
  <si>
    <t>Komunikace</t>
  </si>
  <si>
    <t>SO 02A_77_</t>
  </si>
  <si>
    <t>odpočet výplní</t>
  </si>
  <si>
    <t>Zachytače sněhu lopatkové, Pz plech,délka 500 mm</t>
  </si>
  <si>
    <t>Sanitární příčka plná - hladká, konstrukce elox Al + desky DTD HPL 28 - barevná úprava - atest do škol!!!</t>
  </si>
  <si>
    <t>Vnitrostaveništní doprava suti do 10 m</t>
  </si>
  <si>
    <t>Výroba a montáž kov. atypických konstr. do 5 kg</t>
  </si>
  <si>
    <t>Ostatní mat.</t>
  </si>
  <si>
    <t>713111111R00</t>
  </si>
  <si>
    <t>Ztužující pásy a věnce z betonu železového C 20/25</t>
  </si>
  <si>
    <t>292</t>
  </si>
  <si>
    <t>Izolace návleková MIRELON PRO tl. stěny 20 mm vnitřní průměr 20 mm</t>
  </si>
  <si>
    <t>;ztratné 30%; 0,075</t>
  </si>
  <si>
    <t>365+286+2*67</t>
  </si>
  <si>
    <t>998011001R00</t>
  </si>
  <si>
    <t>70,38</t>
  </si>
  <si>
    <t>722181214RT7</t>
  </si>
  <si>
    <t>570</t>
  </si>
  <si>
    <t>SO 03f_9_</t>
  </si>
  <si>
    <t>130</t>
  </si>
  <si>
    <t>Bourání zdiva z dutých cihel nebo tvárnic na MVC</t>
  </si>
  <si>
    <t>877252121T00</t>
  </si>
  <si>
    <t>(7*11,8+2*9)*61,3</t>
  </si>
  <si>
    <t>611653539 - D2</t>
  </si>
  <si>
    <t>Cenová</t>
  </si>
  <si>
    <t>Lapač střešních splavenin PP HL600, kloub</t>
  </si>
  <si>
    <t>583</t>
  </si>
  <si>
    <t>Montáž stropů z nosníků plnos.do 15 m, pl.150 cm2</t>
  </si>
  <si>
    <t>Obklad stěn sádrokartonem na ocelovou konstrukci</t>
  </si>
  <si>
    <t>38,4</t>
  </si>
  <si>
    <t>260*2,75/1000</t>
  </si>
  <si>
    <t>;ztratné 10%; 0,21</t>
  </si>
  <si>
    <t>Izolace tepelné stropů vrchem kladené volně - 2 desky</t>
  </si>
  <si>
    <t>979081111RT3</t>
  </si>
  <si>
    <t>281</t>
  </si>
  <si>
    <t>Hloubení rýh š.do 60 cm v hor.3 do 50 m3, STROJNĚ</t>
  </si>
  <si>
    <t>Osazení zárubní dveřních dřevěných, pl. nad 10 m2</t>
  </si>
  <si>
    <t>Slaboproud montáže</t>
  </si>
  <si>
    <t>310</t>
  </si>
  <si>
    <t>765</t>
  </si>
  <si>
    <t>133</t>
  </si>
  <si>
    <t>60725012</t>
  </si>
  <si>
    <t>273351216R00</t>
  </si>
  <si>
    <t>10,5*5/2*0,06</t>
  </si>
  <si>
    <t>254</t>
  </si>
  <si>
    <t>60515801</t>
  </si>
  <si>
    <t>175</t>
  </si>
  <si>
    <t>vnitřní příčky staré části - bruto</t>
  </si>
  <si>
    <t>venkovní terasy</t>
  </si>
  <si>
    <t>170</t>
  </si>
  <si>
    <t>HSV prac</t>
  </si>
  <si>
    <t>Předokenní žaluzie - plechový kastlík + AL vodící lišty 22/20 mm - dékla kastlíku 2700  mm</t>
  </si>
  <si>
    <t>767_</t>
  </si>
  <si>
    <t>Bednění ztužujících věnců, obě strany - zřízení</t>
  </si>
  <si>
    <t>Podklad z kameniva drceného vel.32-63 mm,tl. 10 cm</t>
  </si>
  <si>
    <t>58591000</t>
  </si>
  <si>
    <t>svislé prvky (obvod+ střed)</t>
  </si>
  <si>
    <t>Zatepl.syst.   ostění, miner.desky PV 40 mm</t>
  </si>
  <si>
    <t>139</t>
  </si>
  <si>
    <t>2*24*0,6</t>
  </si>
  <si>
    <t>60725033</t>
  </si>
  <si>
    <t>129</t>
  </si>
  <si>
    <t>13487115</t>
  </si>
  <si>
    <t>711171559RT1</t>
  </si>
  <si>
    <t>31148358</t>
  </si>
  <si>
    <t>151</t>
  </si>
  <si>
    <t>Bednění podest a podstup.desek přímočar.odstranění</t>
  </si>
  <si>
    <t>20*0,25</t>
  </si>
  <si>
    <t>51+10+9+10+220+68+3+15</t>
  </si>
  <si>
    <t>12710128</t>
  </si>
  <si>
    <t>589</t>
  </si>
  <si>
    <t>733VD</t>
  </si>
  <si>
    <t>60*8*0,06*0,1</t>
  </si>
  <si>
    <t>273321117R00</t>
  </si>
  <si>
    <t>pod obklady v mokrém</t>
  </si>
  <si>
    <t>892372111R00</t>
  </si>
  <si>
    <t>13</t>
  </si>
  <si>
    <t>včetně dveří</t>
  </si>
  <si>
    <t>Montáž podlah keram.,režné hladké, tmel, 20x20 cm</t>
  </si>
  <si>
    <t>Odvětrání hřebene hladkého RA12PF</t>
  </si>
  <si>
    <t>;ztratné 15%; 41,4</t>
  </si>
  <si>
    <t>Dveře vnitřní RAL KLASIK plné 2kř. 160x197 cm</t>
  </si>
  <si>
    <t>-(2*1*2+4*0,8*2)</t>
  </si>
  <si>
    <t>767999802R00</t>
  </si>
  <si>
    <t>11,62*0,140</t>
  </si>
  <si>
    <t>Lože pod potrubí z kameniva těženého 0 - 4 mm</t>
  </si>
  <si>
    <t>43,14</t>
  </si>
  <si>
    <t>358</t>
  </si>
  <si>
    <t>505</t>
  </si>
  <si>
    <t>562</t>
  </si>
  <si>
    <t>Hranolek pod terasy Borovice Thermo 42 x 68 mm A/B/C sušený</t>
  </si>
  <si>
    <t>289</t>
  </si>
  <si>
    <t>Montáž záklopu, zapuštěný na sraz, 1x deska</t>
  </si>
  <si>
    <t>311712358</t>
  </si>
  <si>
    <t>13611228</t>
  </si>
  <si>
    <t>494</t>
  </si>
  <si>
    <t>Montáž bednění okapových říms z prken hrubých</t>
  </si>
  <si>
    <t>kotvení folie do BETONU</t>
  </si>
  <si>
    <t>25+25</t>
  </si>
  <si>
    <t>Orientační tabulky na zdivu</t>
  </si>
  <si>
    <t>392</t>
  </si>
  <si>
    <t>325</t>
  </si>
  <si>
    <t>Geodetické vyměření stavby</t>
  </si>
  <si>
    <t>610</t>
  </si>
  <si>
    <t>711141559RT2</t>
  </si>
  <si>
    <t>232</t>
  </si>
  <si>
    <t>Příplatek za podpěrnou konstr.podest v.4-6 m-odstr</t>
  </si>
  <si>
    <t>pozice D1</t>
  </si>
  <si>
    <t>"M"</t>
  </si>
  <si>
    <t>Konstrukce doplňkové stavební (zámečnické)</t>
  </si>
  <si>
    <t>Lepení podlahových soklíků korkových</t>
  </si>
  <si>
    <t>Ohrazení staveniště</t>
  </si>
  <si>
    <t>61165002</t>
  </si>
  <si>
    <t>horní a dolní pásnice vazníků základní/malý vikýř</t>
  </si>
  <si>
    <t>Závětrná lišta z Pz-poplastovaný plechu, rš 500 mm</t>
  </si>
  <si>
    <t>411351101RT4</t>
  </si>
  <si>
    <t>VORN celkem z obj.</t>
  </si>
  <si>
    <t>H27_</t>
  </si>
  <si>
    <t>na DN 20;32;25;70;100</t>
  </si>
  <si>
    <t>766694112R00</t>
  </si>
  <si>
    <t>obvodové nosné zdivo 1NP</t>
  </si>
  <si>
    <t>SO 03d</t>
  </si>
  <si>
    <t>777_</t>
  </si>
  <si>
    <t>764396291R00</t>
  </si>
  <si>
    <t>M.bedn.střech šikmých z aglomer.desek šroubováním</t>
  </si>
  <si>
    <t>514</t>
  </si>
  <si>
    <t>Podlahy lité polyuretanové ast 302, protiskluzné -dvouvrstvá litá podlaha s odolností proti otěru ,  tloušťka cca 2,5 mm</t>
  </si>
  <si>
    <t>330</t>
  </si>
  <si>
    <t>998771101R00</t>
  </si>
  <si>
    <t>891185321R00</t>
  </si>
  <si>
    <t>140</t>
  </si>
  <si>
    <t>595</t>
  </si>
  <si>
    <t>97_</t>
  </si>
  <si>
    <t>55428092.A</t>
  </si>
  <si>
    <t>764311242RT1</t>
  </si>
  <si>
    <t>312000201VD</t>
  </si>
  <si>
    <t>Krycí list rozpočtu</t>
  </si>
  <si>
    <t>1,85</t>
  </si>
  <si>
    <t>722266213R00</t>
  </si>
  <si>
    <t>Prkno terasové dřevěné Modřín Slezský 24 x 136 mm</t>
  </si>
  <si>
    <t>771575107R00</t>
  </si>
  <si>
    <t>0,3*0,5*4,5</t>
  </si>
  <si>
    <t>Těsnění spár krytu   zálivkou za studena</t>
  </si>
  <si>
    <t>Vyčištění budov o výšce podlaží do 4 m</t>
  </si>
  <si>
    <t>67352317.A</t>
  </si>
  <si>
    <t>Výroba a montáž kov. atypických konstr. do 10 kg  včetně dodávky materiálu</t>
  </si>
  <si>
    <t>180</t>
  </si>
  <si>
    <t>pozice okna O2</t>
  </si>
  <si>
    <t>Cena/MJ</t>
  </si>
  <si>
    <t>Demontáž stropnic z řeziva o pl.do 450 cm2</t>
  </si>
  <si>
    <t>uzávěr na odbočení z řadu do VP</t>
  </si>
  <si>
    <t>28651701.A</t>
  </si>
  <si>
    <t>1,5</t>
  </si>
  <si>
    <t>Konec výstavby:</t>
  </si>
  <si>
    <t>480/(2,5*0,6)*(2,5+2,5+0,6+0,6)/50</t>
  </si>
  <si>
    <t>409</t>
  </si>
  <si>
    <t>587</t>
  </si>
  <si>
    <t>783122711R00</t>
  </si>
  <si>
    <t>-1*((3,14*2,9*2,9/4+1,2*1,8)+(2*0,9*2))</t>
  </si>
  <si>
    <t>490</t>
  </si>
  <si>
    <t>979990112R00</t>
  </si>
  <si>
    <t>633</t>
  </si>
  <si>
    <t>HEB 200 pozice nad sálem</t>
  </si>
  <si>
    <t>63152206</t>
  </si>
  <si>
    <t>127</t>
  </si>
  <si>
    <t>Vrut systémový DuoTwin 7/300</t>
  </si>
  <si>
    <t>Montáž soklíků keramických schidišťových stupňovitých, výška 100 mm, do tmele</t>
  </si>
  <si>
    <t>Dvířka revizní plná SI 2020 rozměr 200x200 mm</t>
  </si>
  <si>
    <t>721176115R00</t>
  </si>
  <si>
    <t>230+96*0,4</t>
  </si>
  <si>
    <t>623</t>
  </si>
  <si>
    <t>62*0,7</t>
  </si>
  <si>
    <t>571</t>
  </si>
  <si>
    <t>713141125R00</t>
  </si>
  <si>
    <t>Kód</t>
  </si>
  <si>
    <t>S</t>
  </si>
  <si>
    <t>722259105R00</t>
  </si>
  <si>
    <t>Jednot.</t>
  </si>
  <si>
    <t>pozice D2</t>
  </si>
  <si>
    <t>43</t>
  </si>
  <si>
    <t>210000200VD</t>
  </si>
  <si>
    <t>200</t>
  </si>
  <si>
    <t>5+9+3+2</t>
  </si>
  <si>
    <t>Vybourání nosníků ze zdi cihelné dl. 4 m, 20 kg/m</t>
  </si>
  <si>
    <t>1,17</t>
  </si>
  <si>
    <t>soklové části oken do ulice</t>
  </si>
  <si>
    <t>Desinfekce vodovodního potrubí DN 70</t>
  </si>
  <si>
    <t>Klozet závěsný LYRA Plus včetně sedátka, hl.530 mm</t>
  </si>
  <si>
    <t>450</t>
  </si>
  <si>
    <t>725249102R00</t>
  </si>
  <si>
    <t>(6,3+6,3+6,3+5,5)*3,2*0,3</t>
  </si>
  <si>
    <t>Odpadní trouby kruhové  D 100 mm</t>
  </si>
  <si>
    <t>55330380</t>
  </si>
  <si>
    <t>střecha ST2.1+ST2.2</t>
  </si>
  <si>
    <t>;ztratné 5%; 1,3</t>
  </si>
  <si>
    <t>14,1*1,8</t>
  </si>
  <si>
    <t>979990105R00</t>
  </si>
  <si>
    <t>626</t>
  </si>
  <si>
    <t>272351215R00</t>
  </si>
  <si>
    <t>540</t>
  </si>
  <si>
    <t>(27,8+5,4+5,4+4,5+11,9+5,5+5,5)*0,3*3,25+(1,5+1,2+2+5,5)*0,75*3,25</t>
  </si>
  <si>
    <t>Koleno kanalizační KGB 125/ 45° PVC</t>
  </si>
  <si>
    <t>SO 02C_76_</t>
  </si>
  <si>
    <t>Odstranění podkladu pl. 50 m2,kam.těžené tl.10 cm</t>
  </si>
  <si>
    <t>276</t>
  </si>
  <si>
    <t>Podstupnice borovice, průběžná lamela, 1000 x 200 x 18 mm</t>
  </si>
  <si>
    <t>28375705</t>
  </si>
  <si>
    <t>120001101R00</t>
  </si>
  <si>
    <t>Lemování přechodu EZS/ kačírek z TiZn plechu</t>
  </si>
  <si>
    <t>Umyvadlo  s otv. pro baterii 550x450 mm</t>
  </si>
  <si>
    <t>436</t>
  </si>
  <si>
    <t>389</t>
  </si>
  <si>
    <t>stěna 201/206</t>
  </si>
  <si>
    <t>1+2NP</t>
  </si>
  <si>
    <t>221</t>
  </si>
  <si>
    <t>435</t>
  </si>
  <si>
    <t>7,5*2,8</t>
  </si>
  <si>
    <t>600</t>
  </si>
  <si>
    <t>30*3*0,25</t>
  </si>
  <si>
    <t>Montáž parapetních desek š.do 30 cm,dl.do 160 cm</t>
  </si>
  <si>
    <t>trámy stropu 1 np</t>
  </si>
  <si>
    <t>Demontáž lešení leh.řad.s podlahami,š.1 m, H 10 m</t>
  </si>
  <si>
    <t>Lešení lehké pomocné, výška podlahy do 1,2 m</t>
  </si>
  <si>
    <t>(6,5+30,7+18,5+5,9+2,8)*3,2*0,175</t>
  </si>
  <si>
    <t>Fólie nopová  T40 Garden tl. 1 mm 1,5 x 2 m perforovaná</t>
  </si>
  <si>
    <t>Hloubení pro podzemní stěny, ražení a hloubení důlní</t>
  </si>
  <si>
    <t>SO 02C_71_</t>
  </si>
  <si>
    <t>soubor</t>
  </si>
  <si>
    <t>386</t>
  </si>
  <si>
    <t>krokve pro pomocnou plochu</t>
  </si>
  <si>
    <t>MJ</t>
  </si>
  <si>
    <t>553</t>
  </si>
  <si>
    <t>H711_</t>
  </si>
  <si>
    <t>711112001RT1</t>
  </si>
  <si>
    <t>Plech nerez 1.4301+2B, rozměr 2,0 x 1000 x 2000 mm</t>
  </si>
  <si>
    <t>711172559RT1</t>
  </si>
  <si>
    <t>45</t>
  </si>
  <si>
    <t>998713101R00</t>
  </si>
  <si>
    <t>40</t>
  </si>
  <si>
    <t>3,12</t>
  </si>
  <si>
    <t>941955001T00</t>
  </si>
  <si>
    <t>319</t>
  </si>
  <si>
    <t>374</t>
  </si>
  <si>
    <t>Mks</t>
  </si>
  <si>
    <t>Celkem ORN</t>
  </si>
  <si>
    <t>doplněk tloušťky izolantu na celek 300 mm</t>
  </si>
  <si>
    <t>Hydroizolace pro zelené střechy, ochran. textilie včetně dodávky fólie  tl.1,5 mm</t>
  </si>
  <si>
    <t>579300014R00</t>
  </si>
  <si>
    <t>Doplňující konstrukce a práce na pozemních komunikacích a zpevněných plochách</t>
  </si>
  <si>
    <t>(7*10,9+2*8*1,7+2*2*1,2)*61,3/1000</t>
  </si>
  <si>
    <t>Doplňkové náklady</t>
  </si>
  <si>
    <t>721194103RM1</t>
  </si>
  <si>
    <t>Okno střešní 2600/1000 ST 04 Uw &lt;0,55 manuál otvírání</t>
  </si>
  <si>
    <t>H762</t>
  </si>
  <si>
    <t>Bednění schodnic přímočarých - odstranění</t>
  </si>
  <si>
    <t>422913302</t>
  </si>
  <si>
    <t>639571210R00</t>
  </si>
  <si>
    <t>224</t>
  </si>
  <si>
    <t>356</t>
  </si>
  <si>
    <t>722172333R00</t>
  </si>
  <si>
    <t>132</t>
  </si>
  <si>
    <t>Fotovoltaický zdroj - panely na jižní ploše střechy pro výkon 5 kWp - převod ze záložky</t>
  </si>
  <si>
    <t>489</t>
  </si>
  <si>
    <t>Potrubí HT svodné (ležaté) v zemi D 110 x 2,7 mm</t>
  </si>
  <si>
    <t>762395000R00</t>
  </si>
  <si>
    <t>642947441T00</t>
  </si>
  <si>
    <t>55330389</t>
  </si>
  <si>
    <t>775</t>
  </si>
  <si>
    <t>220</t>
  </si>
  <si>
    <t>272353111R00</t>
  </si>
  <si>
    <t>612421626R00</t>
  </si>
  <si>
    <t>611653539 - D1</t>
  </si>
  <si>
    <t>PSV prac</t>
  </si>
  <si>
    <t>HSV</t>
  </si>
  <si>
    <t>Hranol konstrukční KVH NSi, SM, C24, 60 x 80 mm, 5 m</t>
  </si>
  <si>
    <t>67352002</t>
  </si>
  <si>
    <t>979990161R00</t>
  </si>
  <si>
    <t>Montáž kontralatí na vruty, včetně dodávky hranolku 5/5 cm</t>
  </si>
  <si>
    <t>622</t>
  </si>
  <si>
    <t>711212001R00</t>
  </si>
  <si>
    <t>451315111R00</t>
  </si>
  <si>
    <t>Vedlejší rozpočtové náklady VRN</t>
  </si>
  <si>
    <t>131301201T00</t>
  </si>
  <si>
    <t>104,3+60+8,7+9+41,5+51</t>
  </si>
  <si>
    <t>396</t>
  </si>
  <si>
    <t>mříže v oknech a výkladcích</t>
  </si>
  <si>
    <t>14,1</t>
  </si>
  <si>
    <t>10,7*5/2*0,49</t>
  </si>
  <si>
    <t>5+0,5+3</t>
  </si>
  <si>
    <t>H721_</t>
  </si>
  <si>
    <t>65/5</t>
  </si>
  <si>
    <t>162*0,15</t>
  </si>
  <si>
    <t>RTS I / 2022</t>
  </si>
  <si>
    <t>9</t>
  </si>
  <si>
    <t>;ztratné 20%; 0,464</t>
  </si>
  <si>
    <t>hrubá plocha</t>
  </si>
  <si>
    <t>725980122R00</t>
  </si>
  <si>
    <t>Zápachová uzávěrka pro pisoáry HL130, D 32, 40 mm včetně dodávky</t>
  </si>
  <si>
    <t>42291405</t>
  </si>
  <si>
    <t>6*1,5*1,5+8*0,6*0,6+5*0,9*0,5+5*1,5*1,9+2*2,5*2</t>
  </si>
  <si>
    <t>42661190</t>
  </si>
  <si>
    <t>rozšíření zámku</t>
  </si>
  <si>
    <t>877353121R00</t>
  </si>
  <si>
    <t>543</t>
  </si>
  <si>
    <t>328</t>
  </si>
  <si>
    <t>342</t>
  </si>
  <si>
    <t>583426801</t>
  </si>
  <si>
    <t>Obecní dům Vavřineč</t>
  </si>
  <si>
    <t>230+96*0,8</t>
  </si>
  <si>
    <t>607201010</t>
  </si>
  <si>
    <t>320</t>
  </si>
  <si>
    <t>140kg/1m3</t>
  </si>
  <si>
    <t>59,8+51,2+41,5+33,3+68,9</t>
  </si>
  <si>
    <t>kotvy do betonu atiky -- kotvení KVH</t>
  </si>
  <si>
    <t>979084215R00</t>
  </si>
  <si>
    <t>143</t>
  </si>
  <si>
    <t>611</t>
  </si>
  <si>
    <t>104</t>
  </si>
  <si>
    <t>Schodiště</t>
  </si>
  <si>
    <t>likvidace - dřevo vyskládání</t>
  </si>
  <si>
    <t>762711820R00</t>
  </si>
  <si>
    <t>Kamenivo drcené 16/32</t>
  </si>
  <si>
    <t>SO 04</t>
  </si>
  <si>
    <t>113107310R00</t>
  </si>
  <si>
    <t>;ztratné 5%; 26,15</t>
  </si>
  <si>
    <t>393</t>
  </si>
  <si>
    <t>506</t>
  </si>
  <si>
    <t>528</t>
  </si>
  <si>
    <t>15</t>
  </si>
  <si>
    <t>585</t>
  </si>
  <si>
    <t>342261123R00</t>
  </si>
  <si>
    <t>725851007R00</t>
  </si>
  <si>
    <t>odbourání zdiva pod pozednicí - prostor na nový věnec</t>
  </si>
  <si>
    <t>Bednění stropů deskových, bednění vlastní -zřízení</t>
  </si>
  <si>
    <t>01B</t>
  </si>
  <si>
    <t>00237043/CZ00237043</t>
  </si>
  <si>
    <t>722254201R00</t>
  </si>
  <si>
    <t>711191172T00</t>
  </si>
  <si>
    <t>342264051R00</t>
  </si>
  <si>
    <t>95</t>
  </si>
  <si>
    <t>Montáž ventilů hlavních pro přípojky DN 50</t>
  </si>
  <si>
    <t>378</t>
  </si>
  <si>
    <t>766999500VD</t>
  </si>
  <si>
    <t>ISWORK</t>
  </si>
  <si>
    <t>57_</t>
  </si>
  <si>
    <t>Podklad z kameniva drceného 63-125 mm, tl. 20 cm</t>
  </si>
  <si>
    <t>417321315R00</t>
  </si>
  <si>
    <t>487</t>
  </si>
  <si>
    <t>Celkem včetně DPH</t>
  </si>
  <si>
    <t>Celkem NUS</t>
  </si>
  <si>
    <t>142</t>
  </si>
  <si>
    <t>Základ 0%</t>
  </si>
  <si>
    <t>252</t>
  </si>
  <si>
    <t>557</t>
  </si>
  <si>
    <t>156</t>
  </si>
  <si>
    <t>podlaha pozice P5</t>
  </si>
  <si>
    <t>418</t>
  </si>
  <si>
    <t>546</t>
  </si>
  <si>
    <t>SK 80</t>
  </si>
  <si>
    <t>199</t>
  </si>
  <si>
    <t>150</t>
  </si>
  <si>
    <t>Potěr betonový PROFI, silo, tl. 50 mm pevnost v tlaku 30 MPa</t>
  </si>
  <si>
    <t>SO 03a</t>
  </si>
  <si>
    <t>S_</t>
  </si>
  <si>
    <t>Výroba a montáž kov. atypických konstr. do 250 kg -  statická konstrukce stropu 1.NP</t>
  </si>
  <si>
    <t>721176103R00</t>
  </si>
  <si>
    <t>10*1,5</t>
  </si>
  <si>
    <t>260</t>
  </si>
  <si>
    <t>629</t>
  </si>
  <si>
    <t>před budovou - provizorní, dočasná úprava</t>
  </si>
  <si>
    <t>965042241RT1</t>
  </si>
  <si>
    <t>Lepení povlakových podlah ze čtverců</t>
  </si>
  <si>
    <t>766</t>
  </si>
  <si>
    <t>619</t>
  </si>
  <si>
    <t>Oplechování parapetů včetně rohů Pz-poplastovaný , rš 330 mm</t>
  </si>
  <si>
    <t>35+35</t>
  </si>
  <si>
    <t>Fólie 140  kontaktní vysoce difúzní</t>
  </si>
  <si>
    <t>23*(8*0,8+7*0,7)*2</t>
  </si>
  <si>
    <t>510</t>
  </si>
  <si>
    <t>588</t>
  </si>
  <si>
    <t>;ztratné 5%; 5</t>
  </si>
  <si>
    <t>525</t>
  </si>
  <si>
    <t>52</t>
  </si>
  <si>
    <t>podélné nadezdívky</t>
  </si>
  <si>
    <t>722181214RT8</t>
  </si>
  <si>
    <t>118</t>
  </si>
  <si>
    <t>nové zdivo porobeton</t>
  </si>
  <si>
    <t>Příplatek za každý měsíc použití lešení k pol.1031</t>
  </si>
  <si>
    <t>Zárubeň ocelová YH100 1450x1970x100</t>
  </si>
  <si>
    <t>14+14</t>
  </si>
  <si>
    <t>H771_</t>
  </si>
  <si>
    <t>617</t>
  </si>
  <si>
    <t>271</t>
  </si>
  <si>
    <t>721194104R00</t>
  </si>
  <si>
    <t>2*(12*0,5*0,3)</t>
  </si>
  <si>
    <t>Vodič signalizační CYY 4 mm2</t>
  </si>
  <si>
    <t>764908109RT1</t>
  </si>
  <si>
    <t>SO 02A_6_</t>
  </si>
  <si>
    <t>SO 03d_</t>
  </si>
  <si>
    <t>51</t>
  </si>
  <si>
    <t>;ztratné 10%; 1,167</t>
  </si>
  <si>
    <t>;ztratné 20%; 105,2</t>
  </si>
  <si>
    <t>(4*20+22*(0,5+0,5+0,1))*0,04*0,06</t>
  </si>
  <si>
    <t>(22+12)*5*16/1000</t>
  </si>
  <si>
    <t>;ztratné 20%; 4,5</t>
  </si>
  <si>
    <t>4*(4*0,4+4*0,7)</t>
  </si>
  <si>
    <t>227</t>
  </si>
  <si>
    <t>Přesuny sutí</t>
  </si>
  <si>
    <t>2,7+2,3+5</t>
  </si>
  <si>
    <t>vchod do BJ</t>
  </si>
  <si>
    <t>2*4,4*10,2</t>
  </si>
  <si>
    <t>269</t>
  </si>
  <si>
    <t>17*26</t>
  </si>
  <si>
    <t>Obložení podhledů složit., aglom. desky do 0,6 m2</t>
  </si>
  <si>
    <t>401</t>
  </si>
  <si>
    <t>713181113RT2</t>
  </si>
  <si>
    <t>Izolace návleková MIRELON PRO tl. stěny 20 mm vnitřní průměr 32 mm</t>
  </si>
  <si>
    <t>Mont prac</t>
  </si>
  <si>
    <t>Ventil rohový pračkový G1/2</t>
  </si>
  <si>
    <t>SO 02A_9_</t>
  </si>
  <si>
    <t>28653008.A</t>
  </si>
  <si>
    <t>přesah - římsa pro hnízda jiřiček - východní strana</t>
  </si>
  <si>
    <t>475</t>
  </si>
  <si>
    <t>597642021</t>
  </si>
  <si>
    <t>SO 02A_2_</t>
  </si>
  <si>
    <t>Obklady (keramické)</t>
  </si>
  <si>
    <t>vzduchotechnika</t>
  </si>
  <si>
    <t>pod nádrž</t>
  </si>
  <si>
    <t>;ztratné 10%; 1</t>
  </si>
  <si>
    <t>777155020R00</t>
  </si>
  <si>
    <t>pozice O2 - 2800x800 mm</t>
  </si>
  <si>
    <t>4,29</t>
  </si>
  <si>
    <t>44</t>
  </si>
  <si>
    <t>podkladní štěrk pod podlahami v nové budově</t>
  </si>
  <si>
    <t>Dveře vchodové  systémové dřevené dvoukřídlé 1200/2250, plné</t>
  </si>
  <si>
    <t>724</t>
  </si>
  <si>
    <t>23*(8+8)+23*(7,5+7,5)</t>
  </si>
  <si>
    <t>721176105R00</t>
  </si>
  <si>
    <t>Dveře vnitřní hladké plné 600+400/2050</t>
  </si>
  <si>
    <t>okno O1</t>
  </si>
  <si>
    <t>622311854RT3</t>
  </si>
  <si>
    <t>Příplatek k odvozu za každý další 1 km</t>
  </si>
  <si>
    <t>Připojovací plech povrch PVC - vnitřní roh dl 2,5 m</t>
  </si>
  <si>
    <t>5+11</t>
  </si>
  <si>
    <t>SO 02C_9_</t>
  </si>
  <si>
    <t>Demontáž konstrukcí krovů z hranolů do 224 cm2</t>
  </si>
  <si>
    <t>62_</t>
  </si>
  <si>
    <t>Příplatek za další 1cm betonu nad 10 cm</t>
  </si>
  <si>
    <t>62*0,7*0,175</t>
  </si>
  <si>
    <t>Základy, zvláštní zakládání, zpevňování hornin</t>
  </si>
  <si>
    <t>F</t>
  </si>
  <si>
    <t>5513809027</t>
  </si>
  <si>
    <t>613</t>
  </si>
  <si>
    <t>SO 02C_3_</t>
  </si>
  <si>
    <t>359</t>
  </si>
  <si>
    <t>SESTAVA  Vodoměr bytový SV Residia JET DN 15x110 mm,Qn 1,5 - SESTAVA  (ventil 2x + ZK-1x + VDM-1x)</t>
  </si>
  <si>
    <t>15,9</t>
  </si>
  <si>
    <t>23</t>
  </si>
  <si>
    <t>ST01+ST03+ST04</t>
  </si>
  <si>
    <t>Vzduchotechnilka  - převod ze záložky</t>
  </si>
  <si>
    <t>Zkoušky - PHP/ucpávky - KZS</t>
  </si>
  <si>
    <t>622390324R00</t>
  </si>
  <si>
    <t>725_</t>
  </si>
  <si>
    <t>781_</t>
  </si>
  <si>
    <t>262</t>
  </si>
  <si>
    <t>pozice okna O1B - 2700x2700 mm - uložení do vodící drážky před kulaté okno</t>
  </si>
  <si>
    <t>SO 02B_76_</t>
  </si>
  <si>
    <t>767</t>
  </si>
  <si>
    <t>základové pasy vnějších staveb - přístavba nová</t>
  </si>
  <si>
    <t>28322026</t>
  </si>
  <si>
    <t>523</t>
  </si>
  <si>
    <t>;ztratné 5%; 6,3</t>
  </si>
  <si>
    <t>128</t>
  </si>
  <si>
    <t>Montáž podlah keram.,hladké, tmel, velko formát</t>
  </si>
  <si>
    <t>Prefa hnízdo jiřičky (kotvící deska k podhledu, hnízdo - plastbeton)</t>
  </si>
  <si>
    <t>Hutnící zkoušky zásypů rýh IS</t>
  </si>
  <si>
    <t>-(1*2,2+3,8*3,2+4,6*3,2+1,3*2,9+4,8*0,7+2*1,2*2,2+1,5*2,2+5,4*2,7+5,6*0,7)*0,175</t>
  </si>
  <si>
    <t>529</t>
  </si>
  <si>
    <t>H766_</t>
  </si>
  <si>
    <t>59</t>
  </si>
  <si>
    <t>Příčka sádrokarton. ocel.kce, 2x oplášť. tl.150 mm</t>
  </si>
  <si>
    <t>kleštiny</t>
  </si>
  <si>
    <t>SO 05_9_</t>
  </si>
  <si>
    <t>499</t>
  </si>
  <si>
    <t>2*25,8*8,4</t>
  </si>
  <si>
    <t>411354174R00</t>
  </si>
  <si>
    <t>250</t>
  </si>
  <si>
    <t>28_</t>
  </si>
  <si>
    <t>1000 ks</t>
  </si>
  <si>
    <t>Tyč ocelová I 140, S235JR</t>
  </si>
  <si>
    <t>61161805-D7</t>
  </si>
  <si>
    <t>34,53</t>
  </si>
  <si>
    <t>762332130RT2</t>
  </si>
  <si>
    <t>Dveře systémové dřevené jednokřídlé 900/2250, plná výplň + fixní boční zaskení do plochy 1485/2970  izolační trojsklo Ud &lt;0,81</t>
  </si>
  <si>
    <t>594</t>
  </si>
  <si>
    <t>781419701R00</t>
  </si>
  <si>
    <t>30*0,4*0,2</t>
  </si>
  <si>
    <t>282</t>
  </si>
  <si>
    <t>941941031R00</t>
  </si>
  <si>
    <t>109</t>
  </si>
  <si>
    <t>580</t>
  </si>
  <si>
    <t>t</t>
  </si>
  <si>
    <t>429</t>
  </si>
  <si>
    <t>355</t>
  </si>
  <si>
    <t>26,49</t>
  </si>
  <si>
    <t>88,4</t>
  </si>
  <si>
    <t>pozice okna PS1 východní strana</t>
  </si>
  <si>
    <t>117</t>
  </si>
  <si>
    <t>7*5</t>
  </si>
  <si>
    <t>boční stěny mezi schodnicemi a stropem ve schodišti z 1PP do 1NP</t>
  </si>
  <si>
    <t>1/3 trasy</t>
  </si>
  <si>
    <t>Montáž vázan.krovů pravidelných do 120cm2 ocel.spojkami fošny 6/14 cm</t>
  </si>
  <si>
    <t> </t>
  </si>
  <si>
    <t>53</t>
  </si>
  <si>
    <t>723_</t>
  </si>
  <si>
    <t>246</t>
  </si>
  <si>
    <t>pozice ST2.1+ST2.2 - přístvba</t>
  </si>
  <si>
    <t>Zkouška tlaku potrubí závitového DN 50</t>
  </si>
  <si>
    <t>Konstrukce truhlářské</t>
  </si>
  <si>
    <t>295</t>
  </si>
  <si>
    <t>99</t>
  </si>
  <si>
    <t>161</t>
  </si>
  <si>
    <t>"kapotáž" atiky</t>
  </si>
  <si>
    <t>povrch podlahy v 2.01</t>
  </si>
  <si>
    <t>722237224R00</t>
  </si>
  <si>
    <t>476</t>
  </si>
  <si>
    <t>5*1,2</t>
  </si>
  <si>
    <t>107</t>
  </si>
  <si>
    <t>274/2</t>
  </si>
  <si>
    <t>243</t>
  </si>
  <si>
    <t>Nástěnka K 247, pro baterii G 1/2</t>
  </si>
  <si>
    <t>Svislá doprava vybouraných hmot na výšku do 3,5 m</t>
  </si>
  <si>
    <t>10+11</t>
  </si>
  <si>
    <t>522</t>
  </si>
  <si>
    <t>15*1,5</t>
  </si>
  <si>
    <t>Omítka vnější stěn, MVC, hladká, složitost 1-2</t>
  </si>
  <si>
    <t>1+6+1</t>
  </si>
  <si>
    <t>405</t>
  </si>
  <si>
    <t>577161124RT3</t>
  </si>
  <si>
    <t>125</t>
  </si>
  <si>
    <t>;ztratné 20%; 5,8</t>
  </si>
  <si>
    <t>Trubka PVC kanalizační hrdlovaná d 160x4,0x5000 mm</t>
  </si>
  <si>
    <t>28651662.A</t>
  </si>
  <si>
    <t>Recyklace suti - cihelné výrobky, skupina odpadu 170102</t>
  </si>
  <si>
    <t>Demontáž doplňků staveb o hmotnosti do 100 kg</t>
  </si>
  <si>
    <t>Bourání zdiva komínového z cihel na MC</t>
  </si>
  <si>
    <t>Nové konstr. - 1PP</t>
  </si>
  <si>
    <t>Vnitřní plynovod</t>
  </si>
  <si>
    <t>777101101T00</t>
  </si>
  <si>
    <t>Deska akustická - skelná vata -  tl. 100 x 625 x 1250 mm</t>
  </si>
  <si>
    <t>722220121R00</t>
  </si>
  <si>
    <t>762341630R00</t>
  </si>
  <si>
    <t>61581620</t>
  </si>
  <si>
    <t>JKSO:</t>
  </si>
  <si>
    <t>553508866</t>
  </si>
  <si>
    <t>399</t>
  </si>
  <si>
    <t>776572200R00</t>
  </si>
  <si>
    <t>45_</t>
  </si>
  <si>
    <t>466</t>
  </si>
  <si>
    <t>85</t>
  </si>
  <si>
    <t>713121111RT1</t>
  </si>
  <si>
    <t>893152111R00</t>
  </si>
  <si>
    <t>64</t>
  </si>
  <si>
    <t>VZT</t>
  </si>
  <si>
    <t>417351111R00</t>
  </si>
  <si>
    <t>18_</t>
  </si>
  <si>
    <t>mimo budovu</t>
  </si>
  <si>
    <t>ostatní místnosti</t>
  </si>
  <si>
    <t>2*25*(0,6+0,4)</t>
  </si>
  <si>
    <t>762321911RT2</t>
  </si>
  <si>
    <t>Baterie dřezová stojánková ruční s výsuv. sprchou včetn ědodávky</t>
  </si>
  <si>
    <t>SO 03d_9_</t>
  </si>
  <si>
    <t>Oplechování parapetů, rš 330 mm - poplast ocel plech</t>
  </si>
  <si>
    <t>vstup 600/600 m; uzamakatelný poklop pojezdový; vstupní žebřík nebo stupadla</t>
  </si>
  <si>
    <t>733VD_</t>
  </si>
  <si>
    <t>odstrananí degradované plochy - chodba + schodiště</t>
  </si>
  <si>
    <t>H763</t>
  </si>
  <si>
    <t>sokl pod okny do ulice</t>
  </si>
  <si>
    <t>722181211RT8</t>
  </si>
  <si>
    <t>255</t>
  </si>
  <si>
    <t>783122110R00</t>
  </si>
  <si>
    <t>Přesun hmot pro dřevostavby, výšky do 12 m</t>
  </si>
  <si>
    <t>Montáž vestavěné varné desky</t>
  </si>
  <si>
    <t>SO 03d_72_</t>
  </si>
  <si>
    <t>Okno střešní 930/3000 ST 03 Uw &lt;0,55  ele otvíravé celek</t>
  </si>
  <si>
    <t>622311837RV1</t>
  </si>
  <si>
    <t>Zahradní protimrazový ventil na fasádu</t>
  </si>
  <si>
    <t>Kloz.kombi OLYMP ZTP,nádrž s arm.odpad svislý,bílý</t>
  </si>
  <si>
    <t>120*4,5+2*14*5</t>
  </si>
  <si>
    <t>M220VD_</t>
  </si>
  <si>
    <t>569</t>
  </si>
  <si>
    <t>jižní a západní fas staré části domu</t>
  </si>
  <si>
    <t>722237125R00</t>
  </si>
  <si>
    <t>197</t>
  </si>
  <si>
    <t>762342811R00</t>
  </si>
  <si>
    <t>274*0,2</t>
  </si>
  <si>
    <t>329</t>
  </si>
  <si>
    <t>;ztratné 15%; 14,7</t>
  </si>
  <si>
    <t>Obec Malý Újezd</t>
  </si>
  <si>
    <t>174101102R00</t>
  </si>
  <si>
    <t>12_</t>
  </si>
  <si>
    <t>Deska dřevoštěpková OSB 3 nebroušená,   tl. 22 mm</t>
  </si>
  <si>
    <t>55162545.A</t>
  </si>
  <si>
    <t>Kryty pozemních komunikací, letišť a ploch z kameniva nebo živičné</t>
  </si>
  <si>
    <t>Hloubení rýh š.do 60 cm v hor.4 do 50 m3,STROJNĚ</t>
  </si>
  <si>
    <t>622311863R00</t>
  </si>
  <si>
    <t>Osazení plastové šachty revizní prům.425 mm,</t>
  </si>
  <si>
    <t>624</t>
  </si>
  <si>
    <t>4*(4)*2</t>
  </si>
  <si>
    <t>Vrut zápustný 021814   5   x  80 mm</t>
  </si>
  <si>
    <t>77</t>
  </si>
  <si>
    <t>suť</t>
  </si>
  <si>
    <t>Dodávka a montáž přečerpávací stanice SOLOLIFT2 CWC-3</t>
  </si>
  <si>
    <t>233</t>
  </si>
  <si>
    <t>prohloubení v podlahách 1.NP - stará budova pro nové vrstvy</t>
  </si>
  <si>
    <t>pomocný materiál kotvení OSB k HEB/I</t>
  </si>
  <si>
    <t>;ztratné 15%; 4,5</t>
  </si>
  <si>
    <t>Otlučení omítek vnějších MVC v složit.1-4 do 100 %</t>
  </si>
  <si>
    <t>SO 02C_1_</t>
  </si>
  <si>
    <t>SO 04_9_</t>
  </si>
  <si>
    <t>DN celkem</t>
  </si>
  <si>
    <t>28349010</t>
  </si>
  <si>
    <t>444</t>
  </si>
  <si>
    <t>421</t>
  </si>
  <si>
    <t>642942221R00</t>
  </si>
  <si>
    <t>492</t>
  </si>
  <si>
    <t>549</t>
  </si>
  <si>
    <t>Přístroj hasicí 1CO2</t>
  </si>
  <si>
    <t>762724120RT3</t>
  </si>
  <si>
    <t>485</t>
  </si>
  <si>
    <t>Těžký závěs černý, matný pro jevištní umístění délka 10 m, výška 3,5 m (půleno v ose)</t>
  </si>
  <si>
    <t>721242110RT2</t>
  </si>
  <si>
    <t>horní a dolní pásnice vazníků základní</t>
  </si>
  <si>
    <t>286</t>
  </si>
  <si>
    <t>SO 02A_4_</t>
  </si>
  <si>
    <t>31148755</t>
  </si>
  <si>
    <t>Dlažba slinutá reliéfní 200x200x9 mm</t>
  </si>
  <si>
    <t>764410291R00</t>
  </si>
  <si>
    <t>((138*0,085*(1000/80)))*21</t>
  </si>
  <si>
    <t>Hloubení rýh š.do 600 mm v hor.3 do 50 m3, ručně</t>
  </si>
  <si>
    <t>433351132R00</t>
  </si>
  <si>
    <t>Zásyp jam, rýh, šachet se zhutněním</t>
  </si>
  <si>
    <t>;ztratné 20%; 3,32</t>
  </si>
  <si>
    <t>116</t>
  </si>
  <si>
    <t>GROUPCODE</t>
  </si>
  <si>
    <t>146</t>
  </si>
  <si>
    <t>722268616R00</t>
  </si>
  <si>
    <t>podesta</t>
  </si>
  <si>
    <t>618</t>
  </si>
  <si>
    <t>Nátěr syntetický OK "A" dvojnásobný</t>
  </si>
  <si>
    <t>0</t>
  </si>
  <si>
    <t>182</t>
  </si>
  <si>
    <t>dřevěný obklad fasády</t>
  </si>
  <si>
    <t>59764207</t>
  </si>
  <si>
    <t>Qn 4,8 m3/hod; Hn 45 m; P 0,55 kW,230VAC/50Hz + snímač hladiny, ponorná sonda, sací koš, plovák</t>
  </si>
  <si>
    <t>131201110T00</t>
  </si>
  <si>
    <t>Provozní vlivy</t>
  </si>
  <si>
    <t>Dveře vnitřní CPL 0,2 KLASIK 1/3 sklo 2kř. 120x220</t>
  </si>
  <si>
    <t>5</t>
  </si>
  <si>
    <t>Malý Újezd Vavřineč</t>
  </si>
  <si>
    <t>;ztratné 10%; 2,1</t>
  </si>
  <si>
    <t>310*4/1000</t>
  </si>
  <si>
    <t>kotvení pozednic</t>
  </si>
  <si>
    <t>713191100R00</t>
  </si>
  <si>
    <t>;ztratné 10%; 30,7</t>
  </si>
  <si>
    <t>725814104R00</t>
  </si>
  <si>
    <t>kruhové okno D2,9 m + příplatek za segmentaci a spojení segmentů</t>
  </si>
  <si>
    <t>syst. dod. - AL rám + sklo bezpečnostní, otvírí automat-čidlo, při výpadku NN-autom. otevř+aretace</t>
  </si>
  <si>
    <t>Přesun hmot pro vnitřní vodovod, výšky do 6 m</t>
  </si>
  <si>
    <t>Dveře vnitřní fólie KLASIK 1/3 sklo 2kř. 110x2100</t>
  </si>
  <si>
    <t>pozice šikmé části ST1</t>
  </si>
  <si>
    <t>203</t>
  </si>
  <si>
    <t>Kohout vod.kulový s vypouš.,GIACOMINI R250DS DN 32</t>
  </si>
  <si>
    <t>520</t>
  </si>
  <si>
    <t>394</t>
  </si>
  <si>
    <t>411351105RT4</t>
  </si>
  <si>
    <t>530</t>
  </si>
  <si>
    <t>ST 04</t>
  </si>
  <si>
    <t>55330384</t>
  </si>
  <si>
    <t>248</t>
  </si>
  <si>
    <t>odpočet výplní otvorů</t>
  </si>
  <si>
    <t>9,55</t>
  </si>
  <si>
    <t>771441017R00</t>
  </si>
  <si>
    <t>634</t>
  </si>
  <si>
    <t>Geotextilie netkaná geo S 300 g/m2  2x50 m</t>
  </si>
  <si>
    <t>Dveře vnitřní laminované plné 1kř. 90x197 cm</t>
  </si>
  <si>
    <t>786</t>
  </si>
  <si>
    <t>Vedení trubní dálková a přípojná</t>
  </si>
  <si>
    <t>767712811R00</t>
  </si>
  <si>
    <t>Deska dřevoštěpková OSB 3 broušená 4PD,  tl. 18 mm</t>
  </si>
  <si>
    <t>144</t>
  </si>
  <si>
    <t>416</t>
  </si>
  <si>
    <t>Stavební rozpočet</t>
  </si>
  <si>
    <t>725851001RT1</t>
  </si>
  <si>
    <t>264</t>
  </si>
  <si>
    <t>609</t>
  </si>
  <si>
    <t>15*(3,6)*2</t>
  </si>
  <si>
    <t>SO 03a_9_</t>
  </si>
  <si>
    <t>Druh stavby:</t>
  </si>
  <si>
    <t>Přípravné a přidružené práce</t>
  </si>
  <si>
    <t>(5,2+30,6+17+5,3)*3,2</t>
  </si>
  <si>
    <t>PS1</t>
  </si>
  <si>
    <t>odpočet v místech SO</t>
  </si>
  <si>
    <t>Souprava zemní   teleskopická DN 40-50,max.1,75m</t>
  </si>
  <si>
    <t>721273150R00</t>
  </si>
  <si>
    <t>611653537 - D3</t>
  </si>
  <si>
    <t>766642231R00</t>
  </si>
  <si>
    <t>10,1+8,9</t>
  </si>
  <si>
    <t>Okno kruhové systémové dřevšné   Uw &lt; 0,74, FIX D2460mm</t>
  </si>
  <si>
    <t>Přístroj hasicí práškový PG 6 PDC</t>
  </si>
  <si>
    <t>531</t>
  </si>
  <si>
    <t>;ztratné 20%; 4,6</t>
  </si>
  <si>
    <t>Zpevňování hornin a konstrukcí</t>
  </si>
  <si>
    <t>162</t>
  </si>
  <si>
    <t>722181214RV9</t>
  </si>
  <si>
    <t>strop přístvba</t>
  </si>
  <si>
    <t>Bednění podest a podstupnic desek přímočararých - zřízení</t>
  </si>
  <si>
    <t>-(6*(1,47*1,47)+1*1,2*1,5+1*1,3*2,2+8*(0,6*0,6)+1*(0,9*0,6))*0,3</t>
  </si>
  <si>
    <t>Strojní přebroušení podlah před pokládkou nášpané vrstvy</t>
  </si>
  <si>
    <t>784</t>
  </si>
  <si>
    <t>Deska MV  lambda 0,039 -  tl. 80 mm š. 625 mm</t>
  </si>
  <si>
    <t>238</t>
  </si>
  <si>
    <t>96</t>
  </si>
  <si>
    <t>Kohout vod.kul.,2xvnitř.záv.GIACOMINI R250D DN 25</t>
  </si>
  <si>
    <t>316</t>
  </si>
  <si>
    <t>potrubí SK</t>
  </si>
  <si>
    <t>28651650.A</t>
  </si>
  <si>
    <t>899101111R00</t>
  </si>
  <si>
    <t>předstěna vnitřních vapis stěn - brut</t>
  </si>
  <si>
    <t>485*2</t>
  </si>
  <si>
    <t>333</t>
  </si>
  <si>
    <t>Vybourání kovových dveřních zárubní pl. do 2 m2</t>
  </si>
  <si>
    <t>Montáž pojistné hydroizolační fólie šikmých střech - dočesné umístění po dubu parcí na novém krovu - ochrana proti zatečení do otevřené stavby</t>
  </si>
  <si>
    <t>558</t>
  </si>
  <si>
    <t>umístění na shrnovací konzolu pod stropem - pohyb po systémové kolejnici - ruční zatažení</t>
  </si>
  <si>
    <t>Osazení poklopů litinových ventilových</t>
  </si>
  <si>
    <t>162*2</t>
  </si>
  <si>
    <t>(2+2)*(2,5)*2</t>
  </si>
  <si>
    <t>Zpracováno dne:</t>
  </si>
  <si>
    <t>Lak na korkové podlahy 2x, přebroušení</t>
  </si>
  <si>
    <t>Obkládání stěn obkl. pórovin. do tmele do 300x300</t>
  </si>
  <si>
    <t>42640301</t>
  </si>
  <si>
    <t>919726212R00</t>
  </si>
  <si>
    <t>2*(25*0,3*0,2)</t>
  </si>
  <si>
    <t>Pěna pistolová PUR 1-složková  750 mml B3</t>
  </si>
  <si>
    <t>462</t>
  </si>
  <si>
    <t>24000100VD</t>
  </si>
  <si>
    <t>302</t>
  </si>
  <si>
    <t>299</t>
  </si>
  <si>
    <t>55243064.A</t>
  </si>
  <si>
    <t>H27</t>
  </si>
  <si>
    <t>štíty</t>
  </si>
  <si>
    <t>(295)*0,15</t>
  </si>
  <si>
    <t>Příplatek za spárovací vodotěsnou hmotu - plošně</t>
  </si>
  <si>
    <t>455</t>
  </si>
  <si>
    <t>18*2,5</t>
  </si>
  <si>
    <t>Montáž vázaných konstr.polohraněných do 120 cm2  včetně dodávky řeziva, fošny neomítané 6/14</t>
  </si>
  <si>
    <t>202</t>
  </si>
  <si>
    <t>523+130+32</t>
  </si>
  <si>
    <t>35/3</t>
  </si>
  <si>
    <t>Trubka tlaková  PE100 75x6,8 mm PN16</t>
  </si>
  <si>
    <t>3,5+51,5+3,5+35,6+3,8</t>
  </si>
  <si>
    <t>420</t>
  </si>
  <si>
    <t>Ventil zpětný dvojitý, GIACOMINI R623 DN 25</t>
  </si>
  <si>
    <t>Předokenní žaluzie - plechový kastlík + AL vodící lišty 22/20 mm - délka kastlíku 5500 mm</t>
  </si>
  <si>
    <t>(5+27,8+5+5,5+11,9+5,5+5,5+4,9+4,9)*0,5*0,85</t>
  </si>
  <si>
    <t>Demontáž vázaných konstrukcí hraněných do 224 cm2</t>
  </si>
  <si>
    <t>545</t>
  </si>
  <si>
    <t>Připojovací plech povrch PVC - kotvený do zdiva dl 2,5 m</t>
  </si>
  <si>
    <t>Bourání a odstraňování stávajících konstrukcí</t>
  </si>
  <si>
    <t>Nízkotlaká injektáž cihelného zdiva tl. do 100 cm plošná</t>
  </si>
  <si>
    <t>194</t>
  </si>
  <si>
    <t>353</t>
  </si>
  <si>
    <t>783</t>
  </si>
  <si>
    <t>SESTAVA  Vodoměr bytový SV Residia JET DN 20x130 mm, Qn 2,5 - SESTAVA  (ventil 2x + ZK-1x + VDM-1x)</t>
  </si>
  <si>
    <t>RTS II / 2021</t>
  </si>
  <si>
    <t>vnitřní nosné brutto</t>
  </si>
  <si>
    <t>28651700.A</t>
  </si>
  <si>
    <t>725014161R00</t>
  </si>
  <si>
    <t>Montáž pisoárových stání oddělovací příčka včetně dodávky clony</t>
  </si>
  <si>
    <t>722237665R00</t>
  </si>
  <si>
    <t>Bourání zdiva z cihel pálených na MVC</t>
  </si>
  <si>
    <t>963013530R00</t>
  </si>
  <si>
    <t>23170110</t>
  </si>
  <si>
    <t>Deska polystyrenová XPS s polodážkou pro základové plošné konstrukce  lambda &lt;= 0,033</t>
  </si>
  <si>
    <t>Potrubí z PPR, D 25x4,2 mm, PN 20, vč. zed. výpom.</t>
  </si>
  <si>
    <t>565</t>
  </si>
  <si>
    <t>10</t>
  </si>
  <si>
    <t>Provedení vnitřní omítky stěn, MVC, štukové</t>
  </si>
  <si>
    <t>212</t>
  </si>
  <si>
    <t>149</t>
  </si>
  <si>
    <t>H781</t>
  </si>
  <si>
    <t>607201050</t>
  </si>
  <si>
    <t>58</t>
  </si>
  <si>
    <t>544</t>
  </si>
  <si>
    <t>31171694.A</t>
  </si>
  <si>
    <t>Potrubí z PPR, D 40x5,5 mm, PN 16, vč.zed.výpom.</t>
  </si>
  <si>
    <t>763782212R00</t>
  </si>
  <si>
    <t>plochá zelená střecha + vytažení atikové kce</t>
  </si>
  <si>
    <t>střecha hrubý rozměr</t>
  </si>
  <si>
    <t>762812510R00</t>
  </si>
  <si>
    <t>454</t>
  </si>
  <si>
    <t>2*0,3*0,3*3+1*0,3*0,3*5</t>
  </si>
  <si>
    <t>284</t>
  </si>
  <si>
    <t>Obklad soklíků hutných, rovných do MC, 25x6,5v6,5</t>
  </si>
  <si>
    <t>725814106R00</t>
  </si>
  <si>
    <t>36</t>
  </si>
  <si>
    <t>97+65*0,1</t>
  </si>
  <si>
    <t>871231121R00</t>
  </si>
  <si>
    <t>(2,1+3,5+3,6+5,1)*0,4*0,6</t>
  </si>
  <si>
    <t>764348211R00</t>
  </si>
  <si>
    <t>427</t>
  </si>
  <si>
    <t>Vyvedení odpadních výpustek D 50 x 1,8</t>
  </si>
  <si>
    <t>180802113R00</t>
  </si>
  <si>
    <t>Poplatek za uložení suti - obal. kamenivo, asfalt, skupina odpadu 170302</t>
  </si>
  <si>
    <t>;ztratné 20%; 4,2</t>
  </si>
  <si>
    <t>762331812R00</t>
  </si>
  <si>
    <t>14</t>
  </si>
  <si>
    <t>31171674.A</t>
  </si>
  <si>
    <t>31</t>
  </si>
  <si>
    <t>Pažení stěn výkopu - příložné - hloubky do 4 m</t>
  </si>
  <si>
    <t>Zařizovací předměty</t>
  </si>
  <si>
    <t>423</t>
  </si>
  <si>
    <t>84</t>
  </si>
  <si>
    <t>508</t>
  </si>
  <si>
    <t>763721201R00</t>
  </si>
  <si>
    <t>;ztratné 20%; 42</t>
  </si>
  <si>
    <t>305</t>
  </si>
  <si>
    <t>hurdis strop přístavby</t>
  </si>
  <si>
    <t>60515812</t>
  </si>
  <si>
    <t>nosníky stropu hurdis</t>
  </si>
  <si>
    <t>(30,7*6,6+12*5,9)*0,2</t>
  </si>
  <si>
    <t>Podlahy vlysové do tmele, tl.22 mm, úzké, BK I.jak včetně dodávky BUK</t>
  </si>
  <si>
    <t>30,6*5,3+12*5,8+4,5*2,5</t>
  </si>
  <si>
    <t>Množství</t>
  </si>
  <si>
    <t>442</t>
  </si>
  <si>
    <t>Zdivo nosné cihelné z cihel pálených 290 mm P15 na maltu vápenocementovou 2,5 MPa</t>
  </si>
  <si>
    <t>891213111R00</t>
  </si>
  <si>
    <t>13380625</t>
  </si>
  <si>
    <t>M210VD</t>
  </si>
  <si>
    <t>Příplatek za podpěrnou konstrukci podest výšky 4-6 m - zřízení</t>
  </si>
  <si>
    <t>38</t>
  </si>
  <si>
    <t>mezistěna mezi 1.08 a 1.02</t>
  </si>
  <si>
    <t>pozednice 160/240</t>
  </si>
  <si>
    <t>430</t>
  </si>
  <si>
    <t>63*(0,7+0,65)</t>
  </si>
  <si>
    <t>2*21/6</t>
  </si>
  <si>
    <t>Ventil rohový s připojovací trubičkou G1/2</t>
  </si>
  <si>
    <t>VORN celkem</t>
  </si>
  <si>
    <t>369</t>
  </si>
  <si>
    <t>Nátěr tesařských konstrukcí Bochemitem Opti F 2x</t>
  </si>
  <si>
    <t>Izolace návleková MIRELON PRO tl. stěny 6 mm vnitřní průměr 22 mm</t>
  </si>
  <si>
    <t>725860167R00</t>
  </si>
  <si>
    <t>762334110RT3</t>
  </si>
  <si>
    <t>Přesun hmot pro podlahy vlysové, výšky do 6 m</t>
  </si>
  <si>
    <t>HEB 200 pozice stropu P5 strop stará budova - bez sálu</t>
  </si>
  <si>
    <t>Pomocné a podpůrné konstrukce - provizor. zastřeš.</t>
  </si>
  <si>
    <t>Kohout vod.kul.,2xvnitřní záv.GIACOMINI R910 DN 32</t>
  </si>
  <si>
    <t>174</t>
  </si>
  <si>
    <t>D6</t>
  </si>
  <si>
    <t>Budovy občanské výstavby</t>
  </si>
  <si>
    <t>721223425RT1</t>
  </si>
  <si>
    <t>východní štít pozice O1B</t>
  </si>
  <si>
    <t>95_</t>
  </si>
  <si>
    <t>Beton asfalt. ACO 11+,nebo ACO 16+,do 3 m, tl.5 cm</t>
  </si>
  <si>
    <t>Potrubí HT odpadní svislé D 75 x 1,9 mm</t>
  </si>
  <si>
    <t>Nové konstr. - 1NP</t>
  </si>
  <si>
    <t>722290226R00</t>
  </si>
  <si>
    <t>Deska spádová EPS 150</t>
  </si>
  <si>
    <t>764352292R00</t>
  </si>
  <si>
    <t>Penetrace podkladu nátěrem V1307  1 x vápenný pačok štukových omítek</t>
  </si>
  <si>
    <t>5cm nová část nad PS - pozice P3</t>
  </si>
  <si>
    <t>KVH 100</t>
  </si>
  <si>
    <t>Vnitřní vodovod</t>
  </si>
  <si>
    <t>64214361</t>
  </si>
  <si>
    <t>611981857</t>
  </si>
  <si>
    <t>539</t>
  </si>
  <si>
    <t>Typ skupiny</t>
  </si>
  <si>
    <t>73</t>
  </si>
  <si>
    <t>312000102VD</t>
  </si>
  <si>
    <t>7,3+8,2</t>
  </si>
  <si>
    <t>Deska izolační stabilizov. EPS 150  1000 x 500 mm</t>
  </si>
  <si>
    <t>894432112R00</t>
  </si>
  <si>
    <t>762</t>
  </si>
  <si>
    <t>Plech hladký S235JR 10,00 x 1000 x 2000 mm</t>
  </si>
  <si>
    <t>23+1,5+17+7+9+5+2</t>
  </si>
  <si>
    <t>60726122</t>
  </si>
  <si>
    <t>Úpravy povrchů a osazování výplní otvorů</t>
  </si>
  <si>
    <t>620</t>
  </si>
  <si>
    <t>SO 03f_</t>
  </si>
  <si>
    <t>410</t>
  </si>
  <si>
    <t>;ztratné 10%; 6,5</t>
  </si>
  <si>
    <t>597</t>
  </si>
  <si>
    <t>29+63+11</t>
  </si>
  <si>
    <t>256</t>
  </si>
  <si>
    <t>771275511R00</t>
  </si>
  <si>
    <t>Demontáž podbití stropů z prken s omítkou</t>
  </si>
  <si>
    <t>762_</t>
  </si>
  <si>
    <t>SO 03d_1_</t>
  </si>
  <si>
    <t>83_</t>
  </si>
  <si>
    <t>SO 03c</t>
  </si>
  <si>
    <t>Hranol konstrukční KVH NSi, SM, C24, 40 x 60 mm, 5 m</t>
  </si>
  <si>
    <t>363</t>
  </si>
  <si>
    <t>762722110RT2</t>
  </si>
  <si>
    <t>okno západní štít</t>
  </si>
  <si>
    <t>20*11</t>
  </si>
  <si>
    <t>28375469</t>
  </si>
  <si>
    <t>61_</t>
  </si>
  <si>
    <t>Příprava podkladu - vysávání podlah průmyslovým vysavačem</t>
  </si>
  <si>
    <t>188</t>
  </si>
  <si>
    <t>stará část</t>
  </si>
  <si>
    <t>56</t>
  </si>
  <si>
    <t>635</t>
  </si>
  <si>
    <t>766695212R00</t>
  </si>
  <si>
    <t>722_</t>
  </si>
  <si>
    <t>Vyvedení odpadních výpustek D 32 x 1,8 + přípojka pro pračku nebo myčku HL 2</t>
  </si>
  <si>
    <t>19</t>
  </si>
  <si>
    <t>582</t>
  </si>
  <si>
    <t>;ztratné 10%; 34,2</t>
  </si>
  <si>
    <t>C</t>
  </si>
  <si>
    <t>;ztratné 15%; 72</t>
  </si>
  <si>
    <t>275,85-1,17-17,6-38,4-2,43-12,64-0,76</t>
  </si>
  <si>
    <t>M240VD_</t>
  </si>
  <si>
    <t>62852254</t>
  </si>
  <si>
    <t>bezpečnostní sklo + pákové ovládání ventilace (1x) z boku</t>
  </si>
  <si>
    <t>Náklady (Kč)</t>
  </si>
  <si>
    <t>542</t>
  </si>
  <si>
    <t>721</t>
  </si>
  <si>
    <t>612</t>
  </si>
  <si>
    <t>110</t>
  </si>
  <si>
    <t>4+11,9+5,8+2,8+8,2+3,9+4,7+3,9+2,2</t>
  </si>
  <si>
    <t>417361821R00</t>
  </si>
  <si>
    <t>Dřevostavby</t>
  </si>
  <si>
    <t>21*10</t>
  </si>
  <si>
    <t>39</t>
  </si>
  <si>
    <t>Montáž obložení stěn pl. nad 1 m2, palubky MD, š. do 100 mm</t>
  </si>
  <si>
    <t>30</t>
  </si>
  <si>
    <t>722172332R00</t>
  </si>
  <si>
    <t>241</t>
  </si>
  <si>
    <t>2*26</t>
  </si>
  <si>
    <t>Ostatní konstrukce a práce na trubním vedení</t>
  </si>
  <si>
    <t xml:space="preserve"> 85 mm  21 kg/pytel (80l)</t>
  </si>
  <si>
    <t>151101311R00</t>
  </si>
  <si>
    <t>IČO/DIČ:</t>
  </si>
  <si>
    <t>(5,2+3,2)*1,1+1,8*2,5</t>
  </si>
  <si>
    <t>H01</t>
  </si>
  <si>
    <t>480</t>
  </si>
  <si>
    <t>551</t>
  </si>
  <si>
    <t>721176127R00</t>
  </si>
  <si>
    <t>Ostatní</t>
  </si>
  <si>
    <t>pod DOF</t>
  </si>
  <si>
    <t>564</t>
  </si>
  <si>
    <t>364</t>
  </si>
  <si>
    <t>507</t>
  </si>
  <si>
    <t>;ztratné 5%; 153,9565</t>
  </si>
  <si>
    <t>433</t>
  </si>
  <si>
    <t>Výroba a montáž kov. atypických konstr. do 20 kg  umístění PHP na stěnu</t>
  </si>
  <si>
    <t>611653557 - D5</t>
  </si>
  <si>
    <t>Dlažba slinutá matná 600x600x9 mm</t>
  </si>
  <si>
    <t>Přesun hmot pro zámečnické konstr., výšky do 6 m</t>
  </si>
  <si>
    <t>86</t>
  </si>
  <si>
    <t>417351113R00</t>
  </si>
  <si>
    <t>278</t>
  </si>
  <si>
    <t>222</t>
  </si>
  <si>
    <t>342264091R00</t>
  </si>
  <si>
    <t>605</t>
  </si>
  <si>
    <t>trám pod stropem</t>
  </si>
  <si>
    <t>275,18+16,5</t>
  </si>
  <si>
    <t>Potrubí HT připojovací D 40 x 1,8 mm</t>
  </si>
  <si>
    <t>55</t>
  </si>
  <si>
    <t>402</t>
  </si>
  <si>
    <t>Podlahy povlakové</t>
  </si>
  <si>
    <t>SDK konstrukce + štuk</t>
  </si>
  <si>
    <t>370</t>
  </si>
  <si>
    <t>15*25</t>
  </si>
  <si>
    <t>28355031</t>
  </si>
  <si>
    <t>deska pod novou vnější stavbou</t>
  </si>
  <si>
    <t>762341320R00</t>
  </si>
  <si>
    <t>786_</t>
  </si>
  <si>
    <t>Zpracoval:</t>
  </si>
  <si>
    <t>omítka na zeplení ploch schodiště</t>
  </si>
  <si>
    <t>312000202VD</t>
  </si>
  <si>
    <t>372</t>
  </si>
  <si>
    <t>Omítka vnitřní zdiva, MVC, hladká</t>
  </si>
  <si>
    <t>H766</t>
  </si>
  <si>
    <t>Zateplovací systém fasáda, EPS F GREY tl.240 mm - Zakončení perlinkou + lepidlo/Součinitel lambda izolantu 0,031 W/mK</t>
  </si>
  <si>
    <t>Izolace návleková MIRELON PRO tl. stěny 6 mm vnitřní průměr 50 mm</t>
  </si>
  <si>
    <t>(3,6+3,6+3*1,4+1*0,9+2,2)*2,2</t>
  </si>
  <si>
    <t>Výlevka závěsná MIRA s plastovou mřížkou</t>
  </si>
  <si>
    <t>Nové konstr.  - technika prostředí staveb - ZTI</t>
  </si>
  <si>
    <t>76</t>
  </si>
  <si>
    <t>486</t>
  </si>
  <si>
    <t>0,408+0,156</t>
  </si>
  <si>
    <t>Podkladní vrstvy komunikací, letišť a ploch</t>
  </si>
  <si>
    <t>311271115R00</t>
  </si>
  <si>
    <t>430361721R00</t>
  </si>
  <si>
    <t>Demontáž žlabů půlkruh. rovných, rš 250 mm, do 30°</t>
  </si>
  <si>
    <t>1+3+2+1+1</t>
  </si>
  <si>
    <t>290</t>
  </si>
  <si>
    <t>41,85</t>
  </si>
  <si>
    <t>453</t>
  </si>
  <si>
    <t>431351121T00</t>
  </si>
  <si>
    <t>722237134R00</t>
  </si>
  <si>
    <t>Vrut zápustný 021814   5   x  30 mm s podložkou</t>
  </si>
  <si>
    <t>346</t>
  </si>
  <si>
    <t>764391240R00</t>
  </si>
  <si>
    <t>61110565 - O1B</t>
  </si>
  <si>
    <t>315</t>
  </si>
  <si>
    <t>764908303R00</t>
  </si>
  <si>
    <t>64_</t>
  </si>
  <si>
    <t>28,45</t>
  </si>
  <si>
    <t>průřezová plocha izolace x délka (nad byty)  ST1.1</t>
  </si>
  <si>
    <t>Trubní vedení</t>
  </si>
  <si>
    <t>722172913R00</t>
  </si>
  <si>
    <t>766990010VD</t>
  </si>
  <si>
    <t>151101201R00</t>
  </si>
  <si>
    <t>151101111R00</t>
  </si>
  <si>
    <t>+ pákový ovladač ventilace (2x)</t>
  </si>
  <si>
    <t>998722101R00</t>
  </si>
  <si>
    <t>713121111R00</t>
  </si>
  <si>
    <t>;ztratné 10%; 3,968</t>
  </si>
  <si>
    <t>576</t>
  </si>
  <si>
    <t>207</t>
  </si>
  <si>
    <t>Přesun hmot, trubní vedení plastová, otevř. výkop</t>
  </si>
  <si>
    <t>výškový rozdíl desky stropu</t>
  </si>
  <si>
    <t>721176125R00</t>
  </si>
  <si>
    <t>Zhotovitel</t>
  </si>
  <si>
    <t>380</t>
  </si>
  <si>
    <t>199000002R00</t>
  </si>
  <si>
    <t>632922951RT6</t>
  </si>
  <si>
    <t>28376064</t>
  </si>
  <si>
    <t>I 140 strop B - strojovna nad sálem (P7)</t>
  </si>
  <si>
    <t>Vodorovné přemístění výkopku z hor.1-4 do 6000 m</t>
  </si>
  <si>
    <t>1x základ, přebroušení, 2x lak</t>
  </si>
  <si>
    <t>517</t>
  </si>
  <si>
    <t>RTS I / 2023</t>
  </si>
  <si>
    <t>767995102R00</t>
  </si>
  <si>
    <t>61110565 - O1A</t>
  </si>
  <si>
    <t>766417111T00</t>
  </si>
  <si>
    <t>spojovací a pomocný materiál statické ocelové konstrukce (šrouby, podložky, plechy, stahovadla,...)</t>
  </si>
  <si>
    <t>190</t>
  </si>
  <si>
    <t>601+26,31</t>
  </si>
  <si>
    <t>obvod desky - vytvoření "vany" pro vylití základové desky přístavby pozice P3</t>
  </si>
  <si>
    <t>579</t>
  </si>
  <si>
    <t>552</t>
  </si>
  <si>
    <t>1,86</t>
  </si>
  <si>
    <t>27_</t>
  </si>
  <si>
    <t>2</t>
  </si>
  <si>
    <t>Dno šachetní   PP DN 400/160 mm KG sběrné T2</t>
  </si>
  <si>
    <t>Projektant:</t>
  </si>
  <si>
    <t>Vrut zápustný 02 1814 d 3,5 x 40 mm</t>
  </si>
  <si>
    <t>(6,5+6,5+6,4+6)*0,5*0,5</t>
  </si>
  <si>
    <t>Podpěrná konstr. stropů do 12 kPa - zřízení</t>
  </si>
  <si>
    <t>Demontáž laťování střech, rozteč latí do 22 cm</t>
  </si>
  <si>
    <t/>
  </si>
  <si>
    <t>4+2+1</t>
  </si>
  <si>
    <t>;ztratné 15%; 7,2</t>
  </si>
  <si>
    <t>60725016</t>
  </si>
  <si>
    <t>309</t>
  </si>
  <si>
    <t>2*10</t>
  </si>
  <si>
    <t>152</t>
  </si>
  <si>
    <t>Založení extenzivní zelené střechy</t>
  </si>
  <si>
    <t>17</t>
  </si>
  <si>
    <t>+10% na kaverny ve zdivu</t>
  </si>
  <si>
    <t>471</t>
  </si>
  <si>
    <t>183*10/1000</t>
  </si>
  <si>
    <t>(2+1,5+1,5+6+6+1,7+5,5+0,4+0,6+0,4+0,6+6,5+6,4+10+9)*3,2</t>
  </si>
  <si>
    <t>SO 02A</t>
  </si>
  <si>
    <t>63140156</t>
  </si>
  <si>
    <t>Nátěr syntetický OK "A" základní, Paulín</t>
  </si>
  <si>
    <t>567</t>
  </si>
  <si>
    <t>Deska dřevoštěpková OSB 3 broušená 4PD, Egger tl. 22 mm</t>
  </si>
  <si>
    <t>406</t>
  </si>
  <si>
    <t>837395121RT2</t>
  </si>
  <si>
    <t>51,65+35,33</t>
  </si>
  <si>
    <t>Bednění stěn základových kleneb - odstranění</t>
  </si>
  <si>
    <t>527</t>
  </si>
  <si>
    <t>721176224R00</t>
  </si>
  <si>
    <t>Penetrace podkladu pod hydroizolační nátěr,vč.dod.</t>
  </si>
  <si>
    <t>komíny v 2.NP+nadstřešní část</t>
  </si>
  <si>
    <t>boční stěny vikýřů - trojúhelníkový průmět do roviny střechy</t>
  </si>
  <si>
    <t>777553210R00</t>
  </si>
  <si>
    <t>21*0,15</t>
  </si>
  <si>
    <t>1*5,6+1*5,3</t>
  </si>
  <si>
    <t>98</t>
  </si>
  <si>
    <t>55147017</t>
  </si>
  <si>
    <t>112</t>
  </si>
  <si>
    <t>Lešení a stavební výtahy</t>
  </si>
  <si>
    <t>vodorovná ve staré části  pozice P1</t>
  </si>
  <si>
    <t>15_</t>
  </si>
  <si>
    <t>;ztratné 0,5%; 0,08315</t>
  </si>
  <si>
    <t>21</t>
  </si>
  <si>
    <t>Revizní dvířka Promat do SDK podhledu, 300x300 mm</t>
  </si>
  <si>
    <t>bez povrchoví úpravy - bude oplechováno</t>
  </si>
  <si>
    <t>533</t>
  </si>
  <si>
    <t>Podlahy</t>
  </si>
  <si>
    <t>Montáž tepelné/zvukové izolace podlah na sucho, jednovrstvá</t>
  </si>
  <si>
    <t>kruhové okno</t>
  </si>
  <si>
    <t>2,15</t>
  </si>
  <si>
    <t>34_</t>
  </si>
  <si>
    <t>2+3</t>
  </si>
  <si>
    <t>SO 03c_9_</t>
  </si>
  <si>
    <t>Montáž hrdel rovných Pz půlkruhových s dodávkouu mat</t>
  </si>
  <si>
    <t>61110591 - D6</t>
  </si>
  <si>
    <t>783782212R00</t>
  </si>
  <si>
    <t>451572111R00</t>
  </si>
  <si>
    <t>138*2</t>
  </si>
  <si>
    <t>(4,9+4,9+3+3+1,3+1,3+1,3+1,8+5+2+4+5,2+1,1+3,96+2,5+2,5+1,5)*0,15*3,25</t>
  </si>
  <si>
    <t>4*(4*0,4*3*0,7)</t>
  </si>
  <si>
    <t>Montáž prahů dveří jednokřídlových š. do 10 cm</t>
  </si>
  <si>
    <t>445</t>
  </si>
  <si>
    <t>Potrubí z trub kameninových</t>
  </si>
  <si>
    <t>722130233R00</t>
  </si>
  <si>
    <t>725139101R00</t>
  </si>
  <si>
    <t>15*(6*0,4+4*0,7)</t>
  </si>
  <si>
    <t>61165612</t>
  </si>
  <si>
    <t>plocha stropu - beton deska</t>
  </si>
  <si>
    <t>509</t>
  </si>
  <si>
    <t>892233111R00</t>
  </si>
  <si>
    <t>;ztratné 10%; 21</t>
  </si>
  <si>
    <t>611437488 - ST03</t>
  </si>
  <si>
    <t>351</t>
  </si>
  <si>
    <t>362</t>
  </si>
  <si>
    <t>Úprava povrchů vnitřní</t>
  </si>
  <si>
    <t>vodorovná část nad pobytováými místnostmi</t>
  </si>
  <si>
    <t>Práce přesčas</t>
  </si>
  <si>
    <t>723</t>
  </si>
  <si>
    <t>;ztratné 20%; 75,2</t>
  </si>
  <si>
    <t>31_</t>
  </si>
  <si>
    <t>Nízkotlaká injektáž cihelného zdiva tl. do 100 cm</t>
  </si>
  <si>
    <t>59590780</t>
  </si>
  <si>
    <t>519</t>
  </si>
  <si>
    <t>;ztratné 2%; 5,2</t>
  </si>
  <si>
    <t>(3,5+3,5+4,9+2+2+2+6)*2,5</t>
  </si>
  <si>
    <t>260*(0,15+0,05)/2</t>
  </si>
  <si>
    <t>273353101R00</t>
  </si>
  <si>
    <t>Šoupě vodárenské DN 65</t>
  </si>
  <si>
    <t>Montáž háků Pz půlkruhových s dodávkou háku</t>
  </si>
  <si>
    <t>Bednění stěn základových desek - odstranění</t>
  </si>
  <si>
    <t>41_</t>
  </si>
  <si>
    <t>61</t>
  </si>
  <si>
    <t>345</t>
  </si>
  <si>
    <t>313</t>
  </si>
  <si>
    <t>Montáž šachty vodoměrné a revizní plastové hranaté</t>
  </si>
  <si>
    <t>8,4*3,7</t>
  </si>
  <si>
    <t>SO 03f</t>
  </si>
  <si>
    <t>368</t>
  </si>
  <si>
    <t>126</t>
  </si>
  <si>
    <t>124</t>
  </si>
  <si>
    <t>17,4</t>
  </si>
  <si>
    <t>764352800R00</t>
  </si>
  <si>
    <t>174101101R00</t>
  </si>
  <si>
    <t>SO 02C_4_</t>
  </si>
  <si>
    <t>722172313R00</t>
  </si>
  <si>
    <t>541</t>
  </si>
  <si>
    <t>Lešení lehké pomocné,schodiště, H podlahy do 1,5 m</t>
  </si>
  <si>
    <t>158</t>
  </si>
  <si>
    <t>svislé vzpěry a šikmá táhla vazníků</t>
  </si>
  <si>
    <t>Hydroizolační povlak - nátěr</t>
  </si>
  <si>
    <t>559</t>
  </si>
  <si>
    <t>459</t>
  </si>
  <si>
    <t>12</t>
  </si>
  <si>
    <t>764421260R00</t>
  </si>
  <si>
    <t>563</t>
  </si>
  <si>
    <t>Montáž KZS stena vikýře - kotvenína porobeton</t>
  </si>
  <si>
    <t>724_</t>
  </si>
  <si>
    <t>Nástěnka MZD PP-R INSTAPLAST D 20xR1/2 P</t>
  </si>
  <si>
    <t>234</t>
  </si>
  <si>
    <t>725139102R00</t>
  </si>
  <si>
    <t>Deska varná vestavná elektrická  elektrické napětí: 230/380</t>
  </si>
  <si>
    <t>;ztratné 5%; 0,24</t>
  </si>
  <si>
    <t>63151435.A</t>
  </si>
  <si>
    <t>(25+12+25+12)*3,5</t>
  </si>
  <si>
    <t>Baterie umyvadlová stoján. ruční, vč. otvír.odpadu včetně dodávky</t>
  </si>
  <si>
    <t>Kulturní památka</t>
  </si>
  <si>
    <t>641952341R00</t>
  </si>
  <si>
    <t>Odvoz suti a vybour. hmot na skládku do 1 km</t>
  </si>
  <si>
    <t>Objekt</t>
  </si>
  <si>
    <t>Deska izolační kročejová EPS T 4000 tl. 40 mm</t>
  </si>
  <si>
    <t>Různé dokončovací konstrukce a práce na pozemních stavbách</t>
  </si>
  <si>
    <t>Montáž a dílenská výroba schodiště přímého s podstupnicemi š.1 m včteně pomocného a kotevního materiálu</t>
  </si>
  <si>
    <t>722237654R00</t>
  </si>
  <si>
    <t>168</t>
  </si>
  <si>
    <t>61165003</t>
  </si>
  <si>
    <t>Stropy a stropní konstrukce (pro pozemní stavby)</t>
  </si>
  <si>
    <t>Bourání konstrukcí</t>
  </si>
  <si>
    <t>150/2,5</t>
  </si>
  <si>
    <t>Vodorovné konstrukce</t>
  </si>
  <si>
    <t>7+9+3+1</t>
  </si>
  <si>
    <t>(4,7+1,3+2,1+2,1+3,6+8,8+4)*3,2*0,15</t>
  </si>
  <si>
    <t>306</t>
  </si>
  <si>
    <t>28651657.A</t>
  </si>
  <si>
    <t>463</t>
  </si>
  <si>
    <t>;ztratné 10%; 2</t>
  </si>
  <si>
    <t>Šachta vodoměrná 2,4x1,2x1,8 m</t>
  </si>
  <si>
    <t>kotevní vrut 7*300 mm + talířová prodlužovací podložka</t>
  </si>
  <si>
    <t>503</t>
  </si>
  <si>
    <t>DPH 21%</t>
  </si>
  <si>
    <t>504</t>
  </si>
  <si>
    <t>Zdivo z tvárnic porobeton hladkých tl. 25 cm</t>
  </si>
  <si>
    <t>Deska dřevoštěpková OSB 3 N tl. 18 mm</t>
  </si>
  <si>
    <t>298</t>
  </si>
  <si>
    <t>55330388</t>
  </si>
  <si>
    <t>184</t>
  </si>
  <si>
    <t>1,8*2,5*0,25</t>
  </si>
  <si>
    <t>Izolace návleková MIRELON PRO tl. stěny 20 mm vnitřní průměr 25 mm</t>
  </si>
  <si>
    <t>249</t>
  </si>
  <si>
    <t>458</t>
  </si>
  <si>
    <t>941941191RT4</t>
  </si>
  <si>
    <t>502</t>
  </si>
  <si>
    <t>134</t>
  </si>
  <si>
    <t>Zdivo nosné z cihel vápenopískových 5DF (300) na SMS 5</t>
  </si>
  <si>
    <t>211</t>
  </si>
  <si>
    <t>SO 02B</t>
  </si>
  <si>
    <t>SO 02B_</t>
  </si>
  <si>
    <t>899712111R00</t>
  </si>
  <si>
    <t>Potrubí z PPR, D 32x5,4 mm, PN 20, vč. zed. výpom.</t>
  </si>
  <si>
    <t>stávající zdivo zachované staré části budovy</t>
  </si>
  <si>
    <t>196</t>
  </si>
  <si>
    <t>skládací stěna - dřevená - masiv  2550/2200 - dělena v lamelách na polovinu, zamykatelná - rozložení k obou stranám ostění</t>
  </si>
  <si>
    <t>55329030</t>
  </si>
  <si>
    <t>2*5,6+2*3,9+2*5,3</t>
  </si>
  <si>
    <t>H763_</t>
  </si>
  <si>
    <t>;ztratné 20%; 27,6</t>
  </si>
  <si>
    <t>216-51,65-35,35</t>
  </si>
  <si>
    <t>2,66</t>
  </si>
  <si>
    <t>318</t>
  </si>
  <si>
    <t>766111110R00</t>
  </si>
  <si>
    <t>Závětrná lišta horní pro přivaření PVC folie - délka 2000 mm / výška 200 mm</t>
  </si>
  <si>
    <t>(13*11,6+1*10,3+2*5,8+2*2)*61,3/1000</t>
  </si>
  <si>
    <t>SO 01</t>
  </si>
  <si>
    <t>61110553 - O3</t>
  </si>
  <si>
    <t>Potrubí z PPR, D 20x3,4 mm, PN 20, vč. zed. výpom.</t>
  </si>
  <si>
    <t>Domovní vodárny, bez potrubí, Darling LIDO 35-2</t>
  </si>
  <si>
    <t>2,43</t>
  </si>
  <si>
    <t>40,25-5,5</t>
  </si>
  <si>
    <t>998764101R00</t>
  </si>
  <si>
    <t>371</t>
  </si>
  <si>
    <t>Železobeton zákl. desek z cem.portladských C 25/30</t>
  </si>
  <si>
    <t>367</t>
  </si>
  <si>
    <t>283231434</t>
  </si>
  <si>
    <t>998762102R00</t>
  </si>
  <si>
    <t>27,10-10,23</t>
  </si>
  <si>
    <t>187</t>
  </si>
  <si>
    <t>Podkladní vrstva z betonu prostého C 25/30 do 10cm</t>
  </si>
  <si>
    <t>611601218</t>
  </si>
  <si>
    <t>496</t>
  </si>
  <si>
    <t>kpl</t>
  </si>
  <si>
    <t>;ztratné 10%; 16,2</t>
  </si>
  <si>
    <t>317</t>
  </si>
  <si>
    <t>2*10,2</t>
  </si>
  <si>
    <t>518</t>
  </si>
  <si>
    <t>191</t>
  </si>
  <si>
    <t>786691002R00</t>
  </si>
  <si>
    <t>30*(0,4+0,2)</t>
  </si>
  <si>
    <t>2*26*1,5+13*6,5</t>
  </si>
  <si>
    <t>SO 02B_77_</t>
  </si>
  <si>
    <t>524</t>
  </si>
  <si>
    <t>prohloubení v podlahách 1.NP - odstraněná přístavba pro nové vrstvy</t>
  </si>
  <si>
    <t>Přesun hmot pro podlahy z dlaždic, výšky do 6 m</t>
  </si>
  <si>
    <t>Podkladní a vedlejší konstrukce (kromě vozovek a železničního svršku)</t>
  </si>
  <si>
    <t>Nátěr fasády hydrofobní Hydrofuge Incolore 1 x</t>
  </si>
  <si>
    <t>404</t>
  </si>
  <si>
    <t>49</t>
  </si>
  <si>
    <t>podpůrné vodorovné prvky</t>
  </si>
  <si>
    <t>Vytyčení IS</t>
  </si>
  <si>
    <t>763_</t>
  </si>
  <si>
    <t>72</t>
  </si>
  <si>
    <t>severní, východní a jižní fas přístavby (plochy dřevěného obkladu)</t>
  </si>
  <si>
    <t>713_</t>
  </si>
  <si>
    <t>275</t>
  </si>
  <si>
    <t>766624036R00</t>
  </si>
  <si>
    <t>512</t>
  </si>
  <si>
    <t>19_</t>
  </si>
  <si>
    <t>521</t>
  </si>
  <si>
    <t>3,2*3,3</t>
  </si>
  <si>
    <t>Přesuny</t>
  </si>
  <si>
    <t>deska spodní - strojovna nad sálem</t>
  </si>
  <si>
    <t>ST 01</t>
  </si>
  <si>
    <t>MAT</t>
  </si>
  <si>
    <t>1*4,3+2*1,1+1*4,8+1*5,3</t>
  </si>
  <si>
    <t>Demontáž výkladců zapuštěných šroubovaných</t>
  </si>
  <si>
    <t>Deska dřevoštěpková OSB 3 B - 4PD tl. 25 mm</t>
  </si>
  <si>
    <t>Přesun hmot pro izolace proti vodě, výšky do 6 m</t>
  </si>
  <si>
    <t>978013191R00</t>
  </si>
  <si>
    <t>775_</t>
  </si>
  <si>
    <t>267</t>
  </si>
  <si>
    <t>H771</t>
  </si>
  <si>
    <t>538</t>
  </si>
  <si>
    <t>724211122R00</t>
  </si>
  <si>
    <t>70</t>
  </si>
  <si>
    <t>SO 05_5_</t>
  </si>
  <si>
    <t>Celkem vč. DPH</t>
  </si>
  <si>
    <t>776</t>
  </si>
  <si>
    <t>277</t>
  </si>
  <si>
    <t>8</t>
  </si>
  <si>
    <t>SO 02C_78_</t>
  </si>
  <si>
    <t>Celkem:</t>
  </si>
  <si>
    <t>M.vázan.konstr.polohraněn. do 224 cm2 ocel. spojk. včetně dodávky řeziva, trámy 14/14 cm</t>
  </si>
  <si>
    <t>Mimostav. doprava</t>
  </si>
  <si>
    <t>Geotextilie netkaná  PET 200 g/m2</t>
  </si>
  <si>
    <t>-(12*1*2*0,15+3*1,7*2*0,3+1,5*2,6*0,75+3*1,5*1,9*0,75)</t>
  </si>
  <si>
    <t>H781_</t>
  </si>
  <si>
    <t>Nátěry</t>
  </si>
  <si>
    <t>764410250R00</t>
  </si>
  <si>
    <t>766423341R00</t>
  </si>
  <si>
    <t>trasy ZTI pod podlahou 1.NP</t>
  </si>
  <si>
    <t>předstěna obvodových vapis stěn - bruto</t>
  </si>
  <si>
    <t>266</t>
  </si>
  <si>
    <t>Bednění stropu trámového, vlastní - odstranění</t>
  </si>
  <si>
    <t>713121121RT1</t>
  </si>
  <si>
    <t>18</t>
  </si>
  <si>
    <t>DN celkem z obj.</t>
  </si>
  <si>
    <t>764311821R00</t>
  </si>
  <si>
    <t>1,1*7,5*0,25</t>
  </si>
  <si>
    <t>Dodávka a montáž NN</t>
  </si>
  <si>
    <t>Přesun hmot pro truhlářské konstr., výšky do 6 m</t>
  </si>
  <si>
    <t>20,5+13</t>
  </si>
  <si>
    <t>516</t>
  </si>
  <si>
    <t>766829100R00</t>
  </si>
  <si>
    <t>7*2*6</t>
  </si>
  <si>
    <t>46</t>
  </si>
  <si>
    <t>764_</t>
  </si>
  <si>
    <t>114*2</t>
  </si>
  <si>
    <t>781</t>
  </si>
  <si>
    <t>14,5*15</t>
  </si>
  <si>
    <t>713</t>
  </si>
  <si>
    <t>181</t>
  </si>
  <si>
    <t>484</t>
  </si>
  <si>
    <t>4*8,1</t>
  </si>
  <si>
    <t>31179109</t>
  </si>
  <si>
    <t>Zrušení stávající přípojky - zaslepení na řadu</t>
  </si>
  <si>
    <t>(15+9)*1,1*(0,157+0,3)</t>
  </si>
  <si>
    <t>434</t>
  </si>
  <si>
    <t>;ztratné 15%; 12,45</t>
  </si>
  <si>
    <t>Poplatek za skládku suti - cihelné výrobky, skupina odpadu 170102</t>
  </si>
  <si>
    <t>(2*(25+12)+11,9)</t>
  </si>
  <si>
    <t>10,23*15</t>
  </si>
  <si>
    <t>622311230RT7</t>
  </si>
  <si>
    <t>214</t>
  </si>
  <si>
    <t>;ztratné 15%; 1,05</t>
  </si>
  <si>
    <t>61731617</t>
  </si>
  <si>
    <t>do konstrukce  SDK EI30</t>
  </si>
  <si>
    <t>550</t>
  </si>
  <si>
    <t>Potrubí HT připojovací D 50 x 1,8 mm</t>
  </si>
  <si>
    <t>Baterie termost.sprchová nástěn.,+ držákový set</t>
  </si>
  <si>
    <t>625</t>
  </si>
  <si>
    <t>okno  ve štítě</t>
  </si>
  <si>
    <t>Zateplovací systém Baumit, fasáda, EPS Open, 60 mm</t>
  </si>
  <si>
    <t>Demontáž krytiny, tabule 2 x 1 m, do 25 m2, do 30°</t>
  </si>
  <si>
    <t>385</t>
  </si>
  <si>
    <t>staré omítky degradované omítky - stěny</t>
  </si>
  <si>
    <t>11,24</t>
  </si>
  <si>
    <t>SO 02C_</t>
  </si>
  <si>
    <t>SO 02B_1_</t>
  </si>
  <si>
    <t>176</t>
  </si>
  <si>
    <t>Proplach a dezinfekce vodovod.potrubí DN 80</t>
  </si>
  <si>
    <t>Úprava povrchů vnější</t>
  </si>
  <si>
    <t>80*1,9</t>
  </si>
  <si>
    <t>722172311R00</t>
  </si>
  <si>
    <t>113108310R00</t>
  </si>
  <si>
    <t>Vrut do dřevotřísky FPF II CTP 4 x 60 mm</t>
  </si>
  <si>
    <t>Nové konstr.  - technika prostředí staveb - FVE</t>
  </si>
  <si>
    <t>Malta chem.2slož.POXY náplň 380 ml-patrona</t>
  </si>
  <si>
    <t>H777</t>
  </si>
  <si>
    <t>Demontáž krytiny dvoudrážkové, na sucho, do suti</t>
  </si>
  <si>
    <t>100</t>
  </si>
  <si>
    <t>108</t>
  </si>
  <si>
    <t>281606214R X1</t>
  </si>
  <si>
    <t>44984124</t>
  </si>
  <si>
    <t>50</t>
  </si>
  <si>
    <t>Základy</t>
  </si>
  <si>
    <t>Předokenní žaluzie - žaluzie AL 90 mm RAL 9006 el. pohon + ovládání</t>
  </si>
  <si>
    <t>Nové konstr. - 2NP</t>
  </si>
  <si>
    <t>397</t>
  </si>
  <si>
    <t>340</t>
  </si>
  <si>
    <t>28697166</t>
  </si>
  <si>
    <t>Zkouška těsnosti kanalizace vodou DN 125</t>
  </si>
  <si>
    <t>Osazení válcovaných nosníků ve stropech č. 14 - 22</t>
  </si>
  <si>
    <t>67352003</t>
  </si>
  <si>
    <t>283762325</t>
  </si>
  <si>
    <t>Zárubeň ocelová YH100   800x1970x100</t>
  </si>
  <si>
    <t>zakončení "kapotáž vyzníků" ve štítech</t>
  </si>
  <si>
    <t>Bednění stropů deskových, vlastní - odstranění</t>
  </si>
  <si>
    <t>581</t>
  </si>
  <si>
    <t>Bednění ztužujících věnců, obě strany - odstranění</t>
  </si>
  <si>
    <t>H767</t>
  </si>
  <si>
    <t>314</t>
  </si>
  <si>
    <t>SO 02A_</t>
  </si>
  <si>
    <t>622391233R00</t>
  </si>
  <si>
    <t>m</t>
  </si>
  <si>
    <t>2*11,9*5,8/2</t>
  </si>
  <si>
    <t>286967597</t>
  </si>
  <si>
    <t>373</t>
  </si>
  <si>
    <t>Předokenní žaluzie - žaluzie AL 90 mm RAL 9006 el. pohon + ovládání ze třídy</t>
  </si>
  <si>
    <t>6*1</t>
  </si>
  <si>
    <t>Dveře vchod  systémové dřeven dvoukřídlé 2000/2630 vsazené do plochy 5450/2700 + boční nadsvětlík 5600/700 s ventilačku -  IT - Ud &lt;0,81 viz spec. PS1</t>
  </si>
  <si>
    <t>Malba Remal sádrokarton, barva, bez penetrace, 2x</t>
  </si>
  <si>
    <t>M210VD_</t>
  </si>
  <si>
    <t>217</t>
  </si>
  <si>
    <t>526</t>
  </si>
  <si>
    <t>500</t>
  </si>
  <si>
    <t>225</t>
  </si>
  <si>
    <t>zádveří + posuvné dveře - prodejna 1.24/1.25 - zádveří do prodejny</t>
  </si>
  <si>
    <t>Přemístění výkopku</t>
  </si>
  <si>
    <t>(63*6+70*(0,5+1,0))*0,06*0,08</t>
  </si>
  <si>
    <t>2*26*9</t>
  </si>
  <si>
    <t>627</t>
  </si>
  <si>
    <t>11</t>
  </si>
  <si>
    <t>0,5*0,8*3,5</t>
  </si>
  <si>
    <t>Bourání pilířů cihelných</t>
  </si>
  <si>
    <t>713141151R00</t>
  </si>
  <si>
    <t>398</t>
  </si>
  <si>
    <t>160+38+39</t>
  </si>
  <si>
    <t>Odstranění asfaltové vrstvy pl. do 50 m2, tl.10 cm</t>
  </si>
  <si>
    <t>62*(0,7+0,7)</t>
  </si>
  <si>
    <t>Vodorovné přemístění výkopku z hor.1-4 do 10000 m</t>
  </si>
  <si>
    <t>240</t>
  </si>
  <si>
    <t>SO 03d_Z_</t>
  </si>
  <si>
    <t>25/2</t>
  </si>
  <si>
    <t>611653539</t>
  </si>
  <si>
    <t>výstupy na zelenou střechu - boční stěny k zateplení</t>
  </si>
  <si>
    <t>Beton schodišťových konstrukcí železový C 25/30</t>
  </si>
  <si>
    <t>;ztratné 20%; 3,8</t>
  </si>
  <si>
    <t>32</t>
  </si>
  <si>
    <t>Stavební rozpočet - Jen skupiny</t>
  </si>
  <si>
    <t>721290111R00</t>
  </si>
  <si>
    <t>272361721R00</t>
  </si>
  <si>
    <t>725291131R00</t>
  </si>
  <si>
    <t>776997111R00</t>
  </si>
  <si>
    <t>Objednatel:</t>
  </si>
  <si>
    <t>70+32+37</t>
  </si>
  <si>
    <t>50*0,5</t>
  </si>
  <si>
    <t>204</t>
  </si>
  <si>
    <t>2*5,13*14,75</t>
  </si>
  <si>
    <t>488</t>
  </si>
  <si>
    <t>2*1,5</t>
  </si>
  <si>
    <t>390</t>
  </si>
  <si>
    <t>777111125</t>
  </si>
  <si>
    <t>Koleno kanalizační KGB 110/ 45° PVC</t>
  </si>
  <si>
    <t>473</t>
  </si>
  <si>
    <t>725219401T00</t>
  </si>
  <si>
    <t>61160426</t>
  </si>
  <si>
    <t>998766101R00</t>
  </si>
  <si>
    <t>Montáž tvarovek odboč. plast. gum. kroužek DN 200</t>
  </si>
  <si>
    <t>Kačírek pro okapový chodník tl. 100 mm</t>
  </si>
  <si>
    <t>61110591 - D6A</t>
  </si>
  <si>
    <t>;ztratné 1%; 0,0104</t>
  </si>
  <si>
    <t>Geotextilie netkaná PK-Nontex PET 300 g/m2</t>
  </si>
  <si>
    <t>28697196</t>
  </si>
  <si>
    <t>nosné vnitřní zdivo - přístavba - bruto</t>
  </si>
  <si>
    <t>132301110R00</t>
  </si>
  <si>
    <t>8018912</t>
  </si>
  <si>
    <t>482</t>
  </si>
  <si>
    <t>PSV mat</t>
  </si>
  <si>
    <t>300</t>
  </si>
  <si>
    <t>611653538 - D9</t>
  </si>
  <si>
    <t>Nové konstr.  - technika prostředí staveb - MAR</t>
  </si>
  <si>
    <t>280</t>
  </si>
  <si>
    <t>131301110R00</t>
  </si>
  <si>
    <t>Koleno kanalizační KGB 160/ 45° PVC</t>
  </si>
  <si>
    <t>162701101RT3</t>
  </si>
  <si>
    <t>Demontáž podlah s polštáři z prken tl. do 32 mm</t>
  </si>
  <si>
    <t>777</t>
  </si>
  <si>
    <t>55220105.M</t>
  </si>
  <si>
    <t>61731071</t>
  </si>
  <si>
    <t>61110564 - O4</t>
  </si>
  <si>
    <t>Izolace tepelné</t>
  </si>
  <si>
    <t>Injektážní krém - tixotropní do cihelního a smíženého zdiva</t>
  </si>
  <si>
    <t>2*24,6</t>
  </si>
  <si>
    <t>31141992</t>
  </si>
  <si>
    <t>440+440*0,65</t>
  </si>
  <si>
    <t>-(4*0,8*2+3*0,9*2)</t>
  </si>
  <si>
    <t>47,05</t>
  </si>
  <si>
    <t>vazný trám 200/200 VT2+VT3+VT4</t>
  </si>
  <si>
    <t>273</t>
  </si>
  <si>
    <t>596</t>
  </si>
  <si>
    <t>pozednice</t>
  </si>
  <si>
    <t>Dlažba Taurus Granit matná 600x600x9 mm</t>
  </si>
  <si>
    <t>Krytina tvrdá</t>
  </si>
  <si>
    <t>Linka kuchyňská atypická  - sestava do (L)</t>
  </si>
  <si>
    <t>577</t>
  </si>
  <si>
    <t>3</t>
  </si>
  <si>
    <t>767995106R00</t>
  </si>
  <si>
    <t>Zabezpečení konců vodovod. potrubí DN 300</t>
  </si>
  <si>
    <t>611437474 - ST04</t>
  </si>
  <si>
    <t>SO 03b_</t>
  </si>
  <si>
    <t>;ztratné 10%; 32,4</t>
  </si>
  <si>
    <t>pultová střecha přístavby</t>
  </si>
  <si>
    <t>711111001RZ1</t>
  </si>
  <si>
    <t>Podhled sádrokartonový na zavěšenou ocel. konstr.</t>
  </si>
  <si>
    <t>Roubení</t>
  </si>
  <si>
    <t>Bednění stěn základových desek - zřízení</t>
  </si>
  <si>
    <t>Požární příslušenství - požární ucpávky</t>
  </si>
  <si>
    <t>horní a dolní pásnice vazníků vikýře</t>
  </si>
  <si>
    <t>711_</t>
  </si>
  <si>
    <t>14,7</t>
  </si>
  <si>
    <t>hřeben trám</t>
  </si>
  <si>
    <t>Montáž trubek polyetylenových ve výkopu d 75 mm</t>
  </si>
  <si>
    <t>staré zdivo (obnova po odsekání)</t>
  </si>
  <si>
    <t>607</t>
  </si>
  <si>
    <t>+ pákový ovladač venitlace (2x)</t>
  </si>
  <si>
    <t>722202214R00</t>
  </si>
  <si>
    <t>11,9*5,4/2</t>
  </si>
  <si>
    <t>horní a dolní pásnice vazníků základní/velký vikýř</t>
  </si>
  <si>
    <t>SO 06_76_</t>
  </si>
  <si>
    <t>308</t>
  </si>
  <si>
    <t>998276101R00</t>
  </si>
  <si>
    <t>383</t>
  </si>
  <si>
    <t>102</t>
  </si>
  <si>
    <t>28611143.A</t>
  </si>
  <si>
    <t>Modul-umyvadlo  , ZTP, h=112 cm</t>
  </si>
  <si>
    <t>SO 02A_1_</t>
  </si>
  <si>
    <t>kročejová - přístavba  pozice P3</t>
  </si>
  <si>
    <t>Zhotovitel:</t>
  </si>
  <si>
    <t>19*0,25</t>
  </si>
  <si>
    <t>175101101RT2</t>
  </si>
  <si>
    <t>44*0,2</t>
  </si>
  <si>
    <t>1*25</t>
  </si>
  <si>
    <t>;ztratné 10%; 27,45</t>
  </si>
  <si>
    <t>%</t>
  </si>
  <si>
    <t>491</t>
  </si>
  <si>
    <t>642942111R00</t>
  </si>
  <si>
    <t>Podlahy z dlaždic</t>
  </si>
  <si>
    <t>Vrut zápustný 021814   6   x  80 mm</t>
  </si>
  <si>
    <t>Deska z minerální plsti N tl. 30 mm</t>
  </si>
  <si>
    <t>765901182T00</t>
  </si>
  <si>
    <t>210000450VD</t>
  </si>
  <si>
    <t>96_</t>
  </si>
  <si>
    <t>952901111R00</t>
  </si>
  <si>
    <t>M240VD</t>
  </si>
  <si>
    <t>60726121</t>
  </si>
  <si>
    <t>25*2*8</t>
  </si>
  <si>
    <t>784_</t>
  </si>
  <si>
    <t>Výroba a montáž kov. atypických konstr. do 10 kg</t>
  </si>
  <si>
    <t>296</t>
  </si>
  <si>
    <t>586</t>
  </si>
  <si>
    <t>35</t>
  </si>
  <si>
    <t>(14+14)*0,2*0,2*0,01*9</t>
  </si>
  <si>
    <t>Začátek výstavby:</t>
  </si>
  <si>
    <t>642952440T00</t>
  </si>
  <si>
    <t>7,83</t>
  </si>
  <si>
    <t>611653534 - D8</t>
  </si>
  <si>
    <t>SDK konstrukce</t>
  </si>
  <si>
    <t>55330390</t>
  </si>
  <si>
    <t>388</t>
  </si>
  <si>
    <t>vnitřní nosné zdivo 1NP</t>
  </si>
  <si>
    <t>381</t>
  </si>
  <si>
    <t>566</t>
  </si>
  <si>
    <t>776411000R00</t>
  </si>
  <si>
    <t>395</t>
  </si>
  <si>
    <t>;ztratné 5%; 0,87</t>
  </si>
  <si>
    <t>58,48</t>
  </si>
  <si>
    <t>941,85-1,85-28,34-11,31-2,66-7,88-18,83-4,29-9,55-3,12-1,86-14,51</t>
  </si>
  <si>
    <t>Montáž lešení leh.řad.s podlahami,š.do 1 m, H 10 m</t>
  </si>
  <si>
    <t>Předokenní žaluzie - žaluzie AL 90 mm RAL 9006 el. pohon</t>
  </si>
  <si>
    <t>Rozchodníkový koberec předpěstovaný</t>
  </si>
  <si>
    <t>6*1+4</t>
  </si>
  <si>
    <t>Kohout vod.kul.,2xvnitř.záv.GIACOMINI R250D DN 40</t>
  </si>
  <si>
    <t>220200150VD</t>
  </si>
  <si>
    <t>312000205VD</t>
  </si>
  <si>
    <t>A</t>
  </si>
  <si>
    <t>Montáž keramických dlaždic na podstupnice, TM</t>
  </si>
  <si>
    <t>8,26</t>
  </si>
  <si>
    <t>287</t>
  </si>
  <si>
    <t>208</t>
  </si>
  <si>
    <t>Splachovač WC SLW 02GT pro splach nádrž Geberit</t>
  </si>
  <si>
    <t>Izolace proti vlhkosti svislá, fólií, volně</t>
  </si>
  <si>
    <t>998777101R00</t>
  </si>
  <si>
    <t>H713_</t>
  </si>
  <si>
    <t>Mont mat</t>
  </si>
  <si>
    <t>550*4/1000</t>
  </si>
  <si>
    <t>163</t>
  </si>
  <si>
    <t>SO 01_</t>
  </si>
  <si>
    <t>13_</t>
  </si>
  <si>
    <t>722</t>
  </si>
  <si>
    <t>784115722R00</t>
  </si>
  <si>
    <t>přechod mezi podlahami</t>
  </si>
  <si>
    <t>Osazení rámů okenních dřevohliník plocha do 4 m2</t>
  </si>
  <si>
    <t>11+1</t>
  </si>
  <si>
    <t>Kryt komunikací z asfalt.recyklátu po zhutnění 7cm</t>
  </si>
  <si>
    <t>963065311R00</t>
  </si>
  <si>
    <t>Páska těsnicí lepicí parozábrana - zaručená přilnavist k podkladu, min šíře pásky - 100 mm</t>
  </si>
  <si>
    <t>2*6</t>
  </si>
  <si>
    <t>zakrývací fólie silná, odolná věrtu a zátěží deštěm</t>
  </si>
  <si>
    <t>Pojistná HI vlhkosti vodorovná, fólií, volně - kotvená k podkladu (BETON) + svařováná v pásech</t>
  </si>
  <si>
    <t>274</t>
  </si>
  <si>
    <t>trám - atika</t>
  </si>
  <si>
    <t>;ztratné 25%; 9,5</t>
  </si>
  <si>
    <t>407</t>
  </si>
  <si>
    <t>93</t>
  </si>
  <si>
    <t>Výztuž zákl. desek nad 12mm, ocel BSt 500S</t>
  </si>
  <si>
    <t>Železobeton základových kleneb C 25/30</t>
  </si>
  <si>
    <t>764339230R00</t>
  </si>
  <si>
    <t>Osazení zárubní dveřních ocelových, pl. do 2,5 m2</t>
  </si>
  <si>
    <t>Strojní vybavení</t>
  </si>
  <si>
    <t>285</t>
  </si>
  <si>
    <t>279</t>
  </si>
  <si>
    <t>Klapka ventil zpětný,2xvnitřní závit GIACOMINI N5 DN 40</t>
  </si>
  <si>
    <t>(5,2+3,2)*0,3*1,1</t>
  </si>
  <si>
    <t>273351215R00</t>
  </si>
  <si>
    <t>Montáž tepelné izolace stěn, systémové řešení inverzní TI v základech</t>
  </si>
  <si>
    <t>767995101R00</t>
  </si>
  <si>
    <t>Malta chem.2slož.POLY náplň 380ml-patrona</t>
  </si>
  <si>
    <t>173</t>
  </si>
  <si>
    <t>Zaměření skutečného provedení</t>
  </si>
  <si>
    <t>H777_</t>
  </si>
  <si>
    <t>493</t>
  </si>
  <si>
    <t>598</t>
  </si>
  <si>
    <t>63_</t>
  </si>
  <si>
    <t>Podlahy ze syntetických hmot</t>
  </si>
  <si>
    <t>157</t>
  </si>
  <si>
    <t>311</t>
  </si>
  <si>
    <t>Montáž tepelné izolace střech, na lepidlo PUK, desky - spádování</t>
  </si>
  <si>
    <t>;ztratné 20%; 97</t>
  </si>
  <si>
    <t>Lemování z Pz-poilastovaný plechu zdí, hřeben, rš 330 mm</t>
  </si>
  <si>
    <t>470+162</t>
  </si>
  <si>
    <t>101</t>
  </si>
  <si>
    <t>;ztratné 5%; 19,8</t>
  </si>
  <si>
    <t>75</t>
  </si>
  <si>
    <t>dozdívky + zdi stará budovva - plocha zdiva * výška</t>
  </si>
  <si>
    <t>366</t>
  </si>
  <si>
    <t>4+0,5+5,3+2*1+4,5</t>
  </si>
  <si>
    <t>433351131R00</t>
  </si>
  <si>
    <t>697411801</t>
  </si>
  <si>
    <t>54</t>
  </si>
  <si>
    <t>ZTP</t>
  </si>
  <si>
    <t>odbočka + navrtávací odpočný ventil</t>
  </si>
  <si>
    <t>205</t>
  </si>
  <si>
    <t>3*114</t>
  </si>
  <si>
    <t>Vrut do dřevotřísky FPF II CTP 5 x 100 mm</t>
  </si>
  <si>
    <t>;ztratné 25%; 117,5</t>
  </si>
  <si>
    <t>Potrubí KG svodné (ležaté) v zemi D 125 x 3,2 mm</t>
  </si>
  <si>
    <t xml:space="preserve"> </t>
  </si>
  <si>
    <t>tepelná - stará část budovy  pozice P1</t>
  </si>
  <si>
    <t>311271176RT6</t>
  </si>
  <si>
    <t>Přesun hmot pro izolace tepelné, výšky do 6 m</t>
  </si>
  <si>
    <t>Zkoušky - pitná voda</t>
  </si>
  <si>
    <t>finální vrtsva na EPS</t>
  </si>
  <si>
    <t>16_</t>
  </si>
  <si>
    <t>Izolace návleková MIRELON PRO tl. stěny 20 mm vnitřní průměr 40 mm</t>
  </si>
  <si>
    <t>Okno systémové dřevené - kruhové - D 3,10 m - FIX, izolační trojsklo Uw &lt;0,74 - pozice O1A</t>
  </si>
  <si>
    <t>Baterie k výlevce nástěnná ruční</t>
  </si>
  <si>
    <t>Krytina hladká z Pz s poplastovanou vrstvou , svitky š.670 mm do 45° včtně dodávky svitků 670 mm</t>
  </si>
  <si>
    <t>elektro montáže</t>
  </si>
  <si>
    <t>722181211RU1</t>
  </si>
  <si>
    <t>136</t>
  </si>
  <si>
    <t>Odbočka kanalizační KGEA 110/ 110/45° PVC</t>
  </si>
  <si>
    <t>603</t>
  </si>
  <si>
    <t>odečet výplní otvorů</t>
  </si>
  <si>
    <t>153</t>
  </si>
  <si>
    <t>HL900N ventil(hlavice) přivzdušňovací DN 50/75/100</t>
  </si>
  <si>
    <t>892241111R00</t>
  </si>
  <si>
    <t>441</t>
  </si>
  <si>
    <t>SO 02A_71_</t>
  </si>
  <si>
    <t>ST 1 - spodní deska - dolní pásnice vazníku - parozábrana + 100% izolace spár</t>
  </si>
  <si>
    <t>8*6*1,5*14,4</t>
  </si>
  <si>
    <t>762841812R00</t>
  </si>
  <si>
    <t>Montáž sprchových mís a vaniček</t>
  </si>
  <si>
    <t>387</t>
  </si>
  <si>
    <t>621</t>
  </si>
  <si>
    <t>O2</t>
  </si>
  <si>
    <t>SO 03d_8_</t>
  </si>
  <si>
    <t>334</t>
  </si>
  <si>
    <t>54112124</t>
  </si>
  <si>
    <t>123</t>
  </si>
  <si>
    <t>Matice přesná šestihranná 02 1401 M16</t>
  </si>
  <si>
    <t>159</t>
  </si>
  <si>
    <t>Dveře sklo - posuvné - automat 1000/2100 + skleněná stěna celková délka 7200 mm, výška skleněné výpkně 2900 mm - bezpečnostní sklo</t>
  </si>
  <si>
    <t>Poklop litina 425/40 t kruhový do teleskopu</t>
  </si>
  <si>
    <t>2*(2*1,4*2,5)</t>
  </si>
  <si>
    <t>998763101R00</t>
  </si>
  <si>
    <t>Zdivo z tvárnic porobeton hladkých tl. 30 cm</t>
  </si>
  <si>
    <t>kg</t>
  </si>
  <si>
    <t>403</t>
  </si>
  <si>
    <t>534</t>
  </si>
  <si>
    <t>28320271</t>
  </si>
  <si>
    <t>DIO</t>
  </si>
  <si>
    <t>548</t>
  </si>
  <si>
    <t>Podzemní PE šachta na vodu  26 m3</t>
  </si>
  <si>
    <t>(15+9)*1,1</t>
  </si>
  <si>
    <t>Objednatel</t>
  </si>
  <si>
    <t>Sestava   s ventily Qn 6 DN 50-50</t>
  </si>
  <si>
    <t>zateplení spodního líce výstupního ramene schodiště v 1NP</t>
  </si>
  <si>
    <t>150*0,25</t>
  </si>
  <si>
    <t>Dokončovací práce, demolice</t>
  </si>
  <si>
    <t>57</t>
  </si>
  <si>
    <t>257</t>
  </si>
  <si>
    <t>998711101R00</t>
  </si>
  <si>
    <t>(Kč)</t>
  </si>
  <si>
    <t>40*5*0,1*0,14</t>
  </si>
  <si>
    <t>výkopek základů</t>
  </si>
  <si>
    <t>nosné obvodové zdivo - přístavba - bruto</t>
  </si>
  <si>
    <t>Deska izolační PIR - minerální rouno tl. 220 x 625 x 1250 mm s ozubem</t>
  </si>
  <si>
    <t>pozice PS1 - 1700x700mm</t>
  </si>
  <si>
    <t>762342205RT3</t>
  </si>
  <si>
    <t>H722</t>
  </si>
  <si>
    <t>Podlaha korková přírodní Traditional 300x300x8 mm</t>
  </si>
  <si>
    <t>451311811R00</t>
  </si>
  <si>
    <t>včetně dopravy na místo</t>
  </si>
  <si>
    <t>44984140</t>
  </si>
  <si>
    <t>628</t>
  </si>
  <si>
    <t>511</t>
  </si>
  <si>
    <t>Hranol konstrukční masivní KVH NSi 60x100 mm l=5 m</t>
  </si>
  <si>
    <t>Nádrž podzemní akumulační - vstřikolis PE (žebrovaná, dva revizní otvory s poklopem "C") - užitný objem 26 m3</t>
  </si>
  <si>
    <t>22</t>
  </si>
  <si>
    <t>Montáž umyvadla na šrouby do zdiva</t>
  </si>
  <si>
    <t>606</t>
  </si>
  <si>
    <t>Montáž bednění okapových říms z desek tvrdých</t>
  </si>
  <si>
    <t>311231114R00</t>
  </si>
  <si>
    <t>(15+9)*0,5*2</t>
  </si>
  <si>
    <t>998775101R00</t>
  </si>
  <si>
    <t>115</t>
  </si>
  <si>
    <t>12,06</t>
  </si>
  <si>
    <t xml:space="preserve">Výroba a montáž kov. atypických konstr. do 10 kg - montáž předokenních žaluzií (kastlík + vodítka) + montáž žaluzií do kastlíku na místě	</t>
  </si>
  <si>
    <t>Nové konstr.  - technika prostředí staveb - TOP</t>
  </si>
  <si>
    <t>61165004</t>
  </si>
  <si>
    <t>štít východ 2NP</t>
  </si>
  <si>
    <t>Izolace návleková MIRELON PRO tl. stěny 6 mm vnitřní průměr 32 mm</t>
  </si>
  <si>
    <t>479</t>
  </si>
  <si>
    <t>Územní vlivy</t>
  </si>
  <si>
    <t>110*10/1000</t>
  </si>
  <si>
    <t>Osazení zárubní dveřních dřevo-hliníkových, pl. nad 10 m2</t>
  </si>
  <si>
    <t>Zdi podpěrné a volné</t>
  </si>
  <si>
    <t>dřevěná konstrukce spádové vrstvy střechy přístavby</t>
  </si>
  <si>
    <t>12730107</t>
  </si>
  <si>
    <t>vnitřné příčkové a výplňové zdivo 1NP</t>
  </si>
  <si>
    <t>615</t>
  </si>
  <si>
    <t>Zřízení lože z kameniva    tl. do 100 mm</t>
  </si>
  <si>
    <t>Dvířka z plastu, 200 x 300 mm</t>
  </si>
  <si>
    <t>m3</t>
  </si>
  <si>
    <t>725</t>
  </si>
  <si>
    <t>55330386</t>
  </si>
  <si>
    <t>Odstranění pažení stěn rýh - příložné - hl. do 2 m</t>
  </si>
  <si>
    <t>597813752</t>
  </si>
  <si>
    <t>781210131R00</t>
  </si>
  <si>
    <t>265</t>
  </si>
  <si>
    <t>T</t>
  </si>
  <si>
    <t>259</t>
  </si>
  <si>
    <t>411</t>
  </si>
  <si>
    <t>722172331R00</t>
  </si>
  <si>
    <t>941955101R00</t>
  </si>
  <si>
    <t>Hranol konstrukční KVH NSi, SM, C24, 60 x 140 mm, 5 m</t>
  </si>
  <si>
    <t>28697253</t>
  </si>
  <si>
    <t>M220VD</t>
  </si>
  <si>
    <t>Montáž trub kanaliz. z plastu, hrdlových, DN 150</t>
  </si>
  <si>
    <t>nad sálem - vyšší složitost</t>
  </si>
  <si>
    <t>584</t>
  </si>
  <si>
    <t>28,34</t>
  </si>
  <si>
    <t>izolace stropu nad sálem ú strojovna VZT (P7)</t>
  </si>
  <si>
    <t>Datum:</t>
  </si>
  <si>
    <t>91_</t>
  </si>
  <si>
    <t>25,4</t>
  </si>
  <si>
    <t>725823121RT1</t>
  </si>
  <si>
    <t>Dlažba  slinutá   SL 300x300x8 mm</t>
  </si>
  <si>
    <t>215</t>
  </si>
  <si>
    <t>762334110RT2</t>
  </si>
  <si>
    <t>642947111T00</t>
  </si>
  <si>
    <t>Zárubeň ocelová YH100   700x1970x100</t>
  </si>
  <si>
    <t>Potrubí z PPR, D 32x4,4 mm, PN 16, vč.zed.výpom.</t>
  </si>
  <si>
    <t>1+1+2+1</t>
  </si>
  <si>
    <t>27</t>
  </si>
  <si>
    <t xml:space="preserve">Systémové kotevní prvky pro navaření PVC izolac k podkladu/lomy/rohy	</t>
  </si>
  <si>
    <t>Odtoková souprava s ventilem HL24 D 40 mm</t>
  </si>
  <si>
    <t>Dveře  systémové dřevené dvoukřídlé 1000+285/2150, plná výplň + nadsvětlík  fix + fixní boční zaskení do plochy 1500/2700 izolační trojsklo Ud &lt;0,81</t>
  </si>
  <si>
    <t>37</t>
  </si>
  <si>
    <t>Montáž podkladového dřevěného roštu pod obložení stěn včetně materiálu a kotev</t>
  </si>
  <si>
    <t>80</t>
  </si>
  <si>
    <t>12*9,5</t>
  </si>
  <si>
    <t>m2</t>
  </si>
  <si>
    <t>41</t>
  </si>
  <si>
    <t>337</t>
  </si>
  <si>
    <t>00590010</t>
  </si>
  <si>
    <t>64214330</t>
  </si>
  <si>
    <t>podlaha</t>
  </si>
  <si>
    <t>725825114R00</t>
  </si>
  <si>
    <t>78+48</t>
  </si>
  <si>
    <t>Bednění stěn základových kleneb - zřízení</t>
  </si>
  <si>
    <t>podkladní štěrk pod podlahami ve staré budově</t>
  </si>
  <si>
    <t>Montáž umyvadel na šrouby do zdiva</t>
  </si>
  <si>
    <t>877313123R00</t>
  </si>
  <si>
    <t>762512125R00</t>
  </si>
  <si>
    <t>61110563 - O2</t>
  </si>
  <si>
    <t>186</t>
  </si>
  <si>
    <t>Přesun hmot a sutí</t>
  </si>
  <si>
    <t>NUS z rozpočtu</t>
  </si>
  <si>
    <t>251</t>
  </si>
  <si>
    <t>614</t>
  </si>
  <si>
    <t>plná vazba</t>
  </si>
  <si>
    <t>Vodorovná doprava vybour. hmot po suchu do 3 km</t>
  </si>
  <si>
    <t>(1,6+1,6+1,6+1,6+1,6+5+5+5+4+2,2+2,2+2,2+2,2)*2</t>
  </si>
  <si>
    <t>H711</t>
  </si>
  <si>
    <t>Dveře vchodové  systémové dřevěné dvoukřídlé 1850/2250 s nadsv 1850/610 do plochy 2075/2970+1400/2640+2945/2640  izol trojsklo Ud &lt;0,81 viz specif PS2</t>
  </si>
  <si>
    <t>1</t>
  </si>
  <si>
    <t>-(5*1,5*1,7+1,2*2+2*2*1,5+6*1,2*1,2+1*1,2+1,5*2+8*0,5*0,5)</t>
  </si>
  <si>
    <t>411351106R00</t>
  </si>
  <si>
    <t>Topení rozvody - dodávka a montáž - převod ze záložky</t>
  </si>
  <si>
    <t>Deska sádrovláknitá suchá podlaha, rozměr 1500 x 1000 x 12,5 mm</t>
  </si>
  <si>
    <t>777242908R00</t>
  </si>
  <si>
    <t>přístavba</t>
  </si>
  <si>
    <t>460</t>
  </si>
  <si>
    <t>11,31</t>
  </si>
  <si>
    <t>206</t>
  </si>
  <si>
    <t>468</t>
  </si>
  <si>
    <t>2*(4,7+1,3+2,1+2,1+3,6+8,8+4)*3,2</t>
  </si>
  <si>
    <t>477</t>
  </si>
  <si>
    <t>7</t>
  </si>
  <si>
    <t>kompaktní čerpacéí stanice v 1.PP - sání z jímky v podlaze</t>
  </si>
  <si>
    <t>sklepní chodba + schodiště - schodnice</t>
  </si>
  <si>
    <t>281606214R00</t>
  </si>
  <si>
    <t>236</t>
  </si>
  <si>
    <t>Rozměry</t>
  </si>
  <si>
    <t>7,195+3,036</t>
  </si>
  <si>
    <t>nápis OBECNÍ DŮM, JMÉNO PROVOZOVNY</t>
  </si>
  <si>
    <t>321</t>
  </si>
  <si>
    <t>H767_</t>
  </si>
  <si>
    <t>632</t>
  </si>
  <si>
    <t>777511113R00</t>
  </si>
  <si>
    <t>449</t>
  </si>
  <si>
    <t>Obsyp potrubí bez prohození sypaniny s dodáním štěrkopísku</t>
  </si>
  <si>
    <t>vytvoření sekcí mezi vazníky pro oddělené foukání izolace</t>
  </si>
  <si>
    <t>Fólie výstražná z PVC modrá, šířka 30 cm</t>
  </si>
  <si>
    <t>722172334R00</t>
  </si>
  <si>
    <t>532</t>
  </si>
  <si>
    <t>Pozice stropu P5 - kročejová iz</t>
  </si>
  <si>
    <t>350</t>
  </si>
  <si>
    <t>31141918</t>
  </si>
  <si>
    <t>Potrubí HT připojovací D 110 x 2,7 mm</t>
  </si>
  <si>
    <t>899401111R00</t>
  </si>
  <si>
    <t>120+42</t>
  </si>
  <si>
    <t>74</t>
  </si>
  <si>
    <t>342264513RT2</t>
  </si>
  <si>
    <t>19,7*(0,5+0,15+0,5)</t>
  </si>
  <si>
    <t>Položek:</t>
  </si>
  <si>
    <t>132201110T00</t>
  </si>
  <si>
    <t>Substrát zahradnický pro zelené střechy</t>
  </si>
  <si>
    <t>NUS celkem</t>
  </si>
  <si>
    <t>Podlahy a podlahové konstrukce</t>
  </si>
  <si>
    <t>Adaptér teleskopický PP TEGRA 600</t>
  </si>
  <si>
    <t>WORK</t>
  </si>
  <si>
    <t>Povrchové úpravy terénu</t>
  </si>
  <si>
    <t>164</t>
  </si>
  <si>
    <t>vnitřní přesah atiky, horní plocha atiky</t>
  </si>
  <si>
    <t>Zárubeň ocelová YH100 1250x1970x100</t>
  </si>
  <si>
    <t>452</t>
  </si>
  <si>
    <t>783626311R00</t>
  </si>
  <si>
    <t>131</t>
  </si>
  <si>
    <t>472</t>
  </si>
  <si>
    <t>979013312R00</t>
  </si>
  <si>
    <t>H01_</t>
  </si>
  <si>
    <t>979082111R00</t>
  </si>
  <si>
    <t>Trubka tlaková PVC hrdlovaná d 125x 4,2x5000 mm</t>
  </si>
  <si>
    <t>Kladení dlaždic 30x30 cm na stavitel. terče plast.</t>
  </si>
  <si>
    <t>Výztuž ztužujících pásů a věnců z oceli 10505(R)</t>
  </si>
  <si>
    <t>611653537 - D4</t>
  </si>
  <si>
    <t>83</t>
  </si>
  <si>
    <t>41,1+12,1+14,9+12,5+4,5+8,6+59,5+10,2+4,9</t>
  </si>
  <si>
    <t>Hloubení zapažených jam v hor.4 do 100 m3</t>
  </si>
  <si>
    <t>Trubka nerez 22,0 x 1,0 mm</t>
  </si>
  <si>
    <t>465</t>
  </si>
  <si>
    <t>497</t>
  </si>
  <si>
    <t>771_</t>
  </si>
  <si>
    <t>Výplně otvorů</t>
  </si>
  <si>
    <t>762812240R00</t>
  </si>
  <si>
    <t>prostor pro zatažení venců 1np do štítů</t>
  </si>
  <si>
    <t>Řezání stávajícího živičného krytu tl. 10 - 15 cm</t>
  </si>
  <si>
    <t>213</t>
  </si>
  <si>
    <t>schodiště mezi 2.00 a 3.01; 3.03</t>
  </si>
  <si>
    <t>28322103.A</t>
  </si>
  <si>
    <t>Montáž + dodávka  pisoáru v s integrovaným napájením - zdroj</t>
  </si>
  <si>
    <t>55102018</t>
  </si>
  <si>
    <t>Montáž vázaných krovů pravidelných do 288 cm2 včetně dodávky řeziva, hranoly 160/240; 200/200; 200/240; 200/260</t>
  </si>
  <si>
    <t>899623171R00</t>
  </si>
  <si>
    <t>odečet otovrů</t>
  </si>
  <si>
    <t>114</t>
  </si>
  <si>
    <t>Montáž ochranné textilie vodorovné</t>
  </si>
  <si>
    <t>pozice O2 - 1400x800 mm</t>
  </si>
  <si>
    <t>pozice st.2.1+2.2 - pojistná HI</t>
  </si>
  <si>
    <t>Ostatní rozpočtové náklady ORN</t>
  </si>
  <si>
    <t>286538218</t>
  </si>
  <si>
    <t>535</t>
  </si>
  <si>
    <t>rýha + rozšíření na propoj</t>
  </si>
  <si>
    <t>H721</t>
  </si>
  <si>
    <t>Okno střešní 2800/1000 ST 01 Uw &lt;0,55  + el. ovl nadsvetlíku</t>
  </si>
  <si>
    <t>47</t>
  </si>
  <si>
    <t>Tlaková zkouška vodovodního potrubí DN 80</t>
  </si>
  <si>
    <t>Montáž kuchyňských linek dřevěných linek š.do 1,2m</t>
  </si>
  <si>
    <t>Síť svařovaná Kari KY 50 3 x 2 m rohož</t>
  </si>
  <si>
    <t>22*1,1*2,1</t>
  </si>
  <si>
    <t>SO 03d_4_</t>
  </si>
  <si>
    <t>64,5*(0,54*8)*1,1</t>
  </si>
  <si>
    <t>pozice DX2 - míst. 1.02 - východ ven západní stěna</t>
  </si>
  <si>
    <t>Koleno kanalizační KGB 110/ 15° PVC</t>
  </si>
  <si>
    <t>21*0,1</t>
  </si>
  <si>
    <t>Potrubí z PPR, D 50x6,9 mm, PN 16, vč.zed.výpom.</t>
  </si>
  <si>
    <t>1,8*2,5</t>
  </si>
  <si>
    <t>179,31-28,53-41,85</t>
  </si>
  <si>
    <t>680</t>
  </si>
  <si>
    <t>67390503</t>
  </si>
  <si>
    <t>Poplatek za uložení výkopek</t>
  </si>
  <si>
    <t>766812111R00</t>
  </si>
  <si>
    <t>384</t>
  </si>
  <si>
    <t>561</t>
  </si>
  <si>
    <t>Deska dřevoštěpková OSB 3 nebroušená,  tl. 15 mm</t>
  </si>
  <si>
    <t>593</t>
  </si>
  <si>
    <t>962032241R00</t>
  </si>
  <si>
    <t>725019103R00</t>
  </si>
  <si>
    <t>HSV mat</t>
  </si>
  <si>
    <t>Kč</t>
  </si>
  <si>
    <t>294</t>
  </si>
  <si>
    <t>Umyvadlo   s otv. bater. 600x490x195 mm</t>
  </si>
  <si>
    <t>400</t>
  </si>
  <si>
    <t>574</t>
  </si>
  <si>
    <t>Potrubí HT svodné (ležaté) v zemi D 160 x 3,9 mm</t>
  </si>
  <si>
    <t>SO 04_8_</t>
  </si>
  <si>
    <t>771475034T00</t>
  </si>
  <si>
    <t>722264114R00</t>
  </si>
  <si>
    <t>962032432R00</t>
  </si>
  <si>
    <t>978015291R00</t>
  </si>
  <si>
    <t>762822830R00</t>
  </si>
  <si>
    <t>348</t>
  </si>
  <si>
    <t>Stavební rozpočet - Jen objekty celkem</t>
  </si>
  <si>
    <t>staré omítky na zachovaném zdivu</t>
  </si>
  <si>
    <t>177</t>
  </si>
  <si>
    <t>Fólie nopová T40 Garden tl. 1 mm 1,5x2 m Protivlhkostní a drenážní fólie s nopy o výšce 40 mm s perforací</t>
  </si>
  <si>
    <t>SO 03e_9_</t>
  </si>
  <si>
    <t>66</t>
  </si>
  <si>
    <t>10 cm stará budova nad kamenivem</t>
  </si>
  <si>
    <t>(2+2+4,9+2,8+1,1+4,9+5,7+0,6+0,6)*3,2</t>
  </si>
  <si>
    <t>25*2</t>
  </si>
  <si>
    <t>28653010.A</t>
  </si>
  <si>
    <t>komplet - výsek + vložení odbožení do kanalizace + utěsnění spojů a obetonování  propojneí</t>
  </si>
  <si>
    <t>staré omítky degradované omítky - stropy</t>
  </si>
  <si>
    <t>56_</t>
  </si>
  <si>
    <t>722229103R00</t>
  </si>
  <si>
    <t>Vrut zápustný 021814   6   x  45 mm</t>
  </si>
  <si>
    <t>Celkem VRN</t>
  </si>
  <si>
    <t>Podpěrná konstr. stropů do 12 kPa - odstranění</t>
  </si>
  <si>
    <t>zápachová klapka, koš na listí, DN 100</t>
  </si>
  <si>
    <t>Fólie separační PE   2 x 50 m</t>
  </si>
  <si>
    <t>74+64</t>
  </si>
  <si>
    <t>Montáž dřezů jednoduchých</t>
  </si>
  <si>
    <t>764331230R00</t>
  </si>
  <si>
    <t>Stupnice borovice, průběžná lamela, 1000 x 300 x 40 mm</t>
  </si>
  <si>
    <t>365</t>
  </si>
  <si>
    <t>431351129R00</t>
  </si>
  <si>
    <t>414</t>
  </si>
  <si>
    <t>572</t>
  </si>
  <si>
    <t>Zdivo nosné z cihel vápenopískových 5DF (175) na SMS 5</t>
  </si>
  <si>
    <t>288</t>
  </si>
  <si>
    <t>766624044R00</t>
  </si>
  <si>
    <t>Zatepl.syst.  ostění, miner.desky PV 40 mm</t>
  </si>
  <si>
    <t>Izolace minerální foukaná  lamb = &lt;0,037 do střešních konstrukcí s objemovou stabilizací</t>
  </si>
  <si>
    <t>723211111R00</t>
  </si>
  <si>
    <t>Poklop litinový typ 510 - ventilový</t>
  </si>
  <si>
    <t>pod krytinou</t>
  </si>
  <si>
    <t>201</t>
  </si>
  <si>
    <t>555</t>
  </si>
  <si>
    <t>(160+38+39)*(0,49-0,15)</t>
  </si>
  <si>
    <t>Prah bukový délka do 100 cm šířka 10 cm 2 cm</t>
  </si>
  <si>
    <t>;ztratné 10%; 6,05</t>
  </si>
  <si>
    <t>Konstrukce tesařské</t>
  </si>
  <si>
    <t>722181211RV9</t>
  </si>
  <si>
    <t>347</t>
  </si>
  <si>
    <t>155</t>
  </si>
  <si>
    <t>247</t>
  </si>
  <si>
    <t>průřezová plocha izolace x délka (nad VZT) ST 1,2</t>
  </si>
  <si>
    <t>Omítka vnější stěn, MVC, hrubá zatřená (pod KZS)</t>
  </si>
  <si>
    <t>964073221R00</t>
  </si>
  <si>
    <t>90</t>
  </si>
  <si>
    <t>Deska dřevoštěpková OSB ECO 3 N tl. 15 mm</t>
  </si>
  <si>
    <t>892561111T00</t>
  </si>
  <si>
    <t>599</t>
  </si>
  <si>
    <t>210</t>
  </si>
  <si>
    <t>89</t>
  </si>
  <si>
    <t>(1*(25+12))*0,7*0,25+(1*(25+12))*0,46*0,25</t>
  </si>
  <si>
    <t>Nové konstr.  - technika prostředí staveb - NN</t>
  </si>
  <si>
    <t>5,4*0,75*3,25+(1,97+2,8+1,4+2,3)*0,5*3,25+(2+2,2+4,4+4,4)*0,3*3,25</t>
  </si>
  <si>
    <t>Stropy deskové ze železobetonu C 25/30</t>
  </si>
  <si>
    <t>pozice O1B</t>
  </si>
  <si>
    <t>55111845</t>
  </si>
  <si>
    <t>564731111R00</t>
  </si>
  <si>
    <t>245</t>
  </si>
  <si>
    <t>31148334</t>
  </si>
  <si>
    <t>Vybourání dřevěných rámů oken jednoduch. pl. 2 m2</t>
  </si>
  <si>
    <t>Lišta korková masivní bez úpravy 900x70x8 mm</t>
  </si>
  <si>
    <t>Ostatní rozpočtové náklady (ORN)</t>
  </si>
  <si>
    <t>;ztratné 5%; 0,0505</t>
  </si>
  <si>
    <t>354</t>
  </si>
  <si>
    <t>725810402R00</t>
  </si>
  <si>
    <t>Zdivo nosné z cihel vápenopískových 5DF na SMS 5</t>
  </si>
  <si>
    <t>Potrubí z PPR, D 25x3,5 mm, PN 16, vč.zed.výpom.</t>
  </si>
  <si>
    <t>Zateplovací systém fasáda, EPS F GREY tl.240 mm - Součinitel lambda izolantu 0,031 W/mK</t>
  </si>
  <si>
    <t>447</t>
  </si>
  <si>
    <t>Hlavice ventilační přivětrávací HL900</t>
  </si>
  <si>
    <t>601</t>
  </si>
  <si>
    <t>1+2+1+4+3</t>
  </si>
  <si>
    <t>179</t>
  </si>
  <si>
    <t>899731113R00</t>
  </si>
  <si>
    <t>Deska fasádní minerální vlákno podélné tl. 100 mm</t>
  </si>
  <si>
    <t>711212000R00</t>
  </si>
  <si>
    <t>28697983</t>
  </si>
  <si>
    <t>Celkem DN</t>
  </si>
  <si>
    <t>474</t>
  </si>
  <si>
    <t>(6,6+30,7+6,6+12+5,9)*0,3</t>
  </si>
  <si>
    <t>Potrubí KG svodné (ležaté) v zemi D 160 x 4,0 mm</t>
  </si>
  <si>
    <t>Přesun hmot pro klempířské konstr., výšky do 6 m</t>
  </si>
  <si>
    <t>na zábradlí</t>
  </si>
  <si>
    <t>Přesun hmot pro tesařské konstrukce, výšky do 12 m</t>
  </si>
  <si>
    <t>185</t>
  </si>
  <si>
    <t>88</t>
  </si>
  <si>
    <t>713131143R00</t>
  </si>
  <si>
    <t>775599141R00</t>
  </si>
  <si>
    <t>Citkulační čerpadlo D+M    Z 20/1</t>
  </si>
  <si>
    <t>úsek</t>
  </si>
  <si>
    <t>Podesta borovice, průběžná lamela, tl. 40 mm</t>
  </si>
  <si>
    <t>31316662</t>
  </si>
  <si>
    <t>5,9*14</t>
  </si>
  <si>
    <t>612456219R00</t>
  </si>
  <si>
    <t>Poplatek za skládku horniny 1- 4, č. dle katal. odpadů 17 05 04</t>
  </si>
  <si>
    <t>Zárubeň ocelová YH100 1100x1970x100</t>
  </si>
  <si>
    <t>Montáž vázaných konstr.polohraněných do 224 cm2 včetně dodávky řeziva, trámy 16/11</t>
  </si>
  <si>
    <t>Vyvedení odpadních výpustek D 40 x 1,8</t>
  </si>
  <si>
    <t>SO 01_9_</t>
  </si>
  <si>
    <t>bruto</t>
  </si>
  <si>
    <t>148</t>
  </si>
  <si>
    <t>(0,5*0,5+0,5*0,8)*(9,3-3,5)</t>
  </si>
  <si>
    <t>344</t>
  </si>
  <si>
    <t>326</t>
  </si>
  <si>
    <t>303</t>
  </si>
  <si>
    <t>Zkrácený popis</t>
  </si>
  <si>
    <t>-(1*1*2+3*0,9*2+4*0,8*2)*0,3</t>
  </si>
  <si>
    <t>Rám do sádrokartonu SLR 03N</t>
  </si>
  <si>
    <t>607201030</t>
  </si>
  <si>
    <t>443</t>
  </si>
  <si>
    <t>Bourání zdiva z cihel pálených na MC</t>
  </si>
  <si>
    <t>28</t>
  </si>
  <si>
    <t>111</t>
  </si>
  <si>
    <t>Dveře balkonové systémové dřevené 1000 x 2060 mm - Uw &lt; 0,72</t>
  </si>
  <si>
    <t>962032231R00</t>
  </si>
  <si>
    <t>převod</t>
  </si>
  <si>
    <t>18+4,7+2+5,3</t>
  </si>
  <si>
    <t>114,99</t>
  </si>
  <si>
    <t>vaznice</t>
  </si>
  <si>
    <t>272351216R00</t>
  </si>
  <si>
    <t>Okna fix, do dř.konstr.2kř.do 5,8 m2 - kruhové okno ve východním štítě</t>
  </si>
  <si>
    <t>312</t>
  </si>
  <si>
    <t>Výroba a montáž kov. atypických konstr. do 5 kg - laserové vyřezání písmen z plechové desky</t>
  </si>
  <si>
    <t>417</t>
  </si>
  <si>
    <t>622421131R00</t>
  </si>
  <si>
    <t>722172315R00</t>
  </si>
  <si>
    <t>239</t>
  </si>
  <si>
    <t>(13*11,6+1*10,4+1*5,7+2*2)*61,3</t>
  </si>
  <si>
    <t>411321414R00</t>
  </si>
  <si>
    <t>771</t>
  </si>
  <si>
    <t>Dveře vnitřní CPL 0,2 KLASIK 1/3 sklo 2kř. 800+500/2250+750 nasvetlík</t>
  </si>
  <si>
    <t>CELK</t>
  </si>
  <si>
    <t>(4,6+0,3+2,9)*0,3*0,3</t>
  </si>
  <si>
    <t>483</t>
  </si>
  <si>
    <t>Elektrotvarovka - odbočka FRIALEN DAV d160/63</t>
  </si>
  <si>
    <t>materiál bude po recyklaci předán obci k využití</t>
  </si>
  <si>
    <t>501</t>
  </si>
  <si>
    <t>10*3,5</t>
  </si>
  <si>
    <t>středová část stará budova</t>
  </si>
  <si>
    <t>113</t>
  </si>
  <si>
    <t>Ústřední vytápění</t>
  </si>
  <si>
    <t>106</t>
  </si>
  <si>
    <t>Žlaby z Pz-poplastovaný plechu podokapní půlkruhové, rš 330 mm</t>
  </si>
  <si>
    <t>376</t>
  </si>
  <si>
    <t>94_</t>
  </si>
  <si>
    <t>151101101R00</t>
  </si>
  <si>
    <t>10,7*5/2*0,15</t>
  </si>
  <si>
    <t>47,5</t>
  </si>
  <si>
    <t>16+16</t>
  </si>
  <si>
    <t>425</t>
  </si>
  <si>
    <t>611981893</t>
  </si>
  <si>
    <t>470</t>
  </si>
  <si>
    <t>722237426R00</t>
  </si>
  <si>
    <t>65</t>
  </si>
  <si>
    <t>VATTAX</t>
  </si>
  <si>
    <t>Oplechování Pz -poplastovaný  říms pod nadříms. žlabem, rš 500 mm</t>
  </si>
  <si>
    <t>339</t>
  </si>
  <si>
    <t>Prorážení otvorů a ostatní bourací práce</t>
  </si>
  <si>
    <t>764352295R00</t>
  </si>
  <si>
    <t>411322424R00</t>
  </si>
  <si>
    <t>725860300RT1</t>
  </si>
  <si>
    <t>244</t>
  </si>
  <si>
    <t>413941123R00</t>
  </si>
  <si>
    <t>464</t>
  </si>
  <si>
    <t>5535089160</t>
  </si>
  <si>
    <t>301</t>
  </si>
  <si>
    <t>169</t>
  </si>
  <si>
    <t>630</t>
  </si>
  <si>
    <t>schodiště 1-2NP</t>
  </si>
  <si>
    <t>34</t>
  </si>
  <si>
    <t>43_</t>
  </si>
  <si>
    <t>62</t>
  </si>
  <si>
    <t>193</t>
  </si>
  <si>
    <t>prohloubení v podlahách - stará budova pro nové vrstvy</t>
  </si>
  <si>
    <t>Kotva FIX Z 10x120/60-45  průvlaková, nerez</t>
  </si>
  <si>
    <t>;ztratné 8%; 12,16</t>
  </si>
  <si>
    <t>Spojovací a ochranné prostředky pro střechy</t>
  </si>
  <si>
    <t>481</t>
  </si>
  <si>
    <t>Doplňkové náklady DN</t>
  </si>
  <si>
    <t>;ztratné 2%; 6,48</t>
  </si>
  <si>
    <t>722130234R00</t>
  </si>
  <si>
    <t>SO 02C_77_</t>
  </si>
  <si>
    <t>Čalounické úpravy</t>
  </si>
  <si>
    <t>VŠ</t>
  </si>
  <si>
    <t>SO 04_</t>
  </si>
  <si>
    <t>Odbočka kanalizační KGEA 125/ 125/45° PVC</t>
  </si>
  <si>
    <t>432</t>
  </si>
  <si>
    <t>Zatepl.systém  parapet, miner.vlna PV 30 mm</t>
  </si>
  <si>
    <t>55330382</t>
  </si>
  <si>
    <t>;ztratné 5%; 11,4</t>
  </si>
  <si>
    <t>608</t>
  </si>
  <si>
    <t>komín v 1.NP</t>
  </si>
  <si>
    <t>335</t>
  </si>
  <si>
    <t>suterén - sklep s technologií ZTI  - plošná injketáž , 5 vrtů po výšce a 12 cm v</t>
  </si>
  <si>
    <t>428</t>
  </si>
  <si>
    <t>762342203RT4</t>
  </si>
  <si>
    <t>457</t>
  </si>
  <si>
    <t>415</t>
  </si>
  <si>
    <t>podlahy pozice P1+3</t>
  </si>
  <si>
    <t>Izolace proti vodě</t>
  </si>
  <si>
    <t>218</t>
  </si>
  <si>
    <t>Dřez MADISON keramický bez přepadu 1200x450x200 mm</t>
  </si>
  <si>
    <t>54,68*0,115</t>
  </si>
  <si>
    <t>341</t>
  </si>
  <si>
    <t>materiál (R250D DN40 - 1x; R250D DN 15-1x; ZK DN40 - 1x; poj ventil DN40-1x; Refix DD 18 litr. - 1)</t>
  </si>
  <si>
    <t>2,729+0,02+0,06+0,94</t>
  </si>
  <si>
    <t>Montáž vodovodních armatur,1závit, G 1</t>
  </si>
  <si>
    <t>horní deska sbíjeného vazníku</t>
  </si>
  <si>
    <t>478</t>
  </si>
  <si>
    <t>50/5</t>
  </si>
  <si>
    <t>Dveře balkonové systémové dřevené 1000 x 2060 mm - Uw  &lt; 0,72</t>
  </si>
  <si>
    <t>Osazení zárubní dveřních hliníkových, pl. nad 10 m2</t>
  </si>
  <si>
    <t>78,6</t>
  </si>
  <si>
    <t>ST 03</t>
  </si>
  <si>
    <t>Dveře vnitřní laminované plné 1kř. 70x197 cm</t>
  </si>
  <si>
    <t>711801003RT3</t>
  </si>
  <si>
    <t>568</t>
  </si>
  <si>
    <t>577141112RT3</t>
  </si>
  <si>
    <t>Montáž vázan.krovů pravidelných do 120cm2 ocel.spojkami - fošny 8/16 cm</t>
  </si>
  <si>
    <t>16+66</t>
  </si>
  <si>
    <t>Hloubení nezapaž. jam hor.4 do 50 m3, STROJNĚ</t>
  </si>
  <si>
    <t>61187396</t>
  </si>
  <si>
    <t>941941831R00</t>
  </si>
  <si>
    <t>rovná okna</t>
  </si>
  <si>
    <t>Montáž příplatek za segmetaci v kruhovém okně</t>
  </si>
  <si>
    <t>721176223R00</t>
  </si>
  <si>
    <t>H722_</t>
  </si>
  <si>
    <t>SO 05_72_</t>
  </si>
  <si>
    <t>svislice podlahy</t>
  </si>
  <si>
    <t>Lemování z Pz-poplast, komínů na hladké krytině, v ploše</t>
  </si>
  <si>
    <t>Zkouška těsnosti kanalizace do DN 125, vodou</t>
  </si>
  <si>
    <t>293</t>
  </si>
  <si>
    <t>Izolace návleková MIRELON PRO tl. stěny 6 mm vnitřní průměr 40 mm</t>
  </si>
  <si>
    <t>Vnitřní kanalizace</t>
  </si>
  <si>
    <t>467</t>
  </si>
  <si>
    <t>Název</t>
  </si>
  <si>
    <t>Hodnota A</t>
  </si>
  <si>
    <t>Hodnota B</t>
  </si>
  <si>
    <t>Hodnota C</t>
  </si>
  <si>
    <t>Základní náklady</t>
  </si>
  <si>
    <t>Zařízení: Dodávka, Montáž</t>
  </si>
  <si>
    <t>Vzduchotechnická zařízení celkem</t>
  </si>
  <si>
    <t>Dodávka celkem, Montážní náklady</t>
  </si>
  <si>
    <t>Hodinové zůčtovací sazby</t>
  </si>
  <si>
    <t>Montáž celkem</t>
  </si>
  <si>
    <t>Lešení</t>
  </si>
  <si>
    <t>Izolace protipožární</t>
  </si>
  <si>
    <t>Izolace protihlukové</t>
  </si>
  <si>
    <t>Základní náklady celkem</t>
  </si>
  <si>
    <t>Vedlejší náklady</t>
  </si>
  <si>
    <t>Vedlejší náklady celkem</t>
  </si>
  <si>
    <t>Kompletační činnost</t>
  </si>
  <si>
    <t>Náklady celkem</t>
  </si>
  <si>
    <t>Náklady celkem s DPH</t>
  </si>
  <si>
    <t>Součty odstavců</t>
  </si>
  <si>
    <t>Materiál</t>
  </si>
  <si>
    <t>Hmotnost
[kg]</t>
  </si>
  <si>
    <t>Zařízení č.1</t>
  </si>
  <si>
    <t>Zařízení č.3</t>
  </si>
  <si>
    <t>Zařízení č.4</t>
  </si>
  <si>
    <t>Zařízení č.5</t>
  </si>
  <si>
    <t>Zařízení č.6</t>
  </si>
  <si>
    <t>Zařízení č.7</t>
  </si>
  <si>
    <t>Zařízení č.8</t>
  </si>
  <si>
    <t>Hodinové zúčtovací sazby</t>
  </si>
  <si>
    <t>dodávka celkem</t>
  </si>
  <si>
    <t>montáž celkem</t>
  </si>
  <si>
    <t>CELKEM</t>
  </si>
  <si>
    <t>Pozice</t>
  </si>
  <si>
    <t>Mj</t>
  </si>
  <si>
    <t>Počet</t>
  </si>
  <si>
    <t>Materiál celkem</t>
  </si>
  <si>
    <t>Cena</t>
  </si>
  <si>
    <t>Cena celkem</t>
  </si>
  <si>
    <t>Hmotnost</t>
  </si>
  <si>
    <t>Hmotnost celkem</t>
  </si>
  <si>
    <t>PARAPETNÍ VZDUCHOTECHNICKÁ JEDNOTKA S REKUPERACÍ</t>
  </si>
  <si>
    <t>1.1</t>
  </si>
  <si>
    <t xml:space="preserve">Parapetní jednotka velikosti 5500 v provedení 10/0 s pracovním objemem větracího vzduchu 4800 m3/h, ext. dp=300 Pa (max. 6000m3/h dp= 430 Pa), jednotka ve složení s deskovým rekuperátorem 90,1% (min 85%), vestavěným teplovodním ohřívačem Q=4,2 kW (Qmax=13 kW) (45/30), vestavěným přímým chladičem (R410A) 21 kW, filtry ePM1 55% (F7) - přívod, Coarse 90% (G4) - odvod, uzavírací klapka E1 a I1, bypass, cirkulační klapka. Maximální rozměr jednotky bez hrdel 2500x1800x1065 mm (DxHxŠ). Další minimální technické požadavky a technické podrobnosti viz TZ případně příloha TZ. </t>
  </si>
  <si>
    <t>ks</t>
  </si>
  <si>
    <t>Digitální regulace, regulační modul umístěný vně jednotky. Cena započítána v ceně jednotky</t>
  </si>
  <si>
    <t>Dodávka jednotky v dílech</t>
  </si>
  <si>
    <t>Sestavení jednotky na místě - paušál</t>
  </si>
  <si>
    <t>Diditální dotykový ovladač jednotky</t>
  </si>
  <si>
    <t>Čidlo CO2, prostorové</t>
  </si>
  <si>
    <t>Teplotní čidlo prostorové</t>
  </si>
  <si>
    <t>Venkovní kondenzační jednotka</t>
  </si>
  <si>
    <t>1.2</t>
  </si>
  <si>
    <t>KONDENZAČNÍ JEDNOTKA DO VZT inverter, R410A, 3x400 V, připojovací potrubí - max. délka/max. převýšení=400 m/40 m, Qch=22 kW, Qt=25 kW, Rozměry skříně 1428x1080x480 (VxŠxD), max ak. tlak v 1 m 66 dB(A)</t>
  </si>
  <si>
    <t>Ovládání a regulace, výstup 0-10V</t>
  </si>
  <si>
    <t>Expanzní ventil, rozdělovač, příslušenství</t>
  </si>
  <si>
    <t>sada</t>
  </si>
  <si>
    <t>Podstavný rám nebo sokl pod venkovní kondenzační jednotky</t>
  </si>
  <si>
    <t>Propojení venkovní kondenzační jednotky s přímým výparníkem</t>
  </si>
  <si>
    <t>Propojovací potrubí Cu 9,52/19,05  včetně izolace a elektropropojení</t>
  </si>
  <si>
    <t>bm</t>
  </si>
  <si>
    <t>PROTIDEŠŤOVÁ ŽALUZIE HLINÍKOVÁ</t>
  </si>
  <si>
    <t>1.3</t>
  </si>
  <si>
    <t>PZA-K II. 1400x1000 TPJ 38-12-98</t>
  </si>
  <si>
    <t>BUŇKOVÝ TLUMIČ HLUKU
s děrovaným plechem</t>
  </si>
  <si>
    <t>1.4</t>
  </si>
  <si>
    <t>G 200x500x1000 . 1 náběhy na obou koncích tlumiče</t>
  </si>
  <si>
    <t>1.5</t>
  </si>
  <si>
    <t>1.6</t>
  </si>
  <si>
    <t>G 200x500x1500 . 1 náběhy na obou koncích tlumiče</t>
  </si>
  <si>
    <t>1.7</t>
  </si>
  <si>
    <t>1.8</t>
  </si>
  <si>
    <t>OHEBNÉ HADICE
DS25 
 /cena za 1 bm/</t>
  </si>
  <si>
    <t>1.9</t>
  </si>
  <si>
    <t>DS203 balení po 10 m</t>
  </si>
  <si>
    <t>1.10</t>
  </si>
  <si>
    <t>DS254 balení po 10 m</t>
  </si>
  <si>
    <t>ŠTĚRBINOVÁ VÝUSŤ RT355  /bez boxu/</t>
  </si>
  <si>
    <t>1.11</t>
  </si>
  <si>
    <t>RT 355-1000 - Pětištěrbinová vyúsť, pro přívod, uchycení na plenum box, hliník, délka 1m</t>
  </si>
  <si>
    <t>BOX PRO ŠTĚRBINOVÉ STROPNÍ VYÚSŤ</t>
  </si>
  <si>
    <t>1.12</t>
  </si>
  <si>
    <t>RP305--D1/0250-1000,   box pro pětištěrbinovou vyúsť RT 355-1000, boční napojení 250mm, klapka, montážní patky, délka 1m</t>
  </si>
  <si>
    <t>VÍŘIVÉ VÝUSTI
OD-8</t>
  </si>
  <si>
    <t>1.13</t>
  </si>
  <si>
    <t xml:space="preserve">OD-8/K1/Z/600/48 </t>
  </si>
  <si>
    <t>čtvercová vířivá vyúsť, pro přívod, 600x600mm / 48 lamel</t>
  </si>
  <si>
    <t xml:space="preserve">  BOXY</t>
  </si>
  <si>
    <t>1.14</t>
  </si>
  <si>
    <t>box-OD8K160048-250PHR</t>
  </si>
  <si>
    <t>box pro OD-8/600/48 s regulací, horizontální napojení, pro přívod, 
napojení 250mm</t>
  </si>
  <si>
    <t>VYÚSTKA NASTAVITELNÁ VNM  TPM  015/01</t>
  </si>
  <si>
    <t>1.15</t>
  </si>
  <si>
    <t>400x200 2/R1</t>
  </si>
  <si>
    <t>VYÚSTKA NASTAVITELNÁ VNM   TPM  015/01</t>
  </si>
  <si>
    <t>1.16</t>
  </si>
  <si>
    <t>400x200 1/R1</t>
  </si>
  <si>
    <t>1.17</t>
  </si>
  <si>
    <t>560x280 1/R1</t>
  </si>
  <si>
    <t>KRYCÍ MŘÍŽKY
 - KM /hranatá/</t>
  </si>
  <si>
    <t>1.18</t>
  </si>
  <si>
    <t xml:space="preserve">KM-H-1000x630 </t>
  </si>
  <si>
    <t>1.19 - 1.29</t>
  </si>
  <si>
    <t>NEOBSAZENO</t>
  </si>
  <si>
    <t>TEPELNÉ IZOLACE POTRUBÍ DLE OZNAČENÍ NA VÝKRESU:  Izolace se strukturou uzavřených buněk s vysokým odporem proti difúzi vodní páry, lambda =0,033W/m.K AF/A</t>
  </si>
  <si>
    <t>Desky 2x0,5 m"</t>
  </si>
  <si>
    <t>1.30</t>
  </si>
  <si>
    <t>tl. 40mm AF/A - tl 40mm</t>
  </si>
  <si>
    <t>1.31</t>
  </si>
  <si>
    <t>tl. 25mm AF/A - tl 25mm</t>
  </si>
  <si>
    <t>1.32</t>
  </si>
  <si>
    <t>TEPELNÉ IZOLACE POTRUBÍ DLE
OZNAČENÍ NA VÝKRESU:
'IZOLACE POTRUBÍ DESKOU Z MIN.
'PLSTI KONSTRUKCE 
Z POZINKOVANÉHO PLECHU</t>
  </si>
  <si>
    <t>1.33</t>
  </si>
  <si>
    <t>tl. 40mm Minerální plst s oplechováním pozink. plechem tl.0,7 mm</t>
  </si>
  <si>
    <t>HLUKOVÁ IZOLACE POTRUBÍ
DLE OZNAČENÍ NA VÝKRESU:
IZOLACE POTRUBÍ DESKOU
Z MIN. PLSTI
POLEP. AL FOLIÍ NA TRNY</t>
  </si>
  <si>
    <t>1.34</t>
  </si>
  <si>
    <t xml:space="preserve">tl. 80 mm </t>
  </si>
  <si>
    <t>ČTYŘHRANNÉ POTRUBÍ SKUPINY I.
MATERIÁL POZINKOVANÝ PLECH</t>
  </si>
  <si>
    <t xml:space="preserve"> do obvodu 1050 20% tvarovek</t>
  </si>
  <si>
    <t xml:space="preserve"> do obvodu 1500 30% tvarovek</t>
  </si>
  <si>
    <t xml:space="preserve"> do obvodu 1890 60% tvarovek</t>
  </si>
  <si>
    <t xml:space="preserve"> do obvodu 2630 30% tvarovek</t>
  </si>
  <si>
    <t xml:space="preserve"> do obvodu 3500 50% tvarovek</t>
  </si>
  <si>
    <t xml:space="preserve"> do obvodu 4000 20% tvarovek</t>
  </si>
  <si>
    <t xml:space="preserve"> do obvodu 5600 40% tvarovek</t>
  </si>
  <si>
    <t>KRUHOVÉ POTRUBÍ SKUPINY I.
MATERIÁL POZINKOVANÝ PLECH</t>
  </si>
  <si>
    <t xml:space="preserve"> do průměru280 40% tvarovek</t>
  </si>
  <si>
    <t xml:space="preserve"> do průměru400 30% tvarovek</t>
  </si>
  <si>
    <t>ZÁVĚSY, ZÁVĚSNÉ LIŠTY,
ZÁVITOVÉ TYČE,ZÁVĚSY,
KRUHOVÉ ZÁVĚSY,HMOŽDINKY</t>
  </si>
  <si>
    <t>Montážní materiál celkem</t>
  </si>
  <si>
    <t>Zařízení č.1 - celkem</t>
  </si>
  <si>
    <t>3.1</t>
  </si>
  <si>
    <t xml:space="preserve">Parapetní jednotka velikosti 2500 v provedení 10/0 s pracovním objemem větracího vzduchu 2000 m3/h, ext. dp=300 Pa (max. 2500m3/h dp= 430 Pa), jednotka ve složení s deskovým rekuperátorem 91,1% (min 85%), vestavěným teplovodním ohřívačem Q=2 kW (Qmax=8 kW) (45/30), vestavěným přímým chladičem (R410A) 9 kW, filtry ePM1 55% (F7) - přívod, Coarse 90% (G4) - odvod, uzavírací klapka E1 a I1, bypass. Maximální rozměr jednotky bez hrdel 2300x1600x580 mm (DxHxŠ). Další minimální technické požadavky a technické podrobnosti viz TZ, případně příloha TZ. </t>
  </si>
  <si>
    <t>Digitální regulace, regulační modul umístěný uvnitř jednotky. Cena započítána v ceně jednotky</t>
  </si>
  <si>
    <t>3.2</t>
  </si>
  <si>
    <t>KONDENZAČNÍ JEDNOTKA DO VZT inverter, R410A, 400 V, připojovací potrubí - max. délka/max. převýšení=50 m/30 m, Qch=12,5 kW, Qt=14 kW, Rozměry skříně 1290x900x330 (VxŠxD), max ak. tlak v 1 m 54 dB(A)</t>
  </si>
  <si>
    <t>Propojovací potrubí Cu 9,52/16  včetně izolace a elektropropojení</t>
  </si>
  <si>
    <t>NÁSTĚNNÁ DIGESTOŘ</t>
  </si>
  <si>
    <t>3.3</t>
  </si>
  <si>
    <t xml:space="preserve">DIGESTOŘ NEREZOVÁ 2800x1050x360 se dvěmi hrdly 315x150 se zářivkami a 3 ks tukových filtrů (lamelový odlučovač) </t>
  </si>
  <si>
    <t>PROTIDEŠŤOVÉ ŽALUZIE
HLINÍKOVÉ - PZAL
/se sítem/</t>
  </si>
  <si>
    <t>3.4</t>
  </si>
  <si>
    <t xml:space="preserve">PZAL-900x400-S </t>
  </si>
  <si>
    <t>BUŇKOVÝ TLUMIČ HLUKU
s děrovaným plechem</t>
  </si>
  <si>
    <t>3.5</t>
  </si>
  <si>
    <t>3.6</t>
  </si>
  <si>
    <t>3.7</t>
  </si>
  <si>
    <t>3.8</t>
  </si>
  <si>
    <t>3.9</t>
  </si>
  <si>
    <t>TEXTILNÍ VYÚSTKA KRUHOVÁ 
/vyústka na zavěšené liště, včetně mont. materiálu /</t>
  </si>
  <si>
    <t>3.10</t>
  </si>
  <si>
    <t xml:space="preserve">Kruhová vyústka 400-4500 napojení napojení kruhové 400-100, zprava, Qmax=2500 m3/h, instalace s profilem na strop, napínání. Látka v nehořlavém provedení. Barvu určit po dohodě s investorem před realizací. </t>
  </si>
  <si>
    <t>VYÚSTKA NASTAVITELNÁ VNM   015/01</t>
  </si>
  <si>
    <t>3.11</t>
  </si>
  <si>
    <t>425x200 1/R1</t>
  </si>
  <si>
    <t>3.30</t>
  </si>
  <si>
    <t>3.31</t>
  </si>
  <si>
    <t>3.32</t>
  </si>
  <si>
    <t>3.33</t>
  </si>
  <si>
    <t>PROTIPOŽ.IZOLACE POTRUBÍ DLE
OZNAČENÍ NA VÝKRESU:
IZOLACE DESKOU Z MIN.PLSTI
1x POLEP. AL FOLIÍ</t>
  </si>
  <si>
    <t>3.34</t>
  </si>
  <si>
    <t>tl. 60 mm odolnost 30 min</t>
  </si>
  <si>
    <t xml:space="preserve"> do obvodu 1050 10% tvarovek</t>
  </si>
  <si>
    <t xml:space="preserve"> do obvodu 1890 40% tvarovek</t>
  </si>
  <si>
    <t xml:space="preserve"> do obvodu 2630 40% tvarovek</t>
  </si>
  <si>
    <t>ZASLEPENÍ ČTYŘHRANNÉ TROUBY
SKUPINY I. Z POZINKOVANÉHO PLECHU</t>
  </si>
  <si>
    <t xml:space="preserve"> do obvodu 1050 </t>
  </si>
  <si>
    <t>Zařízení č.3 - celkem</t>
  </si>
  <si>
    <t>4.1</t>
  </si>
  <si>
    <t xml:space="preserve">Parapetní jednotka velikosti 2500 v provedení 10/0 s pracovním objemem větracího vzduchu 2750 m3/h, ext. dp=300 Pa, jednotka ve složení s deskovým rekuperátorem 90,6% (min 85%), vestavěným teplovodním ohřívačem Q=2 kW (Qmax=8 kW) (45/30), vestavěným přímým chladičem (R410A) 8,0 kW, filtry ePM1 55% (F7) - přívod, Coarse 90% (G4) - odvod, uzavírací klapka E1 a I1, bypass. Maximální rozměr jednotky bez hrdel 2300x1800x580 mm (DxHxŠ). Další minimální technické požadavky a technické podrobnosti viz TZ, případně příloha TZ. </t>
  </si>
  <si>
    <t>4.2</t>
  </si>
  <si>
    <t>KONDENZAČNÍ JEDNOTKA DO VZT inverter, R410A, 400 V, připojovací potrubí - max. délka/max. převýšení=50 m/30 m, Qch=10,0 kW, Qt=11 kW, Rozměry skříně 1290x900x330 (VxŠxD), max ak. tlak v 1 m 53 dB(A)</t>
  </si>
  <si>
    <t>POŽÁRNÍ KLAPKA</t>
  </si>
  <si>
    <t>4.3</t>
  </si>
  <si>
    <t>PKTM-III 500x315 TPM 075/09 .62</t>
  </si>
  <si>
    <t>4.4</t>
  </si>
  <si>
    <t>4.5</t>
  </si>
  <si>
    <t>4.6</t>
  </si>
  <si>
    <t>4.7</t>
  </si>
  <si>
    <t>OHEBNÉ HADICE
DS25 /cena za 1 bm/</t>
  </si>
  <si>
    <t>4.8</t>
  </si>
  <si>
    <t xml:space="preserve"> balení po 10 m</t>
  </si>
  <si>
    <t>4.9</t>
  </si>
  <si>
    <t xml:space="preserve"> BOXY</t>
  </si>
  <si>
    <t>4.10</t>
  </si>
  <si>
    <t xml:space="preserve"> OD8K160048-250PHR</t>
  </si>
  <si>
    <t xml:space="preserve"> box pro OD-8/600/48 s regulací, horizontální napojení, pro přívod,</t>
  </si>
  <si>
    <t>4.11</t>
  </si>
  <si>
    <t xml:space="preserve">OD-8/K1/A/600/48 </t>
  </si>
  <si>
    <t>čtvercová vířivá vyúsť, pro odvod, 600x600mm / 48 lamel</t>
  </si>
  <si>
    <t>4.12</t>
  </si>
  <si>
    <t xml:space="preserve"> OD8K160048-250OHR </t>
  </si>
  <si>
    <t xml:space="preserve"> box pro OD-8/600/48 s regulací, horizontální napojení, pro odvod,</t>
  </si>
  <si>
    <t>VYÚSTKA NASTAVITELNÁ   015/01</t>
  </si>
  <si>
    <t>4.13</t>
  </si>
  <si>
    <t>725x280 2/R1</t>
  </si>
  <si>
    <t>4.14</t>
  </si>
  <si>
    <t>VENTILY TALÍŘOVÉ 
PLASTOVÉ ELF</t>
  </si>
  <si>
    <t>4.15</t>
  </si>
  <si>
    <t>ELF125 odvod</t>
  </si>
  <si>
    <t>4.16</t>
  </si>
  <si>
    <t>ELF100 odvod</t>
  </si>
  <si>
    <t>4.17-4.29</t>
  </si>
  <si>
    <t>4.30</t>
  </si>
  <si>
    <t>4.31</t>
  </si>
  <si>
    <t>4.32</t>
  </si>
  <si>
    <t>TEPELNÉ IZOLACE POTRUBÍ DLE
OZNAČENÍ NA VÝKRESU:
IZOLACE POTRUBÍ DESKOU
Z MINERÁLNÍ PLSTI  1x POLEP
AL FOLIÍ NA TRNY</t>
  </si>
  <si>
    <t>4.33</t>
  </si>
  <si>
    <t xml:space="preserve">tl 80 mm </t>
  </si>
  <si>
    <t>4.34</t>
  </si>
  <si>
    <t>4.35</t>
  </si>
  <si>
    <t xml:space="preserve"> do obvodu 1050 50% tvarovek</t>
  </si>
  <si>
    <t xml:space="preserve"> do obvodu 1500 20% tvarovek</t>
  </si>
  <si>
    <t xml:space="preserve"> do obvodu 1890 50% tvarovek</t>
  </si>
  <si>
    <t xml:space="preserve"> do průměru100 30% tvarovek</t>
  </si>
  <si>
    <t xml:space="preserve"> do průměru140 30% tvarovek</t>
  </si>
  <si>
    <t xml:space="preserve"> do průměru200 30% tvarovek</t>
  </si>
  <si>
    <t xml:space="preserve"> do průměru280 100% tvarovek</t>
  </si>
  <si>
    <t>Zařízení č.4 - celkem</t>
  </si>
  <si>
    <t>PODSTROPNÍ VZDUCHOTECHNICKÁ JEDNOTKA S REKUPERACÍ</t>
  </si>
  <si>
    <t>5.1</t>
  </si>
  <si>
    <t xml:space="preserve">Podstropní jednotka velikosti 570 s pracovním objemem větracího vzduchu 500 m3/h, ext. dp=200 Pa, jednotka ve složení s deskovým rekuperátorem 89,2% (min 80%), filtry Coarse 90% (G4) - přívod, Coarse 90% (G4) - odvod, uzavírací klapka E1 a I1, vestavěným elektrickým předehřívačem 1,3 kW a vestavěným elektrickým dohřívačem 0,5 kW,  bypass. Maximální rozměr jednotky bez hrdel 1290x370x930 mm (DxHxŠ). Další minimální technické požadavky a technické podrobnosti viz TZ, případně příloha TZ. </t>
  </si>
  <si>
    <t>Závěsné silentbloky</t>
  </si>
  <si>
    <t>Vestavěný elektrický předehřívač 1,3 kW</t>
  </si>
  <si>
    <t>Vestavěný elektrický dohřívač 0,5 kW</t>
  </si>
  <si>
    <t>5.2</t>
  </si>
  <si>
    <t>PROTIDEŠŤOVÉ ŽALUZIE
HLINÍKOVÉ-PZAL
/se sítem/</t>
  </si>
  <si>
    <t>5.3</t>
  </si>
  <si>
    <t xml:space="preserve">PZAL-400x400-S </t>
  </si>
  <si>
    <t>5.4</t>
  </si>
  <si>
    <t>KRUHOVÉ TLUMIČE HLUKU
 GLX</t>
  </si>
  <si>
    <t>5.5</t>
  </si>
  <si>
    <t xml:space="preserve"> GLX-200-1,0 </t>
  </si>
  <si>
    <t>5.6</t>
  </si>
  <si>
    <t xml:space="preserve"> GLX-200-0,5 </t>
  </si>
  <si>
    <t>SAMOČINNÉ ZPĚTNÉ
KLAPKY RSKR-Z/pozink. plech/</t>
  </si>
  <si>
    <t>5.7</t>
  </si>
  <si>
    <t xml:space="preserve">RSKR-Z-200 </t>
  </si>
  <si>
    <t>VYÚSTKA PRO KRUHOVÉ POTRUBÍ TPM 034/04</t>
  </si>
  <si>
    <t xml:space="preserve">2-625x85 </t>
  </si>
  <si>
    <t>SAMOČINNÉ ZPĚTNÉ
KLAPKA TĚSNÁ RSKT /pozink. plech/</t>
  </si>
  <si>
    <t>5.8</t>
  </si>
  <si>
    <t xml:space="preserve">RSKT-200 </t>
  </si>
  <si>
    <t>5.9</t>
  </si>
  <si>
    <t xml:space="preserve"> 2-625x85 </t>
  </si>
  <si>
    <t>5.10</t>
  </si>
  <si>
    <t xml:space="preserve">1-625x85 </t>
  </si>
  <si>
    <t>5.11</t>
  </si>
  <si>
    <t>5.12-5.19</t>
  </si>
  <si>
    <t>5.20</t>
  </si>
  <si>
    <t>5.21</t>
  </si>
  <si>
    <t xml:space="preserve"> do obvodu 1050 rovné</t>
  </si>
  <si>
    <t xml:space="preserve"> do obvodu 1500 50% tvarovek</t>
  </si>
  <si>
    <t xml:space="preserve"> do obvodu 1500 </t>
  </si>
  <si>
    <t xml:space="preserve"> do průměru100 10% tvarovek</t>
  </si>
  <si>
    <t xml:space="preserve"> do průměru200 60% tvarovek</t>
  </si>
  <si>
    <t>ZASLEPENÍ KRUHOVÉ TROUBY
SKUPINY I POZINKOVANÝ PLECH</t>
  </si>
  <si>
    <t xml:space="preserve"> do průměru200</t>
  </si>
  <si>
    <t>Zařízení č.5 - celkem</t>
  </si>
  <si>
    <t>NÁSTĚNNÁ VZDUCHOTECHNICKÁ JEDNOTKA S REKUPERACÍ</t>
  </si>
  <si>
    <t>6.1</t>
  </si>
  <si>
    <t xml:space="preserve">Nástěnná jednotka velikosti 580 s pracovním objemem větracího vzduchu 410 m3/h, ext. dp=200 Pa, jednotka ve složení s deskovým rekuperátorem 90,9% (min 80%), filtry Coarse 90% (G4) - přívod, Coarse 90% (G4) - odvod, uzavírací klapka E1 a I1, vestavěným elektrickým předehřívačem 1,3 kW a vestavěným elektrickým dohřívačem 0,6 kW,  bypass. Maximální rozměr jednotky bez hrdel 928x1080x509 mm (DxHxŠ). Další minimální technické požadavky a technické podrobnosti viz TZ, případně příloha TZ. </t>
  </si>
  <si>
    <t>Vestavěný elektrický dohřívač 0,6 kW</t>
  </si>
  <si>
    <t>6.2</t>
  </si>
  <si>
    <t xml:space="preserve"> GLX-125-1,0 </t>
  </si>
  <si>
    <t>6.3</t>
  </si>
  <si>
    <t>6.4</t>
  </si>
  <si>
    <t>VENTILY TALÍŘOVÉ 
PLASTOVÉ ELI</t>
  </si>
  <si>
    <t>6.5</t>
  </si>
  <si>
    <t>ELI200 přívod</t>
  </si>
  <si>
    <t>6.6</t>
  </si>
  <si>
    <t>ELI125 přívod</t>
  </si>
  <si>
    <t>6.7</t>
  </si>
  <si>
    <t>ELK160 odvod</t>
  </si>
  <si>
    <t>6.8</t>
  </si>
  <si>
    <t>6.9</t>
  </si>
  <si>
    <t>SAMOČINNÉ ZPĚTNÉ
KLAPKY RSKR-Z
/pozink. plech/</t>
  </si>
  <si>
    <t>6.10</t>
  </si>
  <si>
    <t>6.20</t>
  </si>
  <si>
    <t>6.21</t>
  </si>
  <si>
    <t>Zařízení č.6 - celkem</t>
  </si>
  <si>
    <t>7.1</t>
  </si>
  <si>
    <t xml:space="preserve">Nástěnná jednotka velikosti 380 s pracovním objemem větracího vzduchu 245 m3/h, ext. dp=200 Pa, jednotka ve složení s deskovým rekuperátorem 92,2% (min 80%), filtry Coarse 90% (G4) - přívod, Coarse 90% (G4) - odvod, uzavírací klapka E1 a I1, vestavěným elektrickým předehřívačem 1,0 kW a vestavěným elektrickým dohřívačem 0,6 kW,  bypass. Maximální rozměr jednotky bez hrdel 617x1000x490 mm (DxHxŠ). Další minimální technické požadavky a technické podrobnosti viz TZ, případně příloha TZ. </t>
  </si>
  <si>
    <t>Vestavěný elektrický předehřívač 1,0 kW</t>
  </si>
  <si>
    <t>7.2</t>
  </si>
  <si>
    <t>KRUHOVÉ TLUMIČE HLUKU
SPT-GLX</t>
  </si>
  <si>
    <t>7.3</t>
  </si>
  <si>
    <t xml:space="preserve">SPT-GLX-160-1,0 </t>
  </si>
  <si>
    <t>7.4</t>
  </si>
  <si>
    <t xml:space="preserve">SPT-GLX-160-0,5 </t>
  </si>
  <si>
    <t>SAMOČINNÉ ZPĚTNÉ
KLAPKA TĚSNÁ RSKT
/pozink. plech/</t>
  </si>
  <si>
    <t>7.5</t>
  </si>
  <si>
    <t xml:space="preserve">RSKT-160 </t>
  </si>
  <si>
    <t>7.6</t>
  </si>
  <si>
    <t>7.7</t>
  </si>
  <si>
    <t>7.8</t>
  </si>
  <si>
    <t>7.9</t>
  </si>
  <si>
    <t>7.10-7.19</t>
  </si>
  <si>
    <t>7.20</t>
  </si>
  <si>
    <t>7.21</t>
  </si>
  <si>
    <t>7.22</t>
  </si>
  <si>
    <t xml:space="preserve"> do obvodu 1500 70% tvarovek</t>
  </si>
  <si>
    <t xml:space="preserve"> do průměru140 100% tvarovek</t>
  </si>
  <si>
    <t xml:space="preserve"> do průměru200 40% tvarovek</t>
  </si>
  <si>
    <t>Zařízení č.7 - celkem</t>
  </si>
  <si>
    <t>8.1</t>
  </si>
  <si>
    <t xml:space="preserve">Nástěnná jednotka velikosti 380 s pracovním objemem větracího vzduchu 215 m3/h, ext. dp=200 Pa, jednotka ve složení s deskovým rekuperátorem 93,0% (min 80%), filtry Coarse 90% (G4) - přívod, Coarse 90% (G4) - odvod, uzavírací klapka E1 a I1, vestavěným elektrickým předehřívačem 1,0 kW a vestavěným elektrickým dohřívačem 0,6 kW,  bypass. Maximální rozměr jednotky bez hrdel 617x1000x490 mm (DxHxŠ). Další minimální technické požadavky a technické podrobnosti viz TZ, případně příloha TZ. </t>
  </si>
  <si>
    <t>8.2-8.3</t>
  </si>
  <si>
    <t>8.4</t>
  </si>
  <si>
    <t>8.5</t>
  </si>
  <si>
    <t>8.6</t>
  </si>
  <si>
    <t xml:space="preserve">RSKT-125 </t>
  </si>
  <si>
    <t>8.7</t>
  </si>
  <si>
    <t>8.8</t>
  </si>
  <si>
    <t>8.9</t>
  </si>
  <si>
    <t>8.10</t>
  </si>
  <si>
    <t>8.11</t>
  </si>
  <si>
    <t>8.12 - 8.19</t>
  </si>
  <si>
    <t>8.20</t>
  </si>
  <si>
    <t>8.21</t>
  </si>
  <si>
    <t>8.22</t>
  </si>
  <si>
    <t xml:space="preserve"> do průměru100 20% tvarovek</t>
  </si>
  <si>
    <t xml:space="preserve"> do průměru140 20% tvarovek</t>
  </si>
  <si>
    <t xml:space="preserve"> do průměru200 50% tvarovek</t>
  </si>
  <si>
    <t>KRUHOVÉ POTRUBÍ SKUPINY I.
POZINK. PLECH - PÁJENÉ SPOJE</t>
  </si>
  <si>
    <t>Zařízení č.8 - celkem</t>
  </si>
  <si>
    <t>Zpracování dodavatelské dokumentace</t>
  </si>
  <si>
    <t>Příprava ke komplexnímu vyzkoušení, oživení a vyregulování zařízení</t>
  </si>
  <si>
    <t xml:space="preserve"> komplexní vyzkoušení zařízení</t>
  </si>
  <si>
    <t xml:space="preserve"> vypracování provozních předpisů</t>
  </si>
  <si>
    <t xml:space="preserve"> projekt skutečného provedení</t>
  </si>
  <si>
    <t>Měření hlučnosti zařízení</t>
  </si>
  <si>
    <t>Hodinové zúčtovací sazby - celkem</t>
  </si>
  <si>
    <t>Volitelné příslušenství - Mimo rozpočet</t>
  </si>
  <si>
    <t xml:space="preserve">Nástěný digitální ovladač </t>
  </si>
  <si>
    <t>Regulátor množství vzduchu</t>
  </si>
  <si>
    <t>Čidlo CO2, kanálové</t>
  </si>
  <si>
    <t>Čidlo relativní vlhkosti, prostorové</t>
  </si>
  <si>
    <t>Čidlo relativní vlhkosti, kanálové</t>
  </si>
  <si>
    <t>Stavba:</t>
  </si>
  <si>
    <t>Obecní dům Vavřineč – přestavba objektu č.p. 9, Malý Újezd_úpravy 06/2023</t>
  </si>
  <si>
    <t>Investor:</t>
  </si>
  <si>
    <t>Obec Malý Újezd, Malý Újezd 95, 277 31 Velký Borek</t>
  </si>
  <si>
    <t>Část:</t>
  </si>
  <si>
    <t>D.1.4.a Zařízení pro vytápění</t>
  </si>
  <si>
    <t>č.z.</t>
  </si>
  <si>
    <t>2022-42</t>
  </si>
  <si>
    <t>rev.1</t>
  </si>
  <si>
    <t>Jednotková cena - základ DPH</t>
  </si>
  <si>
    <t>TYP</t>
  </si>
  <si>
    <t>Zařazení</t>
  </si>
  <si>
    <t>KCN</t>
  </si>
  <si>
    <t>Kód položky</t>
  </si>
  <si>
    <t>J. hmotnost</t>
  </si>
  <si>
    <t>J. suť</t>
  </si>
  <si>
    <t>D</t>
  </si>
  <si>
    <t>OST</t>
  </si>
  <si>
    <t>N.C.RE.PSZ</t>
  </si>
  <si>
    <t>Montážní a demontážní práce, doprava</t>
  </si>
  <si>
    <t>K</t>
  </si>
  <si>
    <t>M</t>
  </si>
  <si>
    <t>R</t>
  </si>
  <si>
    <t>444-001</t>
  </si>
  <si>
    <t>Montážní práce zařízení pro vytápění</t>
  </si>
  <si>
    <t>hod</t>
  </si>
  <si>
    <t>444-002</t>
  </si>
  <si>
    <t>Doprava zařízení pro vytápění na místo stavby</t>
  </si>
  <si>
    <t>444-003</t>
  </si>
  <si>
    <t>Montáž směšovacích uzlů VZT jednotek - dodávka směšovacích uzlů je od profese VZT</t>
  </si>
  <si>
    <t>N.C.RE.RRE</t>
  </si>
  <si>
    <t>Kontrolní činnost (revize a zkoušky)</t>
  </si>
  <si>
    <t>555-001</t>
  </si>
  <si>
    <t>Zkoušky, uvedení do provozu a vyregulování</t>
  </si>
  <si>
    <t>555-002</t>
  </si>
  <si>
    <t>Zajištění chodu zařízení ve zkušebním provozu</t>
  </si>
  <si>
    <t>555-003</t>
  </si>
  <si>
    <t>Zaškolení obsluhy</t>
  </si>
  <si>
    <t>555-004</t>
  </si>
  <si>
    <t>Návrh provozního řádu</t>
  </si>
  <si>
    <t>555-005</t>
  </si>
  <si>
    <t>Dokumentace skutečného provedení</t>
  </si>
  <si>
    <t>N.C.RE.SP</t>
  </si>
  <si>
    <t>Stavební přípomoce</t>
  </si>
  <si>
    <t>333-001</t>
  </si>
  <si>
    <t>Stavební přípomoce - spolupráce se stavbou na vyznačení míst, kde budou provedeny stavební otvory pro vedení potrubních rozvodů topné vody</t>
  </si>
  <si>
    <t>333-002</t>
  </si>
  <si>
    <t>Lešení pomocné jednořadové lehké s podlahami do výšky 2,0 m</t>
  </si>
  <si>
    <r>
      <t>m</t>
    </r>
    <r>
      <rPr>
        <vertAlign val="superscript"/>
        <sz val="10"/>
        <rFont val="Arial CE"/>
        <charset val="238"/>
      </rPr>
      <t>2</t>
    </r>
  </si>
  <si>
    <t>333-003</t>
  </si>
  <si>
    <t>Jeřáb pro přesun zařízení TČ na pozici, váha nejtěžšího zařízení do 0,3 tun, dopravní výška do 5 metrů</t>
  </si>
  <si>
    <t>N.V.ND.KOT</t>
  </si>
  <si>
    <t>Kotle, čerpadla, armatury, topný tělesa</t>
  </si>
  <si>
    <t>MD</t>
  </si>
  <si>
    <t>777-001</t>
  </si>
  <si>
    <t>1.1a,b,c, 1.2a,b,c - Tepelné čerpadlo vzduch-voda v zapojení se splitbox (kondenzátor+výparník), topný výkon 15,4 kW (při A-7/W55), resp. 17,1 kW (při A2/W35), splitové provedení, el. příkon na 1 jednotku max. 6 kW (při A-7/W55), resp. 2 kW (při A2/W35), U = 3x 400 V, ustálený I = 4,2 A, rozběhový I = 18,6 A, chladivo R410A
- včetně ovládacího panelu a elektrického rozváděče vnitřní jednotky
- včetně propojovacího elektro vedení mezi vnitřní a venkovní jednotkami, cca 15 m
- váha vnitřní jednotky 25 kg, vnější jednotky 225 kg
- rozměry vnitřní jednotky ŠxHxV - 525x300x670 mm
- rozměry venkovní jednotky ŠxHxV - 1430x680x1360 mm
- včetně vyvakuování a naplnění chladivem
- včetně zprovoznění TČ a zaškolení obsluhy
- včetně odkapní vany s elektrootopem</t>
  </si>
  <si>
    <t>777-002</t>
  </si>
  <si>
    <t>Akumulační zásobník topné vody 800 litrů, průměr včetně izolace 990 mm, výška 1825 mm
- včetně izolace tl. 100 mm
- včetně elektrických topných těles - 4x 6,0 kW</t>
  </si>
  <si>
    <t>777-003</t>
  </si>
  <si>
    <t>Rozdělovač a sběrač – DN 100, L = 900 mm, vč. izolace (minerální vlna + Al fólie - tl. 50 mm) a pomocné OK pro uchycení rozdělovače a sběrače, hrdla (5 ks) udělat závitová 1x 2“, 1x 6/4", 1x 5/4", 1x 1", 1x 1/2“ - viz schéma</t>
  </si>
  <si>
    <t>777-004</t>
  </si>
  <si>
    <t>Zásobník TV, 400 litrů, se 2 trubkovými výměníky tepla
příslušenství - tepelná izolace 100 mm zásobníku TV
průměr zásobníku včetně izolace 700 mm, výška 1631 mm
- včetně elektrického topného tělesa - 8,0 kW</t>
  </si>
  <si>
    <t>777-005</t>
  </si>
  <si>
    <r>
      <t xml:space="preserve">Expanzní nádoba 100 litrů, 6 bar, teplota topné vody do 60 </t>
    </r>
    <r>
      <rPr>
        <vertAlign val="superscript"/>
        <sz val="10"/>
        <rFont val="Arial CE"/>
        <charset val="238"/>
      </rPr>
      <t>o</t>
    </r>
    <r>
      <rPr>
        <sz val="6"/>
        <rFont val="Arial"/>
      </rPr>
      <t>C
- včetně servisního ventilu MK 1" se zajištěním</t>
    </r>
  </si>
  <si>
    <t>777-006</t>
  </si>
  <si>
    <r>
      <t>Čerpadlo P1, ohřev VZT + vytápění OT,
elektronicky regulované otáčky,
průtok Q = 0,78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20 kPa, P = 85 W</t>
    </r>
  </si>
  <si>
    <t>777-007</t>
  </si>
  <si>
    <r>
      <t>Čerpadlo P2, podlahové vytápění společenské prostory
elektronicky regulované otáčky,
průtok Q = 2,21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85 W</t>
    </r>
  </si>
  <si>
    <t>777-008</t>
  </si>
  <si>
    <r>
      <t>Čerpadlo P3, podlahové vytápění byty
elektronicky regulované otáčky,
průtok Q = 1,24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85 W</t>
    </r>
  </si>
  <si>
    <t>777-009</t>
  </si>
  <si>
    <r>
      <t>Čerpadlo P11, sekundární okruh TČ na poz.1.1a,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</si>
  <si>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777-010</t>
  </si>
  <si>
    <r>
      <t>Čerpadlo P12, sekundární okruh TČ na poz.1.1b,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</si>
  <si>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777-011</t>
  </si>
  <si>
    <r>
      <t>Čerpadlo P12, sekundární okruh TČ na poz.1.1c,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</si>
  <si>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777-012</t>
  </si>
  <si>
    <t>Směšovací ventil závitový Rp 3/4", Kv = 6,3
se servopohonem - 230 V</t>
  </si>
  <si>
    <t>777-013</t>
  </si>
  <si>
    <t>Směšovací ventil závitový Rp 1/2", Kv = 2,5
se servopohonem - 230 V</t>
  </si>
  <si>
    <t>777-014</t>
  </si>
  <si>
    <t>Rozdělovací ventil závitový Rp 2", Kv = 40
se servopohonem - 230 V</t>
  </si>
  <si>
    <t>777-015</t>
  </si>
  <si>
    <t>Otopné těleso připojení klasik 22-600/1200</t>
  </si>
  <si>
    <t>777-016</t>
  </si>
  <si>
    <t>Topný registr 1500.450
- připojení zdola dolů</t>
  </si>
  <si>
    <t>777-017</t>
  </si>
  <si>
    <t>Termostatická hlavice K s vestavěným teplotním čidlem</t>
  </si>
  <si>
    <t>777-018</t>
  </si>
  <si>
    <t>Ventilový spodek přímý s předregulací pro napojení topných těles a topných registrů, 1/2"</t>
  </si>
  <si>
    <t>777-019</t>
  </si>
  <si>
    <t>Uzavíratelné radiátorové šroubení přímé 1/2“</t>
  </si>
  <si>
    <t>777-020</t>
  </si>
  <si>
    <t>Pojišťovací ventil závitový 1“ (o.p. 5 baru)</t>
  </si>
  <si>
    <t>777-021</t>
  </si>
  <si>
    <t>Vypouštěcí kohout závitový 1/2“</t>
  </si>
  <si>
    <t>777-022</t>
  </si>
  <si>
    <t>Automatický odvzdušňovací ventil závitový 3/8“</t>
  </si>
  <si>
    <t>777-023</t>
  </si>
  <si>
    <t>Kulový kohout závitový 2-1/2“</t>
  </si>
  <si>
    <t>777-024</t>
  </si>
  <si>
    <t>Kulový kohout závitový 2“</t>
  </si>
  <si>
    <t>777-025</t>
  </si>
  <si>
    <t>Kulový kohout závitový 6/4“</t>
  </si>
  <si>
    <t>777-026</t>
  </si>
  <si>
    <t>Kulový kohout závitový 5/4“</t>
  </si>
  <si>
    <t>777-027</t>
  </si>
  <si>
    <t>Kulový kohout závitový 1“</t>
  </si>
  <si>
    <t>777-028</t>
  </si>
  <si>
    <t>Kulový kohout závitový 1/2“</t>
  </si>
  <si>
    <t>777-029</t>
  </si>
  <si>
    <t>Manometr D100, 0-600 kPa, včetně jímky, konden. smyčky a manometr. ventilu</t>
  </si>
  <si>
    <t>777-030</t>
  </si>
  <si>
    <r>
      <t xml:space="preserve">Teploměr, L = 60 mm, D100 mm, 0-120 </t>
    </r>
    <r>
      <rPr>
        <vertAlign val="superscript"/>
        <sz val="10"/>
        <rFont val="Arial CE"/>
        <charset val="238"/>
      </rPr>
      <t>o</t>
    </r>
    <r>
      <rPr>
        <sz val="6"/>
        <rFont val="Arial"/>
      </rPr>
      <t>C, včetně teploměrné jímky M20x1,5 a návarku</t>
    </r>
  </si>
  <si>
    <t>777-031</t>
  </si>
  <si>
    <t>Zpětný ventil závitový 6/4"</t>
  </si>
  <si>
    <t>777-032</t>
  </si>
  <si>
    <t>Zpětný ventil závitový 5/4"</t>
  </si>
  <si>
    <t>777-033</t>
  </si>
  <si>
    <t>Zpětný ventil závitový 1"</t>
  </si>
  <si>
    <t>777-034</t>
  </si>
  <si>
    <t>Filtr závitový 6/4"</t>
  </si>
  <si>
    <t>777-035</t>
  </si>
  <si>
    <t>Filtr závitový 5/4"</t>
  </si>
  <si>
    <t>777-036</t>
  </si>
  <si>
    <t>Filtr závitový 1"</t>
  </si>
  <si>
    <t>777-037</t>
  </si>
  <si>
    <t>Demineralizační filtr, závitový 1"
- včetně náhraní náplně pro 1. napuštění</t>
  </si>
  <si>
    <t>777-038</t>
  </si>
  <si>
    <r>
      <t>Vyvažovací ventil STAD , závitový 1/2" K</t>
    </r>
    <r>
      <rPr>
        <vertAlign val="subscript"/>
        <sz val="10"/>
        <rFont val="Arial CE"/>
        <family val="2"/>
        <charset val="238"/>
      </rPr>
      <t>VS</t>
    </r>
    <r>
      <rPr>
        <sz val="6"/>
        <rFont val="Arial"/>
      </rPr>
      <t xml:space="preserve"> 2,56, s vypouštěním</t>
    </r>
  </si>
  <si>
    <t>777-039</t>
  </si>
  <si>
    <t>Sestava VP – 10.cestný
- včetně uzavíracích a regulačních armatur s průtokoměry, odvzdušňovacích a vypouštěcích ventilů, teploměrů a držáků sestavy
- včetně skříně pro rozdělovače pod omítku P4 – klasik 1030x640x130 mm</t>
  </si>
  <si>
    <t>777-040</t>
  </si>
  <si>
    <t>Sestava  VP – 7.cestný
- včetně uzavíracích a regulačních armatur s průtokoměry, odvzdušňovacích a vypouštěcích ventilů, teploměrů a držáků sestavy
- včetně skříně pro rozdělovače pod omítku P3 – klasik 1030x640x130 mm</t>
  </si>
  <si>
    <t>N.V.PM.STP</t>
  </si>
  <si>
    <t>Potrubní díly + ostatní materiál</t>
  </si>
  <si>
    <t>111-001</t>
  </si>
  <si>
    <t>Měděné potrubí 76x2,0</t>
  </si>
  <si>
    <t>111-002</t>
  </si>
  <si>
    <t>Měděné potrubí 64x2,0</t>
  </si>
  <si>
    <t>111-003</t>
  </si>
  <si>
    <t>Měděné potrubí 54x2,0</t>
  </si>
  <si>
    <t>111-004</t>
  </si>
  <si>
    <t>Měděné potrubí 42x1,5</t>
  </si>
  <si>
    <t>111-005</t>
  </si>
  <si>
    <t>Měděné potrubí 35x1,5</t>
  </si>
  <si>
    <t>111-006</t>
  </si>
  <si>
    <t>Měděné potrubí 28x1,0</t>
  </si>
  <si>
    <t>111-007</t>
  </si>
  <si>
    <t>Měděné potrubí 22x1,0</t>
  </si>
  <si>
    <t>111-008</t>
  </si>
  <si>
    <t>Měděné potrubí 18x1,0</t>
  </si>
  <si>
    <t>111-009</t>
  </si>
  <si>
    <t>Měděné potrubí 15x1,0</t>
  </si>
  <si>
    <t>111-010</t>
  </si>
  <si>
    <r>
      <t>Měděné potrubí pro potrubí chladiva tepelných čerpadel Cu</t>
    </r>
    <r>
      <rPr>
        <sz val="9"/>
        <rFont val="Arial CE"/>
        <family val="2"/>
        <charset val="238"/>
      </rPr>
      <t xml:space="preserve"> </t>
    </r>
    <r>
      <rPr>
        <sz val="6"/>
        <rFont val="Arial"/>
      </rPr>
      <t>16x1 včetně izolace z pěnového kaučuku tl.13 mm + Al plech ve venkovním prostředí</t>
    </r>
  </si>
  <si>
    <t>111-011</t>
  </si>
  <si>
    <t>Plastová trubka s kyslíkovou bariérou 16x2, pro podlahové vytápění</t>
  </si>
  <si>
    <t>111-012</t>
  </si>
  <si>
    <t>Plastová trubka ohebná 20x2 (systém trubka v trubce), pro napojení topných registrů</t>
  </si>
  <si>
    <t>111-013</t>
  </si>
  <si>
    <t>Chránička pro plastové potrubí na vstupu a výstupu z rozdělovací sestavy podlahového vytápění</t>
  </si>
  <si>
    <t>111-014</t>
  </si>
  <si>
    <t>Systémová deska pro podlahové vytápění, rozteč 75 mm (s fólií)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</si>
  <si>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</si>
  <si>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111-015</t>
  </si>
  <si>
    <t>Okrajová dilatační páska 10x160 mm</t>
  </si>
  <si>
    <t>111-016</t>
  </si>
  <si>
    <t>Šroubení svěrné pro AL  potrubí 16x2 Alu-EK</t>
  </si>
  <si>
    <t>111-017</t>
  </si>
  <si>
    <t>Šroubení svěrné pro AL  potrubí 20x2 Alu-EK</t>
  </si>
  <si>
    <t>111-018</t>
  </si>
  <si>
    <t>Svěrné šroubení pro spojení OT a plastového potrubí – přechodka press - závit vnější ½“</t>
  </si>
  <si>
    <t>111-019</t>
  </si>
  <si>
    <t>Tepelná izolace na potrubí Cu 76x2,0, tl. izolace 50 mm - minerální vlna + Al polep</t>
  </si>
  <si>
    <t>111-020</t>
  </si>
  <si>
    <t>Tepelná izolace na potrubí Cu 64x2,0, tl. izolace 50 mm - minerální vlna + Al polep</t>
  </si>
  <si>
    <t>111-021</t>
  </si>
  <si>
    <t>Tepelná izolace na potrubí Cu 54x2,0, tl. izolace 50 mm - minerální vlna + Al polep</t>
  </si>
  <si>
    <t>111-022</t>
  </si>
  <si>
    <t>Tepelná izolace na potrubí Cu 42x1,5, tl. izolace 40 mm - minerální vlna + Al polep</t>
  </si>
  <si>
    <t>111-023</t>
  </si>
  <si>
    <t>Tepelná izolace na potrubí Cu 35x1,5, tl. izolace 40 mm - minerální vlna + Al polep</t>
  </si>
  <si>
    <t>111-024</t>
  </si>
  <si>
    <t>Tepelná izolace na potrubí Cu 28x1,0, tl. izolace 30 mm - minerální vlna + Al polep</t>
  </si>
  <si>
    <t>111-025</t>
  </si>
  <si>
    <t>Tepelná izolace na potrubí Cu 22x1,0, tl. izolace 30 mm - minerální vlna + Al polep</t>
  </si>
  <si>
    <t>111-026</t>
  </si>
  <si>
    <t>Tepelná izolace na potrubí Cu 18x1,0, tl. izolace 20 mm - pěnová navlékací</t>
  </si>
  <si>
    <t>111-027</t>
  </si>
  <si>
    <t>Tepelná izolace na potrubí Cu 15x1,0, tl. izolace 20 mm - pěnová navlékací</t>
  </si>
  <si>
    <t>111-028</t>
  </si>
  <si>
    <t>Chladivo R410A</t>
  </si>
  <si>
    <t>111-029</t>
  </si>
  <si>
    <t>Cu - kolena, redukce, T-kusy a další tvarovky příslušných dimenzí - přesný počet bude stanoven při montáži, odborný odhad tvarovek cca 40% z rovných dílů</t>
  </si>
  <si>
    <t>111-030</t>
  </si>
  <si>
    <t>Pomocný ocelový materiál pro uchycení potrubí – konzole, třmeny, objímky, nastřelovací šrouby, matice, hmoždinky, ostatní spojovací materiál atd. - přesný počet bude stanoven na stavbě při montáži – cca  400 kg</t>
  </si>
  <si>
    <t>111-031</t>
  </si>
  <si>
    <t>Jímka do potrubí pro snímače teploty – pouze montáž - počet bude stanoven profesí elektro</t>
  </si>
  <si>
    <t>111-032</t>
  </si>
  <si>
    <t>Popisné štítky na zařízení včetně šipek proudění</t>
  </si>
  <si>
    <t>DPH nízke</t>
  </si>
  <si>
    <t>DPH vysoké</t>
  </si>
  <si>
    <t>Celkem s DPH</t>
  </si>
  <si>
    <t>dodávka</t>
  </si>
  <si>
    <t>montáž</t>
  </si>
  <si>
    <t>celkem</t>
  </si>
  <si>
    <t>název akce: Vavřineč-Obecní dům</t>
  </si>
  <si>
    <t>objekt: elektroinstalace</t>
  </si>
  <si>
    <t>Rekapitulace ceny</t>
  </si>
  <si>
    <t>p.č.</t>
  </si>
  <si>
    <t>základ</t>
  </si>
  <si>
    <t>cena /Kč/</t>
  </si>
  <si>
    <t>dodávky zařízení</t>
  </si>
  <si>
    <t>doprava dodávek</t>
  </si>
  <si>
    <t>přesun dodávek</t>
  </si>
  <si>
    <t>materiál elektromontážní</t>
  </si>
  <si>
    <t>prořez</t>
  </si>
  <si>
    <t>materiál podružný</t>
  </si>
  <si>
    <t>materiál nátěrový</t>
  </si>
  <si>
    <t>elektromontáže</t>
  </si>
  <si>
    <t>zemní práce</t>
  </si>
  <si>
    <t>PPV pro elektromontáže</t>
  </si>
  <si>
    <t>PPV pro zemní práce</t>
  </si>
  <si>
    <t>dodávky celkem</t>
  </si>
  <si>
    <t>materiál+výkony celkem</t>
  </si>
  <si>
    <t>ostatní náklady</t>
  </si>
  <si>
    <t>NÁKLADY hl.III celkem</t>
  </si>
  <si>
    <t>zařízení staveniště</t>
  </si>
  <si>
    <t>PV/ rušení provozem investora</t>
  </si>
  <si>
    <t>NÁKLADY hl.VI celkem</t>
  </si>
  <si>
    <t>kompletační činnost dodavatele</t>
  </si>
  <si>
    <t>revize</t>
  </si>
  <si>
    <t>investorská činnost</t>
  </si>
  <si>
    <t>NÁKLADY hl.XI celkem</t>
  </si>
  <si>
    <t>projekty - skutečné provedení</t>
  </si>
  <si>
    <t>autorský dozor</t>
  </si>
  <si>
    <t>NÁKLADY hl.I celkem</t>
  </si>
  <si>
    <t>CENA bez DPH (Kč)</t>
  </si>
  <si>
    <t>dodávky</t>
  </si>
  <si>
    <t>montáže</t>
  </si>
  <si>
    <t>Soupis položek</t>
  </si>
  <si>
    <t>č.položky</t>
  </si>
  <si>
    <t>popis položky</t>
  </si>
  <si>
    <t>mj.</t>
  </si>
  <si>
    <t>množství</t>
  </si>
  <si>
    <t xml:space="preserve">cena/mj.     </t>
  </si>
  <si>
    <t>cena celkem</t>
  </si>
  <si>
    <t>Nh/mj.</t>
  </si>
  <si>
    <t>Nh celkem</t>
  </si>
  <si>
    <t>DPH</t>
  </si>
  <si>
    <t>VKP</t>
  </si>
  <si>
    <t>TC</t>
  </si>
  <si>
    <t>kap.</t>
  </si>
  <si>
    <t>Dodávky díla</t>
  </si>
  <si>
    <t>skupina A</t>
  </si>
  <si>
    <t>DD</t>
  </si>
  <si>
    <t>Prodejna</t>
  </si>
  <si>
    <t xml:space="preserve">                                        dílčí součet </t>
  </si>
  <si>
    <t>skupina B</t>
  </si>
  <si>
    <t>Obecní dům</t>
  </si>
  <si>
    <t>skupina C</t>
  </si>
  <si>
    <t>Společné prostory</t>
  </si>
  <si>
    <t>Z</t>
  </si>
  <si>
    <t>skupina D</t>
  </si>
  <si>
    <t>Byty</t>
  </si>
  <si>
    <t>skupina E</t>
  </si>
  <si>
    <t>E</t>
  </si>
  <si>
    <t>Hromosvod</t>
  </si>
  <si>
    <t>součet</t>
  </si>
  <si>
    <t>Dodávky zařízení</t>
  </si>
  <si>
    <t>plastový zapuštěný 2x12mod     ozn.R-1</t>
  </si>
  <si>
    <t>*</t>
  </si>
  <si>
    <t>DE</t>
  </si>
  <si>
    <t>elektroměrový rozvaděč OCEP    ozn.RE1</t>
  </si>
  <si>
    <t>plastový na úpovrch            ozn.R-01</t>
  </si>
  <si>
    <t>plastový zapuštěný 36mod.      ozn.R-2</t>
  </si>
  <si>
    <t>plastový zapuštěný 16mod.      ozn.R-3</t>
  </si>
  <si>
    <t>plastový zapuštěný 6mod.       ozn.R-4</t>
  </si>
  <si>
    <t>plastový zapuštěný 24mod.      ozn.R-5</t>
  </si>
  <si>
    <t>plastový                       ozn.R-spol</t>
  </si>
  <si>
    <t>plastový, zapuštěný 48mod      ozn.R-top</t>
  </si>
  <si>
    <t>plastový zapuštěný 36mod.      ozn.Rb-1.2</t>
  </si>
  <si>
    <t xml:space="preserve">  5200/840</t>
  </si>
  <si>
    <t>svít BRS 4x12 LED 3000K kryt opál PCBN IP40 pr300</t>
  </si>
  <si>
    <t xml:space="preserve">LED  5200/840 </t>
  </si>
  <si>
    <t>LED 1.4.ft 6400/840</t>
  </si>
  <si>
    <t>LED 1.5.ft 8000/840</t>
  </si>
  <si>
    <t>LED 5880/840 PAR</t>
  </si>
  <si>
    <t>svít  4x12 LED 3000K kryt opál PCBN IP40 pr300</t>
  </si>
  <si>
    <t>nouzové svítidlo LED</t>
  </si>
  <si>
    <t>Svítidlo LED 34W 600x600</t>
  </si>
  <si>
    <t xml:space="preserve"> 2xLED  E5 čtv600mm t-bílá zdr700mA st</t>
  </si>
  <si>
    <t>svítidlo průmyslové LED s difusorem 6400/840</t>
  </si>
  <si>
    <t>LED-3500-3K IP40  LED  2586lm  27W</t>
  </si>
  <si>
    <t>Materiál elektromontážní</t>
  </si>
  <si>
    <t>ME</t>
  </si>
  <si>
    <t>vodič CYY 4</t>
  </si>
  <si>
    <t>kabel CYKY 2x1,5</t>
  </si>
  <si>
    <t>kabel CYKY 3x1,5</t>
  </si>
  <si>
    <t>kabel CYKY 3x2,5</t>
  </si>
  <si>
    <t>kabel CYKY 5x1,5</t>
  </si>
  <si>
    <t>kabel CYKY 5x4</t>
  </si>
  <si>
    <t>krabice univerzální/přístrojová KU68-1901</t>
  </si>
  <si>
    <t>krabice univerz/rozvodka KU68-1903 vč.KO68 +S66</t>
  </si>
  <si>
    <t>spínač 10A/250Vstř Classic 3553-01289 řaz.1</t>
  </si>
  <si>
    <t>zásuvka 2násobná 16A/250V Classic 5512-2249</t>
  </si>
  <si>
    <t>kabel NYM-O 2x1,5</t>
  </si>
  <si>
    <t>kabel CYKY 5x2,5</t>
  </si>
  <si>
    <t>kabel CYKY 5x6</t>
  </si>
  <si>
    <t>přepínač 10A/250Vstř Classic 3553-05289 řaz.5</t>
  </si>
  <si>
    <t>přepínač 10A/250Vstř Classic 3553-06289 řaz.6</t>
  </si>
  <si>
    <t>přepínač 10A/250Vstř Classic 3553-07289 řaz.7</t>
  </si>
  <si>
    <t>SESTAVA  stmívač 700W - 6599-0-2035</t>
  </si>
  <si>
    <t>strojek stmívač 700W/230Vstř 6599-0-2035 pro zářiv</t>
  </si>
  <si>
    <t>kryt stmívače 3294A-A123 otočné ovladání</t>
  </si>
  <si>
    <t>rámeček pro 1 přístroj - 3901A-B10</t>
  </si>
  <si>
    <t>sporáková kombinace 400V/16A</t>
  </si>
  <si>
    <t>snímač pohybu  SL2400 0-250/300/1200W IP44 nástěn</t>
  </si>
  <si>
    <t>vodič CY 4  /H07V-U/</t>
  </si>
  <si>
    <t>vodič CY 6  /H07V-U/</t>
  </si>
  <si>
    <t>kabel CYKY 4x10</t>
  </si>
  <si>
    <t>krabicová rozvodka ACIDUR 6455-11</t>
  </si>
  <si>
    <t>spínač 10A/250Vstř 3553-01929 Praktik IP44 řaz.1</t>
  </si>
  <si>
    <t>2zásuvka 16A/250Vstř Praktik 5518-2029/IP44(plast)</t>
  </si>
  <si>
    <t>PIRsenzor 180* SL2400 0-250/300/1200W IP44 nástěn</t>
  </si>
  <si>
    <t>krabice univerzální/odbočná KU68-1902 vč.KO68</t>
  </si>
  <si>
    <t>Sporáková kombinace</t>
  </si>
  <si>
    <t>Ks</t>
  </si>
  <si>
    <t>tyč zemnící ZT2,0sv FeZn 2000/26mm vč.svorky SR3b</t>
  </si>
  <si>
    <t>ekvipotenciální svorkovnice EPS 3 bez krytu</t>
  </si>
  <si>
    <t>drát AlMgSi pr.8mm polotvrdý 0,135kg/m</t>
  </si>
  <si>
    <t>ochranný úhelník svodu OU délka 1,7m</t>
  </si>
  <si>
    <t>držák úhelníku DOUa 200mm FeZn středový do zdiva</t>
  </si>
  <si>
    <t>označovací štítek zemního svodu</t>
  </si>
  <si>
    <t>vedení FeZn 30/4 (0,96kg/m)</t>
  </si>
  <si>
    <t>Materiál další obory</t>
  </si>
  <si>
    <t>MN</t>
  </si>
  <si>
    <t>barva syntetická základní</t>
  </si>
  <si>
    <t>email syntetický vrchní šedý</t>
  </si>
  <si>
    <t>ředidlo S6006</t>
  </si>
  <si>
    <t>Elektromontáže</t>
  </si>
  <si>
    <t>rozvodnice do hmotnosti 50kg</t>
  </si>
  <si>
    <t>CE</t>
  </si>
  <si>
    <t>vodič Cu(-CY,CYA) pevně uložený do 1x35</t>
  </si>
  <si>
    <t>rozvodnice do hmotnosti 100kg</t>
  </si>
  <si>
    <t>rozvodnice do hmotnosti 20kg</t>
  </si>
  <si>
    <t>ochranná svorkovnice(nulový můstek)vč.zapoj.do 63A</t>
  </si>
  <si>
    <t>kabel(-CYKY) pevně uložený do 3x6/4x4/7x2,5</t>
  </si>
  <si>
    <t>kabel(-CYKY) pevně uložený do 5x6/7x4/12x1,5</t>
  </si>
  <si>
    <t>ukončení v rozvaděči vč.zapojení vodiče do 6mm2</t>
  </si>
  <si>
    <t>krabicová rozvodka vč.svorkovn.a zapojení(-KR68)</t>
  </si>
  <si>
    <t>spínač zapuštěný vč.zapojení 1pólový/řazení 1</t>
  </si>
  <si>
    <t>zásuvka domovní zapuštěná vč.zapojení</t>
  </si>
  <si>
    <t>svítidlo zářivkové bytové stropní/1 zdroj</t>
  </si>
  <si>
    <t>svítidlo žárovkové bytové stropní/více zdrojů</t>
  </si>
  <si>
    <t>přepínač zapuštěný vč.zapojení sériový/řazení 5-5A</t>
  </si>
  <si>
    <t>přepínač zapuštěný vč.zapojení střídavý/řazení 6</t>
  </si>
  <si>
    <t>přepínač zapuštěný vč.zapojení křížový/řazení 7</t>
  </si>
  <si>
    <t>spínač zapuštěný vč.zapojení s plynulou regulací</t>
  </si>
  <si>
    <t>spínač nástěnný od IP.2 vč.zapojení 1pólový/ř.1</t>
  </si>
  <si>
    <t>čídlo pohybu</t>
  </si>
  <si>
    <t>svítidlo LED orientační</t>
  </si>
  <si>
    <t>svítidlo LEDE stropní</t>
  </si>
  <si>
    <t>kabel(-CYKY) pevně ulož.do 5x10/12x4/19x2,5/24x1,5</t>
  </si>
  <si>
    <t>krabicová rozvodka vč.ukonč.a zapojení (-6455/11)</t>
  </si>
  <si>
    <t>zásuvka nástěnná od IP.2 vč.zapojení 2P+Z</t>
  </si>
  <si>
    <t>čidlo pohybu vč.zapojení</t>
  </si>
  <si>
    <t>svítidlo zářivkové bytové stropní/2 zdroje</t>
  </si>
  <si>
    <t>spínač vč.zapoj.do25A/5pól</t>
  </si>
  <si>
    <t>tyčový zemnič 2m vč.připojení</t>
  </si>
  <si>
    <t>svod vč.podpěr drát do pr.10mm</t>
  </si>
  <si>
    <t>ochranný úhelník nebo trubka/ držáky do zdiva</t>
  </si>
  <si>
    <t>označení svodu štítkem</t>
  </si>
  <si>
    <t>nátěr svodového vodiče</t>
  </si>
  <si>
    <t>uzemňov.vedení v zemi úplná mtž FeZn do 120mm2</t>
  </si>
  <si>
    <t>CZ</t>
  </si>
  <si>
    <t>výkop kabel.rýhy šířka 50/hloubka 50cm tz.3/ko1.2</t>
  </si>
  <si>
    <t>jáma úplná pro zemnící desku 2000x250x3 tz.3/ko1.2</t>
  </si>
  <si>
    <t>zához kabelové rýhy šířka 50/hloubka 50cm tz.3</t>
  </si>
  <si>
    <t>odvoz zeminy do 10km vč.poplatku za skládku</t>
  </si>
  <si>
    <t>betonová vozovka vrstva 5cm vč.materiálu</t>
  </si>
  <si>
    <t>obalovaná drť ABJII tl.10cm vč.materiálu</t>
  </si>
  <si>
    <t>Ostatní náklady</t>
  </si>
  <si>
    <t>ON</t>
  </si>
  <si>
    <t>poplatek za recyklaci svítidla přes 50cm</t>
  </si>
  <si>
    <t xml:space="preserve">Vypracoval: </t>
  </si>
  <si>
    <t>Materiál nosný</t>
  </si>
  <si>
    <t>podružný (%)</t>
  </si>
  <si>
    <t>Výroba rozvaděče (Nh)</t>
  </si>
  <si>
    <t>Cena za 1 ks</t>
  </si>
  <si>
    <t>počet (ks)</t>
  </si>
  <si>
    <t>cena/mj.</t>
  </si>
  <si>
    <t>Rozpis rozvaděče R-1</t>
  </si>
  <si>
    <t>skříň plast do63A 2x12M/330x442x90 IP30zapu VU24NE</t>
  </si>
  <si>
    <t>/skříň systémová/ svorkovnice PE/N 2x13 svorek   VZ521</t>
  </si>
  <si>
    <t>sběrnice hřebeno KB163A 1pól 12x10mm2 zubová</t>
  </si>
  <si>
    <t>ochranná přípojnice FeZn30/4</t>
  </si>
  <si>
    <t>vypínač páčkový 3pól SBN325 400V/25A na lištu</t>
  </si>
  <si>
    <t>jistič MBN110 1pól/ch.B/6kA/ 10A</t>
  </si>
  <si>
    <t>jistič MCN104 1pól/ch.C/6kA/ 4A</t>
  </si>
  <si>
    <t>chránič komb ADA916D 1P+N 6kA/16A/0,03A/charB typA</t>
  </si>
  <si>
    <t>Rozpis rozvaděče RE1</t>
  </si>
  <si>
    <t>rozvodnice OCEP DZ43-3503 zapu/IP43 3x35mod</t>
  </si>
  <si>
    <t xml:space="preserve">Rozpis rozvaděče </t>
  </si>
  <si>
    <t>710/550mm</t>
  </si>
  <si>
    <t>sběrnice hřebenová 404943 3pól 57x16mm2 zubová</t>
  </si>
  <si>
    <t>montážní přístrojový rošt s lištami</t>
  </si>
  <si>
    <t>jistič LTN-25B-3 3pól/ch.B/ 25A/10kA</t>
  </si>
  <si>
    <t>jistič LTN-32B-3 3pól/ch.B/ 32A/10kA</t>
  </si>
  <si>
    <t>jistič LTN-63B-3 3pól/ch.B/ 63A/10kA</t>
  </si>
  <si>
    <t>jistič 3pól BC160NT305-160-L 690V/25kA/160A</t>
  </si>
  <si>
    <t>spoušť na podpětí SP-BHD-X230</t>
  </si>
  <si>
    <t>Rozpis rozvaděče R-01</t>
  </si>
  <si>
    <t>skříň plast 3x12M/500x300x160mm/IP65 nást   VP36AE</t>
  </si>
  <si>
    <t>sběrnice hřebenová KDN363A 3pól 12x10mm2 vidlicová</t>
  </si>
  <si>
    <t>vypínač páčkový 3pól SBN363 400V/63A na lištu</t>
  </si>
  <si>
    <t>jistič NBN340 3pól/ch.B/10kA/ 40A</t>
  </si>
  <si>
    <t>chránič komb ADA516D 1P+N 10kA/16A/0,03A/chaB typA</t>
  </si>
  <si>
    <t>jistič NBN106 1pól/ch.B/10kA/ 6A</t>
  </si>
  <si>
    <t>jistič NBN110 1pól/ch.B/10kA/ 10A</t>
  </si>
  <si>
    <t>jistič NCN104 1pól/ch.C/10kA/ 4A</t>
  </si>
  <si>
    <t>Rozpis rozvaděče R-2</t>
  </si>
  <si>
    <t>skříň plast do63A 4x12M/330x692x90 IP30zapu VU48NE</t>
  </si>
  <si>
    <t>/skříň systémová/ dvířka průhledná  VZ134N</t>
  </si>
  <si>
    <t>jistič MBN106 1pól/ch.B/6kA/ 6A</t>
  </si>
  <si>
    <t>jistič NCN110 1pól/ch.C/10kA/ 10A</t>
  </si>
  <si>
    <t>jistič NBN316 3pól/ch.B/10kA/ 16A</t>
  </si>
  <si>
    <t>jistič NBN325 3pól/ch.B/10kA/ 25A</t>
  </si>
  <si>
    <t>chránič komb ADA910D 1P+N 6kA/10A/0,03A/charB typA</t>
  </si>
  <si>
    <t>Rozpis rozvaděče R-3</t>
  </si>
  <si>
    <t>skříň plast do63A 3x12M/330x567x90 IP30zapu VU36NE</t>
  </si>
  <si>
    <t>/skříň systémová/  dvířka průhledná  VZ133N</t>
  </si>
  <si>
    <t>jistič NBN320 3pól/ch.B/10kA/ 20A</t>
  </si>
  <si>
    <t>Rozpis rozvaděče R-4</t>
  </si>
  <si>
    <t>skříň plast do63A 12M/330x317x90 IP30 zapu  VU12NE</t>
  </si>
  <si>
    <t>/skříň systémová/  dvířka průhledná  VZ131N</t>
  </si>
  <si>
    <t>přístrojový zákryt plastový</t>
  </si>
  <si>
    <t>Rozpis rozvaděče R-5</t>
  </si>
  <si>
    <t>/skříň systémová/  dvířka průhledná  VZ132N</t>
  </si>
  <si>
    <t>vypínač páčkový 3pól SBN332 400V/32A na lištu</t>
  </si>
  <si>
    <t>jistič MBN316 3pól/ch.B/6kA/ 16A</t>
  </si>
  <si>
    <t>Rozpis rozvaděče R-spol</t>
  </si>
  <si>
    <t>jistič MBN320 3pól/ch.B/6kA/ 20A</t>
  </si>
  <si>
    <t>jistič MBN332 3pól/ch.B/6kA/ 32A</t>
  </si>
  <si>
    <t>jistič MBN340 3pól/ch.B/6kA/ 40A</t>
  </si>
  <si>
    <t>Rekapitulace rozvaděče R2</t>
  </si>
  <si>
    <t>Rekapitulace rozvaděče R-01</t>
  </si>
  <si>
    <t>Rekapitulace rozvaděče RE1</t>
  </si>
  <si>
    <t>Rekapitulace rozvaděče R1</t>
  </si>
  <si>
    <t>Rekapitulace rozvaděče R3</t>
  </si>
  <si>
    <t>Rekapitulace rozvaděče R4</t>
  </si>
  <si>
    <t>Rekapitulace rozvaděče R5</t>
  </si>
  <si>
    <t>Rekapitulace rozvaděče RSPOL</t>
  </si>
  <si>
    <t>Rekapitulace rozvaděče RTOP</t>
  </si>
  <si>
    <t>Rozpis rozvaděče R-top</t>
  </si>
  <si>
    <t>skříň plast do63A 4x12M/IP41 zapu plnáDv   VF412PD</t>
  </si>
  <si>
    <t>jistič MBN310 3pól/ch.B/6kA/ 10A</t>
  </si>
  <si>
    <t>Rekapitulace rozvaděče RB1;2</t>
  </si>
  <si>
    <t>Rozpis rozvaděče Rb-1.2</t>
  </si>
  <si>
    <t xml:space="preserve">Datum: </t>
  </si>
  <si>
    <t>akce:</t>
  </si>
  <si>
    <t>Obecní dům Vavřineč - přestavba objektu č.p.9, Malý Újezd</t>
  </si>
  <si>
    <t>Nádražní 400, Mariánské údolí, 78365 Hlubočky</t>
  </si>
  <si>
    <t>část:</t>
  </si>
  <si>
    <t>D.1.4.1   Měření a regulace</t>
  </si>
  <si>
    <t>rozpočet</t>
  </si>
  <si>
    <t xml:space="preserve">             montáž</t>
  </si>
  <si>
    <t>pozice</t>
  </si>
  <si>
    <t>č.ceníku</t>
  </si>
  <si>
    <t>popis</t>
  </si>
  <si>
    <t xml:space="preserve">J.cena </t>
  </si>
  <si>
    <t>Cenová soustava</t>
  </si>
  <si>
    <t>zásuvky a příslušenství</t>
  </si>
  <si>
    <t>17.</t>
  </si>
  <si>
    <t>Montáž strukturované kabeláže zásuvek datových pod omítku, do nábytku, do parapetního žlabu nebo podlahové krabice 1 až 6 pozic</t>
  </si>
  <si>
    <t>CS ÚRS 2023 02</t>
  </si>
  <si>
    <t>18.</t>
  </si>
  <si>
    <t>Montáž strukturované kabeláže zásuvek datových popis portu zásuvky</t>
  </si>
  <si>
    <t>19.</t>
  </si>
  <si>
    <t>Montáž strukturované kabeláže měření segmentu metalického s vyhotovením protokolu</t>
  </si>
  <si>
    <t>kabely a vodiče</t>
  </si>
  <si>
    <t>20.</t>
  </si>
  <si>
    <t>Montáž kabelů měděných ovládacích bez ukončení uložených volně, stíněných ovládacích s plným jádrem (JYTY) počtu a průřezu žil 2 až 19x1 mm2</t>
  </si>
  <si>
    <t>21.</t>
  </si>
  <si>
    <t>Montáž kabelů sdělovacích pro vnitřní rozvody počtu žil do 15</t>
  </si>
  <si>
    <t>22.</t>
  </si>
  <si>
    <t>Montáž vodičů izolovaných měděných bez ukončení uložených pevně plných a laněných s PVC pláštěm, bezhalogenových, ohniodolných (např. CY, CHAH-V) průřezu žíly 0,55 až 16 mm2</t>
  </si>
  <si>
    <t>Nadřazený řídící systém - předběžná cena</t>
  </si>
  <si>
    <t>23.</t>
  </si>
  <si>
    <t>HZS.001</t>
  </si>
  <si>
    <t>Montáž řídícího systému včeně napojení vodičů a vyzkoušení</t>
  </si>
  <si>
    <t>HZS</t>
  </si>
  <si>
    <t>24.</t>
  </si>
  <si>
    <t>HZS.002</t>
  </si>
  <si>
    <t>Montáž barevného dotykového displej, 3,5", komunikace BACnet MS/TP, napojení, vyzkoušení</t>
  </si>
  <si>
    <t>25.</t>
  </si>
  <si>
    <t>R0003</t>
  </si>
  <si>
    <t>Datové body ( minimálně 26 ks)</t>
  </si>
  <si>
    <t>montážní materiál</t>
  </si>
  <si>
    <t>26.</t>
  </si>
  <si>
    <t>Montáž lišt a kanálků elektroinstalačních se spojkami, ohyby a rohy a s nasunutím do krabic vkládacích s víčkem, šířky do 60 mm</t>
  </si>
  <si>
    <t>27.</t>
  </si>
  <si>
    <t>Montáž trubek elektroinstalačních s nasunutím nebo našroubováním do krabic plastových ohebných, uložených pevně, vnější Ø přes 11 do 23 mm</t>
  </si>
  <si>
    <t>28.</t>
  </si>
  <si>
    <t>HZS.003</t>
  </si>
  <si>
    <t>Utěsnění prostupů silikonovým tmelem</t>
  </si>
  <si>
    <t>materiál</t>
  </si>
  <si>
    <t>29.</t>
  </si>
  <si>
    <t xml:space="preserve">Osazení kotevních prvků  hmoždinek včetně vyvrtání otvorů, pro upevnění elektroinstalací ve stěnách cihelných, vnějšího průměru do 8 mm   </t>
  </si>
  <si>
    <t>protipožární přepážky</t>
  </si>
  <si>
    <t>30.</t>
  </si>
  <si>
    <t>Montáž a zhotovení ohnivzdorných konstrukcí pro elektrozařízení přepážek z desek nebo vyztužených omítek silikátových s výplní ve stěnovém průchodu, tl. do 150 mm</t>
  </si>
  <si>
    <t>31.</t>
  </si>
  <si>
    <t>Montáž a zhotovení ohnivzdorných konstrukcí pro elektrozařízení přepážek z desek nebo vyztužených omítek silikátových s výplní ve stropním průchodu, do 200 mm</t>
  </si>
  <si>
    <t>ostatní</t>
  </si>
  <si>
    <t>32.</t>
  </si>
  <si>
    <t>HZS.004</t>
  </si>
  <si>
    <t>Příplatek za použití silových oheň retardujících bezhalogenových kabelů s funkční schopností při požáru 180min a P60-R třídareakce na oheň B2cas1d0 jádro Cu 0,6/1kV (1-CXKH-V) v případě požadavků PO např. únikové cesty ( bez požárních podhlédů) včetně příslušných kabelových příchytek</t>
  </si>
  <si>
    <t>33.</t>
  </si>
  <si>
    <t>HZS.005</t>
  </si>
  <si>
    <t>Montáž uzemnění VZT jednotek</t>
  </si>
  <si>
    <t>34.</t>
  </si>
  <si>
    <t>HZS.006</t>
  </si>
  <si>
    <t>Ukončení slaboproudých a silnoproudých kabelů se zapojením na svorkovnici v rozvaděči nebo na přístroji bez letování</t>
  </si>
  <si>
    <t>35.</t>
  </si>
  <si>
    <t>HZS.007</t>
  </si>
  <si>
    <t>Uvedení do provozu, zaškolení obsluhy, včetně řízení</t>
  </si>
  <si>
    <t>36.</t>
  </si>
  <si>
    <t>HZS.008</t>
  </si>
  <si>
    <t xml:space="preserve">Účast montéra elektro při zprovoznění regulace systému  </t>
  </si>
  <si>
    <t>37.</t>
  </si>
  <si>
    <t>HZS.009</t>
  </si>
  <si>
    <t>Práce nezahrnuté v cenících 21_M, 46 -M, PSV 800-741, PSV 800-742 a zapsané v montážním deníku a potvrzené investorem</t>
  </si>
  <si>
    <t>38.</t>
  </si>
  <si>
    <t>HZS.010</t>
  </si>
  <si>
    <t>Koordinace profesí</t>
  </si>
  <si>
    <t>39.</t>
  </si>
  <si>
    <t>HZS.011</t>
  </si>
  <si>
    <t>Autorský dozor</t>
  </si>
  <si>
    <t>40.</t>
  </si>
  <si>
    <t>Zkoušky a prohlídky elektrických rozvodů a zařízení celková prohlídka a vyhotovení revizní zprávy pro objem montážních prací do 100 tis.Kč</t>
  </si>
  <si>
    <t>CS ÚRS 2022 02</t>
  </si>
  <si>
    <t>41.</t>
  </si>
  <si>
    <t>HZS.12</t>
  </si>
  <si>
    <t>Zednické výpomoce, sekání drážek, průrazy včetně vyplnění rýh pro kabely a začištění</t>
  </si>
  <si>
    <t>42.</t>
  </si>
  <si>
    <t>HZS.13</t>
  </si>
  <si>
    <t>rozšíření o propojení TOP - převod</t>
  </si>
  <si>
    <t>montáž celkem bez DPH</t>
  </si>
  <si>
    <t xml:space="preserve">          materiál</t>
  </si>
  <si>
    <t>1.</t>
  </si>
  <si>
    <t>Zásuvka RJ 45, UTP, 1 modul cat. 6</t>
  </si>
  <si>
    <t>2.</t>
  </si>
  <si>
    <t>Konektor RJ45 CAT6 UTP 8p8c nestíněný skládaný na drát</t>
  </si>
  <si>
    <t>3.</t>
  </si>
  <si>
    <t>Kabel pro vnitřní rozvody ve sdělovací technice, v telekomunikacích 2x2x0,5  /SYKFY, JYTY, J-Y(St)Y  /</t>
  </si>
  <si>
    <t>4.</t>
  </si>
  <si>
    <t>Nestíněný vnitřní kabel UTP cat 6</t>
  </si>
  <si>
    <t>5.</t>
  </si>
  <si>
    <t xml:space="preserve">Vodič HO7V-R 6 zž - PVC izolovaný jednožilový vodič pro vnitřní vedení </t>
  </si>
  <si>
    <t>6.</t>
  </si>
  <si>
    <t>R0001</t>
  </si>
  <si>
    <t>Řídící systém s procesní jednotkou, komunikačním modulem a IO moduly</t>
  </si>
  <si>
    <t>7.</t>
  </si>
  <si>
    <t>R0002</t>
  </si>
  <si>
    <t>Barevný dotykový displej, 3,5", komunikace BACnet MS/TP</t>
  </si>
  <si>
    <t>8.</t>
  </si>
  <si>
    <t>Elektroinstalační lišta PVC 20x10  včetně rohů a koncovek</t>
  </si>
  <si>
    <t>9.</t>
  </si>
  <si>
    <t>Elektroinstalační trubka ohebná PVC  průměr 23 mm - střední mechanické zatížení</t>
  </si>
  <si>
    <t>10.</t>
  </si>
  <si>
    <t>Silikonový tmel pro utěsnění prostupů</t>
  </si>
  <si>
    <t>11.</t>
  </si>
  <si>
    <t>Hmoždinky univerzální 10x60</t>
  </si>
  <si>
    <t>12.</t>
  </si>
  <si>
    <t>Požární prostupy stěnou</t>
  </si>
  <si>
    <t>13.</t>
  </si>
  <si>
    <t>Požární prostupy stropem</t>
  </si>
  <si>
    <t>14.</t>
  </si>
  <si>
    <t>R.0003</t>
  </si>
  <si>
    <t>15.</t>
  </si>
  <si>
    <t>R.0004</t>
  </si>
  <si>
    <t>Materiál pro zednické práce</t>
  </si>
  <si>
    <t>16.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</si>
  <si>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</si>
  <si>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materiál celkem bez DPH</t>
  </si>
  <si>
    <t>R O Z P O Č E T</t>
  </si>
  <si>
    <t>vypracoval:</t>
  </si>
  <si>
    <t>Jan Honig</t>
  </si>
  <si>
    <t>Popis</t>
  </si>
  <si>
    <t>Dodávka celkem bez DPH</t>
  </si>
  <si>
    <t>Montáž celkem bez DPH</t>
  </si>
  <si>
    <t>Cena celkem bez DPH</t>
  </si>
  <si>
    <t>800-741+HZS+46-M</t>
  </si>
  <si>
    <t>elektroinstalace nn</t>
  </si>
  <si>
    <t>doprava osob a materiálu  /cca500km/</t>
  </si>
  <si>
    <t>zařízení staveniště z celkové ceny bez DPH</t>
  </si>
  <si>
    <t>celkem včetně DPH</t>
  </si>
  <si>
    <t>cenová úroveň - montážčrvenec ÚRS 2022-2</t>
  </si>
  <si>
    <t>cenová úroveň - materiál - červenec 2022 - základní cena velkoobchodu</t>
  </si>
  <si>
    <t>P o z n á m k a:</t>
  </si>
  <si>
    <t>Výkaz výměr, dodávek a prací není ani úplný, ani vyčerpávající. Je souhrnný, tzn. že poskytuje</t>
  </si>
  <si>
    <t xml:space="preserve">objednateli ucelený přehled o rozsahu a ceně dodávek a prací. Pokud zhotovitel shledá nezbytně </t>
  </si>
  <si>
    <t xml:space="preserve"> nutným doplnit další položky do souhrnného výkazu, pak lze tak učinit pouze se souhlasem </t>
  </si>
  <si>
    <t>zástupce objednatele a na tuto skutečnost pak zhotovitel upozorní.</t>
  </si>
  <si>
    <t>Nabídku lze odpovědně zpracovat pouze na základě kompletní dokumentace, tzn. ¨průvodní</t>
  </si>
  <si>
    <t>a souhrnné části dokumentace a příslušné textové, výkresové části a výkazů výměru.</t>
  </si>
  <si>
    <t>URČI CENU ZA PŘESUN Kč/kg</t>
  </si>
  <si>
    <t>612474611RT1</t>
  </si>
  <si>
    <t>Omítka stěn vnitřní, VPC jádro, vápen.štuk, ručně, na pálené cihly a tvarovky - staré zdivo</t>
  </si>
  <si>
    <t>257A</t>
  </si>
  <si>
    <t>783124120R00</t>
  </si>
  <si>
    <t>Nátěr syntetický OK "B" dvojnásobný</t>
  </si>
  <si>
    <t>zárubně dveří</t>
  </si>
  <si>
    <t>414A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</si>
</sst>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00"/>
    <numFmt numFmtId="165" formatCode="#,##0.00000"/>
    <numFmt numFmtId="166" formatCode="###\ ###\ ###\ ##0.00"/>
    <numFmt numFmtId="167" formatCode="#\ ###\ ##0;#\ ###\ ##0;"/>
    <numFmt numFmtId="168" formatCode="##\ ###\ ##0;##\ ###\ ##0;"/>
    <numFmt numFmtId="169" formatCode="000000000"/>
    <numFmt numFmtId="170" formatCode="#\ ###\ ###"/>
    <numFmt numFmtId="171" formatCode="0.000;0.000;"/>
    <numFmt numFmtId="172" formatCode="0.00;0.00;"/>
    <numFmt numFmtId="173" formatCode="#\ ###\ ##0.00"/>
    <numFmt numFmtId="174" formatCode="#\ ###\ ##0"/>
    <numFmt numFmtId="175" formatCode="0.0"/>
    <numFmt numFmtId="176" formatCode="#,##0.0&quot; Kč&quot;"/>
    <numFmt numFmtId="177" formatCode="#,##0.0\ &quot;Kč&quot;"/>
    <numFmt numFmtId="178" formatCode="#,##0.00\ &quot;Kč&quot;"/>
  </numFmts>
  <fonts count="59">
    <font>
      <sz val="6"/>
      <name val="Arial"/>
    </font>
    <font>
      <sz val="11"/>
      <name val="Arial"/>
    </font>
    <font>
      <sz val="11"/>
      <name val="Calibri"/>
    </font>
    <font>
      <b/>
      <sz val="10"/>
      <color rgb="FF000000"/>
      <name val="Arial"/>
      <charset val="238"/>
    </font>
    <font>
      <i/>
      <sz val="10"/>
      <color rgb="FF008000"/>
      <name val="Arial"/>
      <charset val="238"/>
    </font>
    <font>
      <sz val="10"/>
      <color rgb="FF000000"/>
      <name val="Arial"/>
      <charset val="238"/>
    </font>
    <font>
      <b/>
      <sz val="12"/>
      <color rgb="FF000000"/>
      <name val="Arial"/>
      <charset val="238"/>
    </font>
    <font>
      <sz val="10"/>
      <color rgb="FF0000FF"/>
      <name val="Arial"/>
      <charset val="238"/>
    </font>
    <font>
      <b/>
      <sz val="11"/>
      <color rgb="FF000000"/>
      <name val="Arial"/>
      <charset val="238"/>
    </font>
    <font>
      <i/>
      <sz val="10"/>
      <color rgb="FF8000FF"/>
      <name val="Arial"/>
      <charset val="238"/>
    </font>
    <font>
      <sz val="12"/>
      <color rgb="FF000000"/>
      <name val="Arial"/>
      <charset val="238"/>
    </font>
    <font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8"/>
      <color rgb="FF000000"/>
      <name val="Arial"/>
      <charset val="238"/>
    </font>
    <font>
      <i/>
      <sz val="8"/>
      <color rgb="FF000000"/>
      <name val="Arial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敓潧⁥䥕蘀宺꺠˅☸¸_x0008_"/>
      <charset val="238"/>
    </font>
    <font>
      <b/>
      <sz val="8"/>
      <color rgb="FF000000"/>
      <name val="敓潧⁥䥕蘀宺꺠˅☸¸_x0008_"/>
      <charset val="238"/>
    </font>
    <font>
      <b/>
      <sz val="7"/>
      <color rgb="FF000000"/>
      <name val="敓潧⁥䥕蘀宺꺠˅☸¸_x0008_"/>
      <charset val="238"/>
    </font>
    <font>
      <b/>
      <sz val="9"/>
      <color rgb="FF000000"/>
      <name val="敓潧⁥䥕蘀宺꺠˅☸¸_x0008_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0"/>
      <color indexed="18"/>
      <name val="Arial CE"/>
      <charset val="238"/>
    </font>
    <font>
      <b/>
      <sz val="10"/>
      <color indexed="9"/>
      <name val="Arial CE"/>
      <charset val="238"/>
    </font>
    <font>
      <b/>
      <sz val="10"/>
      <name val="Arial CE"/>
      <charset val="238"/>
    </font>
    <font>
      <b/>
      <sz val="10"/>
      <color indexed="9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8"/>
      <name val="Arial"/>
      <family val="2"/>
      <charset val="238"/>
    </font>
    <font>
      <vertAlign val="superscript"/>
      <sz val="10"/>
      <name val="Arial CE"/>
      <charset val="238"/>
    </font>
    <font>
      <sz val="10"/>
      <name val="Arial CE"/>
      <family val="2"/>
      <charset val="238"/>
    </font>
    <font>
      <vertAlign val="subscript"/>
      <sz val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sz val="12"/>
      <color theme="1"/>
      <name val="Times New Roman CE"/>
      <charset val="238"/>
    </font>
    <font>
      <b/>
      <sz val="12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6"/>
      <color theme="1"/>
      <name val="Times New Roman CE"/>
      <charset val="238"/>
    </font>
    <font>
      <b/>
      <sz val="11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rgb="FF000000"/>
      <name val="Times New Roman CE"/>
      <charset val="238"/>
    </font>
    <font>
      <b/>
      <sz val="11"/>
      <color rgb="FF000000"/>
      <name val="Times New Roman CE"/>
      <charset val="238"/>
    </font>
    <font>
      <sz val="10"/>
      <color rgb="FF000000"/>
      <name val="Times New Roman CE"/>
      <charset val="238"/>
    </font>
    <font>
      <b/>
      <sz val="10"/>
      <color rgb="FF000000"/>
      <name val="Times New Roman CE"/>
      <charset val="238"/>
    </font>
    <font>
      <b/>
      <sz val="16"/>
      <color rgb="FF000000"/>
      <name val="Times New Roman CE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 CE"/>
      <charset val="238"/>
    </font>
    <font>
      <b/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Tahoma"/>
      <family val="2"/>
      <charset val="238"/>
    </font>
    <font>
      <sz val="11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  <fill>
      <patternFill patternType="solid">
        <fgColor rgb="FFC0C0C0"/>
        <bgColor indexed="9"/>
      </patternFill>
    </fill>
    <fill>
      <patternFill patternType="solid">
        <fgColor rgb="FFFFFFFF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rgb="FF000000"/>
      </patternFill>
    </fill>
    <fill>
      <patternFill patternType="solid">
        <fgColor rgb="FFE0FEE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AFF"/>
        <bgColor rgb="FF000000"/>
      </patternFill>
    </fill>
    <fill>
      <patternFill patternType="solid">
        <fgColor rgb="FFBFEB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8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C0C0C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hair">
        <color indexed="64"/>
      </right>
      <top style="hair">
        <color indexed="64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rgb="FF969696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/>
    <xf numFmtId="0" fontId="22" fillId="0" borderId="0"/>
    <xf numFmtId="0" fontId="15" fillId="0" borderId="0"/>
    <xf numFmtId="0" fontId="30" fillId="0" borderId="0"/>
    <xf numFmtId="0" fontId="49" fillId="0" borderId="0" applyProtection="0"/>
    <xf numFmtId="0" fontId="49" fillId="0" borderId="0" applyProtection="0"/>
    <xf numFmtId="0" fontId="57" fillId="0" borderId="0"/>
  </cellStyleXfs>
  <cellXfs count="667"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right" vertical="center"/>
    </xf>
    <xf numFmtId="4" fontId="3" fillId="3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4" borderId="6" xfId="0" applyNumberFormat="1" applyFont="1" applyFill="1" applyBorder="1" applyAlignment="1" applyProtection="1">
      <alignment horizontal="left" vertical="center"/>
    </xf>
    <xf numFmtId="4" fontId="7" fillId="0" borderId="0" xfId="0" applyNumberFormat="1" applyFont="1" applyFill="1" applyBorder="1" applyAlignment="1" applyProtection="1">
      <alignment horizontal="righ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5" fillId="5" borderId="6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left" vertical="center"/>
    </xf>
    <xf numFmtId="0" fontId="6" fillId="0" borderId="11" xfId="0" applyNumberFormat="1" applyFont="1" applyFill="1" applyBorder="1" applyAlignment="1" applyProtection="1">
      <alignment horizontal="left" vertical="center"/>
    </xf>
    <xf numFmtId="0" fontId="3" fillId="4" borderId="12" xfId="0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9" fillId="0" borderId="14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" fillId="6" borderId="0" xfId="0" applyNumberFormat="1" applyFont="1" applyFill="1" applyBorder="1" applyAlignment="1" applyProtection="1"/>
    <xf numFmtId="0" fontId="7" fillId="0" borderId="8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1" fillId="5" borderId="0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>
      <alignment horizontal="left" vertical="center"/>
    </xf>
    <xf numFmtId="0" fontId="3" fillId="0" borderId="19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0" fontId="5" fillId="6" borderId="0" xfId="0" applyNumberFormat="1" applyFont="1" applyFill="1" applyBorder="1" applyAlignment="1" applyProtection="1">
      <alignment horizontal="left" vertical="center"/>
    </xf>
    <xf numFmtId="0" fontId="3" fillId="4" borderId="0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5" fillId="0" borderId="23" xfId="0" applyNumberFormat="1" applyFont="1" applyFill="1" applyBorder="1" applyAlignment="1" applyProtection="1">
      <alignment horizontal="left" vertical="center"/>
    </xf>
    <xf numFmtId="0" fontId="1" fillId="5" borderId="6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7" fillId="5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9" fillId="6" borderId="0" xfId="0" applyNumberFormat="1" applyFont="1" applyFill="1" applyBorder="1" applyAlignment="1" applyProtection="1">
      <alignment horizontal="left" vertical="center"/>
    </xf>
    <xf numFmtId="0" fontId="5" fillId="6" borderId="0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4" fontId="10" fillId="0" borderId="1" xfId="0" applyNumberFormat="1" applyFont="1" applyFill="1" applyBorder="1" applyAlignment="1" applyProtection="1">
      <alignment horizontal="right" vertical="center"/>
    </xf>
    <xf numFmtId="0" fontId="5" fillId="0" borderId="25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0" fontId="5" fillId="6" borderId="12" xfId="0" applyNumberFormat="1" applyFont="1" applyFill="1" applyBorder="1" applyAlignment="1" applyProtection="1">
      <alignment horizontal="right" vertical="center"/>
    </xf>
    <xf numFmtId="0" fontId="5" fillId="4" borderId="0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4" fontId="7" fillId="5" borderId="0" xfId="0" applyNumberFormat="1" applyFont="1" applyFill="1" applyBorder="1" applyAlignment="1" applyProtection="1">
      <alignment horizontal="right" vertical="center"/>
    </xf>
    <xf numFmtId="0" fontId="5" fillId="6" borderId="6" xfId="0" applyNumberFormat="1" applyFont="1" applyFill="1" applyBorder="1" applyAlignment="1" applyProtection="1">
      <alignment horizontal="left" vertical="center"/>
    </xf>
    <xf numFmtId="4" fontId="3" fillId="4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right" vertical="center"/>
    </xf>
    <xf numFmtId="4" fontId="10" fillId="0" borderId="18" xfId="0" applyNumberFormat="1" applyFont="1" applyFill="1" applyBorder="1" applyAlignment="1" applyProtection="1">
      <alignment horizontal="right" vertical="center"/>
    </xf>
    <xf numFmtId="4" fontId="5" fillId="5" borderId="0" xfId="0" applyNumberFormat="1" applyFont="1" applyFill="1" applyBorder="1" applyAlignment="1" applyProtection="1">
      <alignment horizontal="right" vertical="center"/>
    </xf>
    <xf numFmtId="0" fontId="12" fillId="3" borderId="13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4" fontId="4" fillId="6" borderId="0" xfId="0" applyNumberFormat="1" applyFont="1" applyFill="1" applyBorder="1" applyAlignment="1" applyProtection="1">
      <alignment horizontal="right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left" vertical="center"/>
    </xf>
    <xf numFmtId="0" fontId="5" fillId="2" borderId="8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1" fillId="6" borderId="6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4" fontId="4" fillId="5" borderId="0" xfId="0" applyNumberFormat="1" applyFont="1" applyFill="1" applyBorder="1" applyAlignment="1" applyProtection="1">
      <alignment horizontal="right" vertical="center"/>
    </xf>
    <xf numFmtId="0" fontId="7" fillId="5" borderId="12" xfId="0" applyNumberFormat="1" applyFont="1" applyFill="1" applyBorder="1" applyAlignment="1" applyProtection="1">
      <alignment horizontal="right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right" vertical="center"/>
    </xf>
    <xf numFmtId="0" fontId="3" fillId="4" borderId="0" xfId="0" applyNumberFormat="1" applyFont="1" applyFill="1" applyBorder="1" applyAlignment="1" applyProtection="1">
      <alignment horizontal="left" vertical="center"/>
    </xf>
    <xf numFmtId="0" fontId="1" fillId="6" borderId="12" xfId="0" applyNumberFormat="1" applyFont="1" applyFill="1" applyBorder="1" applyAlignment="1" applyProtection="1"/>
    <xf numFmtId="4" fontId="5" fillId="0" borderId="14" xfId="0" applyNumberFormat="1" applyFont="1" applyFill="1" applyBorder="1" applyAlignment="1" applyProtection="1">
      <alignment horizontal="right" vertical="center"/>
    </xf>
    <xf numFmtId="0" fontId="2" fillId="0" borderId="14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5" borderId="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4" fontId="6" fillId="3" borderId="13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5" fillId="5" borderId="12" xfId="0" applyNumberFormat="1" applyFont="1" applyFill="1" applyBorder="1" applyAlignment="1" applyProtection="1">
      <alignment horizontal="right" vertical="center"/>
    </xf>
    <xf numFmtId="0" fontId="5" fillId="0" borderId="10" xfId="0" applyNumberFormat="1" applyFont="1" applyFill="1" applyBorder="1" applyAlignment="1" applyProtection="1">
      <alignment horizontal="left" vertical="center"/>
    </xf>
    <xf numFmtId="4" fontId="5" fillId="6" borderId="0" xfId="0" applyNumberFormat="1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horizontal="right" vertical="center"/>
    </xf>
    <xf numFmtId="0" fontId="7" fillId="5" borderId="0" xfId="0" applyNumberFormat="1" applyFont="1" applyFill="1" applyBorder="1" applyAlignment="1" applyProtection="1">
      <alignment horizontal="right" vertical="center"/>
    </xf>
    <xf numFmtId="0" fontId="1" fillId="5" borderId="12" xfId="0" applyNumberFormat="1" applyFont="1" applyFill="1" applyBorder="1" applyAlignment="1" applyProtection="1"/>
    <xf numFmtId="0" fontId="9" fillId="5" borderId="0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/>
    </xf>
    <xf numFmtId="0" fontId="4" fillId="5" borderId="0" xfId="0" applyNumberFormat="1" applyFont="1" applyFill="1" applyBorder="1" applyAlignment="1" applyProtection="1">
      <alignment horizontal="left" vertical="center"/>
    </xf>
    <xf numFmtId="4" fontId="3" fillId="0" borderId="15" xfId="0" applyNumberFormat="1" applyFont="1" applyFill="1" applyBorder="1" applyAlignment="1" applyProtection="1">
      <alignment horizontal="right" vertical="center"/>
    </xf>
    <xf numFmtId="0" fontId="4" fillId="6" borderId="0" xfId="0" applyNumberFormat="1" applyFont="1" applyFill="1" applyBorder="1" applyAlignment="1" applyProtection="1">
      <alignment horizontal="left" vertical="center"/>
    </xf>
    <xf numFmtId="4" fontId="4" fillId="0" borderId="14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5" fillId="0" borderId="34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right" vertical="center"/>
    </xf>
    <xf numFmtId="0" fontId="3" fillId="0" borderId="33" xfId="0" applyNumberFormat="1" applyFont="1" applyFill="1" applyBorder="1" applyAlignment="1" applyProtection="1">
      <alignment horizontal="right" vertical="center"/>
    </xf>
    <xf numFmtId="0" fontId="12" fillId="3" borderId="37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right" vertical="center"/>
    </xf>
    <xf numFmtId="0" fontId="3" fillId="0" borderId="33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" fillId="0" borderId="9" xfId="0" applyNumberFormat="1" applyFont="1" applyFill="1" applyBorder="1" applyAlignment="1" applyProtection="1"/>
    <xf numFmtId="4" fontId="10" fillId="0" borderId="3" xfId="0" applyNumberFormat="1" applyFont="1" applyFill="1" applyBorder="1" applyAlignment="1" applyProtection="1">
      <alignment horizontal="right" vertical="center"/>
    </xf>
    <xf numFmtId="0" fontId="16" fillId="7" borderId="39" xfId="0" applyFont="1" applyFill="1" applyBorder="1" applyAlignment="1">
      <alignment horizontal="left"/>
    </xf>
    <xf numFmtId="4" fontId="16" fillId="7" borderId="39" xfId="0" applyNumberFormat="1" applyFont="1" applyFill="1" applyBorder="1" applyAlignment="1">
      <alignment horizontal="left"/>
    </xf>
    <xf numFmtId="0" fontId="17" fillId="8" borderId="39" xfId="0" applyFont="1" applyFill="1" applyBorder="1" applyAlignment="1">
      <alignment horizontal="left"/>
    </xf>
    <xf numFmtId="4" fontId="17" fillId="8" borderId="39" xfId="0" applyNumberFormat="1" applyFont="1" applyFill="1" applyBorder="1" applyAlignment="1">
      <alignment horizontal="right"/>
    </xf>
    <xf numFmtId="0" fontId="16" fillId="9" borderId="39" xfId="0" applyFont="1" applyFill="1" applyBorder="1" applyAlignment="1">
      <alignment horizontal="left"/>
    </xf>
    <xf numFmtId="4" fontId="16" fillId="9" borderId="39" xfId="0" applyNumberFormat="1" applyFont="1" applyFill="1" applyBorder="1" applyAlignment="1">
      <alignment horizontal="right"/>
    </xf>
    <xf numFmtId="0" fontId="18" fillId="10" borderId="39" xfId="0" applyFont="1" applyFill="1" applyBorder="1" applyAlignment="1">
      <alignment horizontal="left"/>
    </xf>
    <xf numFmtId="4" fontId="18" fillId="10" borderId="39" xfId="0" applyNumberFormat="1" applyFont="1" applyFill="1" applyBorder="1" applyAlignment="1">
      <alignment horizontal="right"/>
    </xf>
    <xf numFmtId="0" fontId="16" fillId="9" borderId="39" xfId="0" applyFont="1" applyFill="1" applyBorder="1" applyAlignment="1">
      <alignment horizontal="left" wrapText="1"/>
    </xf>
    <xf numFmtId="0" fontId="19" fillId="11" borderId="39" xfId="0" applyFont="1" applyFill="1" applyBorder="1" applyAlignment="1">
      <alignment horizontal="left"/>
    </xf>
    <xf numFmtId="4" fontId="19" fillId="11" borderId="39" xfId="0" applyNumberFormat="1" applyFont="1" applyFill="1" applyBorder="1" applyAlignment="1">
      <alignment horizontal="right"/>
    </xf>
    <xf numFmtId="49" fontId="17" fillId="8" borderId="39" xfId="0" applyNumberFormat="1" applyFont="1" applyFill="1" applyBorder="1" applyAlignment="1">
      <alignment horizontal="center"/>
    </xf>
    <xf numFmtId="49" fontId="17" fillId="8" borderId="39" xfId="0" applyNumberFormat="1" applyFont="1" applyFill="1" applyBorder="1" applyAlignment="1">
      <alignment horizontal="center" wrapText="1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20" fillId="12" borderId="0" xfId="0" applyFont="1" applyFill="1" applyBorder="1"/>
    <xf numFmtId="4" fontId="20" fillId="12" borderId="0" xfId="0" applyNumberFormat="1" applyFont="1" applyFill="1" applyBorder="1"/>
    <xf numFmtId="0" fontId="21" fillId="12" borderId="0" xfId="0" applyFont="1" applyFill="1" applyBorder="1"/>
    <xf numFmtId="4" fontId="21" fillId="12" borderId="0" xfId="0" applyNumberFormat="1" applyFont="1" applyFill="1" applyBorder="1"/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23" fillId="0" borderId="0" xfId="1" applyFont="1" applyAlignment="1">
      <alignment vertical="center"/>
    </xf>
    <xf numFmtId="0" fontId="22" fillId="0" borderId="0" xfId="1" applyAlignment="1">
      <alignment vertical="center"/>
    </xf>
    <xf numFmtId="4" fontId="22" fillId="0" borderId="0" xfId="1" applyNumberFormat="1" applyAlignment="1">
      <alignment vertical="center"/>
    </xf>
    <xf numFmtId="0" fontId="22" fillId="0" borderId="0" xfId="1"/>
    <xf numFmtId="3" fontId="22" fillId="0" borderId="0" xfId="1" applyNumberFormat="1" applyAlignment="1">
      <alignment horizontal="left" vertical="center"/>
    </xf>
    <xf numFmtId="0" fontId="24" fillId="13" borderId="40" xfId="1" applyFont="1" applyFill="1" applyBorder="1" applyAlignment="1">
      <alignment horizontal="centerContinuous" vertical="center"/>
    </xf>
    <xf numFmtId="0" fontId="25" fillId="13" borderId="41" xfId="1" applyFont="1" applyFill="1" applyBorder="1" applyAlignment="1">
      <alignment horizontal="centerContinuous" vertical="center"/>
    </xf>
    <xf numFmtId="49" fontId="26" fillId="14" borderId="42" xfId="1" applyNumberFormat="1" applyFont="1" applyFill="1" applyBorder="1" applyAlignment="1">
      <alignment horizontal="center" vertical="center"/>
    </xf>
    <xf numFmtId="164" fontId="26" fillId="14" borderId="42" xfId="1" applyNumberFormat="1" applyFont="1" applyFill="1" applyBorder="1" applyAlignment="1">
      <alignment horizontal="center" vertical="center"/>
    </xf>
    <xf numFmtId="9" fontId="26" fillId="14" borderId="43" xfId="1" applyNumberFormat="1" applyFont="1" applyFill="1" applyBorder="1" applyAlignment="1">
      <alignment horizontal="center" vertical="center"/>
    </xf>
    <xf numFmtId="4" fontId="27" fillId="14" borderId="42" xfId="1" applyNumberFormat="1" applyFont="1" applyFill="1" applyBorder="1" applyAlignment="1">
      <alignment horizontal="center" vertical="center"/>
    </xf>
    <xf numFmtId="165" fontId="26" fillId="14" borderId="42" xfId="1" applyNumberFormat="1" applyFont="1" applyFill="1" applyBorder="1" applyAlignment="1">
      <alignment horizontal="center" vertical="center"/>
    </xf>
    <xf numFmtId="49" fontId="22" fillId="15" borderId="44" xfId="1" applyNumberFormat="1" applyFill="1" applyBorder="1" applyAlignment="1">
      <alignment horizontal="center" vertical="center"/>
    </xf>
    <xf numFmtId="49" fontId="22" fillId="15" borderId="44" xfId="1" applyNumberFormat="1" applyFill="1" applyBorder="1" applyAlignment="1">
      <alignment vertical="center"/>
    </xf>
    <xf numFmtId="49" fontId="25" fillId="15" borderId="44" xfId="1" applyNumberFormat="1" applyFont="1" applyFill="1" applyBorder="1" applyAlignment="1">
      <alignment vertical="center"/>
    </xf>
    <xf numFmtId="164" fontId="22" fillId="15" borderId="44" xfId="1" applyNumberFormat="1" applyFill="1" applyBorder="1" applyAlignment="1">
      <alignment vertical="center"/>
    </xf>
    <xf numFmtId="4" fontId="22" fillId="15" borderId="44" xfId="1" applyNumberFormat="1" applyFill="1" applyBorder="1" applyAlignment="1">
      <alignment vertical="center"/>
    </xf>
    <xf numFmtId="4" fontId="28" fillId="15" borderId="44" xfId="1" applyNumberFormat="1" applyFont="1" applyFill="1" applyBorder="1" applyAlignment="1">
      <alignment vertical="center"/>
    </xf>
    <xf numFmtId="165" fontId="22" fillId="15" borderId="44" xfId="1" applyNumberFormat="1" applyFill="1" applyBorder="1" applyAlignment="1">
      <alignment vertical="center"/>
    </xf>
    <xf numFmtId="49" fontId="22" fillId="0" borderId="44" xfId="1" applyNumberFormat="1" applyBorder="1" applyAlignment="1">
      <alignment horizontal="center" vertical="center"/>
    </xf>
    <xf numFmtId="49" fontId="22" fillId="0" borderId="44" xfId="1" applyNumberFormat="1" applyBorder="1" applyAlignment="1">
      <alignment vertical="center"/>
    </xf>
    <xf numFmtId="164" fontId="22" fillId="0" borderId="44" xfId="1" applyNumberFormat="1" applyBorder="1" applyAlignment="1">
      <alignment vertical="center"/>
    </xf>
    <xf numFmtId="4" fontId="22" fillId="16" borderId="44" xfId="1" applyNumberFormat="1" applyFill="1" applyBorder="1" applyAlignment="1" applyProtection="1">
      <alignment vertical="center"/>
      <protection locked="0"/>
    </xf>
    <xf numFmtId="4" fontId="28" fillId="0" borderId="44" xfId="1" applyNumberFormat="1" applyFont="1" applyBorder="1" applyAlignment="1">
      <alignment vertical="center"/>
    </xf>
    <xf numFmtId="49" fontId="22" fillId="0" borderId="44" xfId="1" applyNumberFormat="1" applyBorder="1" applyAlignment="1">
      <alignment vertical="center" wrapText="1"/>
    </xf>
    <xf numFmtId="0" fontId="30" fillId="0" borderId="44" xfId="1" applyFont="1" applyBorder="1" applyAlignment="1">
      <alignment vertical="center" wrapText="1"/>
    </xf>
    <xf numFmtId="49" fontId="30" fillId="0" borderId="44" xfId="1" applyNumberFormat="1" applyFont="1" applyBorder="1" applyAlignment="1">
      <alignment vertical="center" wrapText="1"/>
    </xf>
    <xf numFmtId="2" fontId="30" fillId="0" borderId="44" xfId="1" applyNumberFormat="1" applyFont="1" applyBorder="1" applyAlignment="1">
      <alignment vertical="center" wrapText="1"/>
    </xf>
    <xf numFmtId="0" fontId="34" fillId="0" borderId="0" xfId="1" applyFont="1"/>
    <xf numFmtId="9" fontId="34" fillId="0" borderId="0" xfId="1" applyNumberFormat="1" applyFont="1"/>
    <xf numFmtId="166" fontId="34" fillId="0" borderId="0" xfId="1" applyNumberFormat="1" applyFont="1"/>
    <xf numFmtId="4" fontId="22" fillId="0" borderId="0" xfId="1" applyNumberFormat="1"/>
    <xf numFmtId="0" fontId="35" fillId="0" borderId="0" xfId="1" applyFont="1"/>
    <xf numFmtId="9" fontId="35" fillId="0" borderId="0" xfId="1" applyNumberFormat="1" applyFont="1"/>
    <xf numFmtId="166" fontId="35" fillId="0" borderId="0" xfId="1" applyNumberFormat="1" applyFont="1"/>
    <xf numFmtId="0" fontId="22" fillId="6" borderId="45" xfId="1" applyFill="1" applyBorder="1"/>
    <xf numFmtId="4" fontId="22" fillId="6" borderId="45" xfId="1" applyNumberFormat="1" applyFill="1" applyBorder="1"/>
    <xf numFmtId="0" fontId="25" fillId="6" borderId="45" xfId="1" applyFont="1" applyFill="1" applyBorder="1"/>
    <xf numFmtId="4" fontId="25" fillId="6" borderId="45" xfId="1" applyNumberFormat="1" applyFont="1" applyFill="1" applyBorder="1"/>
    <xf numFmtId="0" fontId="36" fillId="0" borderId="0" xfId="2" applyFont="1"/>
    <xf numFmtId="0" fontId="37" fillId="0" borderId="0" xfId="2" quotePrefix="1" applyFont="1"/>
    <xf numFmtId="2" fontId="36" fillId="0" borderId="0" xfId="2" applyNumberFormat="1" applyFont="1"/>
    <xf numFmtId="167" fontId="36" fillId="0" borderId="0" xfId="2" applyNumberFormat="1" applyFont="1"/>
    <xf numFmtId="168" fontId="36" fillId="0" borderId="0" xfId="2" applyNumberFormat="1" applyFont="1"/>
    <xf numFmtId="0" fontId="38" fillId="0" borderId="0" xfId="2" applyFont="1"/>
    <xf numFmtId="0" fontId="39" fillId="17" borderId="46" xfId="2" applyFont="1" applyFill="1" applyBorder="1" applyAlignment="1">
      <alignment vertical="center"/>
    </xf>
    <xf numFmtId="0" fontId="39" fillId="17" borderId="47" xfId="2" applyFont="1" applyFill="1" applyBorder="1" applyAlignment="1">
      <alignment vertical="center"/>
    </xf>
    <xf numFmtId="2" fontId="39" fillId="17" borderId="47" xfId="2" applyNumberFormat="1" applyFont="1" applyFill="1" applyBorder="1" applyAlignment="1">
      <alignment vertical="center"/>
    </xf>
    <xf numFmtId="167" fontId="39" fillId="17" borderId="47" xfId="2" applyNumberFormat="1" applyFont="1" applyFill="1" applyBorder="1" applyAlignment="1">
      <alignment vertical="center"/>
    </xf>
    <xf numFmtId="168" fontId="39" fillId="17" borderId="48" xfId="2" applyNumberFormat="1" applyFont="1" applyFill="1" applyBorder="1" applyAlignment="1">
      <alignment vertical="center"/>
    </xf>
    <xf numFmtId="0" fontId="39" fillId="0" borderId="0" xfId="2" applyFont="1" applyAlignment="1">
      <alignment vertical="center"/>
    </xf>
    <xf numFmtId="0" fontId="36" fillId="0" borderId="49" xfId="2" applyFont="1" applyBorder="1" applyAlignment="1">
      <alignment horizontal="right"/>
    </xf>
    <xf numFmtId="0" fontId="36" fillId="0" borderId="50" xfId="2" applyFont="1" applyBorder="1" applyAlignment="1">
      <alignment horizontal="right"/>
    </xf>
    <xf numFmtId="2" fontId="36" fillId="0" borderId="50" xfId="2" applyNumberFormat="1" applyFont="1" applyBorder="1" applyAlignment="1">
      <alignment horizontal="right"/>
    </xf>
    <xf numFmtId="167" fontId="36" fillId="0" borderId="50" xfId="2" applyNumberFormat="1" applyFont="1" applyBorder="1" applyAlignment="1">
      <alignment horizontal="right"/>
    </xf>
    <xf numFmtId="168" fontId="36" fillId="0" borderId="51" xfId="2" applyNumberFormat="1" applyFont="1" applyBorder="1" applyAlignment="1">
      <alignment horizontal="right"/>
    </xf>
    <xf numFmtId="0" fontId="36" fillId="0" borderId="52" xfId="2" applyFont="1" applyBorder="1"/>
    <xf numFmtId="49" fontId="36" fillId="0" borderId="53" xfId="2" applyNumberFormat="1" applyFont="1" applyBorder="1"/>
    <xf numFmtId="2" fontId="36" fillId="0" borderId="44" xfId="2" applyNumberFormat="1" applyFont="1" applyBorder="1"/>
    <xf numFmtId="167" fontId="36" fillId="0" borderId="44" xfId="2" applyNumberFormat="1" applyFont="1" applyBorder="1"/>
    <xf numFmtId="168" fontId="36" fillId="0" borderId="54" xfId="2" applyNumberFormat="1" applyFont="1" applyBorder="1"/>
    <xf numFmtId="168" fontId="38" fillId="0" borderId="0" xfId="2" applyNumberFormat="1" applyFont="1"/>
    <xf numFmtId="0" fontId="36" fillId="0" borderId="55" xfId="2" applyFont="1" applyBorder="1"/>
    <xf numFmtId="49" fontId="36" fillId="0" borderId="56" xfId="2" applyNumberFormat="1" applyFont="1" applyBorder="1"/>
    <xf numFmtId="2" fontId="36" fillId="0" borderId="57" xfId="2" applyNumberFormat="1" applyFont="1" applyBorder="1"/>
    <xf numFmtId="167" fontId="36" fillId="0" borderId="57" xfId="2" applyNumberFormat="1" applyFont="1" applyBorder="1"/>
    <xf numFmtId="168" fontId="36" fillId="0" borderId="58" xfId="2" applyNumberFormat="1" applyFont="1" applyBorder="1"/>
    <xf numFmtId="0" fontId="36" fillId="17" borderId="46" xfId="2" applyFont="1" applyFill="1" applyBorder="1"/>
    <xf numFmtId="49" fontId="36" fillId="17" borderId="47" xfId="2" applyNumberFormat="1" applyFont="1" applyFill="1" applyBorder="1"/>
    <xf numFmtId="2" fontId="36" fillId="17" borderId="47" xfId="2" applyNumberFormat="1" applyFont="1" applyFill="1" applyBorder="1"/>
    <xf numFmtId="167" fontId="36" fillId="17" borderId="47" xfId="2" applyNumberFormat="1" applyFont="1" applyFill="1" applyBorder="1"/>
    <xf numFmtId="168" fontId="36" fillId="17" borderId="48" xfId="2" applyNumberFormat="1" applyFont="1" applyFill="1" applyBorder="1"/>
    <xf numFmtId="0" fontId="36" fillId="0" borderId="59" xfId="2" applyFont="1" applyBorder="1"/>
    <xf numFmtId="49" fontId="36" fillId="0" borderId="60" xfId="2" applyNumberFormat="1" applyFont="1" applyBorder="1"/>
    <xf numFmtId="2" fontId="36" fillId="0" borderId="61" xfId="2" applyNumberFormat="1" applyFont="1" applyBorder="1"/>
    <xf numFmtId="167" fontId="36" fillId="0" borderId="61" xfId="2" applyNumberFormat="1" applyFont="1" applyBorder="1"/>
    <xf numFmtId="168" fontId="36" fillId="0" borderId="62" xfId="2" applyNumberFormat="1" applyFont="1" applyBorder="1"/>
    <xf numFmtId="0" fontId="37" fillId="0" borderId="63" xfId="2" applyFont="1" applyBorder="1"/>
    <xf numFmtId="49" fontId="37" fillId="0" borderId="64" xfId="2" applyNumberFormat="1" applyFont="1" applyBorder="1"/>
    <xf numFmtId="2" fontId="37" fillId="0" borderId="65" xfId="2" applyNumberFormat="1" applyFont="1" applyBorder="1"/>
    <xf numFmtId="167" fontId="37" fillId="0" borderId="65" xfId="2" applyNumberFormat="1" applyFont="1" applyBorder="1"/>
    <xf numFmtId="168" fontId="37" fillId="0" borderId="66" xfId="2" applyNumberFormat="1" applyFont="1" applyBorder="1"/>
    <xf numFmtId="0" fontId="36" fillId="6" borderId="45" xfId="2" applyFont="1" applyFill="1" applyBorder="1"/>
    <xf numFmtId="168" fontId="36" fillId="6" borderId="45" xfId="2" applyNumberFormat="1" applyFont="1" applyFill="1" applyBorder="1"/>
    <xf numFmtId="0" fontId="37" fillId="6" borderId="45" xfId="2" applyFont="1" applyFill="1" applyBorder="1"/>
    <xf numFmtId="168" fontId="37" fillId="6" borderId="45" xfId="2" applyNumberFormat="1" applyFont="1" applyFill="1" applyBorder="1"/>
    <xf numFmtId="2" fontId="38" fillId="0" borderId="0" xfId="2" applyNumberFormat="1" applyFont="1"/>
    <xf numFmtId="167" fontId="38" fillId="0" borderId="0" xfId="2" applyNumberFormat="1" applyFont="1"/>
    <xf numFmtId="0" fontId="37" fillId="0" borderId="0" xfId="2" applyFont="1"/>
    <xf numFmtId="0" fontId="37" fillId="0" borderId="0" xfId="2" applyFont="1" applyAlignment="1">
      <alignment horizontal="center"/>
    </xf>
    <xf numFmtId="0" fontId="39" fillId="17" borderId="0" xfId="2" applyFont="1" applyFill="1" applyAlignment="1">
      <alignment vertical="center"/>
    </xf>
    <xf numFmtId="0" fontId="39" fillId="17" borderId="0" xfId="2" applyFont="1" applyFill="1" applyAlignment="1">
      <alignment horizontal="center" vertical="center"/>
    </xf>
    <xf numFmtId="0" fontId="38" fillId="0" borderId="49" xfId="2" applyFont="1" applyBorder="1"/>
    <xf numFmtId="169" fontId="38" fillId="0" borderId="50" xfId="2" applyNumberFormat="1" applyFont="1" applyBorder="1"/>
    <xf numFmtId="0" fontId="38" fillId="0" borderId="50" xfId="2" applyFont="1" applyBorder="1"/>
    <xf numFmtId="2" fontId="38" fillId="0" borderId="50" xfId="2" applyNumberFormat="1" applyFont="1" applyBorder="1"/>
    <xf numFmtId="170" fontId="38" fillId="0" borderId="50" xfId="2" applyNumberFormat="1" applyFont="1" applyBorder="1"/>
    <xf numFmtId="171" fontId="38" fillId="0" borderId="50" xfId="2" applyNumberFormat="1" applyFont="1" applyBorder="1"/>
    <xf numFmtId="172" fontId="38" fillId="0" borderId="51" xfId="2" applyNumberFormat="1" applyFont="1" applyBorder="1"/>
    <xf numFmtId="0" fontId="38" fillId="0" borderId="50" xfId="2" applyFont="1" applyBorder="1" applyAlignment="1">
      <alignment horizontal="center"/>
    </xf>
    <xf numFmtId="0" fontId="37" fillId="0" borderId="67" xfId="2" applyFont="1" applyBorder="1"/>
    <xf numFmtId="169" fontId="37" fillId="0" borderId="0" xfId="2" applyNumberFormat="1" applyFont="1"/>
    <xf numFmtId="2" fontId="37" fillId="0" borderId="0" xfId="2" applyNumberFormat="1" applyFont="1"/>
    <xf numFmtId="170" fontId="37" fillId="0" borderId="0" xfId="2" applyNumberFormat="1" applyFont="1"/>
    <xf numFmtId="171" fontId="37" fillId="0" borderId="0" xfId="2" applyNumberFormat="1" applyFont="1"/>
    <xf numFmtId="172" fontId="37" fillId="0" borderId="68" xfId="2" applyNumberFormat="1" applyFont="1" applyBorder="1"/>
    <xf numFmtId="0" fontId="38" fillId="0" borderId="52" xfId="2" applyFont="1" applyBorder="1"/>
    <xf numFmtId="169" fontId="38" fillId="0" borderId="44" xfId="2" applyNumberFormat="1" applyFont="1" applyBorder="1"/>
    <xf numFmtId="0" fontId="40" fillId="0" borderId="44" xfId="2" applyFont="1" applyBorder="1"/>
    <xf numFmtId="0" fontId="38" fillId="0" borderId="44" xfId="2" applyFont="1" applyBorder="1"/>
    <xf numFmtId="2" fontId="38" fillId="0" borderId="44" xfId="2" applyNumberFormat="1" applyFont="1" applyBorder="1"/>
    <xf numFmtId="170" fontId="38" fillId="0" borderId="44" xfId="2" applyNumberFormat="1" applyFont="1" applyBorder="1"/>
    <xf numFmtId="171" fontId="38" fillId="0" borderId="44" xfId="2" applyNumberFormat="1" applyFont="1" applyBorder="1"/>
    <xf numFmtId="172" fontId="38" fillId="0" borderId="54" xfId="2" applyNumberFormat="1" applyFont="1" applyBorder="1"/>
    <xf numFmtId="0" fontId="38" fillId="0" borderId="44" xfId="2" applyFont="1" applyBorder="1" applyAlignment="1">
      <alignment horizontal="center"/>
    </xf>
    <xf numFmtId="49" fontId="38" fillId="0" borderId="44" xfId="2" applyNumberFormat="1" applyFont="1" applyBorder="1"/>
    <xf numFmtId="49" fontId="38" fillId="0" borderId="44" xfId="2" applyNumberFormat="1" applyFont="1" applyBorder="1" applyAlignment="1">
      <alignment horizontal="center"/>
    </xf>
    <xf numFmtId="49" fontId="38" fillId="0" borderId="0" xfId="2" applyNumberFormat="1" applyFont="1"/>
    <xf numFmtId="49" fontId="40" fillId="0" borderId="44" xfId="2" applyNumberFormat="1" applyFont="1" applyBorder="1"/>
    <xf numFmtId="2" fontId="40" fillId="0" borderId="44" xfId="2" applyNumberFormat="1" applyFont="1" applyBorder="1"/>
    <xf numFmtId="0" fontId="38" fillId="0" borderId="63" xfId="2" applyFont="1" applyBorder="1"/>
    <xf numFmtId="169" fontId="38" fillId="0" borderId="65" xfId="2" applyNumberFormat="1" applyFont="1" applyBorder="1"/>
    <xf numFmtId="49" fontId="40" fillId="0" borderId="65" xfId="2" applyNumberFormat="1" applyFont="1" applyBorder="1"/>
    <xf numFmtId="0" fontId="38" fillId="0" borderId="65" xfId="2" applyFont="1" applyBorder="1"/>
    <xf numFmtId="2" fontId="38" fillId="0" borderId="65" xfId="2" applyNumberFormat="1" applyFont="1" applyBorder="1"/>
    <xf numFmtId="2" fontId="40" fillId="0" borderId="65" xfId="2" applyNumberFormat="1" applyFont="1" applyBorder="1"/>
    <xf numFmtId="170" fontId="38" fillId="0" borderId="65" xfId="2" applyNumberFormat="1" applyFont="1" applyBorder="1"/>
    <xf numFmtId="171" fontId="38" fillId="0" borderId="65" xfId="2" applyNumberFormat="1" applyFont="1" applyBorder="1"/>
    <xf numFmtId="172" fontId="38" fillId="0" borderId="69" xfId="2" applyNumberFormat="1" applyFont="1" applyBorder="1"/>
    <xf numFmtId="49" fontId="38" fillId="0" borderId="65" xfId="2" applyNumberFormat="1" applyFont="1" applyBorder="1" applyAlignment="1">
      <alignment horizontal="center"/>
    </xf>
    <xf numFmtId="0" fontId="40" fillId="17" borderId="67" xfId="2" applyFont="1" applyFill="1" applyBorder="1"/>
    <xf numFmtId="169" fontId="40" fillId="17" borderId="0" xfId="2" applyNumberFormat="1" applyFont="1" applyFill="1"/>
    <xf numFmtId="49" fontId="40" fillId="17" borderId="0" xfId="2" applyNumberFormat="1" applyFont="1" applyFill="1"/>
    <xf numFmtId="0" fontId="40" fillId="17" borderId="0" xfId="2" applyFont="1" applyFill="1"/>
    <xf numFmtId="2" fontId="40" fillId="17" borderId="0" xfId="2" applyNumberFormat="1" applyFont="1" applyFill="1"/>
    <xf numFmtId="170" fontId="40" fillId="17" borderId="0" xfId="2" applyNumberFormat="1" applyFont="1" applyFill="1"/>
    <xf numFmtId="171" fontId="40" fillId="17" borderId="0" xfId="2" applyNumberFormat="1" applyFont="1" applyFill="1"/>
    <xf numFmtId="172" fontId="40" fillId="17" borderId="68" xfId="2" applyNumberFormat="1" applyFont="1" applyFill="1" applyBorder="1"/>
    <xf numFmtId="49" fontId="40" fillId="17" borderId="0" xfId="2" applyNumberFormat="1" applyFont="1" applyFill="1" applyAlignment="1">
      <alignment horizontal="center"/>
    </xf>
    <xf numFmtId="0" fontId="40" fillId="0" borderId="0" xfId="2" applyFont="1"/>
    <xf numFmtId="49" fontId="40" fillId="0" borderId="0" xfId="2" applyNumberFormat="1" applyFont="1"/>
    <xf numFmtId="0" fontId="37" fillId="0" borderId="70" xfId="2" applyFont="1" applyBorder="1"/>
    <xf numFmtId="169" fontId="37" fillId="0" borderId="60" xfId="2" applyNumberFormat="1" applyFont="1" applyBorder="1"/>
    <xf numFmtId="49" fontId="37" fillId="0" borderId="60" xfId="2" applyNumberFormat="1" applyFont="1" applyBorder="1"/>
    <xf numFmtId="0" fontId="37" fillId="0" borderId="60" xfId="2" applyFont="1" applyBorder="1"/>
    <xf numFmtId="2" fontId="37" fillId="0" borderId="60" xfId="2" applyNumberFormat="1" applyFont="1" applyBorder="1"/>
    <xf numFmtId="170" fontId="37" fillId="0" borderId="60" xfId="2" applyNumberFormat="1" applyFont="1" applyBorder="1"/>
    <xf numFmtId="171" fontId="37" fillId="0" borderId="60" xfId="2" applyNumberFormat="1" applyFont="1" applyBorder="1"/>
    <xf numFmtId="172" fontId="37" fillId="0" borderId="71" xfId="2" applyNumberFormat="1" applyFont="1" applyBorder="1"/>
    <xf numFmtId="49" fontId="37" fillId="0" borderId="60" xfId="2" applyNumberFormat="1" applyFont="1" applyBorder="1" applyAlignment="1">
      <alignment horizontal="center"/>
    </xf>
    <xf numFmtId="49" fontId="37" fillId="0" borderId="0" xfId="2" applyNumberFormat="1" applyFont="1"/>
    <xf numFmtId="49" fontId="38" fillId="0" borderId="65" xfId="2" applyNumberFormat="1" applyFont="1" applyBorder="1"/>
    <xf numFmtId="0" fontId="40" fillId="17" borderId="72" xfId="2" applyFont="1" applyFill="1" applyBorder="1"/>
    <xf numFmtId="169" fontId="40" fillId="17" borderId="73" xfId="2" applyNumberFormat="1" applyFont="1" applyFill="1" applyBorder="1"/>
    <xf numFmtId="0" fontId="40" fillId="17" borderId="73" xfId="2" applyFont="1" applyFill="1" applyBorder="1"/>
    <xf numFmtId="2" fontId="40" fillId="17" borderId="73" xfId="2" applyNumberFormat="1" applyFont="1" applyFill="1" applyBorder="1"/>
    <xf numFmtId="170" fontId="40" fillId="17" borderId="73" xfId="2" applyNumberFormat="1" applyFont="1" applyFill="1" applyBorder="1"/>
    <xf numFmtId="171" fontId="40" fillId="17" borderId="73" xfId="2" applyNumberFormat="1" applyFont="1" applyFill="1" applyBorder="1"/>
    <xf numFmtId="172" fontId="40" fillId="17" borderId="74" xfId="2" applyNumberFormat="1" applyFont="1" applyFill="1" applyBorder="1"/>
    <xf numFmtId="0" fontId="40" fillId="17" borderId="0" xfId="2" applyFont="1" applyFill="1" applyAlignment="1">
      <alignment horizontal="center"/>
    </xf>
    <xf numFmtId="169" fontId="38" fillId="0" borderId="0" xfId="2" applyNumberFormat="1" applyFont="1"/>
    <xf numFmtId="170" fontId="38" fillId="0" borderId="0" xfId="2" applyNumberFormat="1" applyFont="1"/>
    <xf numFmtId="171" fontId="38" fillId="0" borderId="0" xfId="2" applyNumberFormat="1" applyFont="1"/>
    <xf numFmtId="172" fontId="38" fillId="0" borderId="0" xfId="2" applyNumberFormat="1" applyFont="1"/>
    <xf numFmtId="0" fontId="38" fillId="0" borderId="0" xfId="2" applyFont="1" applyAlignment="1">
      <alignment horizontal="center"/>
    </xf>
    <xf numFmtId="173" fontId="38" fillId="0" borderId="0" xfId="2" applyNumberFormat="1" applyFont="1"/>
    <xf numFmtId="0" fontId="41" fillId="0" borderId="0" xfId="2" applyFont="1"/>
    <xf numFmtId="0" fontId="42" fillId="0" borderId="0" xfId="2" quotePrefix="1" applyFont="1"/>
    <xf numFmtId="0" fontId="42" fillId="0" borderId="0" xfId="2" applyFont="1"/>
    <xf numFmtId="170" fontId="40" fillId="0" borderId="0" xfId="2" applyNumberFormat="1" applyFont="1"/>
    <xf numFmtId="174" fontId="40" fillId="0" borderId="0" xfId="2" applyNumberFormat="1" applyFont="1"/>
    <xf numFmtId="173" fontId="39" fillId="17" borderId="47" xfId="2" applyNumberFormat="1" applyFont="1" applyFill="1" applyBorder="1" applyAlignment="1">
      <alignment vertical="center"/>
    </xf>
    <xf numFmtId="170" fontId="39" fillId="17" borderId="47" xfId="2" applyNumberFormat="1" applyFont="1" applyFill="1" applyBorder="1" applyAlignment="1">
      <alignment vertical="center"/>
    </xf>
    <xf numFmtId="174" fontId="39" fillId="17" borderId="48" xfId="2" applyNumberFormat="1" applyFont="1" applyFill="1" applyBorder="1" applyAlignment="1">
      <alignment vertical="center"/>
    </xf>
    <xf numFmtId="0" fontId="41" fillId="0" borderId="49" xfId="2" applyFont="1" applyBorder="1" applyAlignment="1">
      <alignment horizontal="right"/>
    </xf>
    <xf numFmtId="0" fontId="41" fillId="0" borderId="75" xfId="2" applyFont="1" applyBorder="1" applyAlignment="1">
      <alignment horizontal="right"/>
    </xf>
    <xf numFmtId="173" fontId="41" fillId="0" borderId="50" xfId="2" applyNumberFormat="1" applyFont="1" applyBorder="1" applyAlignment="1">
      <alignment horizontal="right"/>
    </xf>
    <xf numFmtId="170" fontId="41" fillId="0" borderId="50" xfId="2" applyNumberFormat="1" applyFont="1" applyBorder="1" applyAlignment="1">
      <alignment horizontal="right"/>
    </xf>
    <xf numFmtId="174" fontId="41" fillId="0" borderId="51" xfId="2" applyNumberFormat="1" applyFont="1" applyBorder="1" applyAlignment="1">
      <alignment horizontal="right"/>
    </xf>
    <xf numFmtId="0" fontId="41" fillId="0" borderId="52" xfId="2" applyFont="1" applyBorder="1"/>
    <xf numFmtId="49" fontId="41" fillId="0" borderId="53" xfId="2" applyNumberFormat="1" applyFont="1" applyBorder="1"/>
    <xf numFmtId="173" fontId="41" fillId="0" borderId="44" xfId="2" applyNumberFormat="1" applyFont="1" applyBorder="1"/>
    <xf numFmtId="170" fontId="41" fillId="0" borderId="44" xfId="2" applyNumberFormat="1" applyFont="1" applyBorder="1"/>
    <xf numFmtId="174" fontId="41" fillId="0" borderId="54" xfId="2" applyNumberFormat="1" applyFont="1" applyBorder="1"/>
    <xf numFmtId="0" fontId="41" fillId="17" borderId="46" xfId="2" applyFont="1" applyFill="1" applyBorder="1"/>
    <xf numFmtId="49" fontId="41" fillId="17" borderId="47" xfId="2" applyNumberFormat="1" applyFont="1" applyFill="1" applyBorder="1"/>
    <xf numFmtId="173" fontId="41" fillId="17" borderId="47" xfId="2" applyNumberFormat="1" applyFont="1" applyFill="1" applyBorder="1"/>
    <xf numFmtId="170" fontId="41" fillId="17" borderId="47" xfId="2" applyNumberFormat="1" applyFont="1" applyFill="1" applyBorder="1"/>
    <xf numFmtId="174" fontId="41" fillId="17" borderId="48" xfId="2" applyNumberFormat="1" applyFont="1" applyFill="1" applyBorder="1"/>
    <xf numFmtId="0" fontId="41" fillId="0" borderId="59" xfId="2" applyFont="1" applyBorder="1"/>
    <xf numFmtId="49" fontId="41" fillId="0" borderId="60" xfId="2" applyNumberFormat="1" applyFont="1" applyBorder="1"/>
    <xf numFmtId="173" fontId="41" fillId="0" borderId="61" xfId="2" applyNumberFormat="1" applyFont="1" applyBorder="1"/>
    <xf numFmtId="170" fontId="41" fillId="0" borderId="61" xfId="2" applyNumberFormat="1" applyFont="1" applyBorder="1"/>
    <xf numFmtId="174" fontId="41" fillId="0" borderId="62" xfId="2" applyNumberFormat="1" applyFont="1" applyBorder="1"/>
    <xf numFmtId="0" fontId="42" fillId="0" borderId="76" xfId="2" applyFont="1" applyBorder="1"/>
    <xf numFmtId="49" fontId="42" fillId="0" borderId="75" xfId="2" applyNumberFormat="1" applyFont="1" applyBorder="1"/>
    <xf numFmtId="173" fontId="42" fillId="0" borderId="75" xfId="2" applyNumberFormat="1" applyFont="1" applyBorder="1"/>
    <xf numFmtId="170" fontId="42" fillId="0" borderId="75" xfId="2" applyNumberFormat="1" applyFont="1" applyBorder="1"/>
    <xf numFmtId="174" fontId="42" fillId="0" borderId="66" xfId="2" applyNumberFormat="1" applyFont="1" applyBorder="1"/>
    <xf numFmtId="0" fontId="43" fillId="0" borderId="0" xfId="2" applyFont="1"/>
    <xf numFmtId="173" fontId="43" fillId="0" borderId="0" xfId="2" applyNumberFormat="1" applyFont="1"/>
    <xf numFmtId="170" fontId="43" fillId="0" borderId="0" xfId="2" applyNumberFormat="1" applyFont="1"/>
    <xf numFmtId="174" fontId="43" fillId="0" borderId="0" xfId="2" applyNumberFormat="1" applyFont="1"/>
    <xf numFmtId="0" fontId="44" fillId="0" borderId="0" xfId="2" quotePrefix="1" applyFont="1"/>
    <xf numFmtId="0" fontId="44" fillId="0" borderId="0" xfId="2" applyFont="1"/>
    <xf numFmtId="0" fontId="45" fillId="0" borderId="0" xfId="2" applyFont="1"/>
    <xf numFmtId="0" fontId="46" fillId="0" borderId="0" xfId="2" quotePrefix="1" applyFont="1"/>
    <xf numFmtId="0" fontId="46" fillId="0" borderId="0" xfId="2" applyFont="1"/>
    <xf numFmtId="170" fontId="44" fillId="0" borderId="0" xfId="2" applyNumberFormat="1" applyFont="1"/>
    <xf numFmtId="174" fontId="44" fillId="0" borderId="0" xfId="2" applyNumberFormat="1" applyFont="1"/>
    <xf numFmtId="0" fontId="47" fillId="18" borderId="46" xfId="2" applyFont="1" applyFill="1" applyBorder="1" applyAlignment="1">
      <alignment vertical="center"/>
    </xf>
    <xf numFmtId="0" fontId="47" fillId="18" borderId="47" xfId="2" applyFont="1" applyFill="1" applyBorder="1" applyAlignment="1">
      <alignment vertical="center"/>
    </xf>
    <xf numFmtId="173" fontId="47" fillId="18" borderId="47" xfId="2" applyNumberFormat="1" applyFont="1" applyFill="1" applyBorder="1" applyAlignment="1">
      <alignment vertical="center"/>
    </xf>
    <xf numFmtId="170" fontId="47" fillId="18" borderId="47" xfId="2" applyNumberFormat="1" applyFont="1" applyFill="1" applyBorder="1" applyAlignment="1">
      <alignment vertical="center"/>
    </xf>
    <xf numFmtId="174" fontId="47" fillId="18" borderId="48" xfId="2" applyNumberFormat="1" applyFont="1" applyFill="1" applyBorder="1" applyAlignment="1">
      <alignment vertical="center"/>
    </xf>
    <xf numFmtId="0" fontId="45" fillId="0" borderId="49" xfId="2" applyFont="1" applyBorder="1" applyAlignment="1">
      <alignment horizontal="right"/>
    </xf>
    <xf numFmtId="0" fontId="45" fillId="0" borderId="75" xfId="2" applyFont="1" applyBorder="1" applyAlignment="1">
      <alignment horizontal="right"/>
    </xf>
    <xf numFmtId="173" fontId="45" fillId="0" borderId="50" xfId="2" applyNumberFormat="1" applyFont="1" applyBorder="1" applyAlignment="1">
      <alignment horizontal="right"/>
    </xf>
    <xf numFmtId="170" fontId="45" fillId="0" borderId="50" xfId="2" applyNumberFormat="1" applyFont="1" applyBorder="1" applyAlignment="1">
      <alignment horizontal="right"/>
    </xf>
    <xf numFmtId="174" fontId="45" fillId="0" borderId="51" xfId="2" applyNumberFormat="1" applyFont="1" applyBorder="1" applyAlignment="1">
      <alignment horizontal="right"/>
    </xf>
    <xf numFmtId="0" fontId="45" fillId="0" borderId="52" xfId="2" applyFont="1" applyBorder="1"/>
    <xf numFmtId="49" fontId="45" fillId="0" borderId="53" xfId="2" applyNumberFormat="1" applyFont="1" applyBorder="1"/>
    <xf numFmtId="173" fontId="45" fillId="0" borderId="44" xfId="2" applyNumberFormat="1" applyFont="1" applyBorder="1"/>
    <xf numFmtId="170" fontId="45" fillId="0" borderId="44" xfId="2" applyNumberFormat="1" applyFont="1" applyBorder="1"/>
    <xf numFmtId="174" fontId="45" fillId="0" borderId="54" xfId="2" applyNumberFormat="1" applyFont="1" applyBorder="1"/>
    <xf numFmtId="0" fontId="45" fillId="18" borderId="46" xfId="2" applyFont="1" applyFill="1" applyBorder="1"/>
    <xf numFmtId="49" fontId="45" fillId="18" borderId="47" xfId="2" applyNumberFormat="1" applyFont="1" applyFill="1" applyBorder="1"/>
    <xf numFmtId="173" fontId="45" fillId="18" borderId="47" xfId="2" applyNumberFormat="1" applyFont="1" applyFill="1" applyBorder="1"/>
    <xf numFmtId="170" fontId="45" fillId="18" borderId="47" xfId="2" applyNumberFormat="1" applyFont="1" applyFill="1" applyBorder="1"/>
    <xf numFmtId="174" fontId="45" fillId="18" borderId="48" xfId="2" applyNumberFormat="1" applyFont="1" applyFill="1" applyBorder="1"/>
    <xf numFmtId="0" fontId="45" fillId="0" borderId="59" xfId="2" applyFont="1" applyBorder="1"/>
    <xf numFmtId="49" fontId="45" fillId="0" borderId="60" xfId="2" applyNumberFormat="1" applyFont="1" applyBorder="1"/>
    <xf numFmtId="173" fontId="45" fillId="0" borderId="61" xfId="2" applyNumberFormat="1" applyFont="1" applyBorder="1"/>
    <xf numFmtId="170" fontId="45" fillId="0" borderId="61" xfId="2" applyNumberFormat="1" applyFont="1" applyBorder="1"/>
    <xf numFmtId="174" fontId="45" fillId="0" borderId="62" xfId="2" applyNumberFormat="1" applyFont="1" applyBorder="1"/>
    <xf numFmtId="0" fontId="46" fillId="0" borderId="76" xfId="2" applyFont="1" applyBorder="1"/>
    <xf numFmtId="49" fontId="46" fillId="0" borderId="75" xfId="2" applyNumberFormat="1" applyFont="1" applyBorder="1"/>
    <xf numFmtId="173" fontId="46" fillId="0" borderId="75" xfId="2" applyNumberFormat="1" applyFont="1" applyBorder="1"/>
    <xf numFmtId="170" fontId="46" fillId="0" borderId="75" xfId="2" applyNumberFormat="1" applyFont="1" applyBorder="1"/>
    <xf numFmtId="174" fontId="46" fillId="0" borderId="66" xfId="2" applyNumberFormat="1" applyFont="1" applyBorder="1"/>
    <xf numFmtId="0" fontId="2" fillId="0" borderId="0" xfId="0" applyFont="1" applyFill="1" applyBorder="1" applyAlignment="1" applyProtection="1"/>
    <xf numFmtId="172" fontId="38" fillId="0" borderId="50" xfId="2" applyNumberFormat="1" applyFont="1" applyBorder="1"/>
    <xf numFmtId="0" fontId="37" fillId="0" borderId="46" xfId="2" applyFont="1" applyBorder="1"/>
    <xf numFmtId="169" fontId="37" fillId="0" borderId="47" xfId="2" applyNumberFormat="1" applyFont="1" applyBorder="1"/>
    <xf numFmtId="0" fontId="37" fillId="0" borderId="47" xfId="2" applyFont="1" applyBorder="1"/>
    <xf numFmtId="2" fontId="37" fillId="0" borderId="47" xfId="2" applyNumberFormat="1" applyFont="1" applyBorder="1"/>
    <xf numFmtId="170" fontId="37" fillId="0" borderId="47" xfId="2" applyNumberFormat="1" applyFont="1" applyBorder="1"/>
    <xf numFmtId="171" fontId="37" fillId="0" borderId="47" xfId="2" applyNumberFormat="1" applyFont="1" applyBorder="1"/>
    <xf numFmtId="172" fontId="37" fillId="0" borderId="48" xfId="2" applyNumberFormat="1" applyFont="1" applyBorder="1"/>
    <xf numFmtId="1" fontId="2" fillId="0" borderId="0" xfId="0" applyNumberFormat="1" applyFont="1" applyFill="1" applyBorder="1" applyAlignment="1" applyProtection="1"/>
    <xf numFmtId="0" fontId="48" fillId="6" borderId="0" xfId="0" applyFont="1" applyFill="1" applyBorder="1" applyAlignment="1" applyProtection="1"/>
    <xf numFmtId="49" fontId="48" fillId="6" borderId="0" xfId="0" applyNumberFormat="1" applyFont="1" applyFill="1" applyBorder="1" applyAlignment="1" applyProtection="1">
      <alignment wrapText="1"/>
    </xf>
    <xf numFmtId="3" fontId="48" fillId="6" borderId="0" xfId="0" applyNumberFormat="1" applyFont="1" applyFill="1" applyBorder="1" applyAlignment="1" applyProtection="1"/>
    <xf numFmtId="0" fontId="49" fillId="0" borderId="0" xfId="0" applyFont="1" applyFill="1" applyBorder="1" applyProtection="1">
      <protection locked="0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/>
    <xf numFmtId="0" fontId="50" fillId="0" borderId="0" xfId="0" applyFont="1" applyFill="1" applyBorder="1"/>
    <xf numFmtId="0" fontId="50" fillId="0" borderId="0" xfId="0" applyFont="1" applyFill="1" applyBorder="1" applyProtection="1">
      <protection locked="0"/>
    </xf>
    <xf numFmtId="0" fontId="50" fillId="0" borderId="0" xfId="0" applyFont="1" applyFill="1" applyBorder="1" applyAlignment="1" applyProtection="1">
      <alignment horizontal="left"/>
      <protection locked="0"/>
    </xf>
    <xf numFmtId="0" fontId="51" fillId="0" borderId="0" xfId="0" applyFont="1" applyFill="1" applyBorder="1" applyProtection="1">
      <protection locked="0"/>
    </xf>
    <xf numFmtId="0" fontId="50" fillId="0" borderId="0" xfId="0" applyFont="1" applyFill="1" applyBorder="1" applyAlignment="1" applyProtection="1">
      <alignment vertical="center"/>
      <protection locked="0"/>
    </xf>
    <xf numFmtId="0" fontId="52" fillId="0" borderId="77" xfId="0" applyFont="1" applyFill="1" applyBorder="1" applyProtection="1">
      <protection locked="0"/>
    </xf>
    <xf numFmtId="0" fontId="52" fillId="0" borderId="78" xfId="0" applyFont="1" applyFill="1" applyBorder="1" applyProtection="1">
      <protection locked="0"/>
    </xf>
    <xf numFmtId="0" fontId="52" fillId="0" borderId="47" xfId="0" applyFont="1" applyFill="1" applyBorder="1" applyAlignment="1" applyProtection="1">
      <alignment wrapText="1"/>
      <protection locked="0"/>
    </xf>
    <xf numFmtId="0" fontId="53" fillId="0" borderId="48" xfId="0" applyFont="1" applyFill="1" applyBorder="1" applyProtection="1">
      <protection locked="0"/>
    </xf>
    <xf numFmtId="0" fontId="52" fillId="0" borderId="81" xfId="0" applyFont="1" applyFill="1" applyBorder="1" applyProtection="1">
      <protection locked="0"/>
    </xf>
    <xf numFmtId="0" fontId="52" fillId="0" borderId="82" xfId="0" applyFont="1" applyFill="1" applyBorder="1" applyProtection="1">
      <protection locked="0"/>
    </xf>
    <xf numFmtId="0" fontId="52" fillId="0" borderId="73" xfId="0" applyFont="1" applyFill="1" applyBorder="1" applyProtection="1">
      <protection locked="0"/>
    </xf>
    <xf numFmtId="0" fontId="52" fillId="0" borderId="82" xfId="0" applyFont="1" applyFill="1" applyBorder="1" applyAlignment="1" applyProtection="1">
      <alignment horizontal="center"/>
      <protection locked="0"/>
    </xf>
    <xf numFmtId="0" fontId="52" fillId="0" borderId="83" xfId="0" applyFont="1" applyFill="1" applyBorder="1" applyAlignment="1" applyProtection="1">
      <alignment horizontal="center"/>
      <protection locked="0"/>
    </xf>
    <xf numFmtId="0" fontId="54" fillId="0" borderId="84" xfId="0" applyFont="1" applyFill="1" applyBorder="1" applyAlignment="1" applyProtection="1">
      <alignment horizontal="center"/>
      <protection locked="0"/>
    </xf>
    <xf numFmtId="0" fontId="50" fillId="0" borderId="85" xfId="0" applyFont="1" applyFill="1" applyBorder="1" applyProtection="1">
      <protection locked="0"/>
    </xf>
    <xf numFmtId="0" fontId="50" fillId="0" borderId="28" xfId="0" applyFont="1" applyFill="1" applyBorder="1" applyProtection="1">
      <protection locked="0"/>
    </xf>
    <xf numFmtId="0" fontId="50" fillId="0" borderId="86" xfId="0" applyFont="1" applyFill="1" applyBorder="1" applyAlignment="1" applyProtection="1">
      <alignment horizontal="left"/>
      <protection locked="0"/>
    </xf>
    <xf numFmtId="0" fontId="50" fillId="0" borderId="1" xfId="0" applyFont="1" applyFill="1" applyBorder="1" applyProtection="1">
      <protection locked="0"/>
    </xf>
    <xf numFmtId="0" fontId="50" fillId="0" borderId="28" xfId="0" applyFont="1" applyFill="1" applyBorder="1" applyAlignment="1" applyProtection="1">
      <alignment horizontal="right"/>
      <protection locked="0"/>
    </xf>
    <xf numFmtId="0" fontId="50" fillId="0" borderId="87" xfId="0" applyFont="1" applyFill="1" applyBorder="1" applyAlignment="1" applyProtection="1">
      <alignment horizontal="right"/>
      <protection locked="0"/>
    </xf>
    <xf numFmtId="0" fontId="53" fillId="0" borderId="88" xfId="0" applyFont="1" applyFill="1" applyBorder="1" applyProtection="1">
      <protection locked="0"/>
    </xf>
    <xf numFmtId="0" fontId="55" fillId="0" borderId="89" xfId="0" applyFont="1" applyFill="1" applyBorder="1" applyProtection="1">
      <protection locked="0"/>
    </xf>
    <xf numFmtId="0" fontId="51" fillId="0" borderId="90" xfId="0" applyFont="1" applyFill="1" applyBorder="1" applyAlignment="1" applyProtection="1">
      <alignment horizontal="center"/>
      <protection locked="0"/>
    </xf>
    <xf numFmtId="0" fontId="51" fillId="0" borderId="90" xfId="0" applyFont="1" applyFill="1" applyBorder="1" applyAlignment="1" applyProtection="1">
      <alignment horizontal="left" wrapText="1"/>
      <protection locked="0"/>
    </xf>
    <xf numFmtId="0" fontId="51" fillId="0" borderId="91" xfId="0" applyFont="1" applyFill="1" applyBorder="1" applyProtection="1">
      <protection locked="0"/>
    </xf>
    <xf numFmtId="0" fontId="50" fillId="0" borderId="92" xfId="0" applyFont="1" applyFill="1" applyBorder="1" applyAlignment="1" applyProtection="1">
      <alignment horizontal="right"/>
      <protection locked="0"/>
    </xf>
    <xf numFmtId="0" fontId="50" fillId="0" borderId="93" xfId="0" applyFont="1" applyFill="1" applyBorder="1" applyAlignment="1" applyProtection="1">
      <alignment horizontal="right"/>
      <protection locked="0"/>
    </xf>
    <xf numFmtId="0" fontId="50" fillId="0" borderId="94" xfId="0" applyFont="1" applyFill="1" applyBorder="1" applyAlignment="1" applyProtection="1">
      <alignment horizontal="right"/>
      <protection locked="0"/>
    </xf>
    <xf numFmtId="0" fontId="51" fillId="0" borderId="95" xfId="0" applyFont="1" applyFill="1" applyBorder="1" applyAlignment="1" applyProtection="1">
      <alignment horizontal="left"/>
      <protection locked="0"/>
    </xf>
    <xf numFmtId="0" fontId="51" fillId="0" borderId="94" xfId="0" applyFont="1" applyFill="1" applyBorder="1" applyAlignment="1" applyProtection="1">
      <alignment horizontal="center"/>
      <protection locked="0"/>
    </xf>
    <xf numFmtId="0" fontId="49" fillId="0" borderId="95" xfId="0" applyFont="1" applyFill="1" applyBorder="1" applyAlignment="1" applyProtection="1">
      <alignment horizontal="left"/>
      <protection locked="0"/>
    </xf>
    <xf numFmtId="0" fontId="50" fillId="0" borderId="91" xfId="0" applyFont="1" applyFill="1" applyBorder="1" applyAlignment="1" applyProtection="1">
      <alignment horizontal="center"/>
      <protection locked="0"/>
    </xf>
    <xf numFmtId="0" fontId="49" fillId="0" borderId="90" xfId="0" applyFont="1" applyFill="1" applyBorder="1" applyAlignment="1" applyProtection="1">
      <alignment horizontal="left"/>
      <protection locked="0"/>
    </xf>
    <xf numFmtId="0" fontId="50" fillId="0" borderId="90" xfId="0" applyFont="1" applyFill="1" applyBorder="1" applyProtection="1">
      <protection locked="0"/>
    </xf>
    <xf numFmtId="0" fontId="49" fillId="0" borderId="90" xfId="0" applyFont="1" applyFill="1" applyBorder="1" applyAlignment="1" applyProtection="1">
      <alignment horizontal="left" wrapText="1"/>
      <protection locked="0"/>
    </xf>
    <xf numFmtId="0" fontId="50" fillId="0" borderId="95" xfId="0" applyFont="1" applyFill="1" applyBorder="1" applyAlignment="1" applyProtection="1">
      <alignment horizontal="left"/>
      <protection locked="0"/>
    </xf>
    <xf numFmtId="0" fontId="49" fillId="0" borderId="91" xfId="0" applyFont="1" applyFill="1" applyBorder="1" applyAlignment="1" applyProtection="1">
      <alignment horizontal="center"/>
      <protection locked="0"/>
    </xf>
    <xf numFmtId="0" fontId="49" fillId="0" borderId="91" xfId="0" applyFont="1" applyFill="1" applyBorder="1" applyAlignment="1" applyProtection="1">
      <alignment horizontal="left" wrapText="1"/>
      <protection locked="0"/>
    </xf>
    <xf numFmtId="0" fontId="49" fillId="0" borderId="91" xfId="0" applyFont="1" applyFill="1" applyBorder="1" applyAlignment="1" applyProtection="1">
      <alignment horizontal="left"/>
      <protection locked="0"/>
    </xf>
    <xf numFmtId="0" fontId="49" fillId="0" borderId="91" xfId="3" applyFont="1" applyBorder="1" applyProtection="1">
      <protection locked="0"/>
    </xf>
    <xf numFmtId="0" fontId="49" fillId="0" borderId="91" xfId="0" applyFont="1" applyFill="1" applyBorder="1" applyAlignment="1" applyProtection="1">
      <alignment horizontal="right"/>
      <protection locked="0"/>
    </xf>
    <xf numFmtId="0" fontId="55" fillId="0" borderId="96" xfId="0" applyFont="1" applyFill="1" applyBorder="1" applyAlignment="1" applyProtection="1">
      <alignment horizontal="left"/>
      <protection locked="0"/>
    </xf>
    <xf numFmtId="0" fontId="50" fillId="0" borderId="94" xfId="0" applyFont="1" applyFill="1" applyBorder="1" applyAlignment="1" applyProtection="1">
      <alignment horizontal="center"/>
      <protection locked="0"/>
    </xf>
    <xf numFmtId="0" fontId="50" fillId="0" borderId="91" xfId="0" applyFont="1" applyFill="1" applyBorder="1" applyAlignment="1" applyProtection="1">
      <alignment horizontal="left" wrapText="1"/>
      <protection locked="0"/>
    </xf>
    <xf numFmtId="0" fontId="50" fillId="0" borderId="92" xfId="0" applyFont="1" applyFill="1" applyBorder="1" applyAlignment="1" applyProtection="1">
      <alignment horizontal="center"/>
      <protection locked="0"/>
    </xf>
    <xf numFmtId="0" fontId="50" fillId="0" borderId="96" xfId="0" applyFont="1" applyFill="1" applyBorder="1" applyAlignment="1" applyProtection="1">
      <alignment horizontal="left"/>
      <protection locked="0"/>
    </xf>
    <xf numFmtId="0" fontId="53" fillId="0" borderId="88" xfId="0" applyFont="1" applyFill="1" applyBorder="1" applyAlignment="1" applyProtection="1">
      <alignment wrapText="1"/>
      <protection locked="0"/>
    </xf>
    <xf numFmtId="0" fontId="49" fillId="0" borderId="94" xfId="0" applyFont="1" applyFill="1" applyBorder="1" applyAlignment="1" applyProtection="1">
      <alignment horizontal="center"/>
      <protection locked="0"/>
    </xf>
    <xf numFmtId="0" fontId="49" fillId="0" borderId="91" xfId="4" applyBorder="1" applyProtection="1">
      <protection locked="0"/>
    </xf>
    <xf numFmtId="0" fontId="49" fillId="0" borderId="91" xfId="0" applyFont="1" applyFill="1" applyBorder="1" applyProtection="1">
      <protection locked="0"/>
    </xf>
    <xf numFmtId="0" fontId="49" fillId="0" borderId="90" xfId="0" applyFont="1" applyFill="1" applyBorder="1" applyProtection="1">
      <protection locked="0"/>
    </xf>
    <xf numFmtId="0" fontId="49" fillId="0" borderId="91" xfId="1" applyFont="1" applyBorder="1" applyProtection="1">
      <protection locked="0"/>
    </xf>
    <xf numFmtId="0" fontId="50" fillId="0" borderId="92" xfId="0" applyFont="1" applyFill="1" applyBorder="1" applyAlignment="1" applyProtection="1">
      <alignment horizontal="left"/>
      <protection locked="0"/>
    </xf>
    <xf numFmtId="0" fontId="50" fillId="0" borderId="91" xfId="0" applyFont="1" applyFill="1" applyBorder="1" applyProtection="1">
      <protection locked="0"/>
    </xf>
    <xf numFmtId="0" fontId="50" fillId="0" borderId="97" xfId="0" applyFont="1" applyFill="1" applyBorder="1" applyAlignment="1" applyProtection="1">
      <alignment horizontal="left"/>
      <protection locked="0"/>
    </xf>
    <xf numFmtId="0" fontId="49" fillId="0" borderId="91" xfId="0" applyFont="1" applyFill="1" applyBorder="1" applyAlignment="1">
      <alignment horizontal="center"/>
    </xf>
    <xf numFmtId="49" fontId="50" fillId="0" borderId="90" xfId="0" applyNumberFormat="1" applyFont="1" applyFill="1" applyBorder="1" applyAlignment="1">
      <alignment horizontal="left" wrapText="1"/>
    </xf>
    <xf numFmtId="0" fontId="50" fillId="0" borderId="91" xfId="0" applyFont="1" applyFill="1" applyBorder="1" applyAlignment="1">
      <alignment horizontal="left"/>
    </xf>
    <xf numFmtId="0" fontId="50" fillId="0" borderId="92" xfId="0" applyFont="1" applyFill="1" applyBorder="1" applyAlignment="1">
      <alignment horizontal="right"/>
    </xf>
    <xf numFmtId="0" fontId="50" fillId="0" borderId="90" xfId="0" applyFont="1" applyFill="1" applyBorder="1" applyAlignment="1" applyProtection="1">
      <alignment horizontal="left" wrapText="1"/>
      <protection locked="0"/>
    </xf>
    <xf numFmtId="0" fontId="49" fillId="0" borderId="90" xfId="5" applyBorder="1" applyAlignment="1" applyProtection="1">
      <alignment horizontal="left"/>
      <protection locked="0"/>
    </xf>
    <xf numFmtId="0" fontId="49" fillId="0" borderId="91" xfId="5" applyBorder="1" applyAlignment="1" applyProtection="1">
      <alignment horizontal="left" wrapText="1"/>
      <protection locked="0"/>
    </xf>
    <xf numFmtId="0" fontId="49" fillId="0" borderId="90" xfId="5" applyBorder="1" applyProtection="1">
      <protection locked="0"/>
    </xf>
    <xf numFmtId="0" fontId="49" fillId="0" borderId="93" xfId="0" applyFont="1" applyFill="1" applyBorder="1" applyAlignment="1" applyProtection="1">
      <alignment horizontal="center"/>
      <protection locked="0"/>
    </xf>
    <xf numFmtId="0" fontId="49" fillId="0" borderId="90" xfId="0" applyFont="1" applyFill="1" applyBorder="1" applyAlignment="1">
      <alignment wrapText="1"/>
    </xf>
    <xf numFmtId="0" fontId="49" fillId="0" borderId="90" xfId="5" applyBorder="1" applyAlignment="1" applyProtection="1">
      <alignment horizontal="left" wrapText="1"/>
      <protection locked="0"/>
    </xf>
    <xf numFmtId="0" fontId="49" fillId="0" borderId="98" xfId="5" applyBorder="1" applyProtection="1">
      <protection locked="0"/>
    </xf>
    <xf numFmtId="0" fontId="50" fillId="0" borderId="99" xfId="5" applyFont="1" applyBorder="1" applyAlignment="1" applyProtection="1">
      <alignment horizontal="right"/>
      <protection locked="0"/>
    </xf>
    <xf numFmtId="0" fontId="25" fillId="0" borderId="95" xfId="0" applyFont="1" applyFill="1" applyBorder="1" applyProtection="1">
      <protection locked="0"/>
    </xf>
    <xf numFmtId="0" fontId="20" fillId="0" borderId="91" xfId="0" applyFont="1" applyFill="1" applyBorder="1" applyProtection="1">
      <protection locked="0"/>
    </xf>
    <xf numFmtId="0" fontId="49" fillId="0" borderId="95" xfId="0" applyFont="1" applyFill="1" applyBorder="1" applyAlignment="1" applyProtection="1">
      <alignment wrapText="1"/>
      <protection locked="0"/>
    </xf>
    <xf numFmtId="0" fontId="49" fillId="0" borderId="91" xfId="0" applyFont="1" applyFill="1" applyBorder="1" applyAlignment="1" applyProtection="1">
      <alignment horizontal="center" wrapText="1"/>
      <protection locked="0"/>
    </xf>
    <xf numFmtId="0" fontId="49" fillId="0" borderId="91" xfId="3" applyFont="1" applyBorder="1" applyAlignment="1" applyProtection="1">
      <alignment wrapText="1"/>
      <protection locked="0"/>
    </xf>
    <xf numFmtId="0" fontId="49" fillId="0" borderId="91" xfId="0" applyFont="1" applyFill="1" applyBorder="1" applyAlignment="1" applyProtection="1">
      <alignment horizontal="right" wrapText="1"/>
      <protection locked="0"/>
    </xf>
    <xf numFmtId="0" fontId="49" fillId="0" borderId="100" xfId="0" applyFont="1" applyFill="1" applyBorder="1" applyAlignment="1" applyProtection="1">
      <alignment horizontal="center"/>
      <protection locked="0"/>
    </xf>
    <xf numFmtId="0" fontId="49" fillId="0" borderId="95" xfId="1" applyFont="1" applyBorder="1" applyProtection="1">
      <protection locked="0"/>
    </xf>
    <xf numFmtId="0" fontId="49" fillId="0" borderId="99" xfId="0" applyFont="1" applyFill="1" applyBorder="1" applyProtection="1">
      <protection locked="0"/>
    </xf>
    <xf numFmtId="0" fontId="51" fillId="0" borderId="95" xfId="1" applyFont="1" applyBorder="1" applyProtection="1">
      <protection locked="0"/>
    </xf>
    <xf numFmtId="0" fontId="49" fillId="0" borderId="98" xfId="0" applyFont="1" applyFill="1" applyBorder="1" applyProtection="1">
      <protection locked="0"/>
    </xf>
    <xf numFmtId="0" fontId="50" fillId="0" borderId="101" xfId="0" applyFont="1" applyFill="1" applyBorder="1" applyAlignment="1" applyProtection="1">
      <alignment horizontal="left" wrapText="1"/>
      <protection locked="0"/>
    </xf>
    <xf numFmtId="0" fontId="49" fillId="0" borderId="101" xfId="0" applyFont="1" applyFill="1" applyBorder="1" applyProtection="1">
      <protection locked="0"/>
    </xf>
    <xf numFmtId="0" fontId="49" fillId="0" borderId="102" xfId="5" applyBorder="1" applyProtection="1">
      <protection locked="0"/>
    </xf>
    <xf numFmtId="0" fontId="49" fillId="0" borderId="37" xfId="5" applyBorder="1" applyAlignment="1" applyProtection="1">
      <alignment horizontal="right"/>
      <protection locked="0"/>
    </xf>
    <xf numFmtId="0" fontId="50" fillId="0" borderId="90" xfId="0" applyFont="1" applyFill="1" applyBorder="1" applyAlignment="1" applyProtection="1">
      <alignment wrapText="1"/>
      <protection locked="0"/>
    </xf>
    <xf numFmtId="0" fontId="49" fillId="0" borderId="103" xfId="1" applyFont="1" applyBorder="1" applyProtection="1"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0" fontId="50" fillId="0" borderId="87" xfId="0" applyFont="1" applyFill="1" applyBorder="1" applyAlignment="1" applyProtection="1">
      <alignment wrapText="1"/>
      <protection locked="0"/>
    </xf>
    <xf numFmtId="0" fontId="50" fillId="0" borderId="87" xfId="0" applyFont="1" applyFill="1" applyBorder="1" applyProtection="1">
      <protection locked="0"/>
    </xf>
    <xf numFmtId="0" fontId="50" fillId="0" borderId="104" xfId="0" applyFont="1" applyFill="1" applyBorder="1" applyProtection="1">
      <protection locked="0"/>
    </xf>
    <xf numFmtId="0" fontId="54" fillId="0" borderId="68" xfId="0" applyFont="1" applyFill="1" applyBorder="1" applyAlignment="1" applyProtection="1">
      <alignment horizontal="left" wrapText="1"/>
      <protection locked="0"/>
    </xf>
    <xf numFmtId="0" fontId="49" fillId="0" borderId="104" xfId="0" applyFont="1" applyFill="1" applyBorder="1" applyAlignment="1" applyProtection="1">
      <alignment horizontal="center"/>
      <protection locked="0"/>
    </xf>
    <xf numFmtId="0" fontId="50" fillId="0" borderId="104" xfId="0" applyFont="1" applyFill="1" applyBorder="1" applyAlignment="1" applyProtection="1">
      <alignment horizontal="left" wrapText="1"/>
      <protection locked="0"/>
    </xf>
    <xf numFmtId="0" fontId="49" fillId="0" borderId="87" xfId="0" applyFont="1" applyFill="1" applyBorder="1" applyAlignment="1" applyProtection="1">
      <alignment horizontal="left"/>
      <protection locked="0"/>
    </xf>
    <xf numFmtId="0" fontId="49" fillId="0" borderId="104" xfId="0" applyFont="1" applyFill="1" applyBorder="1" applyProtection="1">
      <protection locked="0"/>
    </xf>
    <xf numFmtId="0" fontId="50" fillId="0" borderId="46" xfId="0" applyFont="1" applyFill="1" applyBorder="1" applyProtection="1">
      <protection locked="0"/>
    </xf>
    <xf numFmtId="0" fontId="50" fillId="0" borderId="47" xfId="0" applyFont="1" applyFill="1" applyBorder="1" applyProtection="1">
      <protection locked="0"/>
    </xf>
    <xf numFmtId="0" fontId="50" fillId="0" borderId="47" xfId="0" applyFont="1" applyFill="1" applyBorder="1" applyAlignment="1" applyProtection="1">
      <alignment horizontal="left"/>
      <protection locked="0"/>
    </xf>
    <xf numFmtId="0" fontId="50" fillId="0" borderId="48" xfId="0" applyFont="1" applyFill="1" applyBorder="1" applyProtection="1">
      <protection locked="0"/>
    </xf>
    <xf numFmtId="0" fontId="55" fillId="0" borderId="67" xfId="0" applyFont="1" applyFill="1" applyBorder="1" applyProtection="1">
      <protection locked="0"/>
    </xf>
    <xf numFmtId="0" fontId="55" fillId="12" borderId="0" xfId="0" applyFont="1" applyFill="1" applyBorder="1" applyProtection="1">
      <protection locked="0"/>
    </xf>
    <xf numFmtId="0" fontId="55" fillId="12" borderId="0" xfId="0" applyFont="1" applyFill="1" applyBorder="1" applyAlignment="1" applyProtection="1">
      <alignment horizontal="left"/>
      <protection locked="0"/>
    </xf>
    <xf numFmtId="3" fontId="55" fillId="12" borderId="0" xfId="0" applyNumberFormat="1" applyFont="1" applyFill="1" applyBorder="1" applyProtection="1">
      <protection locked="0"/>
    </xf>
    <xf numFmtId="0" fontId="50" fillId="0" borderId="68" xfId="0" applyFont="1" applyFill="1" applyBorder="1" applyProtection="1">
      <protection locked="0"/>
    </xf>
    <xf numFmtId="0" fontId="50" fillId="0" borderId="72" xfId="0" applyFont="1" applyFill="1" applyBorder="1" applyProtection="1">
      <protection locked="0"/>
    </xf>
    <xf numFmtId="0" fontId="50" fillId="0" borderId="73" xfId="0" applyFont="1" applyFill="1" applyBorder="1" applyProtection="1">
      <protection locked="0"/>
    </xf>
    <xf numFmtId="0" fontId="50" fillId="0" borderId="73" xfId="0" applyFont="1" applyFill="1" applyBorder="1" applyAlignment="1" applyProtection="1">
      <alignment horizontal="left"/>
      <protection locked="0"/>
    </xf>
    <xf numFmtId="0" fontId="50" fillId="0" borderId="74" xfId="0" applyFont="1" applyFill="1" applyBorder="1" applyProtection="1">
      <protection locked="0"/>
    </xf>
    <xf numFmtId="0" fontId="56" fillId="0" borderId="0" xfId="0" applyFont="1" applyFill="1" applyBorder="1"/>
    <xf numFmtId="0" fontId="51" fillId="0" borderId="0" xfId="0" applyFont="1" applyFill="1" applyBorder="1"/>
    <xf numFmtId="14" fontId="49" fillId="0" borderId="0" xfId="0" applyNumberFormat="1" applyFont="1" applyFill="1" applyBorder="1" applyAlignment="1">
      <alignment horizontal="left"/>
    </xf>
    <xf numFmtId="0" fontId="52" fillId="0" borderId="105" xfId="0" applyFont="1" applyFill="1" applyBorder="1"/>
    <xf numFmtId="0" fontId="52" fillId="0" borderId="106" xfId="0" applyFont="1" applyFill="1" applyBorder="1"/>
    <xf numFmtId="0" fontId="52" fillId="0" borderId="107" xfId="0" applyFont="1" applyFill="1" applyBorder="1" applyAlignment="1">
      <alignment wrapText="1"/>
    </xf>
    <xf numFmtId="0" fontId="52" fillId="0" borderId="106" xfId="0" applyFont="1" applyFill="1" applyBorder="1" applyAlignment="1">
      <alignment wrapText="1"/>
    </xf>
    <xf numFmtId="0" fontId="52" fillId="0" borderId="108" xfId="0" applyFont="1" applyFill="1" applyBorder="1" applyAlignment="1">
      <alignment wrapText="1"/>
    </xf>
    <xf numFmtId="0" fontId="52" fillId="0" borderId="109" xfId="0" applyFont="1" applyFill="1" applyBorder="1"/>
    <xf numFmtId="0" fontId="52" fillId="0" borderId="18" xfId="0" applyFont="1" applyFill="1" applyBorder="1"/>
    <xf numFmtId="0" fontId="52" fillId="0" borderId="23" xfId="0" applyFont="1" applyFill="1" applyBorder="1"/>
    <xf numFmtId="0" fontId="52" fillId="0" borderId="110" xfId="0" applyFont="1" applyFill="1" applyBorder="1"/>
    <xf numFmtId="0" fontId="49" fillId="0" borderId="111" xfId="0" applyFont="1" applyFill="1" applyBorder="1"/>
    <xf numFmtId="0" fontId="49" fillId="0" borderId="10" xfId="0" applyFont="1" applyFill="1" applyBorder="1"/>
    <xf numFmtId="176" fontId="49" fillId="0" borderId="32" xfId="0" applyNumberFormat="1" applyFont="1" applyFill="1" applyBorder="1"/>
    <xf numFmtId="176" fontId="49" fillId="0" borderId="10" xfId="0" applyNumberFormat="1" applyFont="1" applyFill="1" applyBorder="1"/>
    <xf numFmtId="176" fontId="49" fillId="0" borderId="112" xfId="0" applyNumberFormat="1" applyFont="1" applyFill="1" applyBorder="1"/>
    <xf numFmtId="0" fontId="49" fillId="0" borderId="113" xfId="0" applyFont="1" applyFill="1" applyBorder="1"/>
    <xf numFmtId="0" fontId="49" fillId="0" borderId="27" xfId="0" applyFont="1" applyFill="1" applyBorder="1"/>
    <xf numFmtId="177" fontId="49" fillId="0" borderId="114" xfId="0" applyNumberFormat="1" applyFont="1" applyFill="1" applyBorder="1"/>
    <xf numFmtId="177" fontId="49" fillId="0" borderId="27" xfId="0" applyNumberFormat="1" applyFont="1" applyFill="1" applyBorder="1"/>
    <xf numFmtId="177" fontId="49" fillId="0" borderId="115" xfId="0" applyNumberFormat="1" applyFont="1" applyFill="1" applyBorder="1"/>
    <xf numFmtId="176" fontId="49" fillId="0" borderId="114" xfId="0" applyNumberFormat="1" applyFont="1" applyFill="1" applyBorder="1"/>
    <xf numFmtId="176" fontId="49" fillId="0" borderId="27" xfId="0" applyNumberFormat="1" applyFont="1" applyFill="1" applyBorder="1"/>
    <xf numFmtId="176" fontId="49" fillId="0" borderId="115" xfId="0" applyNumberFormat="1" applyFont="1" applyFill="1" applyBorder="1"/>
    <xf numFmtId="0" fontId="49" fillId="0" borderId="116" xfId="0" applyFont="1" applyFill="1" applyBorder="1"/>
    <xf numFmtId="0" fontId="49" fillId="0" borderId="13" xfId="0" applyFont="1" applyFill="1" applyBorder="1" applyAlignment="1">
      <alignment wrapText="1"/>
    </xf>
    <xf numFmtId="177" fontId="49" fillId="0" borderId="37" xfId="0" applyNumberFormat="1" applyFont="1" applyFill="1" applyBorder="1"/>
    <xf numFmtId="0" fontId="49" fillId="0" borderId="13" xfId="0" applyFont="1" applyFill="1" applyBorder="1"/>
    <xf numFmtId="177" fontId="49" fillId="0" borderId="13" xfId="0" applyNumberFormat="1" applyFont="1" applyFill="1" applyBorder="1"/>
    <xf numFmtId="177" fontId="49" fillId="0" borderId="117" xfId="0" applyNumberFormat="1" applyFont="1" applyFill="1" applyBorder="1"/>
    <xf numFmtId="0" fontId="49" fillId="0" borderId="118" xfId="0" applyFont="1" applyFill="1" applyBorder="1"/>
    <xf numFmtId="0" fontId="51" fillId="0" borderId="1" xfId="0" applyFont="1" applyFill="1" applyBorder="1"/>
    <xf numFmtId="177" fontId="51" fillId="12" borderId="28" xfId="0" applyNumberFormat="1" applyFont="1" applyFill="1" applyBorder="1"/>
    <xf numFmtId="177" fontId="51" fillId="12" borderId="119" xfId="0" applyNumberFormat="1" applyFont="1" applyFill="1" applyBorder="1"/>
    <xf numFmtId="0" fontId="51" fillId="0" borderId="13" xfId="0" applyFont="1" applyFill="1" applyBorder="1"/>
    <xf numFmtId="177" fontId="51" fillId="0" borderId="37" xfId="0" applyNumberFormat="1" applyFont="1" applyFill="1" applyBorder="1"/>
    <xf numFmtId="177" fontId="51" fillId="0" borderId="117" xfId="0" applyNumberFormat="1" applyFont="1" applyFill="1" applyBorder="1"/>
    <xf numFmtId="0" fontId="49" fillId="0" borderId="120" xfId="0" applyFont="1" applyFill="1" applyBorder="1"/>
    <xf numFmtId="0" fontId="49" fillId="0" borderId="121" xfId="0" applyFont="1" applyFill="1" applyBorder="1"/>
    <xf numFmtId="178" fontId="49" fillId="0" borderId="122" xfId="0" applyNumberFormat="1" applyFont="1" applyFill="1" applyBorder="1"/>
    <xf numFmtId="178" fontId="49" fillId="0" borderId="121" xfId="0" applyNumberFormat="1" applyFont="1" applyFill="1" applyBorder="1"/>
    <xf numFmtId="178" fontId="49" fillId="0" borderId="123" xfId="0" applyNumberFormat="1" applyFont="1" applyFill="1" applyBorder="1"/>
    <xf numFmtId="176" fontId="49" fillId="0" borderId="0" xfId="0" applyNumberFormat="1" applyFont="1" applyFill="1" applyBorder="1"/>
    <xf numFmtId="0" fontId="49" fillId="0" borderId="0" xfId="6" applyFont="1" applyAlignment="1">
      <alignment vertical="center"/>
    </xf>
    <xf numFmtId="0" fontId="2" fillId="6" borderId="0" xfId="0" applyNumberFormat="1" applyFont="1" applyFill="1" applyBorder="1" applyAlignment="1" applyProtection="1"/>
    <xf numFmtId="0" fontId="2" fillId="19" borderId="0" xfId="0" applyFont="1" applyFill="1" applyBorder="1" applyAlignment="1" applyProtection="1"/>
    <xf numFmtId="175" fontId="2" fillId="19" borderId="0" xfId="0" applyNumberFormat="1" applyFont="1" applyFill="1" applyBorder="1" applyAlignment="1" applyProtection="1"/>
    <xf numFmtId="0" fontId="50" fillId="19" borderId="91" xfId="0" applyFont="1" applyFill="1" applyBorder="1" applyAlignment="1" applyProtection="1">
      <alignment horizontal="right"/>
      <protection locked="0"/>
    </xf>
    <xf numFmtId="0" fontId="49" fillId="19" borderId="90" xfId="0" applyFont="1" applyFill="1" applyBorder="1" applyProtection="1">
      <protection locked="0"/>
    </xf>
    <xf numFmtId="0" fontId="49" fillId="19" borderId="91" xfId="0" applyFont="1" applyFill="1" applyBorder="1" applyProtection="1">
      <protection locked="0"/>
    </xf>
    <xf numFmtId="0" fontId="49" fillId="19" borderId="91" xfId="1" applyFont="1" applyFill="1" applyBorder="1" applyProtection="1">
      <protection locked="0"/>
    </xf>
    <xf numFmtId="0" fontId="50" fillId="19" borderId="91" xfId="0" applyFont="1" applyFill="1" applyBorder="1" applyProtection="1">
      <protection locked="0"/>
    </xf>
    <xf numFmtId="0" fontId="50" fillId="19" borderId="93" xfId="0" applyFont="1" applyFill="1" applyBorder="1" applyAlignment="1" applyProtection="1">
      <alignment horizontal="right"/>
      <protection locked="0"/>
    </xf>
    <xf numFmtId="0" fontId="50" fillId="19" borderId="91" xfId="5" applyFont="1" applyFill="1" applyBorder="1" applyAlignment="1" applyProtection="1">
      <alignment horizontal="right"/>
      <protection locked="0"/>
    </xf>
    <xf numFmtId="0" fontId="49" fillId="19" borderId="90" xfId="0" applyFont="1" applyFill="1" applyBorder="1" applyAlignment="1" applyProtection="1">
      <alignment horizontal="right"/>
      <protection locked="0"/>
    </xf>
    <xf numFmtId="0" fontId="49" fillId="19" borderId="0" xfId="0" applyFont="1" applyFill="1" applyBorder="1" applyProtection="1">
      <protection locked="0"/>
    </xf>
    <xf numFmtId="0" fontId="49" fillId="19" borderId="13" xfId="5" applyFill="1" applyBorder="1" applyAlignment="1" applyProtection="1">
      <alignment horizontal="right"/>
      <protection locked="0"/>
    </xf>
    <xf numFmtId="0" fontId="50" fillId="19" borderId="87" xfId="0" applyFont="1" applyFill="1" applyBorder="1" applyAlignment="1" applyProtection="1">
      <alignment horizontal="right"/>
      <protection locked="0"/>
    </xf>
    <xf numFmtId="176" fontId="49" fillId="19" borderId="27" xfId="0" applyNumberFormat="1" applyFont="1" applyFill="1" applyBorder="1"/>
    <xf numFmtId="2" fontId="38" fillId="19" borderId="44" xfId="2" applyNumberFormat="1" applyFont="1" applyFill="1" applyBorder="1"/>
    <xf numFmtId="2" fontId="38" fillId="19" borderId="65" xfId="2" applyNumberFormat="1" applyFont="1" applyFill="1" applyBorder="1"/>
    <xf numFmtId="170" fontId="45" fillId="19" borderId="44" xfId="2" applyNumberFormat="1" applyFont="1" applyFill="1" applyBorder="1"/>
    <xf numFmtId="170" fontId="41" fillId="19" borderId="44" xfId="2" applyNumberFormat="1" applyFont="1" applyFill="1" applyBorder="1"/>
    <xf numFmtId="2" fontId="38" fillId="6" borderId="44" xfId="2" applyNumberFormat="1" applyFont="1" applyFill="1" applyBorder="1"/>
    <xf numFmtId="168" fontId="36" fillId="19" borderId="54" xfId="2" applyNumberFormat="1" applyFont="1" applyFill="1" applyBorder="1"/>
    <xf numFmtId="4" fontId="22" fillId="19" borderId="44" xfId="1" applyNumberFormat="1" applyFill="1" applyBorder="1" applyAlignment="1" applyProtection="1">
      <alignment vertical="center"/>
      <protection locked="0"/>
    </xf>
    <xf numFmtId="4" fontId="2" fillId="19" borderId="0" xfId="0" applyNumberFormat="1" applyFont="1" applyFill="1" applyBorder="1" applyAlignment="1" applyProtection="1"/>
    <xf numFmtId="0" fontId="58" fillId="0" borderId="0" xfId="0" applyNumberFormat="1" applyFont="1" applyFill="1" applyBorder="1" applyAlignment="1" applyProtection="1"/>
    <xf numFmtId="0" fontId="2" fillId="19" borderId="0" xfId="0" applyNumberFormat="1" applyFont="1" applyFill="1" applyBorder="1" applyAlignment="1" applyProtection="1"/>
    <xf numFmtId="4" fontId="5" fillId="19" borderId="0" xfId="0" applyNumberFormat="1" applyFont="1" applyFill="1" applyBorder="1" applyAlignment="1" applyProtection="1">
      <alignment horizontal="right" vertical="center"/>
    </xf>
    <xf numFmtId="4" fontId="7" fillId="19" borderId="0" xfId="0" applyNumberFormat="1" applyFont="1" applyFill="1" applyBorder="1" applyAlignment="1" applyProtection="1">
      <alignment horizontal="right" vertical="center"/>
    </xf>
    <xf numFmtId="4" fontId="5" fillId="19" borderId="3" xfId="0" applyNumberFormat="1" applyFont="1" applyFill="1" applyBorder="1" applyAlignment="1" applyProtection="1">
      <alignment horizontal="right" vertical="center"/>
    </xf>
    <xf numFmtId="4" fontId="5" fillId="19" borderId="1" xfId="0" applyNumberFormat="1" applyFont="1" applyFill="1" applyBorder="1" applyAlignment="1" applyProtection="1">
      <alignment horizontal="right" vertical="center"/>
    </xf>
    <xf numFmtId="0" fontId="5" fillId="20" borderId="0" xfId="0" applyNumberFormat="1" applyFont="1" applyFill="1" applyBorder="1" applyAlignment="1" applyProtection="1">
      <alignment horizontal="left" vertical="center"/>
    </xf>
    <xf numFmtId="4" fontId="5" fillId="20" borderId="0" xfId="0" applyNumberFormat="1" applyFont="1" applyFill="1" applyBorder="1" applyAlignment="1" applyProtection="1">
      <alignment horizontal="right" vertical="center"/>
    </xf>
    <xf numFmtId="0" fontId="7" fillId="20" borderId="0" xfId="0" applyNumberFormat="1" applyFont="1" applyFill="1" applyBorder="1" applyAlignment="1" applyProtection="1">
      <alignment horizontal="left" vertical="center"/>
    </xf>
    <xf numFmtId="4" fontId="7" fillId="20" borderId="0" xfId="0" applyNumberFormat="1" applyFont="1" applyFill="1" applyBorder="1" applyAlignment="1" applyProtection="1">
      <alignment horizontal="right" vertical="center"/>
    </xf>
    <xf numFmtId="0" fontId="5" fillId="20" borderId="8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" fillId="0" borderId="3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27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" fontId="5" fillId="0" borderId="1" xfId="0" applyNumberFormat="1" applyFont="1" applyFill="1" applyBorder="1" applyAlignment="1" applyProtection="1">
      <alignment horizontal="left" vertical="center"/>
    </xf>
    <xf numFmtId="14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13" xfId="0" applyNumberFormat="1" applyFont="1" applyFill="1" applyBorder="1" applyAlignment="1" applyProtection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left" vertical="center"/>
    </xf>
    <xf numFmtId="0" fontId="10" fillId="0" borderId="14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6" fillId="3" borderId="5" xfId="0" applyNumberFormat="1" applyFont="1" applyFill="1" applyBorder="1" applyAlignment="1" applyProtection="1">
      <alignment horizontal="left" vertical="center"/>
    </xf>
    <xf numFmtId="0" fontId="6" fillId="3" borderId="14" xfId="0" applyNumberFormat="1" applyFont="1" applyFill="1" applyBorder="1" applyAlignment="1" applyProtection="1">
      <alignment horizontal="left" vertical="center"/>
    </xf>
    <xf numFmtId="0" fontId="6" fillId="0" borderId="14" xfId="0" applyNumberFormat="1" applyFont="1" applyFill="1" applyBorder="1" applyAlignment="1" applyProtection="1">
      <alignment horizontal="left" vertical="center"/>
    </xf>
    <xf numFmtId="0" fontId="6" fillId="3" borderId="16" xfId="0" applyNumberFormat="1" applyFont="1" applyFill="1" applyBorder="1" applyAlignment="1" applyProtection="1">
      <alignment horizontal="left" vertical="center"/>
    </xf>
    <xf numFmtId="0" fontId="6" fillId="3" borderId="9" xfId="0" applyNumberFormat="1" applyFont="1" applyFill="1" applyBorder="1" applyAlignment="1" applyProtection="1">
      <alignment horizontal="left" vertical="center"/>
    </xf>
    <xf numFmtId="0" fontId="10" fillId="0" borderId="35" xfId="0" applyNumberFormat="1" applyFont="1" applyFill="1" applyBorder="1" applyAlignment="1" applyProtection="1">
      <alignment horizontal="left" vertical="center"/>
    </xf>
    <xf numFmtId="0" fontId="10" fillId="0" borderId="7" xfId="0" applyNumberFormat="1" applyFont="1" applyFill="1" applyBorder="1" applyAlignment="1" applyProtection="1">
      <alignment horizontal="left" vertical="center"/>
    </xf>
    <xf numFmtId="0" fontId="10" fillId="0" borderId="38" xfId="0" applyNumberFormat="1" applyFont="1" applyFill="1" applyBorder="1" applyAlignment="1" applyProtection="1">
      <alignment horizontal="left" vertical="center"/>
    </xf>
    <xf numFmtId="0" fontId="10" fillId="0" borderId="36" xfId="0" applyNumberFormat="1" applyFont="1" applyFill="1" applyBorder="1" applyAlignment="1" applyProtection="1">
      <alignment horizontal="left" vertical="center"/>
    </xf>
    <xf numFmtId="0" fontId="10" fillId="0" borderId="22" xfId="0" applyNumberFormat="1" applyFont="1" applyFill="1" applyBorder="1" applyAlignment="1" applyProtection="1">
      <alignment horizontal="left" vertical="center"/>
    </xf>
    <xf numFmtId="0" fontId="10" fillId="0" borderId="26" xfId="0" applyNumberFormat="1" applyFont="1" applyFill="1" applyBorder="1" applyAlignment="1" applyProtection="1">
      <alignment horizontal="left" vertical="center"/>
    </xf>
    <xf numFmtId="0" fontId="10" fillId="0" borderId="20" xfId="0" applyNumberFormat="1" applyFont="1" applyFill="1" applyBorder="1" applyAlignment="1" applyProtection="1">
      <alignment horizontal="left" vertical="center"/>
    </xf>
    <xf numFmtId="0" fontId="10" fillId="0" borderId="19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" fillId="0" borderId="21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6" fillId="0" borderId="21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15" xfId="0" applyNumberFormat="1" applyFont="1" applyFill="1" applyBorder="1" applyAlignment="1" applyProtection="1">
      <alignment horizontal="left" vertical="center"/>
    </xf>
    <xf numFmtId="0" fontId="3" fillId="0" borderId="31" xfId="0" applyNumberFormat="1" applyFont="1" applyFill="1" applyBorder="1" applyAlignment="1" applyProtection="1">
      <alignment horizontal="left" vertical="center"/>
    </xf>
    <xf numFmtId="0" fontId="3" fillId="0" borderId="17" xfId="0" applyNumberFormat="1" applyFont="1" applyFill="1" applyBorder="1" applyAlignment="1" applyProtection="1">
      <alignment horizontal="left" vertical="center"/>
    </xf>
    <xf numFmtId="0" fontId="3" fillId="0" borderId="33" xfId="0" applyNumberFormat="1" applyFont="1" applyFill="1" applyBorder="1" applyAlignment="1" applyProtection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</xf>
    <xf numFmtId="0" fontId="6" fillId="0" borderId="4" xfId="0" applyNumberFormat="1" applyFont="1" applyFill="1" applyBorder="1" applyAlignment="1" applyProtection="1">
      <alignment horizontal="right" vertical="center"/>
    </xf>
    <xf numFmtId="0" fontId="6" fillId="0" borderId="15" xfId="0" applyNumberFormat="1" applyFont="1" applyFill="1" applyBorder="1" applyAlignment="1" applyProtection="1">
      <alignment horizontal="right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3" fillId="0" borderId="31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33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left" vertical="center" wrapText="1"/>
    </xf>
    <xf numFmtId="0" fontId="5" fillId="20" borderId="0" xfId="0" applyNumberFormat="1" applyFont="1" applyFill="1" applyBorder="1" applyAlignment="1" applyProtection="1">
      <alignment horizontal="left" vertical="center" wrapText="1"/>
    </xf>
    <xf numFmtId="0" fontId="5" fillId="20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left" vertical="center"/>
    </xf>
    <xf numFmtId="0" fontId="3" fillId="0" borderId="18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20" borderId="0" xfId="0" applyNumberFormat="1" applyFont="1" applyFill="1" applyBorder="1" applyAlignment="1" applyProtection="1">
      <alignment horizontal="left" vertical="center" wrapText="1"/>
    </xf>
    <xf numFmtId="0" fontId="7" fillId="20" borderId="0" xfId="0" applyNumberFormat="1" applyFont="1" applyFill="1" applyBorder="1" applyAlignment="1" applyProtection="1">
      <alignment horizontal="left" vertical="center"/>
    </xf>
    <xf numFmtId="0" fontId="7" fillId="5" borderId="0" xfId="0" applyNumberFormat="1" applyFont="1" applyFill="1" applyBorder="1" applyAlignment="1" applyProtection="1">
      <alignment horizontal="left" vertical="center" wrapText="1"/>
    </xf>
    <xf numFmtId="0" fontId="7" fillId="5" borderId="0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left" vertical="center" wrapText="1"/>
    </xf>
    <xf numFmtId="0" fontId="5" fillId="5" borderId="0" xfId="0" applyNumberFormat="1" applyFont="1" applyFill="1" applyBorder="1" applyAlignment="1" applyProtection="1">
      <alignment horizontal="left" vertical="center"/>
    </xf>
    <xf numFmtId="0" fontId="3" fillId="4" borderId="0" xfId="0" applyNumberFormat="1" applyFont="1" applyFill="1" applyBorder="1" applyAlignment="1" applyProtection="1">
      <alignment horizontal="left" vertical="center" wrapText="1"/>
    </xf>
    <xf numFmtId="0" fontId="3" fillId="4" borderId="0" xfId="0" applyNumberFormat="1" applyFont="1" applyFill="1" applyBorder="1" applyAlignment="1" applyProtection="1">
      <alignment horizontal="left" vertical="center"/>
    </xf>
    <xf numFmtId="0" fontId="5" fillId="6" borderId="0" xfId="0" applyNumberFormat="1" applyFont="1" applyFill="1" applyBorder="1" applyAlignment="1" applyProtection="1">
      <alignment horizontal="left" vertical="center" wrapText="1"/>
    </xf>
    <xf numFmtId="0" fontId="5" fillId="6" borderId="0" xfId="0" applyNumberFormat="1" applyFont="1" applyFill="1" applyBorder="1" applyAlignment="1" applyProtection="1">
      <alignment horizontal="left" vertical="center"/>
    </xf>
    <xf numFmtId="0" fontId="52" fillId="0" borderId="79" xfId="0" applyFont="1" applyFill="1" applyBorder="1" applyAlignment="1" applyProtection="1">
      <alignment horizontal="center"/>
      <protection locked="0"/>
    </xf>
    <xf numFmtId="0" fontId="52" fillId="0" borderId="80" xfId="0" applyFont="1" applyFill="1" applyBorder="1" applyAlignment="1" applyProtection="1">
      <alignment horizontal="center"/>
      <protection locked="0"/>
    </xf>
  </cellXfs>
  <cellStyles count="7">
    <cellStyle name="Normální" xfId="0" builtinId="0"/>
    <cellStyle name="normální 17" xfId="4" xr:uid="{00000000-0005-0000-0000-000001000000}"/>
    <cellStyle name="Normální 2" xfId="1" xr:uid="{00000000-0005-0000-0000-000002000000}"/>
    <cellStyle name="normální 21" xfId="5" xr:uid="{00000000-0005-0000-0000-000003000000}"/>
    <cellStyle name="Normální 3" xfId="2" xr:uid="{00000000-0005-0000-0000-000004000000}"/>
    <cellStyle name="normální_Kalkulace_UT" xfId="6" xr:uid="{00000000-0005-0000-0000-000005000000}"/>
    <cellStyle name="normální_List1" xfId="3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63500</xdr:colOff>
      <xdr:row>0</xdr:row>
      <xdr:rowOff>666750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CA0222DC-3CDD-CA55-D9DB-78ED652CE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190500</xdr:colOff>
      <xdr:row>0</xdr:row>
      <xdr:rowOff>666750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BDA6AB98-4DB0-60F2-B2AF-CED293566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190500</xdr:colOff>
      <xdr:row>0</xdr:row>
      <xdr:rowOff>666750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F4A0A2FD-3CD3-1279-960B-23C3789DE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469900</xdr:colOff>
      <xdr:row>0</xdr:row>
      <xdr:rowOff>666750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74ED6303-A98A-87A3-6C8E-113B7B8D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VZT%202023\03_P&#345;edpokl&#225;dan&#253;%20soupis%20materi&#225;lu%20a%20prac&#237;_SC_VZ%20-%20p&#345;evod%20do%20z&#225;lo&#382;ky%20RZP%20-%202.xlsx" TargetMode="External"/><Relationship Id="rId1" Type="http://schemas.openxmlformats.org/officeDocument/2006/relationships/externalLinkPath" Target="/Users/admin/Documents/A%20ADMIN/PROJEKTY/Mal&#253;%20&#250;jezd%20-%20obec%20-%20VAV&#344;INE&#268;%20-%20OD/VAV&#344;INE&#268;%20-%20OD%20-%20VZT%202023/03_P&#345;edpokl&#225;dan&#253;%20soupis%20materi&#225;lu%20a%20prac&#237;_SC_VZ%20-%20p&#345;evod%20do%20z&#225;lo&#382;ky%20RZP%20-%2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TOP%202023\ROZ_&#218;V_r1%20-%20p&#345;evod%20do%20z&#225;lo&#382;ky%20RZP.xls" TargetMode="External"/><Relationship Id="rId1" Type="http://schemas.openxmlformats.org/officeDocument/2006/relationships/externalLinkPath" Target="/Users/admin/Documents/A%20ADMIN/PROJEKTY/Mal&#253;%20&#250;jezd%20-%20obec%20-%20VAV&#344;INE&#268;%20-%20OD/VAV&#344;INE&#268;%20-%20OD%20-%20TOP%202023/ROZ_&#218;V_r1%20-%20p&#345;evod%20do%20z&#225;lo&#382;ky%20RZ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Rozpočet"/>
      <sheetName val="Parametry"/>
    </sheetNames>
    <sheetDataSet>
      <sheetData sheetId="0"/>
      <sheetData sheetId="1"/>
      <sheetData sheetId="2">
        <row r="16">
          <cell r="B16">
            <v>6</v>
          </cell>
        </row>
        <row r="17">
          <cell r="B17">
            <v>5</v>
          </cell>
        </row>
        <row r="18">
          <cell r="B18">
            <v>5</v>
          </cell>
        </row>
        <row r="19">
          <cell r="B19">
            <v>1.6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9">
          <cell r="B29">
            <v>21</v>
          </cell>
        </row>
        <row r="30">
          <cell r="B30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1"/>
      <sheetName val="2"/>
    </sheetNames>
    <sheetDataSet>
      <sheetData sheetId="0">
        <row r="4">
          <cell r="G4">
            <v>0.15</v>
          </cell>
          <cell r="H4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 fitToPage="1"/>
  </sheetPr>
  <dimension ref="A1:I37"/>
  <sheetViews>
    <sheetView tabSelected="1" showOutlineSymbols="0" zoomScaleNormal="100" workbookViewId="0">
      <selection activeCell="C41" sqref="C41"/>
    </sheetView>
  </sheetViews>
  <sheetFormatPr defaultColWidth="21.25" defaultRowHeight="15" customHeight="1"/>
  <cols>
    <col min="1" max="1" width="16"/>
    <col min="2" max="2" width="22.5"/>
    <col min="3" max="3" width="55.25" customWidth="1"/>
    <col min="4" max="4" width="17.5"/>
    <col min="5" max="5" width="24.5"/>
    <col min="6" max="6" width="47.5"/>
    <col min="7" max="7" width="16"/>
    <col min="8" max="8" width="22.5"/>
    <col min="9" max="9" width="59" customWidth="1"/>
  </cols>
  <sheetData>
    <row r="1" spans="1:9" ht="54.75" customHeight="1">
      <c r="A1" s="581" t="s">
        <v>765</v>
      </c>
      <c r="B1" s="582"/>
      <c r="C1" s="582"/>
      <c r="D1" s="582"/>
      <c r="E1" s="582"/>
      <c r="F1" s="582"/>
      <c r="G1" s="582"/>
      <c r="H1" s="582"/>
      <c r="I1" s="582"/>
    </row>
    <row r="2" spans="1:9" ht="15" customHeight="1">
      <c r="A2" s="583" t="s">
        <v>178</v>
      </c>
      <c r="B2" s="584"/>
      <c r="C2" s="595" t="str">
        <f>'Stavební rozpočet'!C2</f>
        <v>Obecní dům Vavřineč</v>
      </c>
      <c r="D2" s="596"/>
      <c r="E2" s="588" t="s">
        <v>2059</v>
      </c>
      <c r="F2" s="588" t="str">
        <f>'Stavební rozpočet'!I2</f>
        <v>Obec Malý Újezd</v>
      </c>
      <c r="G2" s="584"/>
      <c r="H2" s="588" t="s">
        <v>1572</v>
      </c>
      <c r="I2" s="589" t="s">
        <v>964</v>
      </c>
    </row>
    <row r="3" spans="1:9" ht="15" customHeight="1">
      <c r="A3" s="585"/>
      <c r="B3" s="579"/>
      <c r="C3" s="597"/>
      <c r="D3" s="597"/>
      <c r="E3" s="579"/>
      <c r="F3" s="579"/>
      <c r="G3" s="579"/>
      <c r="H3" s="579"/>
      <c r="I3" s="590"/>
    </row>
    <row r="4" spans="1:9" ht="15" customHeight="1">
      <c r="A4" s="586" t="s">
        <v>1327</v>
      </c>
      <c r="B4" s="579"/>
      <c r="C4" s="578" t="str">
        <f>'Stavební rozpočet'!C4</f>
        <v>Rekonstrukce a rozšíření objektu</v>
      </c>
      <c r="D4" s="579"/>
      <c r="E4" s="578" t="s">
        <v>1678</v>
      </c>
      <c r="F4" s="578" t="str">
        <f>'Stavební rozpočet'!I4</f>
        <v> </v>
      </c>
      <c r="G4" s="579"/>
      <c r="H4" s="578" t="s">
        <v>1572</v>
      </c>
      <c r="I4" s="590" t="s">
        <v>1683</v>
      </c>
    </row>
    <row r="5" spans="1:9" ht="15" customHeight="1">
      <c r="A5" s="585"/>
      <c r="B5" s="579"/>
      <c r="C5" s="579"/>
      <c r="D5" s="579"/>
      <c r="E5" s="579"/>
      <c r="F5" s="579"/>
      <c r="G5" s="579"/>
      <c r="H5" s="579"/>
      <c r="I5" s="590"/>
    </row>
    <row r="6" spans="1:9" ht="15" customHeight="1">
      <c r="A6" s="586" t="s">
        <v>217</v>
      </c>
      <c r="B6" s="579"/>
      <c r="C6" s="578" t="str">
        <f>'Stavební rozpočet'!C6</f>
        <v>Malý Újezd Vavřineč</v>
      </c>
      <c r="D6" s="579"/>
      <c r="E6" s="578" t="s">
        <v>2143</v>
      </c>
      <c r="F6" s="578" t="str">
        <f>'Stavební rozpočet'!I6</f>
        <v>vzejde z výberového řízení</v>
      </c>
      <c r="G6" s="579"/>
      <c r="H6" s="578" t="s">
        <v>1572</v>
      </c>
      <c r="I6" s="590" t="s">
        <v>1683</v>
      </c>
    </row>
    <row r="7" spans="1:9" ht="15" customHeight="1">
      <c r="A7" s="585"/>
      <c r="B7" s="579"/>
      <c r="C7" s="579"/>
      <c r="D7" s="579"/>
      <c r="E7" s="579"/>
      <c r="F7" s="579"/>
      <c r="G7" s="579"/>
      <c r="H7" s="579"/>
      <c r="I7" s="590"/>
    </row>
    <row r="8" spans="1:9" ht="15" customHeight="1">
      <c r="A8" s="586" t="s">
        <v>2168</v>
      </c>
      <c r="B8" s="579"/>
      <c r="C8" s="578" t="str">
        <f>'Stavební rozpočet'!F4</f>
        <v xml:space="preserve"> </v>
      </c>
      <c r="D8" s="579"/>
      <c r="E8" s="578" t="s">
        <v>782</v>
      </c>
      <c r="F8" s="578" t="str">
        <f>'Stavební rozpočet'!F6</f>
        <v xml:space="preserve"> </v>
      </c>
      <c r="G8" s="579"/>
      <c r="H8" s="579" t="s">
        <v>2462</v>
      </c>
      <c r="I8" s="591">
        <v>635</v>
      </c>
    </row>
    <row r="9" spans="1:9" ht="15" customHeight="1">
      <c r="A9" s="585"/>
      <c r="B9" s="579"/>
      <c r="C9" s="579"/>
      <c r="D9" s="579"/>
      <c r="E9" s="579"/>
      <c r="F9" s="579"/>
      <c r="G9" s="579"/>
      <c r="H9" s="579"/>
      <c r="I9" s="590"/>
    </row>
    <row r="10" spans="1:9" ht="15" customHeight="1">
      <c r="A10" s="586" t="s">
        <v>1182</v>
      </c>
      <c r="B10" s="579"/>
      <c r="C10" s="578" t="str">
        <f>'Stavební rozpočet'!C8</f>
        <v>8018912</v>
      </c>
      <c r="D10" s="579"/>
      <c r="E10" s="578" t="s">
        <v>1608</v>
      </c>
      <c r="F10" s="578" t="str">
        <f>'Stavební rozpočet'!I8</f>
        <v>Ing. Jiří Šír - VISTA</v>
      </c>
      <c r="G10" s="579"/>
      <c r="H10" s="579" t="s">
        <v>2379</v>
      </c>
      <c r="I10" s="592">
        <f>'Stavební rozpočet'!F8</f>
        <v>45231</v>
      </c>
    </row>
    <row r="11" spans="1:9" ht="15" customHeight="1">
      <c r="A11" s="587"/>
      <c r="B11" s="580"/>
      <c r="C11" s="580"/>
      <c r="D11" s="580"/>
      <c r="E11" s="580"/>
      <c r="F11" s="580"/>
      <c r="G11" s="580"/>
      <c r="H11" s="580"/>
      <c r="I11" s="593"/>
    </row>
    <row r="12" spans="1:9" ht="22.5" customHeight="1">
      <c r="A12" s="594" t="s">
        <v>410</v>
      </c>
      <c r="B12" s="594"/>
      <c r="C12" s="594"/>
      <c r="D12" s="594"/>
      <c r="E12" s="594"/>
      <c r="F12" s="594"/>
      <c r="G12" s="594"/>
      <c r="H12" s="594"/>
      <c r="I12" s="594"/>
    </row>
    <row r="13" spans="1:9" ht="26.25" customHeight="1">
      <c r="A13" s="106" t="s">
        <v>2190</v>
      </c>
      <c r="B13" s="602" t="s">
        <v>287</v>
      </c>
      <c r="C13" s="603"/>
      <c r="D13" s="64" t="s">
        <v>436</v>
      </c>
      <c r="E13" s="602" t="s">
        <v>879</v>
      </c>
      <c r="F13" s="603"/>
      <c r="G13" s="64" t="s">
        <v>1548</v>
      </c>
      <c r="H13" s="602" t="s">
        <v>441</v>
      </c>
      <c r="I13" s="603"/>
    </row>
    <row r="14" spans="1:9" ht="15" customHeight="1">
      <c r="A14" s="69" t="s">
        <v>902</v>
      </c>
      <c r="B14" s="43" t="s">
        <v>615</v>
      </c>
      <c r="C14" s="111">
        <f>SUM('Stavební rozpočet'!AB12:AB1589)</f>
        <v>0</v>
      </c>
      <c r="D14" s="607" t="s">
        <v>1754</v>
      </c>
      <c r="E14" s="608"/>
      <c r="F14" s="111">
        <f>VORN!I15</f>
        <v>0</v>
      </c>
      <c r="G14" s="607" t="s">
        <v>247</v>
      </c>
      <c r="H14" s="608"/>
      <c r="I14" s="111">
        <f>VORN!I21</f>
        <v>0</v>
      </c>
    </row>
    <row r="15" spans="1:9" ht="15" customHeight="1">
      <c r="A15" s="12" t="s">
        <v>1683</v>
      </c>
      <c r="B15" s="43" t="s">
        <v>457</v>
      </c>
      <c r="C15" s="111">
        <f>SUM('Stavební rozpočet'!AC12:AC1589)</f>
        <v>0</v>
      </c>
      <c r="D15" s="607" t="s">
        <v>240</v>
      </c>
      <c r="E15" s="608"/>
      <c r="F15" s="111">
        <f>VORN!I16</f>
        <v>0</v>
      </c>
      <c r="G15" s="607" t="s">
        <v>1928</v>
      </c>
      <c r="H15" s="608"/>
      <c r="I15" s="111">
        <f>VORN!I22</f>
        <v>0</v>
      </c>
    </row>
    <row r="16" spans="1:9" ht="15" customHeight="1">
      <c r="A16" s="69" t="s">
        <v>227</v>
      </c>
      <c r="B16" s="43" t="s">
        <v>615</v>
      </c>
      <c r="C16" s="111">
        <f>SUM('Stavební rozpočet'!AD12:AD1589)</f>
        <v>0</v>
      </c>
      <c r="D16" s="607" t="s">
        <v>1803</v>
      </c>
      <c r="E16" s="608"/>
      <c r="F16" s="111">
        <f>VORN!I17</f>
        <v>0</v>
      </c>
      <c r="G16" s="607" t="s">
        <v>2349</v>
      </c>
      <c r="H16" s="608"/>
      <c r="I16" s="111">
        <f>VORN!I23</f>
        <v>0</v>
      </c>
    </row>
    <row r="17" spans="1:9" ht="15" customHeight="1">
      <c r="A17" s="12" t="s">
        <v>1683</v>
      </c>
      <c r="B17" s="43" t="s">
        <v>457</v>
      </c>
      <c r="C17" s="111">
        <f>SUM('Stavební rozpočet'!AE12:AE1589)</f>
        <v>0</v>
      </c>
      <c r="D17" s="607" t="s">
        <v>1683</v>
      </c>
      <c r="E17" s="608"/>
      <c r="F17" s="78" t="s">
        <v>1683</v>
      </c>
      <c r="G17" s="607" t="s">
        <v>1285</v>
      </c>
      <c r="H17" s="608"/>
      <c r="I17" s="111">
        <f>VORN!I24</f>
        <v>0</v>
      </c>
    </row>
    <row r="18" spans="1:9" ht="15" customHeight="1">
      <c r="A18" s="69" t="s">
        <v>737</v>
      </c>
      <c r="B18" s="43" t="s">
        <v>615</v>
      </c>
      <c r="C18" s="111">
        <f>SUM('Stavební rozpočet'!AF12:AF1589)</f>
        <v>0</v>
      </c>
      <c r="D18" s="607" t="s">
        <v>1683</v>
      </c>
      <c r="E18" s="608"/>
      <c r="F18" s="78" t="s">
        <v>1683</v>
      </c>
      <c r="G18" s="607" t="s">
        <v>1578</v>
      </c>
      <c r="H18" s="608"/>
      <c r="I18" s="111">
        <f>VORN!I25</f>
        <v>0</v>
      </c>
    </row>
    <row r="19" spans="1:9" ht="15" customHeight="1">
      <c r="A19" s="12" t="s">
        <v>1683</v>
      </c>
      <c r="B19" s="43" t="s">
        <v>457</v>
      </c>
      <c r="C19" s="111">
        <f>SUM('Stavební rozpočet'!AG12:AG1589)</f>
        <v>0</v>
      </c>
      <c r="D19" s="607" t="s">
        <v>1683</v>
      </c>
      <c r="E19" s="608"/>
      <c r="F19" s="78" t="s">
        <v>1683</v>
      </c>
      <c r="G19" s="607" t="s">
        <v>2414</v>
      </c>
      <c r="H19" s="608"/>
      <c r="I19" s="111">
        <f>VORN!I26</f>
        <v>0</v>
      </c>
    </row>
    <row r="20" spans="1:9" ht="15" customHeight="1">
      <c r="A20" s="600" t="s">
        <v>180</v>
      </c>
      <c r="B20" s="601"/>
      <c r="C20" s="111">
        <f>SUM('Stavební rozpočet'!AH12:AH1589)</f>
        <v>0</v>
      </c>
      <c r="D20" s="607" t="s">
        <v>1683</v>
      </c>
      <c r="E20" s="608"/>
      <c r="F20" s="78" t="s">
        <v>1683</v>
      </c>
      <c r="G20" s="607" t="s">
        <v>1683</v>
      </c>
      <c r="H20" s="608"/>
      <c r="I20" s="78" t="s">
        <v>1683</v>
      </c>
    </row>
    <row r="21" spans="1:9" ht="15" customHeight="1">
      <c r="A21" s="604" t="s">
        <v>2413</v>
      </c>
      <c r="B21" s="605"/>
      <c r="C21" s="45">
        <f>SUM('Stavební rozpočet'!Z12:Z1589)</f>
        <v>0</v>
      </c>
      <c r="D21" s="609" t="s">
        <v>1683</v>
      </c>
      <c r="E21" s="610"/>
      <c r="F21" s="29" t="s">
        <v>1683</v>
      </c>
      <c r="G21" s="609" t="s">
        <v>1683</v>
      </c>
      <c r="H21" s="610"/>
      <c r="I21" s="29" t="s">
        <v>1683</v>
      </c>
    </row>
    <row r="22" spans="1:9" ht="16.5" customHeight="1">
      <c r="A22" s="606" t="s">
        <v>473</v>
      </c>
      <c r="B22" s="599"/>
      <c r="C22" s="83">
        <f>SUM(C14:C21)</f>
        <v>0</v>
      </c>
      <c r="D22" s="598" t="s">
        <v>1249</v>
      </c>
      <c r="E22" s="599"/>
      <c r="F22" s="83">
        <f>SUM(F14:F21)</f>
        <v>0</v>
      </c>
      <c r="G22" s="598" t="s">
        <v>2465</v>
      </c>
      <c r="H22" s="599"/>
      <c r="I22" s="83">
        <f>SUM(I14:I21)</f>
        <v>0</v>
      </c>
    </row>
    <row r="23" spans="1:9" ht="15" customHeight="1">
      <c r="D23" s="600" t="s">
        <v>1941</v>
      </c>
      <c r="E23" s="601"/>
      <c r="F23" s="62">
        <v>0</v>
      </c>
      <c r="G23" s="613" t="s">
        <v>132</v>
      </c>
      <c r="H23" s="601"/>
      <c r="I23" s="111">
        <v>0</v>
      </c>
    </row>
    <row r="24" spans="1:9" ht="15" customHeight="1">
      <c r="G24" s="600" t="s">
        <v>1477</v>
      </c>
      <c r="H24" s="601"/>
      <c r="I24" s="111">
        <f>vorn_sum</f>
        <v>0</v>
      </c>
    </row>
    <row r="25" spans="1:9" ht="15" customHeight="1">
      <c r="G25" s="600" t="s">
        <v>745</v>
      </c>
      <c r="H25" s="601"/>
      <c r="I25" s="111">
        <v>0</v>
      </c>
    </row>
    <row r="27" spans="1:9" ht="15" customHeight="1">
      <c r="A27" s="614" t="s">
        <v>980</v>
      </c>
      <c r="B27" s="611"/>
      <c r="C27" s="87">
        <f>SUM('Stavební rozpočet'!AJ12:AJ1589)</f>
        <v>0</v>
      </c>
    </row>
    <row r="28" spans="1:9" ht="15" customHeight="1">
      <c r="A28" s="615" t="s">
        <v>44</v>
      </c>
      <c r="B28" s="612"/>
      <c r="C28" s="93">
        <f>SUM('Stavební rozpočet'!AK12:AK1589)</f>
        <v>0</v>
      </c>
      <c r="D28" s="611" t="s">
        <v>537</v>
      </c>
      <c r="E28" s="611"/>
      <c r="F28" s="87">
        <f>ROUND(C28*(15/100),2)</f>
        <v>0</v>
      </c>
      <c r="G28" s="611" t="s">
        <v>335</v>
      </c>
      <c r="H28" s="611"/>
      <c r="I28" s="87">
        <f>SUM(C27:C29)</f>
        <v>0</v>
      </c>
    </row>
    <row r="29" spans="1:9" ht="15" customHeight="1">
      <c r="A29" s="615" t="s">
        <v>117</v>
      </c>
      <c r="B29" s="612"/>
      <c r="C29" s="93">
        <f>SUM(C22+(F22+I22+F23+I23+I24+I25))</f>
        <v>0</v>
      </c>
      <c r="D29" s="612" t="s">
        <v>1826</v>
      </c>
      <c r="E29" s="612"/>
      <c r="F29" s="93">
        <f>ROUND(C29*(21/100),2)</f>
        <v>0</v>
      </c>
      <c r="G29" s="612" t="s">
        <v>977</v>
      </c>
      <c r="H29" s="612"/>
      <c r="I29" s="93">
        <f>SUM(F28:F29)+I28</f>
        <v>0</v>
      </c>
    </row>
    <row r="31" spans="1:9" ht="15" customHeight="1">
      <c r="A31" s="616" t="s">
        <v>30</v>
      </c>
      <c r="B31" s="617"/>
      <c r="C31" s="618"/>
      <c r="D31" s="617" t="s">
        <v>2310</v>
      </c>
      <c r="E31" s="617"/>
      <c r="F31" s="618"/>
      <c r="G31" s="617" t="s">
        <v>1655</v>
      </c>
      <c r="H31" s="617"/>
      <c r="I31" s="618"/>
    </row>
    <row r="32" spans="1:9" ht="15" customHeight="1">
      <c r="A32" s="619" t="s">
        <v>1683</v>
      </c>
      <c r="B32" s="609"/>
      <c r="C32" s="620"/>
      <c r="D32" s="609" t="s">
        <v>1683</v>
      </c>
      <c r="E32" s="609"/>
      <c r="F32" s="620"/>
      <c r="G32" s="609" t="s">
        <v>1683</v>
      </c>
      <c r="H32" s="609"/>
      <c r="I32" s="620"/>
    </row>
    <row r="33" spans="1:9" ht="15" customHeight="1">
      <c r="A33" s="619" t="s">
        <v>1683</v>
      </c>
      <c r="B33" s="609"/>
      <c r="C33" s="620"/>
      <c r="D33" s="609" t="s">
        <v>1683</v>
      </c>
      <c r="E33" s="609"/>
      <c r="F33" s="620"/>
      <c r="G33" s="609" t="s">
        <v>1683</v>
      </c>
      <c r="H33" s="609"/>
      <c r="I33" s="620"/>
    </row>
    <row r="34" spans="1:9" ht="15" customHeight="1">
      <c r="A34" s="619" t="s">
        <v>1683</v>
      </c>
      <c r="B34" s="609"/>
      <c r="C34" s="620"/>
      <c r="D34" s="609" t="s">
        <v>1683</v>
      </c>
      <c r="E34" s="609"/>
      <c r="F34" s="620"/>
      <c r="G34" s="609" t="s">
        <v>1683</v>
      </c>
      <c r="H34" s="609"/>
      <c r="I34" s="620"/>
    </row>
    <row r="35" spans="1:9" ht="15" customHeight="1">
      <c r="A35" s="621" t="s">
        <v>463</v>
      </c>
      <c r="B35" s="622"/>
      <c r="C35" s="623"/>
      <c r="D35" s="622" t="s">
        <v>463</v>
      </c>
      <c r="E35" s="622"/>
      <c r="F35" s="623"/>
      <c r="G35" s="622" t="s">
        <v>463</v>
      </c>
      <c r="H35" s="622"/>
      <c r="I35" s="623"/>
    </row>
    <row r="36" spans="1:9" ht="15" customHeight="1">
      <c r="A36" s="102" t="s">
        <v>212</v>
      </c>
    </row>
    <row r="37" spans="1:9" ht="12.75" customHeight="1">
      <c r="A37" s="578" t="s">
        <v>1683</v>
      </c>
      <c r="B37" s="579"/>
      <c r="C37" s="579"/>
      <c r="D37" s="579"/>
      <c r="E37" s="579"/>
      <c r="F37" s="579"/>
      <c r="G37" s="579"/>
      <c r="H37" s="579"/>
      <c r="I37" s="579"/>
    </row>
  </sheetData>
  <mergeCells count="83">
    <mergeCell ref="A37:I37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  <mergeCell ref="A27:B27"/>
    <mergeCell ref="A28:B28"/>
    <mergeCell ref="A29:B29"/>
    <mergeCell ref="D28:E28"/>
    <mergeCell ref="D29:E29"/>
    <mergeCell ref="G28:H28"/>
    <mergeCell ref="G29:H29"/>
    <mergeCell ref="G20:H20"/>
    <mergeCell ref="G21:H21"/>
    <mergeCell ref="G22:H22"/>
    <mergeCell ref="G23:H23"/>
    <mergeCell ref="G24:H24"/>
    <mergeCell ref="G25:H25"/>
    <mergeCell ref="D21:E21"/>
    <mergeCell ref="G14:H14"/>
    <mergeCell ref="G15:H15"/>
    <mergeCell ref="G16:H16"/>
    <mergeCell ref="G17:H17"/>
    <mergeCell ref="G18:H18"/>
    <mergeCell ref="D22:E22"/>
    <mergeCell ref="D23:E23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G19:H19"/>
    <mergeCell ref="D18:E18"/>
    <mergeCell ref="D19:E19"/>
    <mergeCell ref="D20:E20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I2:I3"/>
    <mergeCell ref="I4:I5"/>
    <mergeCell ref="I6:I7"/>
    <mergeCell ref="I8:I9"/>
    <mergeCell ref="I10:I11"/>
  </mergeCells>
  <pageMargins left="0.39400000000000002" right="0.39400000000000002" top="0.59099999999999997" bottom="0.59099999999999997" header="0" footer="0"/>
  <pageSetup paperSize="9" scale="83" firstPageNumber="0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N352"/>
  <sheetViews>
    <sheetView topLeftCell="A257" zoomScaleNormal="100" workbookViewId="0">
      <selection activeCell="R10" sqref="R10"/>
    </sheetView>
  </sheetViews>
  <sheetFormatPr defaultColWidth="14.5" defaultRowHeight="15"/>
  <cols>
    <col min="1" max="1" width="6.5" style="179" bestFit="1" customWidth="1"/>
    <col min="2" max="2" width="30.25" style="179" customWidth="1"/>
    <col min="3" max="3" width="135.75" style="179" customWidth="1"/>
    <col min="4" max="4" width="5.5" style="179" bestFit="1" customWidth="1"/>
    <col min="5" max="5" width="13" style="179" bestFit="1" customWidth="1"/>
    <col min="6" max="6" width="17.25" style="179" bestFit="1" customWidth="1"/>
    <col min="7" max="7" width="18.25" style="179" bestFit="1" customWidth="1"/>
    <col min="8" max="8" width="10.5" style="179" bestFit="1" customWidth="1"/>
    <col min="9" max="9" width="16" style="179" bestFit="1" customWidth="1"/>
    <col min="10" max="10" width="8.5" style="299" hidden="1" customWidth="1"/>
    <col min="11" max="11" width="8.5" style="179" hidden="1" customWidth="1"/>
    <col min="12" max="12" width="0" style="179" hidden="1" customWidth="1"/>
    <col min="13" max="13" width="7.25" style="179" hidden="1" customWidth="1"/>
    <col min="14" max="14" width="0" style="179" hidden="1" customWidth="1"/>
    <col min="15" max="16384" width="14.5" style="179"/>
  </cols>
  <sheetData>
    <row r="1" spans="1:14" ht="15.75">
      <c r="A1" s="223"/>
      <c r="B1" s="175" t="s">
        <v>3335</v>
      </c>
      <c r="C1" s="223"/>
      <c r="D1" s="223"/>
      <c r="E1" s="223"/>
      <c r="F1" s="223"/>
      <c r="G1" s="223"/>
      <c r="H1" s="223"/>
      <c r="I1" s="223"/>
      <c r="J1" s="224"/>
    </row>
    <row r="2" spans="1:14" ht="15.75">
      <c r="A2" s="223"/>
      <c r="B2" s="175" t="s">
        <v>3336</v>
      </c>
      <c r="C2" s="223"/>
      <c r="D2" s="223"/>
      <c r="E2" s="223"/>
      <c r="F2" s="223"/>
      <c r="G2" s="223"/>
      <c r="H2" s="223"/>
      <c r="I2" s="223"/>
      <c r="J2" s="224"/>
    </row>
    <row r="3" spans="1:14" ht="15.75">
      <c r="A3" s="223"/>
      <c r="B3" s="175"/>
      <c r="C3" s="223"/>
      <c r="D3" s="223"/>
      <c r="E3" s="223"/>
      <c r="F3" s="223"/>
      <c r="G3" s="223"/>
      <c r="H3" s="223"/>
      <c r="I3" s="223"/>
      <c r="J3" s="224"/>
    </row>
    <row r="4" spans="1:14" s="185" customFormat="1" ht="33.950000000000003" customHeight="1" thickBot="1">
      <c r="A4" s="225" t="s">
        <v>3369</v>
      </c>
      <c r="B4" s="225"/>
      <c r="C4" s="225"/>
      <c r="D4" s="225"/>
      <c r="E4" s="225"/>
      <c r="F4" s="225"/>
      <c r="G4" s="225"/>
      <c r="H4" s="225"/>
      <c r="I4" s="225"/>
      <c r="J4" s="226"/>
    </row>
    <row r="5" spans="1:14" ht="15.75" thickBot="1">
      <c r="A5" s="227" t="s">
        <v>3338</v>
      </c>
      <c r="B5" s="228" t="s">
        <v>3370</v>
      </c>
      <c r="C5" s="229" t="s">
        <v>3371</v>
      </c>
      <c r="D5" s="229" t="s">
        <v>3372</v>
      </c>
      <c r="E5" s="230" t="s">
        <v>3373</v>
      </c>
      <c r="F5" s="230" t="s">
        <v>3374</v>
      </c>
      <c r="G5" s="231" t="s">
        <v>3375</v>
      </c>
      <c r="H5" s="232" t="s">
        <v>3376</v>
      </c>
      <c r="I5" s="233" t="s">
        <v>3377</v>
      </c>
      <c r="J5" s="234" t="s">
        <v>3378</v>
      </c>
      <c r="K5" s="179" t="s">
        <v>3379</v>
      </c>
      <c r="L5" s="179" t="s">
        <v>3380</v>
      </c>
      <c r="M5" s="179" t="s">
        <v>3381</v>
      </c>
      <c r="N5" s="179" t="s">
        <v>3345</v>
      </c>
    </row>
    <row r="6" spans="1:14" s="223" customFormat="1" ht="20.100000000000001" customHeight="1">
      <c r="A6" s="235" t="s">
        <v>3382</v>
      </c>
      <c r="B6" s="236"/>
      <c r="E6" s="237"/>
      <c r="F6" s="237"/>
      <c r="G6" s="238"/>
      <c r="H6" s="239"/>
      <c r="I6" s="240"/>
      <c r="J6" s="224"/>
    </row>
    <row r="7" spans="1:14">
      <c r="A7" s="241"/>
      <c r="B7" s="242"/>
      <c r="C7" s="243" t="s">
        <v>3383</v>
      </c>
      <c r="D7" s="244"/>
      <c r="E7" s="245"/>
      <c r="F7" s="245"/>
      <c r="G7" s="246"/>
      <c r="H7" s="247"/>
      <c r="I7" s="248"/>
      <c r="J7" s="249"/>
      <c r="L7" s="179" t="s">
        <v>2190</v>
      </c>
      <c r="M7" s="179" t="s">
        <v>3384</v>
      </c>
    </row>
    <row r="8" spans="1:14">
      <c r="A8" s="241">
        <v>1</v>
      </c>
      <c r="B8" s="242"/>
      <c r="C8" s="250" t="s">
        <v>3385</v>
      </c>
      <c r="D8" s="244"/>
      <c r="E8" s="245">
        <v>0</v>
      </c>
      <c r="F8" s="245">
        <v>0</v>
      </c>
      <c r="G8" s="246">
        <f>E8*F8</f>
        <v>0</v>
      </c>
      <c r="H8" s="247" t="s">
        <v>2262</v>
      </c>
      <c r="I8" s="248" t="s">
        <v>2262</v>
      </c>
      <c r="J8" s="251" t="s">
        <v>804</v>
      </c>
      <c r="L8" s="179" t="s">
        <v>2190</v>
      </c>
      <c r="M8" s="252" t="s">
        <v>3384</v>
      </c>
    </row>
    <row r="9" spans="1:14">
      <c r="A9" s="241"/>
      <c r="B9" s="242"/>
      <c r="C9" s="253" t="s">
        <v>3386</v>
      </c>
      <c r="D9" s="244"/>
      <c r="E9" s="245"/>
      <c r="F9" s="254">
        <f>SUM(G8:G8)</f>
        <v>0</v>
      </c>
      <c r="G9" s="246"/>
      <c r="H9" s="247"/>
      <c r="I9" s="248"/>
      <c r="J9" s="251"/>
      <c r="M9" s="252" t="s">
        <v>3384</v>
      </c>
    </row>
    <row r="10" spans="1:14">
      <c r="A10" s="241"/>
      <c r="B10" s="242"/>
      <c r="C10" s="253" t="s">
        <v>3387</v>
      </c>
      <c r="D10" s="244"/>
      <c r="E10" s="245"/>
      <c r="F10" s="245"/>
      <c r="G10" s="246"/>
      <c r="H10" s="247"/>
      <c r="I10" s="248"/>
      <c r="J10" s="251"/>
      <c r="L10" s="179" t="s">
        <v>436</v>
      </c>
      <c r="M10" s="252" t="s">
        <v>3384</v>
      </c>
    </row>
    <row r="11" spans="1:14">
      <c r="A11" s="241">
        <v>2</v>
      </c>
      <c r="B11" s="242"/>
      <c r="C11" s="250" t="s">
        <v>3388</v>
      </c>
      <c r="D11" s="250" t="s">
        <v>2262</v>
      </c>
      <c r="E11" s="245">
        <v>0</v>
      </c>
      <c r="F11" s="245">
        <v>0</v>
      </c>
      <c r="G11" s="246">
        <f>E11*F11</f>
        <v>0</v>
      </c>
      <c r="H11" s="247">
        <v>0</v>
      </c>
      <c r="I11" s="248">
        <f>E11*H11</f>
        <v>0</v>
      </c>
      <c r="J11" s="251" t="s">
        <v>804</v>
      </c>
      <c r="L11" s="179" t="s">
        <v>436</v>
      </c>
      <c r="M11" s="252" t="s">
        <v>3384</v>
      </c>
    </row>
    <row r="12" spans="1:14">
      <c r="A12" s="241"/>
      <c r="B12" s="242"/>
      <c r="C12" s="253" t="s">
        <v>3386</v>
      </c>
      <c r="D12" s="250"/>
      <c r="E12" s="245"/>
      <c r="F12" s="254">
        <f>SUM(G11:G11)</f>
        <v>0</v>
      </c>
      <c r="G12" s="246"/>
      <c r="H12" s="247"/>
      <c r="I12" s="248"/>
      <c r="J12" s="251"/>
      <c r="M12" s="252" t="s">
        <v>3384</v>
      </c>
    </row>
    <row r="13" spans="1:14">
      <c r="A13" s="241"/>
      <c r="B13" s="242"/>
      <c r="C13" s="253" t="s">
        <v>3389</v>
      </c>
      <c r="D13" s="250"/>
      <c r="E13" s="245"/>
      <c r="F13" s="245"/>
      <c r="G13" s="246"/>
      <c r="H13" s="247"/>
      <c r="I13" s="248"/>
      <c r="J13" s="251"/>
      <c r="L13" s="179" t="s">
        <v>1548</v>
      </c>
      <c r="M13" s="252" t="s">
        <v>3384</v>
      </c>
    </row>
    <row r="14" spans="1:14">
      <c r="A14" s="241">
        <v>3</v>
      </c>
      <c r="B14" s="242"/>
      <c r="C14" s="250" t="s">
        <v>3390</v>
      </c>
      <c r="D14" s="244"/>
      <c r="E14" s="245">
        <v>0</v>
      </c>
      <c r="F14" s="245">
        <v>0</v>
      </c>
      <c r="G14" s="246">
        <f>E14*F14</f>
        <v>0</v>
      </c>
      <c r="H14" s="247">
        <v>0</v>
      </c>
      <c r="I14" s="248">
        <f>E14*H14</f>
        <v>0</v>
      </c>
      <c r="J14" s="251" t="s">
        <v>3391</v>
      </c>
      <c r="L14" s="179" t="s">
        <v>1548</v>
      </c>
      <c r="M14" s="252" t="s">
        <v>3384</v>
      </c>
    </row>
    <row r="15" spans="1:14">
      <c r="A15" s="241"/>
      <c r="B15" s="242"/>
      <c r="C15" s="253" t="s">
        <v>3386</v>
      </c>
      <c r="D15" s="244"/>
      <c r="E15" s="245"/>
      <c r="F15" s="254">
        <f>SUM(G14:G14)</f>
        <v>0</v>
      </c>
      <c r="G15" s="246"/>
      <c r="H15" s="247"/>
      <c r="I15" s="248"/>
      <c r="J15" s="251"/>
      <c r="M15" s="252" t="s">
        <v>3384</v>
      </c>
    </row>
    <row r="16" spans="1:14">
      <c r="A16" s="241"/>
      <c r="B16" s="242"/>
      <c r="C16" s="253" t="s">
        <v>3392</v>
      </c>
      <c r="D16" s="244"/>
      <c r="E16" s="245"/>
      <c r="F16" s="245"/>
      <c r="G16" s="246"/>
      <c r="H16" s="247"/>
      <c r="I16" s="248"/>
      <c r="J16" s="251"/>
      <c r="L16" s="179" t="s">
        <v>3144</v>
      </c>
      <c r="M16" s="252" t="s">
        <v>3384</v>
      </c>
    </row>
    <row r="17" spans="1:13">
      <c r="A17" s="241">
        <v>4</v>
      </c>
      <c r="B17" s="242"/>
      <c r="C17" s="250" t="s">
        <v>3393</v>
      </c>
      <c r="D17" s="244"/>
      <c r="E17" s="245">
        <v>0</v>
      </c>
      <c r="F17" s="245">
        <v>0</v>
      </c>
      <c r="G17" s="246">
        <f>E17*F17</f>
        <v>0</v>
      </c>
      <c r="H17" s="247" t="s">
        <v>2262</v>
      </c>
      <c r="I17" s="248" t="s">
        <v>2262</v>
      </c>
      <c r="J17" s="251" t="s">
        <v>804</v>
      </c>
      <c r="L17" s="179" t="s">
        <v>3144</v>
      </c>
      <c r="M17" s="252" t="s">
        <v>3384</v>
      </c>
    </row>
    <row r="18" spans="1:13">
      <c r="A18" s="241"/>
      <c r="B18" s="242"/>
      <c r="C18" s="253" t="s">
        <v>3386</v>
      </c>
      <c r="D18" s="244"/>
      <c r="E18" s="245"/>
      <c r="F18" s="254">
        <f>SUM(G17:G17)</f>
        <v>0</v>
      </c>
      <c r="G18" s="246"/>
      <c r="H18" s="247"/>
      <c r="I18" s="248"/>
      <c r="J18" s="251"/>
      <c r="M18" s="252" t="s">
        <v>3384</v>
      </c>
    </row>
    <row r="19" spans="1:13">
      <c r="A19" s="241"/>
      <c r="B19" s="242"/>
      <c r="C19" s="253" t="s">
        <v>3394</v>
      </c>
      <c r="D19" s="244"/>
      <c r="E19" s="245"/>
      <c r="F19" s="245"/>
      <c r="G19" s="246"/>
      <c r="H19" s="247"/>
      <c r="I19" s="248"/>
      <c r="J19" s="251"/>
      <c r="L19" s="179" t="s">
        <v>3395</v>
      </c>
      <c r="M19" s="252" t="s">
        <v>3384</v>
      </c>
    </row>
    <row r="20" spans="1:13">
      <c r="A20" s="241">
        <v>5</v>
      </c>
      <c r="B20" s="242"/>
      <c r="C20" s="250" t="s">
        <v>3396</v>
      </c>
      <c r="D20" s="244"/>
      <c r="E20" s="245">
        <v>0</v>
      </c>
      <c r="F20" s="245">
        <v>0</v>
      </c>
      <c r="G20" s="246">
        <f>E20*F20</f>
        <v>0</v>
      </c>
      <c r="H20" s="247" t="s">
        <v>2262</v>
      </c>
      <c r="I20" s="248" t="s">
        <v>2262</v>
      </c>
      <c r="J20" s="251" t="s">
        <v>804</v>
      </c>
      <c r="L20" s="179" t="s">
        <v>3395</v>
      </c>
      <c r="M20" s="252" t="s">
        <v>3384</v>
      </c>
    </row>
    <row r="21" spans="1:13" ht="15.75" thickBot="1">
      <c r="A21" s="255"/>
      <c r="B21" s="256"/>
      <c r="C21" s="257" t="s">
        <v>3386</v>
      </c>
      <c r="D21" s="258"/>
      <c r="E21" s="259"/>
      <c r="F21" s="260">
        <f>SUM(G20:G20)</f>
        <v>0</v>
      </c>
      <c r="G21" s="261"/>
      <c r="H21" s="262"/>
      <c r="I21" s="263"/>
      <c r="J21" s="264"/>
      <c r="M21" s="252" t="s">
        <v>3384</v>
      </c>
    </row>
    <row r="22" spans="1:13" s="274" customFormat="1" ht="14.25">
      <c r="A22" s="265"/>
      <c r="B22" s="266"/>
      <c r="C22" s="267" t="s">
        <v>3397</v>
      </c>
      <c r="D22" s="268"/>
      <c r="E22" s="269"/>
      <c r="F22" s="269"/>
      <c r="G22" s="270" t="s">
        <v>2262</v>
      </c>
      <c r="H22" s="271"/>
      <c r="I22" s="272" t="s">
        <v>2262</v>
      </c>
      <c r="J22" s="273"/>
      <c r="M22" s="275" t="s">
        <v>3384</v>
      </c>
    </row>
    <row r="23" spans="1:13" s="223" customFormat="1" ht="20.100000000000001" customHeight="1">
      <c r="A23" s="276" t="s">
        <v>3398</v>
      </c>
      <c r="B23" s="277"/>
      <c r="C23" s="278"/>
      <c r="D23" s="279"/>
      <c r="E23" s="280"/>
      <c r="F23" s="280"/>
      <c r="G23" s="281"/>
      <c r="H23" s="282"/>
      <c r="I23" s="283"/>
      <c r="J23" s="284"/>
      <c r="M23" s="285"/>
    </row>
    <row r="24" spans="1:13">
      <c r="A24" s="241">
        <v>6</v>
      </c>
      <c r="B24" s="242">
        <v>0</v>
      </c>
      <c r="C24" s="250" t="s">
        <v>3399</v>
      </c>
      <c r="D24" s="250" t="s">
        <v>2833</v>
      </c>
      <c r="E24" s="245">
        <v>1</v>
      </c>
      <c r="F24" s="563">
        <f>'Rekapitulace ROZVADĚČE SUMA'!F15</f>
        <v>0</v>
      </c>
      <c r="G24" s="246">
        <f t="shared" ref="G24:G33" si="0">E24*F24</f>
        <v>0</v>
      </c>
      <c r="H24" s="247">
        <v>0</v>
      </c>
      <c r="I24" s="248">
        <f t="shared" ref="I24:I33" si="1">E24*H24</f>
        <v>0</v>
      </c>
      <c r="J24" s="251" t="s">
        <v>804</v>
      </c>
      <c r="K24" s="179" t="s">
        <v>3400</v>
      </c>
      <c r="M24" s="252" t="s">
        <v>3401</v>
      </c>
    </row>
    <row r="25" spans="1:13">
      <c r="A25" s="241">
        <v>7</v>
      </c>
      <c r="B25" s="242">
        <v>0</v>
      </c>
      <c r="C25" s="250" t="s">
        <v>3402</v>
      </c>
      <c r="D25" s="250" t="s">
        <v>2833</v>
      </c>
      <c r="E25" s="245">
        <v>1</v>
      </c>
      <c r="F25" s="563">
        <f>'Rekapitulace ROZVADĚČE SUMA'!F42</f>
        <v>0</v>
      </c>
      <c r="G25" s="246">
        <f t="shared" si="0"/>
        <v>0</v>
      </c>
      <c r="H25" s="247">
        <v>0</v>
      </c>
      <c r="I25" s="248">
        <f t="shared" si="1"/>
        <v>0</v>
      </c>
      <c r="J25" s="251" t="s">
        <v>804</v>
      </c>
      <c r="K25" s="179" t="s">
        <v>3400</v>
      </c>
      <c r="M25" s="252" t="s">
        <v>3401</v>
      </c>
    </row>
    <row r="26" spans="1:13">
      <c r="A26" s="241">
        <v>8</v>
      </c>
      <c r="B26" s="242">
        <v>0</v>
      </c>
      <c r="C26" s="250" t="s">
        <v>3403</v>
      </c>
      <c r="D26" s="250" t="s">
        <v>2833</v>
      </c>
      <c r="E26" s="245">
        <v>1</v>
      </c>
      <c r="F26" s="563">
        <f>'Rekapitulace ROZVADĚČE SUMA'!F74</f>
        <v>0</v>
      </c>
      <c r="G26" s="246">
        <f t="shared" si="0"/>
        <v>0</v>
      </c>
      <c r="H26" s="247">
        <v>0</v>
      </c>
      <c r="I26" s="248">
        <f t="shared" si="1"/>
        <v>0</v>
      </c>
      <c r="J26" s="251" t="s">
        <v>804</v>
      </c>
      <c r="K26" s="179" t="s">
        <v>3400</v>
      </c>
      <c r="M26" s="252" t="s">
        <v>3401</v>
      </c>
    </row>
    <row r="27" spans="1:13">
      <c r="A27" s="241">
        <v>9</v>
      </c>
      <c r="B27" s="242">
        <v>0</v>
      </c>
      <c r="C27" s="250" t="s">
        <v>3404</v>
      </c>
      <c r="D27" s="250" t="s">
        <v>2833</v>
      </c>
      <c r="E27" s="245">
        <v>1</v>
      </c>
      <c r="F27" s="563">
        <f>'Rekapitulace ROZVADĚČE SUMA'!F103</f>
        <v>0</v>
      </c>
      <c r="G27" s="246">
        <f t="shared" si="0"/>
        <v>0</v>
      </c>
      <c r="H27" s="247">
        <v>0</v>
      </c>
      <c r="I27" s="248">
        <f t="shared" si="1"/>
        <v>0</v>
      </c>
      <c r="J27" s="251" t="s">
        <v>804</v>
      </c>
      <c r="K27" s="179" t="s">
        <v>3400</v>
      </c>
      <c r="M27" s="252" t="s">
        <v>3401</v>
      </c>
    </row>
    <row r="28" spans="1:13">
      <c r="A28" s="241">
        <v>10</v>
      </c>
      <c r="B28" s="242">
        <v>0</v>
      </c>
      <c r="C28" s="250" t="s">
        <v>3405</v>
      </c>
      <c r="D28" s="250" t="s">
        <v>2833</v>
      </c>
      <c r="E28" s="245">
        <v>1</v>
      </c>
      <c r="F28" s="563">
        <f>'Rekapitulace ROZVADĚČE SUMA'!F134</f>
        <v>0</v>
      </c>
      <c r="G28" s="246">
        <f t="shared" si="0"/>
        <v>0</v>
      </c>
      <c r="H28" s="247">
        <v>0</v>
      </c>
      <c r="I28" s="248">
        <f t="shared" si="1"/>
        <v>0</v>
      </c>
      <c r="J28" s="251" t="s">
        <v>804</v>
      </c>
      <c r="K28" s="179" t="s">
        <v>3400</v>
      </c>
      <c r="M28" s="252" t="s">
        <v>3401</v>
      </c>
    </row>
    <row r="29" spans="1:13">
      <c r="A29" s="241">
        <v>11</v>
      </c>
      <c r="B29" s="242">
        <v>0</v>
      </c>
      <c r="C29" s="250" t="s">
        <v>3406</v>
      </c>
      <c r="D29" s="250" t="s">
        <v>2833</v>
      </c>
      <c r="E29" s="245">
        <v>1</v>
      </c>
      <c r="F29" s="563">
        <f>'Rekapitulace ROZVADĚČE SUMA'!F161</f>
        <v>0</v>
      </c>
      <c r="G29" s="246">
        <f t="shared" si="0"/>
        <v>0</v>
      </c>
      <c r="H29" s="247">
        <v>0</v>
      </c>
      <c r="I29" s="248">
        <f t="shared" si="1"/>
        <v>0</v>
      </c>
      <c r="J29" s="251" t="s">
        <v>804</v>
      </c>
      <c r="K29" s="179" t="s">
        <v>3400</v>
      </c>
      <c r="M29" s="252" t="s">
        <v>3401</v>
      </c>
    </row>
    <row r="30" spans="1:13">
      <c r="A30" s="241">
        <v>12</v>
      </c>
      <c r="B30" s="242">
        <v>0</v>
      </c>
      <c r="C30" s="250" t="s">
        <v>3407</v>
      </c>
      <c r="D30" s="250" t="s">
        <v>2833</v>
      </c>
      <c r="E30" s="245">
        <v>1</v>
      </c>
      <c r="F30" s="563">
        <f>'Rekapitulace ROZVADĚČE SUMA'!F189</f>
        <v>0</v>
      </c>
      <c r="G30" s="246">
        <f t="shared" si="0"/>
        <v>0</v>
      </c>
      <c r="H30" s="247">
        <v>0</v>
      </c>
      <c r="I30" s="248">
        <f t="shared" si="1"/>
        <v>0</v>
      </c>
      <c r="J30" s="251" t="s">
        <v>804</v>
      </c>
      <c r="K30" s="179" t="s">
        <v>3400</v>
      </c>
      <c r="M30" s="252" t="s">
        <v>3401</v>
      </c>
    </row>
    <row r="31" spans="1:13">
      <c r="A31" s="241">
        <v>13</v>
      </c>
      <c r="B31" s="242">
        <v>0</v>
      </c>
      <c r="C31" s="250" t="s">
        <v>3408</v>
      </c>
      <c r="D31" s="250" t="s">
        <v>2833</v>
      </c>
      <c r="E31" s="245">
        <v>1</v>
      </c>
      <c r="F31" s="563">
        <f>'Rekapitulace ROZVADĚČE SUMA'!F217</f>
        <v>0</v>
      </c>
      <c r="G31" s="246">
        <f t="shared" si="0"/>
        <v>0</v>
      </c>
      <c r="H31" s="247">
        <v>0</v>
      </c>
      <c r="I31" s="248">
        <f t="shared" si="1"/>
        <v>0</v>
      </c>
      <c r="J31" s="251" t="s">
        <v>804</v>
      </c>
      <c r="K31" s="179" t="s">
        <v>3400</v>
      </c>
      <c r="M31" s="252" t="s">
        <v>3401</v>
      </c>
    </row>
    <row r="32" spans="1:13">
      <c r="A32" s="241">
        <v>14</v>
      </c>
      <c r="B32" s="242">
        <v>0</v>
      </c>
      <c r="C32" s="250" t="s">
        <v>3409</v>
      </c>
      <c r="D32" s="250" t="s">
        <v>2833</v>
      </c>
      <c r="E32" s="245">
        <v>1</v>
      </c>
      <c r="F32" s="563">
        <f>'Rekapitulace ROZVADĚČE SUMA'!F249</f>
        <v>0</v>
      </c>
      <c r="G32" s="246">
        <f t="shared" si="0"/>
        <v>0</v>
      </c>
      <c r="H32" s="247">
        <v>0</v>
      </c>
      <c r="I32" s="248">
        <f t="shared" si="1"/>
        <v>0</v>
      </c>
      <c r="J32" s="251" t="s">
        <v>804</v>
      </c>
      <c r="K32" s="179" t="s">
        <v>3400</v>
      </c>
      <c r="M32" s="252" t="s">
        <v>3401</v>
      </c>
    </row>
    <row r="33" spans="1:13">
      <c r="A33" s="241">
        <v>15</v>
      </c>
      <c r="B33" s="242">
        <v>0</v>
      </c>
      <c r="C33" s="250" t="s">
        <v>3410</v>
      </c>
      <c r="D33" s="250" t="s">
        <v>2833</v>
      </c>
      <c r="E33" s="245">
        <v>1</v>
      </c>
      <c r="F33" s="563">
        <f>'Rekapitulace ROZVADĚČE SUMA'!F277</f>
        <v>0</v>
      </c>
      <c r="G33" s="246">
        <f t="shared" si="0"/>
        <v>0</v>
      </c>
      <c r="H33" s="247">
        <v>0</v>
      </c>
      <c r="I33" s="248">
        <f t="shared" si="1"/>
        <v>0</v>
      </c>
      <c r="J33" s="251" t="s">
        <v>804</v>
      </c>
      <c r="K33" s="179" t="s">
        <v>3400</v>
      </c>
      <c r="M33" s="252" t="s">
        <v>3401</v>
      </c>
    </row>
    <row r="34" spans="1:13">
      <c r="A34" s="241"/>
      <c r="B34" s="242"/>
      <c r="C34" s="253" t="s">
        <v>3383</v>
      </c>
      <c r="D34" s="250"/>
      <c r="E34" s="245"/>
      <c r="F34" s="245"/>
      <c r="G34" s="246"/>
      <c r="H34" s="247"/>
      <c r="I34" s="248"/>
      <c r="J34" s="251"/>
      <c r="L34" s="179" t="s">
        <v>2190</v>
      </c>
      <c r="M34" s="252" t="s">
        <v>3401</v>
      </c>
    </row>
    <row r="35" spans="1:13">
      <c r="A35" s="241">
        <v>16</v>
      </c>
      <c r="B35" s="242">
        <v>509106</v>
      </c>
      <c r="C35" s="250" t="s">
        <v>3411</v>
      </c>
      <c r="D35" s="250" t="s">
        <v>2833</v>
      </c>
      <c r="E35" s="245">
        <v>12</v>
      </c>
      <c r="F35" s="559"/>
      <c r="G35" s="246">
        <f>E35*F35</f>
        <v>0</v>
      </c>
      <c r="H35" s="247">
        <v>0</v>
      </c>
      <c r="I35" s="248">
        <f>E35*H35</f>
        <v>0</v>
      </c>
      <c r="J35" s="251" t="s">
        <v>3391</v>
      </c>
      <c r="K35" s="179" t="s">
        <v>3400</v>
      </c>
      <c r="L35" s="179" t="s">
        <v>2190</v>
      </c>
      <c r="M35" s="252" t="s">
        <v>3401</v>
      </c>
    </row>
    <row r="36" spans="1:13">
      <c r="A36" s="241">
        <v>17</v>
      </c>
      <c r="B36" s="242">
        <v>509001</v>
      </c>
      <c r="C36" s="250" t="s">
        <v>3412</v>
      </c>
      <c r="D36" s="250" t="s">
        <v>2833</v>
      </c>
      <c r="E36" s="245">
        <v>2</v>
      </c>
      <c r="F36" s="559"/>
      <c r="G36" s="246">
        <f>E36*F36</f>
        <v>0</v>
      </c>
      <c r="H36" s="247">
        <v>0</v>
      </c>
      <c r="I36" s="248">
        <f>E36*H36</f>
        <v>0</v>
      </c>
      <c r="J36" s="251" t="s">
        <v>3391</v>
      </c>
      <c r="K36" s="179" t="s">
        <v>3400</v>
      </c>
      <c r="L36" s="179" t="s">
        <v>2190</v>
      </c>
      <c r="M36" s="252" t="s">
        <v>3401</v>
      </c>
    </row>
    <row r="37" spans="1:13">
      <c r="A37" s="241"/>
      <c r="B37" s="242"/>
      <c r="C37" s="253" t="s">
        <v>3386</v>
      </c>
      <c r="D37" s="250"/>
      <c r="E37" s="245"/>
      <c r="F37" s="254">
        <f>SUM(G35:G36)</f>
        <v>0</v>
      </c>
      <c r="G37" s="246"/>
      <c r="H37" s="247"/>
      <c r="I37" s="248"/>
      <c r="J37" s="251"/>
      <c r="M37" s="252" t="s">
        <v>3401</v>
      </c>
    </row>
    <row r="38" spans="1:13">
      <c r="A38" s="241"/>
      <c r="B38" s="242"/>
      <c r="C38" s="253" t="s">
        <v>3387</v>
      </c>
      <c r="D38" s="250"/>
      <c r="E38" s="245"/>
      <c r="F38" s="245"/>
      <c r="G38" s="246"/>
      <c r="H38" s="247"/>
      <c r="I38" s="248"/>
      <c r="J38" s="251"/>
      <c r="L38" s="179" t="s">
        <v>436</v>
      </c>
      <c r="M38" s="252" t="s">
        <v>3401</v>
      </c>
    </row>
    <row r="39" spans="1:13">
      <c r="A39" s="241">
        <v>18</v>
      </c>
      <c r="B39" s="242">
        <v>509106</v>
      </c>
      <c r="C39" s="250" t="s">
        <v>3413</v>
      </c>
      <c r="D39" s="250" t="s">
        <v>2833</v>
      </c>
      <c r="E39" s="245">
        <v>24</v>
      </c>
      <c r="F39" s="559"/>
      <c r="G39" s="246">
        <f t="shared" ref="G39:G45" si="2">E39*F39</f>
        <v>0</v>
      </c>
      <c r="H39" s="247">
        <v>0</v>
      </c>
      <c r="I39" s="248">
        <f t="shared" ref="I39:I45" si="3">E39*H39</f>
        <v>0</v>
      </c>
      <c r="J39" s="251" t="s">
        <v>3391</v>
      </c>
      <c r="K39" s="179" t="s">
        <v>3400</v>
      </c>
      <c r="L39" s="179" t="s">
        <v>436</v>
      </c>
      <c r="M39" s="252" t="s">
        <v>3401</v>
      </c>
    </row>
    <row r="40" spans="1:13">
      <c r="A40" s="241">
        <v>19</v>
      </c>
      <c r="B40" s="242">
        <v>509101</v>
      </c>
      <c r="C40" s="250" t="s">
        <v>3414</v>
      </c>
      <c r="D40" s="250" t="s">
        <v>2833</v>
      </c>
      <c r="E40" s="245">
        <v>14</v>
      </c>
      <c r="F40" s="559"/>
      <c r="G40" s="246">
        <f t="shared" si="2"/>
        <v>0</v>
      </c>
      <c r="H40" s="247">
        <v>0</v>
      </c>
      <c r="I40" s="248">
        <f t="shared" si="3"/>
        <v>0</v>
      </c>
      <c r="J40" s="251" t="s">
        <v>3391</v>
      </c>
      <c r="K40" s="179" t="s">
        <v>3400</v>
      </c>
      <c r="L40" s="179" t="s">
        <v>436</v>
      </c>
      <c r="M40" s="252" t="s">
        <v>3401</v>
      </c>
    </row>
    <row r="41" spans="1:13">
      <c r="A41" s="241">
        <v>20</v>
      </c>
      <c r="B41" s="242">
        <v>509104</v>
      </c>
      <c r="C41" s="250" t="s">
        <v>3415</v>
      </c>
      <c r="D41" s="250" t="s">
        <v>2833</v>
      </c>
      <c r="E41" s="245">
        <v>4</v>
      </c>
      <c r="F41" s="559"/>
      <c r="G41" s="246">
        <f t="shared" si="2"/>
        <v>0</v>
      </c>
      <c r="H41" s="247">
        <v>0</v>
      </c>
      <c r="I41" s="248">
        <f t="shared" si="3"/>
        <v>0</v>
      </c>
      <c r="J41" s="251" t="s">
        <v>3391</v>
      </c>
      <c r="K41" s="179" t="s">
        <v>3400</v>
      </c>
      <c r="L41" s="179" t="s">
        <v>436</v>
      </c>
      <c r="M41" s="252" t="s">
        <v>3401</v>
      </c>
    </row>
    <row r="42" spans="1:13">
      <c r="A42" s="241">
        <v>21</v>
      </c>
      <c r="B42" s="242">
        <v>509127</v>
      </c>
      <c r="C42" s="250" t="s">
        <v>3416</v>
      </c>
      <c r="D42" s="250" t="s">
        <v>2833</v>
      </c>
      <c r="E42" s="245">
        <v>12</v>
      </c>
      <c r="F42" s="559"/>
      <c r="G42" s="246">
        <f t="shared" si="2"/>
        <v>0</v>
      </c>
      <c r="H42" s="247">
        <v>0</v>
      </c>
      <c r="I42" s="248">
        <f t="shared" si="3"/>
        <v>0</v>
      </c>
      <c r="J42" s="251" t="s">
        <v>3391</v>
      </c>
      <c r="K42" s="179" t="s">
        <v>3400</v>
      </c>
      <c r="L42" s="179" t="s">
        <v>436</v>
      </c>
      <c r="M42" s="252" t="s">
        <v>3401</v>
      </c>
    </row>
    <row r="43" spans="1:13">
      <c r="A43" s="241">
        <v>22</v>
      </c>
      <c r="B43" s="242">
        <v>509001</v>
      </c>
      <c r="C43" s="250" t="s">
        <v>3417</v>
      </c>
      <c r="D43" s="250" t="s">
        <v>2833</v>
      </c>
      <c r="E43" s="245">
        <v>17</v>
      </c>
      <c r="F43" s="559"/>
      <c r="G43" s="246">
        <f t="shared" si="2"/>
        <v>0</v>
      </c>
      <c r="H43" s="247">
        <v>0</v>
      </c>
      <c r="I43" s="248">
        <f t="shared" si="3"/>
        <v>0</v>
      </c>
      <c r="J43" s="251" t="s">
        <v>3391</v>
      </c>
      <c r="K43" s="179" t="s">
        <v>3400</v>
      </c>
      <c r="L43" s="179" t="s">
        <v>436</v>
      </c>
      <c r="M43" s="252" t="s">
        <v>3401</v>
      </c>
    </row>
    <row r="44" spans="1:13">
      <c r="A44" s="241">
        <v>23</v>
      </c>
      <c r="B44" s="242">
        <v>551111</v>
      </c>
      <c r="C44" s="250" t="s">
        <v>3418</v>
      </c>
      <c r="D44" s="250" t="s">
        <v>2833</v>
      </c>
      <c r="E44" s="245">
        <v>10</v>
      </c>
      <c r="F44" s="559"/>
      <c r="G44" s="246">
        <f t="shared" si="2"/>
        <v>0</v>
      </c>
      <c r="H44" s="247">
        <v>0</v>
      </c>
      <c r="I44" s="248">
        <f t="shared" si="3"/>
        <v>0</v>
      </c>
      <c r="J44" s="251" t="s">
        <v>3391</v>
      </c>
      <c r="K44" s="179" t="s">
        <v>3400</v>
      </c>
      <c r="L44" s="179" t="s">
        <v>436</v>
      </c>
      <c r="M44" s="252" t="s">
        <v>3401</v>
      </c>
    </row>
    <row r="45" spans="1:13">
      <c r="A45" s="241">
        <v>24</v>
      </c>
      <c r="B45" s="242">
        <v>509107</v>
      </c>
      <c r="C45" s="250" t="s">
        <v>3419</v>
      </c>
      <c r="D45" s="250" t="s">
        <v>2833</v>
      </c>
      <c r="E45" s="245">
        <v>2</v>
      </c>
      <c r="F45" s="559"/>
      <c r="G45" s="246">
        <f t="shared" si="2"/>
        <v>0</v>
      </c>
      <c r="H45" s="247">
        <v>0</v>
      </c>
      <c r="I45" s="248">
        <f t="shared" si="3"/>
        <v>0</v>
      </c>
      <c r="J45" s="251" t="s">
        <v>3391</v>
      </c>
      <c r="K45" s="179" t="s">
        <v>3400</v>
      </c>
      <c r="L45" s="179" t="s">
        <v>436</v>
      </c>
      <c r="M45" s="252" t="s">
        <v>3401</v>
      </c>
    </row>
    <row r="46" spans="1:13">
      <c r="A46" s="241"/>
      <c r="B46" s="242"/>
      <c r="C46" s="253" t="s">
        <v>3386</v>
      </c>
      <c r="D46" s="250"/>
      <c r="E46" s="245"/>
      <c r="F46" s="254">
        <f>SUM(G39:G45)</f>
        <v>0</v>
      </c>
      <c r="G46" s="246"/>
      <c r="H46" s="247"/>
      <c r="I46" s="248"/>
      <c r="J46" s="251"/>
      <c r="M46" s="252" t="s">
        <v>3401</v>
      </c>
    </row>
    <row r="47" spans="1:13">
      <c r="A47" s="241"/>
      <c r="B47" s="242"/>
      <c r="C47" s="253" t="s">
        <v>3389</v>
      </c>
      <c r="D47" s="250"/>
      <c r="E47" s="245"/>
      <c r="F47" s="245"/>
      <c r="G47" s="246"/>
      <c r="H47" s="247"/>
      <c r="I47" s="248"/>
      <c r="J47" s="251"/>
      <c r="L47" s="179" t="s">
        <v>1548</v>
      </c>
      <c r="M47" s="252" t="s">
        <v>3401</v>
      </c>
    </row>
    <row r="48" spans="1:13">
      <c r="A48" s="241">
        <v>25</v>
      </c>
      <c r="B48" s="242">
        <v>509107</v>
      </c>
      <c r="C48" s="250" t="s">
        <v>3420</v>
      </c>
      <c r="D48" s="250" t="s">
        <v>2833</v>
      </c>
      <c r="E48" s="245">
        <v>4</v>
      </c>
      <c r="F48" s="559"/>
      <c r="G48" s="246">
        <f>E48*F48</f>
        <v>0</v>
      </c>
      <c r="H48" s="247">
        <v>0</v>
      </c>
      <c r="I48" s="248">
        <f>E48*H48</f>
        <v>0</v>
      </c>
      <c r="J48" s="251" t="s">
        <v>3391</v>
      </c>
      <c r="K48" s="179" t="s">
        <v>3400</v>
      </c>
      <c r="L48" s="179" t="s">
        <v>1548</v>
      </c>
      <c r="M48" s="252" t="s">
        <v>3401</v>
      </c>
    </row>
    <row r="49" spans="1:14">
      <c r="A49" s="241">
        <v>26</v>
      </c>
      <c r="B49" s="242">
        <v>509101</v>
      </c>
      <c r="C49" s="250" t="s">
        <v>3421</v>
      </c>
      <c r="D49" s="250" t="s">
        <v>2833</v>
      </c>
      <c r="E49" s="245">
        <v>6</v>
      </c>
      <c r="F49" s="559"/>
      <c r="G49" s="246">
        <f>E49*F49</f>
        <v>0</v>
      </c>
      <c r="H49" s="247">
        <v>0</v>
      </c>
      <c r="I49" s="248">
        <f>E49*H49</f>
        <v>0</v>
      </c>
      <c r="J49" s="251" t="s">
        <v>3391</v>
      </c>
      <c r="K49" s="179" t="s">
        <v>3400</v>
      </c>
      <c r="L49" s="179" t="s">
        <v>1548</v>
      </c>
      <c r="M49" s="252" t="s">
        <v>3401</v>
      </c>
    </row>
    <row r="50" spans="1:14">
      <c r="A50" s="241">
        <v>27</v>
      </c>
      <c r="B50" s="242">
        <v>509622</v>
      </c>
      <c r="C50" s="250" t="s">
        <v>3422</v>
      </c>
      <c r="D50" s="250" t="s">
        <v>2833</v>
      </c>
      <c r="E50" s="245">
        <v>5</v>
      </c>
      <c r="F50" s="559"/>
      <c r="G50" s="246">
        <f>E50*F50</f>
        <v>0</v>
      </c>
      <c r="H50" s="247">
        <v>0</v>
      </c>
      <c r="I50" s="248">
        <f>E50*H50</f>
        <v>0</v>
      </c>
      <c r="J50" s="251" t="s">
        <v>804</v>
      </c>
      <c r="K50" s="179" t="s">
        <v>3400</v>
      </c>
      <c r="L50" s="179" t="s">
        <v>1548</v>
      </c>
      <c r="M50" s="252" t="s">
        <v>3401</v>
      </c>
    </row>
    <row r="51" spans="1:14">
      <c r="A51" s="241"/>
      <c r="B51" s="242"/>
      <c r="C51" s="253" t="s">
        <v>3386</v>
      </c>
      <c r="D51" s="250"/>
      <c r="E51" s="245"/>
      <c r="F51" s="254">
        <f>SUM(G48:G50)</f>
        <v>0</v>
      </c>
      <c r="G51" s="246"/>
      <c r="H51" s="247"/>
      <c r="I51" s="248"/>
      <c r="J51" s="251"/>
      <c r="M51" s="252" t="s">
        <v>3401</v>
      </c>
    </row>
    <row r="52" spans="1:14">
      <c r="A52" s="241"/>
      <c r="B52" s="242"/>
      <c r="C52" s="253" t="s">
        <v>3392</v>
      </c>
      <c r="D52" s="250"/>
      <c r="E52" s="245"/>
      <c r="F52" s="245"/>
      <c r="G52" s="246"/>
      <c r="H52" s="247"/>
      <c r="I52" s="248"/>
      <c r="J52" s="251"/>
      <c r="L52" s="179" t="s">
        <v>3144</v>
      </c>
      <c r="M52" s="252" t="s">
        <v>3401</v>
      </c>
    </row>
    <row r="53" spans="1:14">
      <c r="A53" s="241">
        <v>28</v>
      </c>
      <c r="B53" s="242">
        <v>509001</v>
      </c>
      <c r="C53" s="250" t="s">
        <v>3412</v>
      </c>
      <c r="D53" s="250" t="s">
        <v>2833</v>
      </c>
      <c r="E53" s="245">
        <v>16</v>
      </c>
      <c r="F53" s="559"/>
      <c r="G53" s="246">
        <f>E53*F53</f>
        <v>0</v>
      </c>
      <c r="H53" s="247">
        <v>0</v>
      </c>
      <c r="I53" s="248">
        <f>E53*H53</f>
        <v>0</v>
      </c>
      <c r="J53" s="251" t="s">
        <v>3391</v>
      </c>
      <c r="K53" s="179" t="s">
        <v>3400</v>
      </c>
      <c r="L53" s="179" t="s">
        <v>3144</v>
      </c>
      <c r="M53" s="252" t="s">
        <v>3401</v>
      </c>
    </row>
    <row r="54" spans="1:14" ht="15.75" thickBot="1">
      <c r="A54" s="255"/>
      <c r="B54" s="256"/>
      <c r="C54" s="257" t="s">
        <v>3386</v>
      </c>
      <c r="D54" s="286"/>
      <c r="E54" s="259"/>
      <c r="F54" s="260">
        <f>SUM(G53:G53)</f>
        <v>0</v>
      </c>
      <c r="G54" s="261"/>
      <c r="H54" s="262"/>
      <c r="I54" s="263"/>
      <c r="J54" s="264"/>
      <c r="M54" s="252" t="s">
        <v>3401</v>
      </c>
    </row>
    <row r="55" spans="1:14" s="274" customFormat="1" ht="14.25">
      <c r="A55" s="265"/>
      <c r="B55" s="266"/>
      <c r="C55" s="267" t="s">
        <v>3397</v>
      </c>
      <c r="D55" s="267"/>
      <c r="E55" s="269"/>
      <c r="F55" s="269"/>
      <c r="G55" s="270">
        <f>SUM(G24:G54)</f>
        <v>0</v>
      </c>
      <c r="H55" s="271"/>
      <c r="I55" s="272">
        <f>SUM(I24:I54)</f>
        <v>0</v>
      </c>
      <c r="J55" s="273"/>
      <c r="M55" s="275" t="s">
        <v>3401</v>
      </c>
    </row>
    <row r="56" spans="1:14" s="223" customFormat="1" ht="20.100000000000001" customHeight="1">
      <c r="A56" s="276" t="s">
        <v>3423</v>
      </c>
      <c r="B56" s="277"/>
      <c r="C56" s="278"/>
      <c r="D56" s="278"/>
      <c r="E56" s="280"/>
      <c r="F56" s="280"/>
      <c r="G56" s="281"/>
      <c r="H56" s="282"/>
      <c r="I56" s="283"/>
      <c r="J56" s="284"/>
      <c r="M56" s="285"/>
    </row>
    <row r="57" spans="1:14">
      <c r="A57" s="241"/>
      <c r="B57" s="242"/>
      <c r="C57" s="253" t="s">
        <v>3383</v>
      </c>
      <c r="D57" s="250"/>
      <c r="E57" s="245"/>
      <c r="F57" s="245"/>
      <c r="G57" s="246"/>
      <c r="H57" s="247"/>
      <c r="I57" s="248"/>
      <c r="J57" s="251"/>
      <c r="L57" s="179" t="s">
        <v>2190</v>
      </c>
      <c r="M57" s="252" t="s">
        <v>3424</v>
      </c>
    </row>
    <row r="58" spans="1:14">
      <c r="A58" s="241">
        <v>29</v>
      </c>
      <c r="B58" s="242">
        <v>171207</v>
      </c>
      <c r="C58" s="250" t="s">
        <v>3425</v>
      </c>
      <c r="D58" s="250" t="s">
        <v>2019</v>
      </c>
      <c r="E58" s="245">
        <v>10</v>
      </c>
      <c r="F58" s="559"/>
      <c r="G58" s="246">
        <f t="shared" ref="G58:G67" si="4">E58*F58</f>
        <v>0</v>
      </c>
      <c r="H58" s="247">
        <v>0</v>
      </c>
      <c r="I58" s="248">
        <f t="shared" ref="I58:I67" si="5">E58*H58</f>
        <v>0</v>
      </c>
      <c r="J58" s="251" t="s">
        <v>804</v>
      </c>
      <c r="K58" s="179" t="s">
        <v>3400</v>
      </c>
      <c r="L58" s="179" t="s">
        <v>2190</v>
      </c>
      <c r="M58" s="252" t="s">
        <v>3424</v>
      </c>
      <c r="N58" s="179">
        <f t="shared" ref="N58:N63" si="6">E58*F58</f>
        <v>0</v>
      </c>
    </row>
    <row r="59" spans="1:14">
      <c r="A59" s="241">
        <v>30</v>
      </c>
      <c r="B59" s="242">
        <v>101005</v>
      </c>
      <c r="C59" s="250" t="s">
        <v>3426</v>
      </c>
      <c r="D59" s="250" t="s">
        <v>2019</v>
      </c>
      <c r="E59" s="245">
        <v>30</v>
      </c>
      <c r="F59" s="559"/>
      <c r="G59" s="246">
        <f t="shared" si="4"/>
        <v>0</v>
      </c>
      <c r="H59" s="247">
        <v>0</v>
      </c>
      <c r="I59" s="248">
        <f t="shared" si="5"/>
        <v>0</v>
      </c>
      <c r="J59" s="251" t="s">
        <v>804</v>
      </c>
      <c r="K59" s="179" t="s">
        <v>3400</v>
      </c>
      <c r="L59" s="179" t="s">
        <v>2190</v>
      </c>
      <c r="M59" s="252" t="s">
        <v>3424</v>
      </c>
      <c r="N59" s="179">
        <f t="shared" si="6"/>
        <v>0</v>
      </c>
    </row>
    <row r="60" spans="1:14">
      <c r="A60" s="241">
        <v>31</v>
      </c>
      <c r="B60" s="242">
        <v>101105</v>
      </c>
      <c r="C60" s="250" t="s">
        <v>3427</v>
      </c>
      <c r="D60" s="250" t="s">
        <v>2019</v>
      </c>
      <c r="E60" s="245">
        <v>90</v>
      </c>
      <c r="F60" s="559"/>
      <c r="G60" s="246">
        <f t="shared" si="4"/>
        <v>0</v>
      </c>
      <c r="H60" s="247">
        <v>0</v>
      </c>
      <c r="I60" s="248">
        <f t="shared" si="5"/>
        <v>0</v>
      </c>
      <c r="J60" s="251" t="s">
        <v>804</v>
      </c>
      <c r="K60" s="179" t="s">
        <v>3400</v>
      </c>
      <c r="L60" s="179" t="s">
        <v>2190</v>
      </c>
      <c r="M60" s="252" t="s">
        <v>3424</v>
      </c>
      <c r="N60" s="179">
        <f t="shared" si="6"/>
        <v>0</v>
      </c>
    </row>
    <row r="61" spans="1:14">
      <c r="A61" s="241">
        <v>32</v>
      </c>
      <c r="B61" s="242">
        <v>101106</v>
      </c>
      <c r="C61" s="250" t="s">
        <v>3428</v>
      </c>
      <c r="D61" s="250" t="s">
        <v>2019</v>
      </c>
      <c r="E61" s="245">
        <v>65</v>
      </c>
      <c r="F61" s="559"/>
      <c r="G61" s="246">
        <f t="shared" si="4"/>
        <v>0</v>
      </c>
      <c r="H61" s="247">
        <v>0</v>
      </c>
      <c r="I61" s="248">
        <f t="shared" si="5"/>
        <v>0</v>
      </c>
      <c r="J61" s="251" t="s">
        <v>804</v>
      </c>
      <c r="K61" s="179" t="s">
        <v>3400</v>
      </c>
      <c r="L61" s="179" t="s">
        <v>2190</v>
      </c>
      <c r="M61" s="252" t="s">
        <v>3424</v>
      </c>
      <c r="N61" s="179">
        <f t="shared" si="6"/>
        <v>0</v>
      </c>
    </row>
    <row r="62" spans="1:14">
      <c r="A62" s="241">
        <v>33</v>
      </c>
      <c r="B62" s="242">
        <v>101305</v>
      </c>
      <c r="C62" s="250" t="s">
        <v>3429</v>
      </c>
      <c r="D62" s="250" t="s">
        <v>2019</v>
      </c>
      <c r="E62" s="245">
        <v>10</v>
      </c>
      <c r="F62" s="559"/>
      <c r="G62" s="246">
        <f t="shared" si="4"/>
        <v>0</v>
      </c>
      <c r="H62" s="247">
        <v>0</v>
      </c>
      <c r="I62" s="248">
        <f t="shared" si="5"/>
        <v>0</v>
      </c>
      <c r="J62" s="251" t="s">
        <v>804</v>
      </c>
      <c r="K62" s="179" t="s">
        <v>3400</v>
      </c>
      <c r="L62" s="179" t="s">
        <v>2190</v>
      </c>
      <c r="M62" s="252" t="s">
        <v>3424</v>
      </c>
      <c r="N62" s="179">
        <f t="shared" si="6"/>
        <v>0</v>
      </c>
    </row>
    <row r="63" spans="1:14">
      <c r="A63" s="241">
        <v>34</v>
      </c>
      <c r="B63" s="242">
        <v>101307</v>
      </c>
      <c r="C63" s="250" t="s">
        <v>3430</v>
      </c>
      <c r="D63" s="250" t="s">
        <v>2019</v>
      </c>
      <c r="E63" s="245">
        <v>5</v>
      </c>
      <c r="F63" s="559"/>
      <c r="G63" s="246">
        <f t="shared" si="4"/>
        <v>0</v>
      </c>
      <c r="H63" s="247">
        <v>0</v>
      </c>
      <c r="I63" s="248">
        <f t="shared" si="5"/>
        <v>0</v>
      </c>
      <c r="J63" s="251" t="s">
        <v>804</v>
      </c>
      <c r="K63" s="179" t="s">
        <v>3400</v>
      </c>
      <c r="L63" s="179" t="s">
        <v>2190</v>
      </c>
      <c r="M63" s="252" t="s">
        <v>3424</v>
      </c>
      <c r="N63" s="179">
        <f t="shared" si="6"/>
        <v>0</v>
      </c>
    </row>
    <row r="64" spans="1:14">
      <c r="A64" s="241">
        <v>35</v>
      </c>
      <c r="B64" s="242">
        <v>311115</v>
      </c>
      <c r="C64" s="250" t="s">
        <v>3431</v>
      </c>
      <c r="D64" s="250" t="s">
        <v>2833</v>
      </c>
      <c r="E64" s="245">
        <v>13</v>
      </c>
      <c r="F64" s="559"/>
      <c r="G64" s="246">
        <f t="shared" si="4"/>
        <v>0</v>
      </c>
      <c r="H64" s="247">
        <v>0</v>
      </c>
      <c r="I64" s="248">
        <f t="shared" si="5"/>
        <v>0</v>
      </c>
      <c r="J64" s="251" t="s">
        <v>804</v>
      </c>
      <c r="K64" s="179" t="s">
        <v>3400</v>
      </c>
      <c r="L64" s="179" t="s">
        <v>2190</v>
      </c>
      <c r="M64" s="252" t="s">
        <v>3424</v>
      </c>
    </row>
    <row r="65" spans="1:14">
      <c r="A65" s="241">
        <v>36</v>
      </c>
      <c r="B65" s="242">
        <v>311117</v>
      </c>
      <c r="C65" s="250" t="s">
        <v>3432</v>
      </c>
      <c r="D65" s="250" t="s">
        <v>2833</v>
      </c>
      <c r="E65" s="245">
        <v>14</v>
      </c>
      <c r="F65" s="559"/>
      <c r="G65" s="246">
        <f t="shared" si="4"/>
        <v>0</v>
      </c>
      <c r="H65" s="247">
        <v>0</v>
      </c>
      <c r="I65" s="248">
        <f t="shared" si="5"/>
        <v>0</v>
      </c>
      <c r="J65" s="251" t="s">
        <v>804</v>
      </c>
      <c r="K65" s="179" t="s">
        <v>3400</v>
      </c>
      <c r="L65" s="179" t="s">
        <v>2190</v>
      </c>
      <c r="M65" s="252" t="s">
        <v>3424</v>
      </c>
    </row>
    <row r="66" spans="1:14">
      <c r="A66" s="241">
        <v>37</v>
      </c>
      <c r="B66" s="242">
        <v>409011</v>
      </c>
      <c r="C66" s="250" t="s">
        <v>3433</v>
      </c>
      <c r="D66" s="250" t="s">
        <v>2833</v>
      </c>
      <c r="E66" s="245">
        <v>5</v>
      </c>
      <c r="F66" s="559"/>
      <c r="G66" s="246">
        <f t="shared" si="4"/>
        <v>0</v>
      </c>
      <c r="H66" s="247">
        <v>0</v>
      </c>
      <c r="I66" s="248">
        <f t="shared" si="5"/>
        <v>0</v>
      </c>
      <c r="J66" s="251" t="s">
        <v>804</v>
      </c>
      <c r="K66" s="179" t="s">
        <v>3400</v>
      </c>
      <c r="L66" s="179" t="s">
        <v>2190</v>
      </c>
      <c r="M66" s="252" t="s">
        <v>3424</v>
      </c>
    </row>
    <row r="67" spans="1:14">
      <c r="A67" s="241">
        <v>38</v>
      </c>
      <c r="B67" s="242">
        <v>419101</v>
      </c>
      <c r="C67" s="250" t="s">
        <v>3434</v>
      </c>
      <c r="D67" s="250" t="s">
        <v>2833</v>
      </c>
      <c r="E67" s="245">
        <v>8</v>
      </c>
      <c r="F67" s="559"/>
      <c r="G67" s="246">
        <f t="shared" si="4"/>
        <v>0</v>
      </c>
      <c r="H67" s="247">
        <v>0</v>
      </c>
      <c r="I67" s="248">
        <f t="shared" si="5"/>
        <v>0</v>
      </c>
      <c r="J67" s="251" t="s">
        <v>804</v>
      </c>
      <c r="K67" s="179" t="s">
        <v>3400</v>
      </c>
      <c r="L67" s="179" t="s">
        <v>2190</v>
      </c>
      <c r="M67" s="252" t="s">
        <v>3424</v>
      </c>
    </row>
    <row r="68" spans="1:14">
      <c r="A68" s="241"/>
      <c r="B68" s="242"/>
      <c r="C68" s="253" t="s">
        <v>3386</v>
      </c>
      <c r="D68" s="250"/>
      <c r="E68" s="245"/>
      <c r="F68" s="254">
        <f>SUM(G58:G67)</f>
        <v>0</v>
      </c>
      <c r="G68" s="246"/>
      <c r="H68" s="247"/>
      <c r="I68" s="248"/>
      <c r="J68" s="251"/>
      <c r="M68" s="252" t="s">
        <v>3424</v>
      </c>
    </row>
    <row r="69" spans="1:14">
      <c r="A69" s="241"/>
      <c r="B69" s="242"/>
      <c r="C69" s="253" t="s">
        <v>3387</v>
      </c>
      <c r="D69" s="250"/>
      <c r="E69" s="245"/>
      <c r="F69" s="245"/>
      <c r="G69" s="246"/>
      <c r="H69" s="247"/>
      <c r="I69" s="248"/>
      <c r="J69" s="251"/>
      <c r="L69" s="179" t="s">
        <v>436</v>
      </c>
      <c r="M69" s="252" t="s">
        <v>3424</v>
      </c>
    </row>
    <row r="70" spans="1:14">
      <c r="A70" s="241">
        <v>39</v>
      </c>
      <c r="B70" s="242">
        <v>171207</v>
      </c>
      <c r="C70" s="250" t="s">
        <v>3425</v>
      </c>
      <c r="D70" s="250" t="s">
        <v>2019</v>
      </c>
      <c r="E70" s="245">
        <v>40</v>
      </c>
      <c r="F70" s="559"/>
      <c r="G70" s="246">
        <f t="shared" ref="G70:G90" si="7">E70*F70</f>
        <v>0</v>
      </c>
      <c r="H70" s="247">
        <v>0</v>
      </c>
      <c r="I70" s="248">
        <f t="shared" ref="I70:I90" si="8">E70*H70</f>
        <v>0</v>
      </c>
      <c r="J70" s="251" t="s">
        <v>804</v>
      </c>
      <c r="K70" s="179" t="s">
        <v>3400</v>
      </c>
      <c r="L70" s="179" t="s">
        <v>436</v>
      </c>
      <c r="M70" s="252" t="s">
        <v>3424</v>
      </c>
      <c r="N70" s="179">
        <f t="shared" ref="N70:N77" si="9">E70*F70</f>
        <v>0</v>
      </c>
    </row>
    <row r="71" spans="1:14">
      <c r="A71" s="241">
        <v>40</v>
      </c>
      <c r="B71" s="242">
        <v>103005</v>
      </c>
      <c r="C71" s="250" t="s">
        <v>3435</v>
      </c>
      <c r="D71" s="250" t="s">
        <v>2019</v>
      </c>
      <c r="E71" s="245">
        <v>140</v>
      </c>
      <c r="F71" s="559"/>
      <c r="G71" s="246">
        <f t="shared" si="7"/>
        <v>0</v>
      </c>
      <c r="H71" s="247">
        <v>0</v>
      </c>
      <c r="I71" s="248">
        <f t="shared" si="8"/>
        <v>0</v>
      </c>
      <c r="J71" s="251" t="s">
        <v>804</v>
      </c>
      <c r="K71" s="179" t="s">
        <v>3400</v>
      </c>
      <c r="L71" s="179" t="s">
        <v>436</v>
      </c>
      <c r="M71" s="252" t="s">
        <v>3424</v>
      </c>
      <c r="N71" s="179">
        <f t="shared" si="9"/>
        <v>0</v>
      </c>
    </row>
    <row r="72" spans="1:14">
      <c r="A72" s="241">
        <v>41</v>
      </c>
      <c r="B72" s="242">
        <v>101105</v>
      </c>
      <c r="C72" s="250" t="s">
        <v>3427</v>
      </c>
      <c r="D72" s="250" t="s">
        <v>2019</v>
      </c>
      <c r="E72" s="245">
        <v>495</v>
      </c>
      <c r="F72" s="559"/>
      <c r="G72" s="246">
        <f t="shared" si="7"/>
        <v>0</v>
      </c>
      <c r="H72" s="247">
        <v>0</v>
      </c>
      <c r="I72" s="248">
        <f t="shared" si="8"/>
        <v>0</v>
      </c>
      <c r="J72" s="251" t="s">
        <v>804</v>
      </c>
      <c r="K72" s="179" t="s">
        <v>3400</v>
      </c>
      <c r="L72" s="179" t="s">
        <v>436</v>
      </c>
      <c r="M72" s="252" t="s">
        <v>3424</v>
      </c>
      <c r="N72" s="179">
        <f t="shared" si="9"/>
        <v>0</v>
      </c>
    </row>
    <row r="73" spans="1:14">
      <c r="A73" s="241">
        <v>42</v>
      </c>
      <c r="B73" s="242">
        <v>101305</v>
      </c>
      <c r="C73" s="250" t="s">
        <v>3429</v>
      </c>
      <c r="D73" s="250" t="s">
        <v>2019</v>
      </c>
      <c r="E73" s="245">
        <v>75</v>
      </c>
      <c r="F73" s="559"/>
      <c r="G73" s="246">
        <f t="shared" si="7"/>
        <v>0</v>
      </c>
      <c r="H73" s="247">
        <v>0</v>
      </c>
      <c r="I73" s="248">
        <f t="shared" si="8"/>
        <v>0</v>
      </c>
      <c r="J73" s="251" t="s">
        <v>804</v>
      </c>
      <c r="K73" s="179" t="s">
        <v>3400</v>
      </c>
      <c r="L73" s="179" t="s">
        <v>436</v>
      </c>
      <c r="M73" s="252" t="s">
        <v>3424</v>
      </c>
      <c r="N73" s="179">
        <f t="shared" si="9"/>
        <v>0</v>
      </c>
    </row>
    <row r="74" spans="1:14">
      <c r="A74" s="241">
        <v>43</v>
      </c>
      <c r="B74" s="242">
        <v>101106</v>
      </c>
      <c r="C74" s="250" t="s">
        <v>3428</v>
      </c>
      <c r="D74" s="250" t="s">
        <v>2019</v>
      </c>
      <c r="E74" s="245">
        <v>125</v>
      </c>
      <c r="F74" s="559"/>
      <c r="G74" s="246">
        <f t="shared" si="7"/>
        <v>0</v>
      </c>
      <c r="H74" s="247">
        <v>0</v>
      </c>
      <c r="I74" s="248">
        <f t="shared" si="8"/>
        <v>0</v>
      </c>
      <c r="J74" s="251" t="s">
        <v>804</v>
      </c>
      <c r="K74" s="179" t="s">
        <v>3400</v>
      </c>
      <c r="L74" s="179" t="s">
        <v>436</v>
      </c>
      <c r="M74" s="252" t="s">
        <v>3424</v>
      </c>
      <c r="N74" s="179">
        <f t="shared" si="9"/>
        <v>0</v>
      </c>
    </row>
    <row r="75" spans="1:14">
      <c r="A75" s="241">
        <v>44</v>
      </c>
      <c r="B75" s="242">
        <v>101306</v>
      </c>
      <c r="C75" s="250" t="s">
        <v>3436</v>
      </c>
      <c r="D75" s="250" t="s">
        <v>2019</v>
      </c>
      <c r="E75" s="245">
        <v>55</v>
      </c>
      <c r="F75" s="559"/>
      <c r="G75" s="246">
        <f t="shared" si="7"/>
        <v>0</v>
      </c>
      <c r="H75" s="247">
        <v>0</v>
      </c>
      <c r="I75" s="248">
        <f t="shared" si="8"/>
        <v>0</v>
      </c>
      <c r="J75" s="251" t="s">
        <v>804</v>
      </c>
      <c r="K75" s="179" t="s">
        <v>3400</v>
      </c>
      <c r="L75" s="179" t="s">
        <v>436</v>
      </c>
      <c r="M75" s="252" t="s">
        <v>3424</v>
      </c>
      <c r="N75" s="179">
        <f t="shared" si="9"/>
        <v>0</v>
      </c>
    </row>
    <row r="76" spans="1:14">
      <c r="A76" s="241">
        <v>45</v>
      </c>
      <c r="B76" s="242">
        <v>101307</v>
      </c>
      <c r="C76" s="250" t="s">
        <v>3430</v>
      </c>
      <c r="D76" s="250" t="s">
        <v>2019</v>
      </c>
      <c r="E76" s="245">
        <v>70</v>
      </c>
      <c r="F76" s="559"/>
      <c r="G76" s="246">
        <f t="shared" si="7"/>
        <v>0</v>
      </c>
      <c r="H76" s="247">
        <v>0</v>
      </c>
      <c r="I76" s="248">
        <f t="shared" si="8"/>
        <v>0</v>
      </c>
      <c r="J76" s="251" t="s">
        <v>804</v>
      </c>
      <c r="K76" s="179" t="s">
        <v>3400</v>
      </c>
      <c r="L76" s="179" t="s">
        <v>436</v>
      </c>
      <c r="M76" s="252" t="s">
        <v>3424</v>
      </c>
      <c r="N76" s="179">
        <f t="shared" si="9"/>
        <v>0</v>
      </c>
    </row>
    <row r="77" spans="1:14">
      <c r="A77" s="241">
        <v>46</v>
      </c>
      <c r="B77" s="242">
        <v>101308</v>
      </c>
      <c r="C77" s="250" t="s">
        <v>3437</v>
      </c>
      <c r="D77" s="250" t="s">
        <v>2019</v>
      </c>
      <c r="E77" s="245">
        <v>45</v>
      </c>
      <c r="F77" s="559"/>
      <c r="G77" s="246">
        <f t="shared" si="7"/>
        <v>0</v>
      </c>
      <c r="H77" s="247">
        <v>0</v>
      </c>
      <c r="I77" s="248">
        <f t="shared" si="8"/>
        <v>0</v>
      </c>
      <c r="J77" s="251" t="s">
        <v>804</v>
      </c>
      <c r="K77" s="179" t="s">
        <v>3400</v>
      </c>
      <c r="L77" s="179" t="s">
        <v>436</v>
      </c>
      <c r="M77" s="252" t="s">
        <v>3424</v>
      </c>
      <c r="N77" s="179">
        <f t="shared" si="9"/>
        <v>0</v>
      </c>
    </row>
    <row r="78" spans="1:14">
      <c r="A78" s="241">
        <v>47</v>
      </c>
      <c r="B78" s="242">
        <v>311115</v>
      </c>
      <c r="C78" s="250" t="s">
        <v>3431</v>
      </c>
      <c r="D78" s="250" t="s">
        <v>2833</v>
      </c>
      <c r="E78" s="245">
        <v>70</v>
      </c>
      <c r="F78" s="559"/>
      <c r="G78" s="246">
        <f t="shared" si="7"/>
        <v>0</v>
      </c>
      <c r="H78" s="247">
        <v>0</v>
      </c>
      <c r="I78" s="248">
        <f t="shared" si="8"/>
        <v>0</v>
      </c>
      <c r="J78" s="251" t="s">
        <v>804</v>
      </c>
      <c r="K78" s="179" t="s">
        <v>3400</v>
      </c>
      <c r="L78" s="179" t="s">
        <v>436</v>
      </c>
      <c r="M78" s="252" t="s">
        <v>3424</v>
      </c>
    </row>
    <row r="79" spans="1:14">
      <c r="A79" s="241">
        <v>48</v>
      </c>
      <c r="B79" s="242">
        <v>311117</v>
      </c>
      <c r="C79" s="250" t="s">
        <v>3432</v>
      </c>
      <c r="D79" s="250" t="s">
        <v>2833</v>
      </c>
      <c r="E79" s="245">
        <v>90</v>
      </c>
      <c r="F79" s="559"/>
      <c r="G79" s="246">
        <f t="shared" si="7"/>
        <v>0</v>
      </c>
      <c r="H79" s="247">
        <v>0</v>
      </c>
      <c r="I79" s="248">
        <f t="shared" si="8"/>
        <v>0</v>
      </c>
      <c r="J79" s="251" t="s">
        <v>804</v>
      </c>
      <c r="K79" s="179" t="s">
        <v>3400</v>
      </c>
      <c r="L79" s="179" t="s">
        <v>436</v>
      </c>
      <c r="M79" s="252" t="s">
        <v>3424</v>
      </c>
    </row>
    <row r="80" spans="1:14">
      <c r="A80" s="241">
        <v>49</v>
      </c>
      <c r="B80" s="242">
        <v>409011</v>
      </c>
      <c r="C80" s="250" t="s">
        <v>3433</v>
      </c>
      <c r="D80" s="250" t="s">
        <v>2833</v>
      </c>
      <c r="E80" s="245">
        <v>24</v>
      </c>
      <c r="F80" s="559"/>
      <c r="G80" s="246">
        <f t="shared" si="7"/>
        <v>0</v>
      </c>
      <c r="H80" s="247">
        <v>0</v>
      </c>
      <c r="I80" s="248">
        <f t="shared" si="8"/>
        <v>0</v>
      </c>
      <c r="J80" s="251" t="s">
        <v>804</v>
      </c>
      <c r="K80" s="179" t="s">
        <v>3400</v>
      </c>
      <c r="L80" s="179" t="s">
        <v>436</v>
      </c>
      <c r="M80" s="252" t="s">
        <v>3424</v>
      </c>
    </row>
    <row r="81" spans="1:14">
      <c r="A81" s="241">
        <v>50</v>
      </c>
      <c r="B81" s="242">
        <v>409021</v>
      </c>
      <c r="C81" s="250" t="s">
        <v>3438</v>
      </c>
      <c r="D81" s="250" t="s">
        <v>2833</v>
      </c>
      <c r="E81" s="245">
        <v>1</v>
      </c>
      <c r="F81" s="559"/>
      <c r="G81" s="246">
        <f t="shared" si="7"/>
        <v>0</v>
      </c>
      <c r="H81" s="247">
        <v>0</v>
      </c>
      <c r="I81" s="248">
        <f t="shared" si="8"/>
        <v>0</v>
      </c>
      <c r="J81" s="251" t="s">
        <v>804</v>
      </c>
      <c r="K81" s="179" t="s">
        <v>3400</v>
      </c>
      <c r="L81" s="179" t="s">
        <v>436</v>
      </c>
      <c r="M81" s="252" t="s">
        <v>3424</v>
      </c>
    </row>
    <row r="82" spans="1:14">
      <c r="A82" s="241">
        <v>51</v>
      </c>
      <c r="B82" s="242">
        <v>409023</v>
      </c>
      <c r="C82" s="250" t="s">
        <v>3439</v>
      </c>
      <c r="D82" s="250" t="s">
        <v>2833</v>
      </c>
      <c r="E82" s="245">
        <v>12</v>
      </c>
      <c r="F82" s="559"/>
      <c r="G82" s="246">
        <f t="shared" si="7"/>
        <v>0</v>
      </c>
      <c r="H82" s="247">
        <v>0</v>
      </c>
      <c r="I82" s="248">
        <f t="shared" si="8"/>
        <v>0</v>
      </c>
      <c r="J82" s="251" t="s">
        <v>804</v>
      </c>
      <c r="K82" s="179" t="s">
        <v>3400</v>
      </c>
      <c r="L82" s="179" t="s">
        <v>436</v>
      </c>
      <c r="M82" s="252" t="s">
        <v>3424</v>
      </c>
    </row>
    <row r="83" spans="1:14">
      <c r="A83" s="241">
        <v>52</v>
      </c>
      <c r="B83" s="242">
        <v>409026</v>
      </c>
      <c r="C83" s="250" t="s">
        <v>3440</v>
      </c>
      <c r="D83" s="250" t="s">
        <v>2833</v>
      </c>
      <c r="E83" s="245">
        <v>1</v>
      </c>
      <c r="F83" s="559"/>
      <c r="G83" s="246">
        <f t="shared" si="7"/>
        <v>0</v>
      </c>
      <c r="H83" s="247">
        <v>0</v>
      </c>
      <c r="I83" s="248">
        <f t="shared" si="8"/>
        <v>0</v>
      </c>
      <c r="J83" s="251" t="s">
        <v>804</v>
      </c>
      <c r="K83" s="179" t="s">
        <v>3400</v>
      </c>
      <c r="L83" s="179" t="s">
        <v>436</v>
      </c>
      <c r="M83" s="252" t="s">
        <v>3424</v>
      </c>
    </row>
    <row r="84" spans="1:14">
      <c r="A84" s="241">
        <v>53</v>
      </c>
      <c r="B84" s="242">
        <v>410184</v>
      </c>
      <c r="C84" s="250" t="s">
        <v>3441</v>
      </c>
      <c r="D84" s="244"/>
      <c r="E84" s="245">
        <v>1</v>
      </c>
      <c r="F84" s="559"/>
      <c r="G84" s="246">
        <f t="shared" si="7"/>
        <v>0</v>
      </c>
      <c r="H84" s="247">
        <v>0</v>
      </c>
      <c r="I84" s="248">
        <f t="shared" si="8"/>
        <v>0</v>
      </c>
      <c r="J84" s="249"/>
      <c r="K84" s="179" t="s">
        <v>3400</v>
      </c>
      <c r="L84" s="179" t="s">
        <v>436</v>
      </c>
      <c r="M84" s="252" t="s">
        <v>3424</v>
      </c>
    </row>
    <row r="85" spans="1:14">
      <c r="A85" s="241">
        <v>54</v>
      </c>
      <c r="B85" s="242">
        <v>409846</v>
      </c>
      <c r="C85" s="250" t="s">
        <v>3442</v>
      </c>
      <c r="D85" s="250" t="s">
        <v>2833</v>
      </c>
      <c r="E85" s="245">
        <v>1</v>
      </c>
      <c r="F85" s="559"/>
      <c r="G85" s="246">
        <f t="shared" si="7"/>
        <v>0</v>
      </c>
      <c r="H85" s="247">
        <v>0</v>
      </c>
      <c r="I85" s="248">
        <f t="shared" si="8"/>
        <v>0</v>
      </c>
      <c r="J85" s="251" t="s">
        <v>804</v>
      </c>
      <c r="L85" s="179" t="s">
        <v>436</v>
      </c>
      <c r="M85" s="252" t="s">
        <v>3424</v>
      </c>
    </row>
    <row r="86" spans="1:14">
      <c r="A86" s="241">
        <v>55</v>
      </c>
      <c r="B86" s="242">
        <v>410115</v>
      </c>
      <c r="C86" s="250" t="s">
        <v>3443</v>
      </c>
      <c r="D86" s="250" t="s">
        <v>2833</v>
      </c>
      <c r="E86" s="245">
        <v>1</v>
      </c>
      <c r="F86" s="559"/>
      <c r="G86" s="246">
        <f t="shared" si="7"/>
        <v>0</v>
      </c>
      <c r="H86" s="247">
        <v>0</v>
      </c>
      <c r="I86" s="248">
        <f t="shared" si="8"/>
        <v>0</v>
      </c>
      <c r="J86" s="251" t="s">
        <v>804</v>
      </c>
      <c r="L86" s="179" t="s">
        <v>436</v>
      </c>
      <c r="M86" s="252" t="s">
        <v>3424</v>
      </c>
    </row>
    <row r="87" spans="1:14">
      <c r="A87" s="241">
        <v>56</v>
      </c>
      <c r="B87" s="242">
        <v>420091</v>
      </c>
      <c r="C87" s="250" t="s">
        <v>3444</v>
      </c>
      <c r="D87" s="250" t="s">
        <v>2833</v>
      </c>
      <c r="E87" s="245">
        <v>1</v>
      </c>
      <c r="F87" s="559"/>
      <c r="G87" s="246">
        <f t="shared" si="7"/>
        <v>0</v>
      </c>
      <c r="H87" s="247">
        <v>0</v>
      </c>
      <c r="I87" s="248">
        <f t="shared" si="8"/>
        <v>0</v>
      </c>
      <c r="J87" s="251" t="s">
        <v>804</v>
      </c>
      <c r="L87" s="179" t="s">
        <v>436</v>
      </c>
      <c r="M87" s="252" t="s">
        <v>3424</v>
      </c>
    </row>
    <row r="88" spans="1:14">
      <c r="A88" s="241">
        <v>57</v>
      </c>
      <c r="B88" s="242">
        <v>413151</v>
      </c>
      <c r="C88" s="250" t="s">
        <v>3445</v>
      </c>
      <c r="D88" s="250" t="s">
        <v>2833</v>
      </c>
      <c r="E88" s="245">
        <v>2</v>
      </c>
      <c r="F88" s="559"/>
      <c r="G88" s="246">
        <f t="shared" si="7"/>
        <v>0</v>
      </c>
      <c r="H88" s="247">
        <v>0</v>
      </c>
      <c r="I88" s="248">
        <f t="shared" si="8"/>
        <v>0</v>
      </c>
      <c r="J88" s="251" t="s">
        <v>804</v>
      </c>
      <c r="K88" s="179" t="s">
        <v>3400</v>
      </c>
      <c r="L88" s="179" t="s">
        <v>436</v>
      </c>
      <c r="M88" s="252" t="s">
        <v>3424</v>
      </c>
    </row>
    <row r="89" spans="1:14">
      <c r="A89" s="241">
        <v>58</v>
      </c>
      <c r="B89" s="242">
        <v>418101</v>
      </c>
      <c r="C89" s="250" t="s">
        <v>3446</v>
      </c>
      <c r="D89" s="250" t="s">
        <v>2833</v>
      </c>
      <c r="E89" s="245">
        <v>1</v>
      </c>
      <c r="F89" s="559"/>
      <c r="G89" s="246">
        <f t="shared" si="7"/>
        <v>0</v>
      </c>
      <c r="H89" s="247">
        <v>0</v>
      </c>
      <c r="I89" s="248">
        <f t="shared" si="8"/>
        <v>0</v>
      </c>
      <c r="J89" s="251" t="s">
        <v>804</v>
      </c>
      <c r="K89" s="179" t="s">
        <v>3400</v>
      </c>
      <c r="L89" s="179" t="s">
        <v>436</v>
      </c>
      <c r="M89" s="252" t="s">
        <v>3424</v>
      </c>
    </row>
    <row r="90" spans="1:14">
      <c r="A90" s="241">
        <v>59</v>
      </c>
      <c r="B90" s="242">
        <v>419101</v>
      </c>
      <c r="C90" s="250" t="s">
        <v>3434</v>
      </c>
      <c r="D90" s="250" t="s">
        <v>2833</v>
      </c>
      <c r="E90" s="245">
        <v>28</v>
      </c>
      <c r="F90" s="559"/>
      <c r="G90" s="246">
        <f t="shared" si="7"/>
        <v>0</v>
      </c>
      <c r="H90" s="247">
        <v>0</v>
      </c>
      <c r="I90" s="248">
        <f t="shared" si="8"/>
        <v>0</v>
      </c>
      <c r="J90" s="251" t="s">
        <v>804</v>
      </c>
      <c r="K90" s="179" t="s">
        <v>3400</v>
      </c>
      <c r="L90" s="179" t="s">
        <v>436</v>
      </c>
      <c r="M90" s="252" t="s">
        <v>3424</v>
      </c>
    </row>
    <row r="91" spans="1:14">
      <c r="A91" s="241"/>
      <c r="B91" s="242"/>
      <c r="C91" s="253" t="s">
        <v>3386</v>
      </c>
      <c r="D91" s="250"/>
      <c r="E91" s="245"/>
      <c r="F91" s="254">
        <f>SUM(G70:G90)</f>
        <v>0</v>
      </c>
      <c r="G91" s="246"/>
      <c r="H91" s="247"/>
      <c r="I91" s="248"/>
      <c r="J91" s="251"/>
      <c r="M91" s="252" t="s">
        <v>3424</v>
      </c>
    </row>
    <row r="92" spans="1:14">
      <c r="A92" s="241"/>
      <c r="B92" s="242"/>
      <c r="C92" s="253" t="s">
        <v>3389</v>
      </c>
      <c r="D92" s="250"/>
      <c r="E92" s="245"/>
      <c r="F92" s="245"/>
      <c r="G92" s="246"/>
      <c r="H92" s="247"/>
      <c r="I92" s="248"/>
      <c r="J92" s="251"/>
      <c r="L92" s="179" t="s">
        <v>1548</v>
      </c>
      <c r="M92" s="252" t="s">
        <v>3424</v>
      </c>
    </row>
    <row r="93" spans="1:14">
      <c r="A93" s="241">
        <v>60</v>
      </c>
      <c r="B93" s="242">
        <v>171107</v>
      </c>
      <c r="C93" s="250" t="s">
        <v>3447</v>
      </c>
      <c r="D93" s="250" t="s">
        <v>2019</v>
      </c>
      <c r="E93" s="245">
        <v>40</v>
      </c>
      <c r="F93" s="559"/>
      <c r="G93" s="246">
        <f t="shared" ref="G93:G110" si="10">E93*F93</f>
        <v>0</v>
      </c>
      <c r="H93" s="247">
        <v>0</v>
      </c>
      <c r="I93" s="248">
        <f t="shared" ref="I93:I110" si="11">E93*H93</f>
        <v>0</v>
      </c>
      <c r="J93" s="251" t="s">
        <v>804</v>
      </c>
      <c r="K93" s="179" t="s">
        <v>3400</v>
      </c>
      <c r="L93" s="179" t="s">
        <v>1548</v>
      </c>
      <c r="M93" s="252" t="s">
        <v>3424</v>
      </c>
      <c r="N93" s="179">
        <f t="shared" ref="N93:N102" si="12">E93*F93</f>
        <v>0</v>
      </c>
    </row>
    <row r="94" spans="1:14">
      <c r="A94" s="241">
        <v>61</v>
      </c>
      <c r="B94" s="242">
        <v>171108</v>
      </c>
      <c r="C94" s="250" t="s">
        <v>3448</v>
      </c>
      <c r="D94" s="250" t="s">
        <v>2019</v>
      </c>
      <c r="E94" s="245">
        <v>10</v>
      </c>
      <c r="F94" s="559"/>
      <c r="G94" s="246">
        <f t="shared" si="10"/>
        <v>0</v>
      </c>
      <c r="H94" s="247">
        <v>0</v>
      </c>
      <c r="I94" s="248">
        <f t="shared" si="11"/>
        <v>0</v>
      </c>
      <c r="J94" s="251" t="s">
        <v>804</v>
      </c>
      <c r="K94" s="179" t="s">
        <v>3400</v>
      </c>
      <c r="L94" s="179" t="s">
        <v>1548</v>
      </c>
      <c r="M94" s="252" t="s">
        <v>3424</v>
      </c>
      <c r="N94" s="179">
        <f t="shared" si="12"/>
        <v>0</v>
      </c>
    </row>
    <row r="95" spans="1:14">
      <c r="A95" s="241">
        <v>62</v>
      </c>
      <c r="B95" s="242">
        <v>171108</v>
      </c>
      <c r="C95" s="250" t="s">
        <v>3448</v>
      </c>
      <c r="D95" s="250" t="s">
        <v>2019</v>
      </c>
      <c r="E95" s="245">
        <v>60</v>
      </c>
      <c r="F95" s="559"/>
      <c r="G95" s="246">
        <f t="shared" si="10"/>
        <v>0</v>
      </c>
      <c r="H95" s="247">
        <v>0</v>
      </c>
      <c r="I95" s="248">
        <f t="shared" si="11"/>
        <v>0</v>
      </c>
      <c r="J95" s="251" t="s">
        <v>804</v>
      </c>
      <c r="K95" s="179" t="s">
        <v>3400</v>
      </c>
      <c r="L95" s="179" t="s">
        <v>1548</v>
      </c>
      <c r="M95" s="252" t="s">
        <v>3424</v>
      </c>
      <c r="N95" s="179">
        <f t="shared" si="12"/>
        <v>0</v>
      </c>
    </row>
    <row r="96" spans="1:14">
      <c r="A96" s="241">
        <v>63</v>
      </c>
      <c r="B96" s="242">
        <v>101005</v>
      </c>
      <c r="C96" s="250" t="s">
        <v>3426</v>
      </c>
      <c r="D96" s="250" t="s">
        <v>2019</v>
      </c>
      <c r="E96" s="245">
        <v>20</v>
      </c>
      <c r="F96" s="559"/>
      <c r="G96" s="246">
        <f t="shared" si="10"/>
        <v>0</v>
      </c>
      <c r="H96" s="247">
        <v>0</v>
      </c>
      <c r="I96" s="248">
        <f t="shared" si="11"/>
        <v>0</v>
      </c>
      <c r="J96" s="251" t="s">
        <v>804</v>
      </c>
      <c r="K96" s="179" t="s">
        <v>3400</v>
      </c>
      <c r="L96" s="179" t="s">
        <v>1548</v>
      </c>
      <c r="M96" s="252" t="s">
        <v>3424</v>
      </c>
      <c r="N96" s="179">
        <f t="shared" si="12"/>
        <v>0</v>
      </c>
    </row>
    <row r="97" spans="1:14">
      <c r="A97" s="241">
        <v>64</v>
      </c>
      <c r="B97" s="242">
        <v>101105</v>
      </c>
      <c r="C97" s="250" t="s">
        <v>3427</v>
      </c>
      <c r="D97" s="250" t="s">
        <v>2019</v>
      </c>
      <c r="E97" s="245">
        <v>205</v>
      </c>
      <c r="F97" s="559"/>
      <c r="G97" s="246">
        <f t="shared" si="10"/>
        <v>0</v>
      </c>
      <c r="H97" s="247">
        <v>0</v>
      </c>
      <c r="I97" s="248">
        <f t="shared" si="11"/>
        <v>0</v>
      </c>
      <c r="J97" s="251" t="s">
        <v>804</v>
      </c>
      <c r="K97" s="179" t="s">
        <v>3400</v>
      </c>
      <c r="L97" s="179" t="s">
        <v>1548</v>
      </c>
      <c r="M97" s="252" t="s">
        <v>3424</v>
      </c>
      <c r="N97" s="179">
        <f t="shared" si="12"/>
        <v>0</v>
      </c>
    </row>
    <row r="98" spans="1:14">
      <c r="A98" s="241">
        <v>65</v>
      </c>
      <c r="B98" s="242">
        <v>101106</v>
      </c>
      <c r="C98" s="250" t="s">
        <v>3428</v>
      </c>
      <c r="D98" s="250" t="s">
        <v>2019</v>
      </c>
      <c r="E98" s="245">
        <v>50</v>
      </c>
      <c r="F98" s="559"/>
      <c r="G98" s="246">
        <f t="shared" si="10"/>
        <v>0</v>
      </c>
      <c r="H98" s="247">
        <v>0</v>
      </c>
      <c r="I98" s="248">
        <f t="shared" si="11"/>
        <v>0</v>
      </c>
      <c r="J98" s="251" t="s">
        <v>804</v>
      </c>
      <c r="K98" s="179" t="s">
        <v>3400</v>
      </c>
      <c r="L98" s="179" t="s">
        <v>1548</v>
      </c>
      <c r="M98" s="252" t="s">
        <v>3424</v>
      </c>
      <c r="N98" s="179">
        <f t="shared" si="12"/>
        <v>0</v>
      </c>
    </row>
    <row r="99" spans="1:14">
      <c r="A99" s="241">
        <v>66</v>
      </c>
      <c r="B99" s="242">
        <v>101305</v>
      </c>
      <c r="C99" s="250" t="s">
        <v>3429</v>
      </c>
      <c r="D99" s="250" t="s">
        <v>2019</v>
      </c>
      <c r="E99" s="245">
        <v>35</v>
      </c>
      <c r="F99" s="559"/>
      <c r="G99" s="246">
        <f t="shared" si="10"/>
        <v>0</v>
      </c>
      <c r="H99" s="247">
        <v>0</v>
      </c>
      <c r="I99" s="248">
        <f t="shared" si="11"/>
        <v>0</v>
      </c>
      <c r="J99" s="251" t="s">
        <v>804</v>
      </c>
      <c r="K99" s="179" t="s">
        <v>3400</v>
      </c>
      <c r="L99" s="179" t="s">
        <v>1548</v>
      </c>
      <c r="M99" s="252" t="s">
        <v>3424</v>
      </c>
      <c r="N99" s="179">
        <f t="shared" si="12"/>
        <v>0</v>
      </c>
    </row>
    <row r="100" spans="1:14">
      <c r="A100" s="241">
        <v>67</v>
      </c>
      <c r="B100" s="242">
        <v>101306</v>
      </c>
      <c r="C100" s="250" t="s">
        <v>3436</v>
      </c>
      <c r="D100" s="250" t="s">
        <v>2019</v>
      </c>
      <c r="E100" s="245">
        <v>40</v>
      </c>
      <c r="F100" s="559"/>
      <c r="G100" s="246">
        <f t="shared" si="10"/>
        <v>0</v>
      </c>
      <c r="H100" s="247">
        <v>0</v>
      </c>
      <c r="I100" s="248">
        <f t="shared" si="11"/>
        <v>0</v>
      </c>
      <c r="J100" s="251" t="s">
        <v>804</v>
      </c>
      <c r="K100" s="179" t="s">
        <v>3400</v>
      </c>
      <c r="L100" s="179" t="s">
        <v>1548</v>
      </c>
      <c r="M100" s="252" t="s">
        <v>3424</v>
      </c>
      <c r="N100" s="179">
        <f t="shared" si="12"/>
        <v>0</v>
      </c>
    </row>
    <row r="101" spans="1:14">
      <c r="A101" s="241">
        <v>68</v>
      </c>
      <c r="B101" s="242">
        <v>101308</v>
      </c>
      <c r="C101" s="250" t="s">
        <v>3437</v>
      </c>
      <c r="D101" s="250" t="s">
        <v>2019</v>
      </c>
      <c r="E101" s="245">
        <v>70</v>
      </c>
      <c r="F101" s="559"/>
      <c r="G101" s="246">
        <f t="shared" si="10"/>
        <v>0</v>
      </c>
      <c r="H101" s="247">
        <v>0</v>
      </c>
      <c r="I101" s="248">
        <f t="shared" si="11"/>
        <v>0</v>
      </c>
      <c r="J101" s="251" t="s">
        <v>804</v>
      </c>
      <c r="K101" s="179" t="s">
        <v>3400</v>
      </c>
      <c r="L101" s="179" t="s">
        <v>1548</v>
      </c>
      <c r="M101" s="252" t="s">
        <v>3424</v>
      </c>
      <c r="N101" s="179">
        <f t="shared" si="12"/>
        <v>0</v>
      </c>
    </row>
    <row r="102" spans="1:14">
      <c r="A102" s="241">
        <v>69</v>
      </c>
      <c r="B102" s="242">
        <v>101209</v>
      </c>
      <c r="C102" s="250" t="s">
        <v>3449</v>
      </c>
      <c r="D102" s="250" t="s">
        <v>2019</v>
      </c>
      <c r="E102" s="245">
        <v>20</v>
      </c>
      <c r="F102" s="559"/>
      <c r="G102" s="246">
        <f t="shared" si="10"/>
        <v>0</v>
      </c>
      <c r="H102" s="247">
        <v>0</v>
      </c>
      <c r="I102" s="248">
        <f t="shared" si="11"/>
        <v>0</v>
      </c>
      <c r="J102" s="251" t="s">
        <v>804</v>
      </c>
      <c r="K102" s="179" t="s">
        <v>3400</v>
      </c>
      <c r="L102" s="179" t="s">
        <v>1548</v>
      </c>
      <c r="M102" s="252" t="s">
        <v>3424</v>
      </c>
      <c r="N102" s="179">
        <f t="shared" si="12"/>
        <v>0</v>
      </c>
    </row>
    <row r="103" spans="1:14">
      <c r="A103" s="241">
        <v>70</v>
      </c>
      <c r="B103" s="242">
        <v>311115</v>
      </c>
      <c r="C103" s="250" t="s">
        <v>3431</v>
      </c>
      <c r="D103" s="250" t="s">
        <v>2833</v>
      </c>
      <c r="E103" s="245">
        <v>6</v>
      </c>
      <c r="F103" s="559"/>
      <c r="G103" s="246">
        <f t="shared" si="10"/>
        <v>0</v>
      </c>
      <c r="H103" s="247">
        <v>0</v>
      </c>
      <c r="I103" s="248">
        <f t="shared" si="11"/>
        <v>0</v>
      </c>
      <c r="J103" s="251" t="s">
        <v>804</v>
      </c>
      <c r="K103" s="179" t="s">
        <v>3400</v>
      </c>
      <c r="L103" s="179" t="s">
        <v>1548</v>
      </c>
      <c r="M103" s="252" t="s">
        <v>3424</v>
      </c>
    </row>
    <row r="104" spans="1:14">
      <c r="A104" s="241">
        <v>71</v>
      </c>
      <c r="B104" s="242">
        <v>311117</v>
      </c>
      <c r="C104" s="250" t="s">
        <v>3432</v>
      </c>
      <c r="D104" s="250" t="s">
        <v>2833</v>
      </c>
      <c r="E104" s="245">
        <v>7</v>
      </c>
      <c r="F104" s="559"/>
      <c r="G104" s="246">
        <f t="shared" si="10"/>
        <v>0</v>
      </c>
      <c r="H104" s="247">
        <v>0</v>
      </c>
      <c r="I104" s="248">
        <f t="shared" si="11"/>
        <v>0</v>
      </c>
      <c r="J104" s="251" t="s">
        <v>804</v>
      </c>
      <c r="K104" s="179" t="s">
        <v>3400</v>
      </c>
      <c r="L104" s="179" t="s">
        <v>1548</v>
      </c>
      <c r="M104" s="252" t="s">
        <v>3424</v>
      </c>
    </row>
    <row r="105" spans="1:14">
      <c r="A105" s="241">
        <v>72</v>
      </c>
      <c r="B105" s="242">
        <v>312911</v>
      </c>
      <c r="C105" s="250" t="s">
        <v>3450</v>
      </c>
      <c r="D105" s="250" t="s">
        <v>2833</v>
      </c>
      <c r="E105" s="245">
        <v>4</v>
      </c>
      <c r="F105" s="559"/>
      <c r="G105" s="246">
        <f t="shared" si="10"/>
        <v>0</v>
      </c>
      <c r="H105" s="247">
        <v>0</v>
      </c>
      <c r="I105" s="248">
        <f t="shared" si="11"/>
        <v>0</v>
      </c>
      <c r="J105" s="251" t="s">
        <v>804</v>
      </c>
      <c r="K105" s="179" t="s">
        <v>3400</v>
      </c>
      <c r="L105" s="179" t="s">
        <v>1548</v>
      </c>
      <c r="M105" s="252" t="s">
        <v>3424</v>
      </c>
    </row>
    <row r="106" spans="1:14">
      <c r="A106" s="241">
        <v>73</v>
      </c>
      <c r="B106" s="242">
        <v>409011</v>
      </c>
      <c r="C106" s="250" t="s">
        <v>3433</v>
      </c>
      <c r="D106" s="250" t="s">
        <v>2833</v>
      </c>
      <c r="E106" s="245">
        <v>2</v>
      </c>
      <c r="F106" s="559"/>
      <c r="G106" s="246">
        <f t="shared" si="10"/>
        <v>0</v>
      </c>
      <c r="H106" s="247">
        <v>0</v>
      </c>
      <c r="I106" s="248">
        <f t="shared" si="11"/>
        <v>0</v>
      </c>
      <c r="J106" s="251" t="s">
        <v>804</v>
      </c>
      <c r="K106" s="179" t="s">
        <v>3400</v>
      </c>
      <c r="L106" s="179" t="s">
        <v>1548</v>
      </c>
      <c r="M106" s="252" t="s">
        <v>3424</v>
      </c>
    </row>
    <row r="107" spans="1:14">
      <c r="A107" s="241">
        <v>74</v>
      </c>
      <c r="B107" s="242">
        <v>409023</v>
      </c>
      <c r="C107" s="250" t="s">
        <v>3439</v>
      </c>
      <c r="D107" s="250" t="s">
        <v>2833</v>
      </c>
      <c r="E107" s="245">
        <v>2</v>
      </c>
      <c r="F107" s="559"/>
      <c r="G107" s="246">
        <f t="shared" si="10"/>
        <v>0</v>
      </c>
      <c r="H107" s="247">
        <v>0</v>
      </c>
      <c r="I107" s="248">
        <f t="shared" si="11"/>
        <v>0</v>
      </c>
      <c r="J107" s="251" t="s">
        <v>804</v>
      </c>
      <c r="K107" s="179" t="s">
        <v>3400</v>
      </c>
      <c r="L107" s="179" t="s">
        <v>1548</v>
      </c>
      <c r="M107" s="252" t="s">
        <v>3424</v>
      </c>
    </row>
    <row r="108" spans="1:14">
      <c r="A108" s="241">
        <v>75</v>
      </c>
      <c r="B108" s="242">
        <v>413101</v>
      </c>
      <c r="C108" s="250" t="s">
        <v>3451</v>
      </c>
      <c r="D108" s="250" t="s">
        <v>2833</v>
      </c>
      <c r="E108" s="245">
        <v>3</v>
      </c>
      <c r="F108" s="559"/>
      <c r="G108" s="246">
        <f t="shared" si="10"/>
        <v>0</v>
      </c>
      <c r="H108" s="247">
        <v>0</v>
      </c>
      <c r="I108" s="248">
        <f t="shared" si="11"/>
        <v>0</v>
      </c>
      <c r="J108" s="251" t="s">
        <v>804</v>
      </c>
      <c r="K108" s="179" t="s">
        <v>3400</v>
      </c>
      <c r="L108" s="179" t="s">
        <v>1548</v>
      </c>
      <c r="M108" s="252" t="s">
        <v>3424</v>
      </c>
    </row>
    <row r="109" spans="1:14">
      <c r="A109" s="241">
        <v>76</v>
      </c>
      <c r="B109" s="242">
        <v>423215</v>
      </c>
      <c r="C109" s="250" t="s">
        <v>3452</v>
      </c>
      <c r="D109" s="250" t="s">
        <v>2833</v>
      </c>
      <c r="E109" s="245">
        <v>4</v>
      </c>
      <c r="F109" s="559"/>
      <c r="G109" s="246">
        <f t="shared" si="10"/>
        <v>0</v>
      </c>
      <c r="H109" s="247">
        <v>0</v>
      </c>
      <c r="I109" s="248">
        <f t="shared" si="11"/>
        <v>0</v>
      </c>
      <c r="J109" s="251" t="s">
        <v>804</v>
      </c>
      <c r="K109" s="179" t="s">
        <v>3400</v>
      </c>
      <c r="L109" s="179" t="s">
        <v>1548</v>
      </c>
      <c r="M109" s="252" t="s">
        <v>3424</v>
      </c>
    </row>
    <row r="110" spans="1:14">
      <c r="A110" s="241">
        <v>77</v>
      </c>
      <c r="B110" s="242">
        <v>418101</v>
      </c>
      <c r="C110" s="250" t="s">
        <v>3453</v>
      </c>
      <c r="D110" s="250" t="s">
        <v>2833</v>
      </c>
      <c r="E110" s="245">
        <v>3</v>
      </c>
      <c r="F110" s="559"/>
      <c r="G110" s="246">
        <f t="shared" si="10"/>
        <v>0</v>
      </c>
      <c r="H110" s="247">
        <v>0</v>
      </c>
      <c r="I110" s="248">
        <f t="shared" si="11"/>
        <v>0</v>
      </c>
      <c r="J110" s="251" t="s">
        <v>804</v>
      </c>
      <c r="K110" s="179" t="s">
        <v>3400</v>
      </c>
      <c r="L110" s="179" t="s">
        <v>1548</v>
      </c>
      <c r="M110" s="252" t="s">
        <v>3424</v>
      </c>
    </row>
    <row r="111" spans="1:14">
      <c r="A111" s="241"/>
      <c r="B111" s="242"/>
      <c r="C111" s="253" t="s">
        <v>3386</v>
      </c>
      <c r="D111" s="250"/>
      <c r="E111" s="245"/>
      <c r="F111" s="254">
        <f>SUM(G93:G110)</f>
        <v>0</v>
      </c>
      <c r="G111" s="246"/>
      <c r="H111" s="247"/>
      <c r="I111" s="248"/>
      <c r="J111" s="251"/>
      <c r="M111" s="252" t="s">
        <v>3424</v>
      </c>
    </row>
    <row r="112" spans="1:14">
      <c r="A112" s="241"/>
      <c r="B112" s="242"/>
      <c r="C112" s="253" t="s">
        <v>3392</v>
      </c>
      <c r="D112" s="250"/>
      <c r="E112" s="245"/>
      <c r="F112" s="245"/>
      <c r="G112" s="246"/>
      <c r="H112" s="247"/>
      <c r="I112" s="248"/>
      <c r="J112" s="251"/>
      <c r="L112" s="179" t="s">
        <v>3144</v>
      </c>
      <c r="M112" s="252" t="s">
        <v>3424</v>
      </c>
    </row>
    <row r="113" spans="1:14">
      <c r="A113" s="241">
        <v>78</v>
      </c>
      <c r="B113" s="242">
        <v>171107</v>
      </c>
      <c r="C113" s="250" t="s">
        <v>3447</v>
      </c>
      <c r="D113" s="250" t="s">
        <v>2019</v>
      </c>
      <c r="E113" s="245">
        <v>40</v>
      </c>
      <c r="F113" s="559"/>
      <c r="G113" s="246">
        <f t="shared" ref="G113:G126" si="13">E113*F113</f>
        <v>0</v>
      </c>
      <c r="H113" s="247">
        <v>0</v>
      </c>
      <c r="I113" s="248">
        <f t="shared" ref="I113:I126" si="14">E113*H113</f>
        <v>0</v>
      </c>
      <c r="J113" s="251" t="s">
        <v>804</v>
      </c>
      <c r="K113" s="179" t="s">
        <v>3400</v>
      </c>
      <c r="L113" s="179" t="s">
        <v>3144</v>
      </c>
      <c r="M113" s="252" t="s">
        <v>3424</v>
      </c>
      <c r="N113" s="179">
        <f t="shared" ref="N113:N119" si="15">E113*F113</f>
        <v>0</v>
      </c>
    </row>
    <row r="114" spans="1:14">
      <c r="A114" s="241">
        <v>79</v>
      </c>
      <c r="B114" s="242">
        <v>101005</v>
      </c>
      <c r="C114" s="250" t="s">
        <v>3426</v>
      </c>
      <c r="D114" s="250" t="s">
        <v>2019</v>
      </c>
      <c r="E114" s="245">
        <v>70</v>
      </c>
      <c r="F114" s="559"/>
      <c r="G114" s="246">
        <f t="shared" si="13"/>
        <v>0</v>
      </c>
      <c r="H114" s="247">
        <v>0</v>
      </c>
      <c r="I114" s="248">
        <f t="shared" si="14"/>
        <v>0</v>
      </c>
      <c r="J114" s="251" t="s">
        <v>804</v>
      </c>
      <c r="K114" s="179" t="s">
        <v>3400</v>
      </c>
      <c r="L114" s="179" t="s">
        <v>3144</v>
      </c>
      <c r="M114" s="252" t="s">
        <v>3424</v>
      </c>
      <c r="N114" s="179">
        <f t="shared" si="15"/>
        <v>0</v>
      </c>
    </row>
    <row r="115" spans="1:14">
      <c r="A115" s="241">
        <v>80</v>
      </c>
      <c r="B115" s="242">
        <v>101105</v>
      </c>
      <c r="C115" s="250" t="s">
        <v>3427</v>
      </c>
      <c r="D115" s="250" t="s">
        <v>2019</v>
      </c>
      <c r="E115" s="245">
        <v>210</v>
      </c>
      <c r="F115" s="559"/>
      <c r="G115" s="246">
        <f t="shared" si="13"/>
        <v>0</v>
      </c>
      <c r="H115" s="247">
        <v>0</v>
      </c>
      <c r="I115" s="248">
        <f t="shared" si="14"/>
        <v>0</v>
      </c>
      <c r="J115" s="251" t="s">
        <v>804</v>
      </c>
      <c r="K115" s="179" t="s">
        <v>3400</v>
      </c>
      <c r="L115" s="179" t="s">
        <v>3144</v>
      </c>
      <c r="M115" s="252" t="s">
        <v>3424</v>
      </c>
      <c r="N115" s="179">
        <f t="shared" si="15"/>
        <v>0</v>
      </c>
    </row>
    <row r="116" spans="1:14">
      <c r="A116" s="241">
        <v>81</v>
      </c>
      <c r="B116" s="242">
        <v>101106</v>
      </c>
      <c r="C116" s="250" t="s">
        <v>3428</v>
      </c>
      <c r="D116" s="250" t="s">
        <v>2019</v>
      </c>
      <c r="E116" s="245">
        <v>190</v>
      </c>
      <c r="F116" s="559"/>
      <c r="G116" s="246">
        <f t="shared" si="13"/>
        <v>0</v>
      </c>
      <c r="H116" s="247">
        <v>0</v>
      </c>
      <c r="I116" s="248">
        <f t="shared" si="14"/>
        <v>0</v>
      </c>
      <c r="J116" s="251" t="s">
        <v>804</v>
      </c>
      <c r="K116" s="179" t="s">
        <v>3400</v>
      </c>
      <c r="L116" s="179" t="s">
        <v>3144</v>
      </c>
      <c r="M116" s="252" t="s">
        <v>3424</v>
      </c>
      <c r="N116" s="179">
        <f t="shared" si="15"/>
        <v>0</v>
      </c>
    </row>
    <row r="117" spans="1:14">
      <c r="A117" s="241">
        <v>82</v>
      </c>
      <c r="B117" s="242">
        <v>101305</v>
      </c>
      <c r="C117" s="250" t="s">
        <v>3429</v>
      </c>
      <c r="D117" s="250" t="s">
        <v>2019</v>
      </c>
      <c r="E117" s="245">
        <v>5</v>
      </c>
      <c r="F117" s="559"/>
      <c r="G117" s="246">
        <f t="shared" si="13"/>
        <v>0</v>
      </c>
      <c r="H117" s="247">
        <v>0</v>
      </c>
      <c r="I117" s="248">
        <f t="shared" si="14"/>
        <v>0</v>
      </c>
      <c r="J117" s="251" t="s">
        <v>804</v>
      </c>
      <c r="K117" s="179" t="s">
        <v>3400</v>
      </c>
      <c r="L117" s="179" t="s">
        <v>3144</v>
      </c>
      <c r="M117" s="252" t="s">
        <v>3424</v>
      </c>
      <c r="N117" s="179">
        <f t="shared" si="15"/>
        <v>0</v>
      </c>
    </row>
    <row r="118" spans="1:14">
      <c r="A118" s="241">
        <v>83</v>
      </c>
      <c r="B118" s="242">
        <v>101306</v>
      </c>
      <c r="C118" s="250" t="s">
        <v>3436</v>
      </c>
      <c r="D118" s="250" t="s">
        <v>2019</v>
      </c>
      <c r="E118" s="245">
        <v>45</v>
      </c>
      <c r="F118" s="559"/>
      <c r="G118" s="246">
        <f t="shared" si="13"/>
        <v>0</v>
      </c>
      <c r="H118" s="247">
        <v>0</v>
      </c>
      <c r="I118" s="248">
        <f t="shared" si="14"/>
        <v>0</v>
      </c>
      <c r="J118" s="251" t="s">
        <v>804</v>
      </c>
      <c r="K118" s="179" t="s">
        <v>3400</v>
      </c>
      <c r="L118" s="179" t="s">
        <v>3144</v>
      </c>
      <c r="M118" s="252" t="s">
        <v>3424</v>
      </c>
      <c r="N118" s="179">
        <f t="shared" si="15"/>
        <v>0</v>
      </c>
    </row>
    <row r="119" spans="1:14">
      <c r="A119" s="241">
        <v>84</v>
      </c>
      <c r="B119" s="242">
        <v>101307</v>
      </c>
      <c r="C119" s="250" t="s">
        <v>3430</v>
      </c>
      <c r="D119" s="250" t="s">
        <v>2019</v>
      </c>
      <c r="E119" s="245">
        <v>50</v>
      </c>
      <c r="F119" s="559"/>
      <c r="G119" s="246">
        <f t="shared" si="13"/>
        <v>0</v>
      </c>
      <c r="H119" s="247">
        <v>0</v>
      </c>
      <c r="I119" s="248">
        <f t="shared" si="14"/>
        <v>0</v>
      </c>
      <c r="J119" s="251" t="s">
        <v>804</v>
      </c>
      <c r="K119" s="179" t="s">
        <v>3400</v>
      </c>
      <c r="L119" s="179" t="s">
        <v>3144</v>
      </c>
      <c r="M119" s="252" t="s">
        <v>3424</v>
      </c>
      <c r="N119" s="179">
        <f t="shared" si="15"/>
        <v>0</v>
      </c>
    </row>
    <row r="120" spans="1:14">
      <c r="A120" s="241">
        <v>85</v>
      </c>
      <c r="B120" s="242">
        <v>311115</v>
      </c>
      <c r="C120" s="250" t="s">
        <v>3431</v>
      </c>
      <c r="D120" s="250" t="s">
        <v>2833</v>
      </c>
      <c r="E120" s="245">
        <v>40</v>
      </c>
      <c r="F120" s="559"/>
      <c r="G120" s="246">
        <f t="shared" si="13"/>
        <v>0</v>
      </c>
      <c r="H120" s="247">
        <v>0</v>
      </c>
      <c r="I120" s="248">
        <f t="shared" si="14"/>
        <v>0</v>
      </c>
      <c r="J120" s="251" t="s">
        <v>804</v>
      </c>
      <c r="K120" s="179" t="s">
        <v>3400</v>
      </c>
      <c r="L120" s="179" t="s">
        <v>3144</v>
      </c>
      <c r="M120" s="252" t="s">
        <v>3424</v>
      </c>
    </row>
    <row r="121" spans="1:14">
      <c r="A121" s="241">
        <v>86</v>
      </c>
      <c r="B121" s="242">
        <v>311116</v>
      </c>
      <c r="C121" s="250" t="s">
        <v>3454</v>
      </c>
      <c r="D121" s="250" t="s">
        <v>2833</v>
      </c>
      <c r="E121" s="245">
        <v>39</v>
      </c>
      <c r="F121" s="559"/>
      <c r="G121" s="246">
        <f t="shared" si="13"/>
        <v>0</v>
      </c>
      <c r="H121" s="247">
        <v>0</v>
      </c>
      <c r="I121" s="248">
        <f t="shared" si="14"/>
        <v>0</v>
      </c>
      <c r="J121" s="251" t="s">
        <v>804</v>
      </c>
      <c r="K121" s="179" t="s">
        <v>3400</v>
      </c>
      <c r="L121" s="179" t="s">
        <v>3144</v>
      </c>
      <c r="M121" s="252" t="s">
        <v>3424</v>
      </c>
    </row>
    <row r="122" spans="1:14">
      <c r="A122" s="241">
        <v>87</v>
      </c>
      <c r="B122" s="242">
        <v>409011</v>
      </c>
      <c r="C122" s="250" t="s">
        <v>3433</v>
      </c>
      <c r="D122" s="250" t="s">
        <v>2833</v>
      </c>
      <c r="E122" s="245">
        <v>10</v>
      </c>
      <c r="F122" s="559"/>
      <c r="G122" s="246">
        <f t="shared" si="13"/>
        <v>0</v>
      </c>
      <c r="H122" s="247">
        <v>0</v>
      </c>
      <c r="I122" s="248">
        <f t="shared" si="14"/>
        <v>0</v>
      </c>
      <c r="J122" s="251" t="s">
        <v>804</v>
      </c>
      <c r="K122" s="179" t="s">
        <v>3400</v>
      </c>
      <c r="L122" s="179" t="s">
        <v>3144</v>
      </c>
      <c r="M122" s="252" t="s">
        <v>3424</v>
      </c>
    </row>
    <row r="123" spans="1:14">
      <c r="A123" s="241">
        <v>88</v>
      </c>
      <c r="B123" s="242">
        <v>409021</v>
      </c>
      <c r="C123" s="250" t="s">
        <v>3438</v>
      </c>
      <c r="D123" s="250" t="s">
        <v>2833</v>
      </c>
      <c r="E123" s="245">
        <v>2</v>
      </c>
      <c r="F123" s="559"/>
      <c r="G123" s="246">
        <f t="shared" si="13"/>
        <v>0</v>
      </c>
      <c r="H123" s="247">
        <v>0</v>
      </c>
      <c r="I123" s="248">
        <f t="shared" si="14"/>
        <v>0</v>
      </c>
      <c r="J123" s="251" t="s">
        <v>804</v>
      </c>
      <c r="K123" s="179" t="s">
        <v>3400</v>
      </c>
      <c r="L123" s="179" t="s">
        <v>3144</v>
      </c>
      <c r="M123" s="252" t="s">
        <v>3424</v>
      </c>
    </row>
    <row r="124" spans="1:14">
      <c r="A124" s="241">
        <v>89</v>
      </c>
      <c r="B124" s="242">
        <v>409026</v>
      </c>
      <c r="C124" s="250" t="s">
        <v>3440</v>
      </c>
      <c r="D124" s="250" t="s">
        <v>2833</v>
      </c>
      <c r="E124" s="245">
        <v>4</v>
      </c>
      <c r="F124" s="559"/>
      <c r="G124" s="246">
        <f t="shared" si="13"/>
        <v>0</v>
      </c>
      <c r="H124" s="247">
        <v>0</v>
      </c>
      <c r="I124" s="248">
        <f t="shared" si="14"/>
        <v>0</v>
      </c>
      <c r="J124" s="251" t="s">
        <v>804</v>
      </c>
      <c r="K124" s="179" t="s">
        <v>3400</v>
      </c>
      <c r="L124" s="179" t="s">
        <v>3144</v>
      </c>
      <c r="M124" s="252" t="s">
        <v>3424</v>
      </c>
    </row>
    <row r="125" spans="1:14">
      <c r="A125" s="241">
        <v>90</v>
      </c>
      <c r="B125" s="242">
        <v>415240</v>
      </c>
      <c r="C125" s="250" t="s">
        <v>3455</v>
      </c>
      <c r="D125" s="250" t="s">
        <v>3456</v>
      </c>
      <c r="E125" s="245">
        <v>2</v>
      </c>
      <c r="F125" s="559"/>
      <c r="G125" s="246">
        <f t="shared" si="13"/>
        <v>0</v>
      </c>
      <c r="H125" s="247">
        <v>0</v>
      </c>
      <c r="I125" s="248">
        <f t="shared" si="14"/>
        <v>0</v>
      </c>
      <c r="J125" s="251" t="s">
        <v>804</v>
      </c>
      <c r="K125" s="179" t="s">
        <v>3400</v>
      </c>
      <c r="L125" s="179" t="s">
        <v>3144</v>
      </c>
      <c r="M125" s="252" t="s">
        <v>3424</v>
      </c>
    </row>
    <row r="126" spans="1:14">
      <c r="A126" s="241">
        <v>91</v>
      </c>
      <c r="B126" s="242">
        <v>419101</v>
      </c>
      <c r="C126" s="250" t="s">
        <v>3434</v>
      </c>
      <c r="D126" s="250" t="s">
        <v>2833</v>
      </c>
      <c r="E126" s="245">
        <v>24</v>
      </c>
      <c r="F126" s="559"/>
      <c r="G126" s="246">
        <f t="shared" si="13"/>
        <v>0</v>
      </c>
      <c r="H126" s="247">
        <v>0</v>
      </c>
      <c r="I126" s="248">
        <f t="shared" si="14"/>
        <v>0</v>
      </c>
      <c r="J126" s="251" t="s">
        <v>804</v>
      </c>
      <c r="K126" s="179" t="s">
        <v>3400</v>
      </c>
      <c r="L126" s="179" t="s">
        <v>3144</v>
      </c>
      <c r="M126" s="252" t="s">
        <v>3424</v>
      </c>
    </row>
    <row r="127" spans="1:14">
      <c r="A127" s="241"/>
      <c r="B127" s="242"/>
      <c r="C127" s="253" t="s">
        <v>3386</v>
      </c>
      <c r="D127" s="250"/>
      <c r="E127" s="245"/>
      <c r="F127" s="254">
        <f>SUM(G113:G126)</f>
        <v>0</v>
      </c>
      <c r="G127" s="246"/>
      <c r="H127" s="247"/>
      <c r="I127" s="248"/>
      <c r="J127" s="251"/>
      <c r="M127" s="252" t="s">
        <v>3424</v>
      </c>
    </row>
    <row r="128" spans="1:14">
      <c r="A128" s="241"/>
      <c r="B128" s="242"/>
      <c r="C128" s="253" t="s">
        <v>3394</v>
      </c>
      <c r="D128" s="250"/>
      <c r="E128" s="245"/>
      <c r="F128" s="245"/>
      <c r="G128" s="246"/>
      <c r="H128" s="247"/>
      <c r="I128" s="248"/>
      <c r="J128" s="251"/>
      <c r="L128" s="179" t="s">
        <v>3395</v>
      </c>
      <c r="M128" s="252" t="s">
        <v>3424</v>
      </c>
    </row>
    <row r="129" spans="1:14">
      <c r="A129" s="241">
        <v>92</v>
      </c>
      <c r="B129" s="242">
        <v>295063</v>
      </c>
      <c r="C129" s="250" t="s">
        <v>3457</v>
      </c>
      <c r="D129" s="250" t="s">
        <v>2833</v>
      </c>
      <c r="E129" s="245">
        <v>10</v>
      </c>
      <c r="F129" s="559"/>
      <c r="G129" s="246">
        <f t="shared" ref="G129:G135" si="16">E129*F129</f>
        <v>0</v>
      </c>
      <c r="H129" s="247">
        <v>0</v>
      </c>
      <c r="I129" s="248">
        <f t="shared" ref="I129:I135" si="17">E129*H129</f>
        <v>0</v>
      </c>
      <c r="J129" s="251" t="s">
        <v>804</v>
      </c>
      <c r="K129" s="179" t="s">
        <v>3400</v>
      </c>
      <c r="L129" s="179" t="s">
        <v>3395</v>
      </c>
      <c r="M129" s="252" t="s">
        <v>3424</v>
      </c>
    </row>
    <row r="130" spans="1:14">
      <c r="A130" s="241">
        <v>93</v>
      </c>
      <c r="B130" s="242">
        <v>199093</v>
      </c>
      <c r="C130" s="250" t="s">
        <v>3458</v>
      </c>
      <c r="D130" s="250" t="s">
        <v>2833</v>
      </c>
      <c r="E130" s="245">
        <v>1</v>
      </c>
      <c r="F130" s="559"/>
      <c r="G130" s="246">
        <f t="shared" si="16"/>
        <v>0</v>
      </c>
      <c r="H130" s="247">
        <v>0</v>
      </c>
      <c r="I130" s="248">
        <f t="shared" si="17"/>
        <v>0</v>
      </c>
      <c r="J130" s="251" t="s">
        <v>804</v>
      </c>
      <c r="K130" s="179" t="s">
        <v>3400</v>
      </c>
      <c r="L130" s="179" t="s">
        <v>3395</v>
      </c>
      <c r="M130" s="252" t="s">
        <v>3424</v>
      </c>
    </row>
    <row r="131" spans="1:14">
      <c r="A131" s="241">
        <v>94</v>
      </c>
      <c r="B131" s="242">
        <v>295601</v>
      </c>
      <c r="C131" s="250" t="s">
        <v>3459</v>
      </c>
      <c r="D131" s="250" t="s">
        <v>2019</v>
      </c>
      <c r="E131" s="245">
        <v>340</v>
      </c>
      <c r="F131" s="559"/>
      <c r="G131" s="246">
        <f t="shared" si="16"/>
        <v>0</v>
      </c>
      <c r="H131" s="247">
        <v>0</v>
      </c>
      <c r="I131" s="248">
        <f t="shared" si="17"/>
        <v>0</v>
      </c>
      <c r="J131" s="251" t="s">
        <v>804</v>
      </c>
      <c r="K131" s="179" t="s">
        <v>3400</v>
      </c>
      <c r="L131" s="179" t="s">
        <v>3395</v>
      </c>
      <c r="M131" s="252" t="s">
        <v>3424</v>
      </c>
      <c r="N131" s="179">
        <f>E131*F131</f>
        <v>0</v>
      </c>
    </row>
    <row r="132" spans="1:14">
      <c r="A132" s="241">
        <v>95</v>
      </c>
      <c r="B132" s="242">
        <v>295451</v>
      </c>
      <c r="C132" s="250" t="s">
        <v>3460</v>
      </c>
      <c r="D132" s="250" t="s">
        <v>2833</v>
      </c>
      <c r="E132" s="245">
        <v>10</v>
      </c>
      <c r="F132" s="559"/>
      <c r="G132" s="246">
        <f t="shared" si="16"/>
        <v>0</v>
      </c>
      <c r="H132" s="247">
        <v>0</v>
      </c>
      <c r="I132" s="248">
        <f t="shared" si="17"/>
        <v>0</v>
      </c>
      <c r="J132" s="251" t="s">
        <v>804</v>
      </c>
      <c r="K132" s="179" t="s">
        <v>3400</v>
      </c>
      <c r="L132" s="179" t="s">
        <v>3395</v>
      </c>
      <c r="M132" s="252" t="s">
        <v>3424</v>
      </c>
    </row>
    <row r="133" spans="1:14">
      <c r="A133" s="241">
        <v>96</v>
      </c>
      <c r="B133" s="242">
        <v>295462</v>
      </c>
      <c r="C133" s="250" t="s">
        <v>3461</v>
      </c>
      <c r="D133" s="250" t="s">
        <v>2833</v>
      </c>
      <c r="E133" s="245">
        <v>20</v>
      </c>
      <c r="F133" s="559"/>
      <c r="G133" s="246">
        <f t="shared" si="16"/>
        <v>0</v>
      </c>
      <c r="H133" s="247">
        <v>0</v>
      </c>
      <c r="I133" s="248">
        <f t="shared" si="17"/>
        <v>0</v>
      </c>
      <c r="J133" s="251" t="s">
        <v>804</v>
      </c>
      <c r="K133" s="179" t="s">
        <v>3400</v>
      </c>
      <c r="L133" s="179" t="s">
        <v>3395</v>
      </c>
      <c r="M133" s="252" t="s">
        <v>3424</v>
      </c>
    </row>
    <row r="134" spans="1:14">
      <c r="A134" s="241">
        <v>97</v>
      </c>
      <c r="B134" s="242">
        <v>295882</v>
      </c>
      <c r="C134" s="250" t="s">
        <v>3462</v>
      </c>
      <c r="D134" s="250" t="s">
        <v>2833</v>
      </c>
      <c r="E134" s="245">
        <v>10</v>
      </c>
      <c r="F134" s="559"/>
      <c r="G134" s="246">
        <f t="shared" si="16"/>
        <v>0</v>
      </c>
      <c r="H134" s="247">
        <v>0</v>
      </c>
      <c r="I134" s="248">
        <f t="shared" si="17"/>
        <v>0</v>
      </c>
      <c r="J134" s="251" t="s">
        <v>804</v>
      </c>
      <c r="K134" s="179" t="s">
        <v>3400</v>
      </c>
      <c r="L134" s="179" t="s">
        <v>3395</v>
      </c>
      <c r="M134" s="252" t="s">
        <v>3424</v>
      </c>
    </row>
    <row r="135" spans="1:14">
      <c r="A135" s="241">
        <v>98</v>
      </c>
      <c r="B135" s="242">
        <v>295001</v>
      </c>
      <c r="C135" s="250" t="s">
        <v>3463</v>
      </c>
      <c r="D135" s="250" t="s">
        <v>2019</v>
      </c>
      <c r="E135" s="245">
        <v>170</v>
      </c>
      <c r="F135" s="559"/>
      <c r="G135" s="246">
        <f t="shared" si="16"/>
        <v>0</v>
      </c>
      <c r="H135" s="247">
        <v>0</v>
      </c>
      <c r="I135" s="248">
        <f t="shared" si="17"/>
        <v>0</v>
      </c>
      <c r="J135" s="251" t="s">
        <v>804</v>
      </c>
      <c r="K135" s="179" t="s">
        <v>3400</v>
      </c>
      <c r="L135" s="179" t="s">
        <v>3395</v>
      </c>
      <c r="M135" s="252" t="s">
        <v>3424</v>
      </c>
      <c r="N135" s="179">
        <f>E135*F135</f>
        <v>0</v>
      </c>
    </row>
    <row r="136" spans="1:14" ht="15.75" thickBot="1">
      <c r="A136" s="255"/>
      <c r="B136" s="256"/>
      <c r="C136" s="257" t="s">
        <v>3386</v>
      </c>
      <c r="D136" s="286"/>
      <c r="E136" s="259"/>
      <c r="F136" s="260">
        <f>SUM(G129:G135)</f>
        <v>0</v>
      </c>
      <c r="G136" s="261"/>
      <c r="H136" s="262"/>
      <c r="I136" s="263"/>
      <c r="J136" s="264"/>
      <c r="M136" s="252" t="s">
        <v>3424</v>
      </c>
    </row>
    <row r="137" spans="1:14" s="274" customFormat="1" ht="14.25">
      <c r="A137" s="265"/>
      <c r="B137" s="266"/>
      <c r="C137" s="267" t="s">
        <v>3397</v>
      </c>
      <c r="D137" s="267"/>
      <c r="E137" s="269"/>
      <c r="F137" s="269"/>
      <c r="G137" s="270">
        <f>SUM(G57:G136)</f>
        <v>0</v>
      </c>
      <c r="H137" s="271"/>
      <c r="I137" s="272">
        <f>SUM(I57:I136)</f>
        <v>0</v>
      </c>
      <c r="J137" s="273"/>
      <c r="M137" s="275" t="s">
        <v>3424</v>
      </c>
      <c r="N137" s="274">
        <f>SUM(N4:N136)</f>
        <v>0</v>
      </c>
    </row>
    <row r="138" spans="1:14" s="223" customFormat="1" ht="20.100000000000001" customHeight="1">
      <c r="A138" s="276" t="s">
        <v>3464</v>
      </c>
      <c r="B138" s="277"/>
      <c r="C138" s="278"/>
      <c r="D138" s="278"/>
      <c r="E138" s="280"/>
      <c r="F138" s="280"/>
      <c r="G138" s="281"/>
      <c r="H138" s="282"/>
      <c r="I138" s="283"/>
      <c r="J138" s="284"/>
      <c r="M138" s="285"/>
    </row>
    <row r="139" spans="1:14">
      <c r="A139" s="241"/>
      <c r="B139" s="242"/>
      <c r="C139" s="253" t="s">
        <v>3394</v>
      </c>
      <c r="D139" s="250"/>
      <c r="E139" s="245"/>
      <c r="F139" s="245"/>
      <c r="G139" s="246"/>
      <c r="H139" s="247"/>
      <c r="I139" s="248"/>
      <c r="J139" s="251"/>
      <c r="L139" s="179" t="s">
        <v>3395</v>
      </c>
      <c r="M139" s="252" t="s">
        <v>3465</v>
      </c>
    </row>
    <row r="140" spans="1:14">
      <c r="A140" s="241">
        <v>99</v>
      </c>
      <c r="B140" s="242">
        <v>25101</v>
      </c>
      <c r="C140" s="250" t="s">
        <v>3466</v>
      </c>
      <c r="D140" s="250" t="s">
        <v>2302</v>
      </c>
      <c r="E140" s="245">
        <v>1.7</v>
      </c>
      <c r="F140" s="559"/>
      <c r="G140" s="246">
        <f>E140*F140</f>
        <v>0</v>
      </c>
      <c r="H140" s="247">
        <v>0</v>
      </c>
      <c r="I140" s="248">
        <f>E140*H140</f>
        <v>0</v>
      </c>
      <c r="J140" s="251" t="s">
        <v>804</v>
      </c>
      <c r="L140" s="179" t="s">
        <v>3395</v>
      </c>
      <c r="M140" s="252" t="s">
        <v>3465</v>
      </c>
    </row>
    <row r="141" spans="1:14">
      <c r="A141" s="241">
        <v>100</v>
      </c>
      <c r="B141" s="242">
        <v>25102</v>
      </c>
      <c r="C141" s="250" t="s">
        <v>3467</v>
      </c>
      <c r="D141" s="250" t="s">
        <v>2302</v>
      </c>
      <c r="E141" s="245">
        <v>3.4</v>
      </c>
      <c r="F141" s="559"/>
      <c r="G141" s="246">
        <f>E141*F141</f>
        <v>0</v>
      </c>
      <c r="H141" s="247">
        <v>0</v>
      </c>
      <c r="I141" s="248">
        <f>E141*H141</f>
        <v>0</v>
      </c>
      <c r="J141" s="251" t="s">
        <v>804</v>
      </c>
      <c r="L141" s="179" t="s">
        <v>3395</v>
      </c>
      <c r="M141" s="252" t="s">
        <v>3465</v>
      </c>
    </row>
    <row r="142" spans="1:14">
      <c r="A142" s="241">
        <v>101</v>
      </c>
      <c r="B142" s="242">
        <v>25109</v>
      </c>
      <c r="C142" s="250" t="s">
        <v>3468</v>
      </c>
      <c r="D142" s="250" t="s">
        <v>2302</v>
      </c>
      <c r="E142" s="245">
        <v>1.02</v>
      </c>
      <c r="F142" s="559"/>
      <c r="G142" s="246">
        <f>E142*F142</f>
        <v>0</v>
      </c>
      <c r="H142" s="247">
        <v>0</v>
      </c>
      <c r="I142" s="248">
        <f>E142*H142</f>
        <v>0</v>
      </c>
      <c r="J142" s="251" t="s">
        <v>804</v>
      </c>
      <c r="L142" s="179" t="s">
        <v>3395</v>
      </c>
      <c r="M142" s="252" t="s">
        <v>3465</v>
      </c>
    </row>
    <row r="143" spans="1:14" ht="15.75" thickBot="1">
      <c r="A143" s="255"/>
      <c r="B143" s="256"/>
      <c r="C143" s="257" t="s">
        <v>3386</v>
      </c>
      <c r="D143" s="286"/>
      <c r="E143" s="259"/>
      <c r="F143" s="260">
        <f>SUM(G140:G142)</f>
        <v>0</v>
      </c>
      <c r="G143" s="261"/>
      <c r="H143" s="262"/>
      <c r="I143" s="263"/>
      <c r="J143" s="264"/>
      <c r="M143" s="252" t="s">
        <v>3465</v>
      </c>
    </row>
    <row r="144" spans="1:14" s="274" customFormat="1" ht="14.25">
      <c r="A144" s="265"/>
      <c r="B144" s="266"/>
      <c r="C144" s="267" t="s">
        <v>3397</v>
      </c>
      <c r="D144" s="267"/>
      <c r="E144" s="269"/>
      <c r="F144" s="269"/>
      <c r="G144" s="270">
        <f>SUM(G139:G143)</f>
        <v>0</v>
      </c>
      <c r="H144" s="271"/>
      <c r="I144" s="272">
        <f>SUM(I139:I143)</f>
        <v>0</v>
      </c>
      <c r="J144" s="273"/>
      <c r="M144" s="275" t="s">
        <v>3465</v>
      </c>
    </row>
    <row r="145" spans="1:13" s="223" customFormat="1" ht="20.100000000000001" customHeight="1">
      <c r="A145" s="276" t="s">
        <v>3469</v>
      </c>
      <c r="B145" s="277"/>
      <c r="C145" s="278"/>
      <c r="D145" s="278"/>
      <c r="E145" s="280"/>
      <c r="F145" s="280"/>
      <c r="G145" s="281"/>
      <c r="H145" s="282"/>
      <c r="I145" s="283"/>
      <c r="J145" s="284"/>
      <c r="M145" s="285"/>
    </row>
    <row r="146" spans="1:13">
      <c r="A146" s="241">
        <v>102</v>
      </c>
      <c r="B146" s="242">
        <v>210190002</v>
      </c>
      <c r="C146" s="250" t="s">
        <v>3470</v>
      </c>
      <c r="D146" s="250" t="s">
        <v>2833</v>
      </c>
      <c r="E146" s="245">
        <v>1</v>
      </c>
      <c r="F146" s="559"/>
      <c r="G146" s="246">
        <f t="shared" ref="G146:G157" si="18">E146*F146</f>
        <v>0</v>
      </c>
      <c r="H146" s="247">
        <v>0.86499999999999999</v>
      </c>
      <c r="I146" s="248">
        <f t="shared" ref="I146:I157" si="19">E146*H146</f>
        <v>0.86499999999999999</v>
      </c>
      <c r="J146" s="251" t="s">
        <v>804</v>
      </c>
      <c r="M146" s="252" t="s">
        <v>3471</v>
      </c>
    </row>
    <row r="147" spans="1:13">
      <c r="A147" s="241">
        <v>103</v>
      </c>
      <c r="B147" s="242">
        <v>210800851</v>
      </c>
      <c r="C147" s="250" t="s">
        <v>3472</v>
      </c>
      <c r="D147" s="250" t="s">
        <v>2019</v>
      </c>
      <c r="E147" s="245">
        <v>40</v>
      </c>
      <c r="F147" s="559"/>
      <c r="G147" s="246">
        <f t="shared" si="18"/>
        <v>0</v>
      </c>
      <c r="H147" s="247">
        <v>9.0999999999999998E-2</v>
      </c>
      <c r="I147" s="248">
        <f t="shared" si="19"/>
        <v>3.6399999999999997</v>
      </c>
      <c r="J147" s="251" t="s">
        <v>804</v>
      </c>
      <c r="M147" s="252" t="s">
        <v>3471</v>
      </c>
    </row>
    <row r="148" spans="1:13">
      <c r="A148" s="241">
        <v>104</v>
      </c>
      <c r="B148" s="242">
        <v>210190003</v>
      </c>
      <c r="C148" s="250" t="s">
        <v>3473</v>
      </c>
      <c r="D148" s="250" t="s">
        <v>2833</v>
      </c>
      <c r="E148" s="245">
        <v>1</v>
      </c>
      <c r="F148" s="559"/>
      <c r="G148" s="246">
        <f t="shared" si="18"/>
        <v>0</v>
      </c>
      <c r="H148" s="247">
        <v>1.1599999999999999</v>
      </c>
      <c r="I148" s="248">
        <f t="shared" si="19"/>
        <v>1.1599999999999999</v>
      </c>
      <c r="J148" s="251" t="s">
        <v>804</v>
      </c>
      <c r="M148" s="252" t="s">
        <v>3471</v>
      </c>
    </row>
    <row r="149" spans="1:13">
      <c r="A149" s="241">
        <v>105</v>
      </c>
      <c r="B149" s="242">
        <v>210190002</v>
      </c>
      <c r="C149" s="250" t="s">
        <v>3470</v>
      </c>
      <c r="D149" s="250" t="s">
        <v>2833</v>
      </c>
      <c r="E149" s="245">
        <v>1</v>
      </c>
      <c r="F149" s="559"/>
      <c r="G149" s="246">
        <f t="shared" si="18"/>
        <v>0</v>
      </c>
      <c r="H149" s="247">
        <v>0.86499999999999999</v>
      </c>
      <c r="I149" s="248">
        <f t="shared" si="19"/>
        <v>0.86499999999999999</v>
      </c>
      <c r="J149" s="251" t="s">
        <v>804</v>
      </c>
      <c r="M149" s="252" t="s">
        <v>3471</v>
      </c>
    </row>
    <row r="150" spans="1:13">
      <c r="A150" s="241">
        <v>106</v>
      </c>
      <c r="B150" s="242">
        <v>210190002</v>
      </c>
      <c r="C150" s="250" t="s">
        <v>3470</v>
      </c>
      <c r="D150" s="250" t="s">
        <v>2833</v>
      </c>
      <c r="E150" s="245">
        <v>1</v>
      </c>
      <c r="F150" s="559"/>
      <c r="G150" s="246">
        <f t="shared" si="18"/>
        <v>0</v>
      </c>
      <c r="H150" s="247">
        <v>0.86499999999999999</v>
      </c>
      <c r="I150" s="248">
        <f t="shared" si="19"/>
        <v>0.86499999999999999</v>
      </c>
      <c r="J150" s="251" t="s">
        <v>804</v>
      </c>
      <c r="M150" s="252" t="s">
        <v>3471</v>
      </c>
    </row>
    <row r="151" spans="1:13">
      <c r="A151" s="241">
        <v>107</v>
      </c>
      <c r="B151" s="242">
        <v>210190002</v>
      </c>
      <c r="C151" s="250" t="s">
        <v>3470</v>
      </c>
      <c r="D151" s="250" t="s">
        <v>2833</v>
      </c>
      <c r="E151" s="245">
        <v>1</v>
      </c>
      <c r="F151" s="559"/>
      <c r="G151" s="246">
        <f t="shared" si="18"/>
        <v>0</v>
      </c>
      <c r="H151" s="247">
        <v>0.86499999999999999</v>
      </c>
      <c r="I151" s="248">
        <f t="shared" si="19"/>
        <v>0.86499999999999999</v>
      </c>
      <c r="J151" s="251" t="s">
        <v>804</v>
      </c>
      <c r="M151" s="252" t="s">
        <v>3471</v>
      </c>
    </row>
    <row r="152" spans="1:13">
      <c r="A152" s="241">
        <v>108</v>
      </c>
      <c r="B152" s="242">
        <v>210190001</v>
      </c>
      <c r="C152" s="250" t="s">
        <v>3474</v>
      </c>
      <c r="D152" s="250" t="s">
        <v>2833</v>
      </c>
      <c r="E152" s="245">
        <v>1</v>
      </c>
      <c r="F152" s="559"/>
      <c r="G152" s="246">
        <f t="shared" si="18"/>
        <v>0</v>
      </c>
      <c r="H152" s="247">
        <v>0.50600000000000001</v>
      </c>
      <c r="I152" s="248">
        <f t="shared" si="19"/>
        <v>0.50600000000000001</v>
      </c>
      <c r="J152" s="251" t="s">
        <v>804</v>
      </c>
      <c r="M152" s="252" t="s">
        <v>3471</v>
      </c>
    </row>
    <row r="153" spans="1:13">
      <c r="A153" s="241">
        <v>109</v>
      </c>
      <c r="B153" s="242">
        <v>210190002</v>
      </c>
      <c r="C153" s="250" t="s">
        <v>3470</v>
      </c>
      <c r="D153" s="250" t="s">
        <v>2833</v>
      </c>
      <c r="E153" s="245">
        <v>1</v>
      </c>
      <c r="F153" s="559"/>
      <c r="G153" s="246">
        <f t="shared" si="18"/>
        <v>0</v>
      </c>
      <c r="H153" s="247">
        <v>0.86499999999999999</v>
      </c>
      <c r="I153" s="248">
        <f t="shared" si="19"/>
        <v>0.86499999999999999</v>
      </c>
      <c r="J153" s="251" t="s">
        <v>804</v>
      </c>
      <c r="M153" s="252" t="s">
        <v>3471</v>
      </c>
    </row>
    <row r="154" spans="1:13">
      <c r="A154" s="241">
        <v>110</v>
      </c>
      <c r="B154" s="242">
        <v>210190002</v>
      </c>
      <c r="C154" s="250" t="s">
        <v>3470</v>
      </c>
      <c r="D154" s="250" t="s">
        <v>2833</v>
      </c>
      <c r="E154" s="245">
        <v>1</v>
      </c>
      <c r="F154" s="559"/>
      <c r="G154" s="246">
        <f t="shared" si="18"/>
        <v>0</v>
      </c>
      <c r="H154" s="247">
        <v>0.86499999999999999</v>
      </c>
      <c r="I154" s="248">
        <f t="shared" si="19"/>
        <v>0.86499999999999999</v>
      </c>
      <c r="J154" s="251" t="s">
        <v>804</v>
      </c>
      <c r="M154" s="252" t="s">
        <v>3471</v>
      </c>
    </row>
    <row r="155" spans="1:13">
      <c r="A155" s="241">
        <v>111</v>
      </c>
      <c r="B155" s="242">
        <v>210190002</v>
      </c>
      <c r="C155" s="250" t="s">
        <v>3470</v>
      </c>
      <c r="D155" s="250" t="s">
        <v>2833</v>
      </c>
      <c r="E155" s="245">
        <v>1</v>
      </c>
      <c r="F155" s="559"/>
      <c r="G155" s="246">
        <f t="shared" si="18"/>
        <v>0</v>
      </c>
      <c r="H155" s="247">
        <v>0.86499999999999999</v>
      </c>
      <c r="I155" s="248">
        <f t="shared" si="19"/>
        <v>0.86499999999999999</v>
      </c>
      <c r="J155" s="251" t="s">
        <v>804</v>
      </c>
      <c r="M155" s="252" t="s">
        <v>3471</v>
      </c>
    </row>
    <row r="156" spans="1:13">
      <c r="A156" s="241">
        <v>112</v>
      </c>
      <c r="B156" s="242">
        <v>210190002</v>
      </c>
      <c r="C156" s="250" t="s">
        <v>3470</v>
      </c>
      <c r="D156" s="250" t="s">
        <v>2833</v>
      </c>
      <c r="E156" s="245">
        <v>1</v>
      </c>
      <c r="F156" s="559"/>
      <c r="G156" s="246">
        <f t="shared" si="18"/>
        <v>0</v>
      </c>
      <c r="H156" s="247">
        <v>0.86499999999999999</v>
      </c>
      <c r="I156" s="248">
        <f t="shared" si="19"/>
        <v>0.86499999999999999</v>
      </c>
      <c r="J156" s="251" t="s">
        <v>804</v>
      </c>
      <c r="M156" s="252" t="s">
        <v>3471</v>
      </c>
    </row>
    <row r="157" spans="1:13">
      <c r="A157" s="241">
        <v>113</v>
      </c>
      <c r="B157" s="242">
        <v>210192562</v>
      </c>
      <c r="C157" s="250" t="s">
        <v>3475</v>
      </c>
      <c r="D157" s="250" t="s">
        <v>2833</v>
      </c>
      <c r="E157" s="245">
        <v>1</v>
      </c>
      <c r="F157" s="559"/>
      <c r="G157" s="246">
        <f t="shared" si="18"/>
        <v>0</v>
      </c>
      <c r="H157" s="247">
        <v>0.36899999999999999</v>
      </c>
      <c r="I157" s="248">
        <f t="shared" si="19"/>
        <v>0.36899999999999999</v>
      </c>
      <c r="J157" s="251" t="s">
        <v>804</v>
      </c>
      <c r="M157" s="252" t="s">
        <v>3471</v>
      </c>
    </row>
    <row r="158" spans="1:13">
      <c r="A158" s="241"/>
      <c r="B158" s="242"/>
      <c r="C158" s="253" t="s">
        <v>3383</v>
      </c>
      <c r="D158" s="250"/>
      <c r="E158" s="245"/>
      <c r="F158" s="245"/>
      <c r="G158" s="246"/>
      <c r="H158" s="247"/>
      <c r="I158" s="248"/>
      <c r="J158" s="251"/>
      <c r="L158" s="179" t="s">
        <v>2190</v>
      </c>
      <c r="M158" s="252" t="s">
        <v>3471</v>
      </c>
    </row>
    <row r="159" spans="1:13">
      <c r="A159" s="241">
        <v>114</v>
      </c>
      <c r="B159" s="242">
        <v>210800851</v>
      </c>
      <c r="C159" s="250" t="s">
        <v>3472</v>
      </c>
      <c r="D159" s="250" t="s">
        <v>2019</v>
      </c>
      <c r="E159" s="245">
        <v>10</v>
      </c>
      <c r="F159" s="559"/>
      <c r="G159" s="246">
        <f t="shared" ref="G159:G171" si="20">E159*F159</f>
        <v>0</v>
      </c>
      <c r="H159" s="247">
        <v>9.0999999999999998E-2</v>
      </c>
      <c r="I159" s="248">
        <f t="shared" ref="I159:I171" si="21">E159*H159</f>
        <v>0.90999999999999992</v>
      </c>
      <c r="J159" s="251" t="s">
        <v>804</v>
      </c>
      <c r="L159" s="179" t="s">
        <v>2190</v>
      </c>
      <c r="M159" s="252" t="s">
        <v>3471</v>
      </c>
    </row>
    <row r="160" spans="1:13">
      <c r="A160" s="241">
        <v>115</v>
      </c>
      <c r="B160" s="242">
        <v>210810048</v>
      </c>
      <c r="C160" s="250" t="s">
        <v>3476</v>
      </c>
      <c r="D160" s="250" t="s">
        <v>2019</v>
      </c>
      <c r="E160" s="245">
        <v>30</v>
      </c>
      <c r="F160" s="559"/>
      <c r="G160" s="246">
        <f t="shared" si="20"/>
        <v>0</v>
      </c>
      <c r="H160" s="247">
        <v>0.09</v>
      </c>
      <c r="I160" s="248">
        <f t="shared" si="21"/>
        <v>2.6999999999999997</v>
      </c>
      <c r="J160" s="251" t="s">
        <v>804</v>
      </c>
      <c r="L160" s="179" t="s">
        <v>2190</v>
      </c>
      <c r="M160" s="252" t="s">
        <v>3471</v>
      </c>
    </row>
    <row r="161" spans="1:13">
      <c r="A161" s="241">
        <v>116</v>
      </c>
      <c r="B161" s="242">
        <v>210810048</v>
      </c>
      <c r="C161" s="250" t="s">
        <v>3476</v>
      </c>
      <c r="D161" s="250" t="s">
        <v>2019</v>
      </c>
      <c r="E161" s="245">
        <v>90</v>
      </c>
      <c r="F161" s="559"/>
      <c r="G161" s="246">
        <f t="shared" si="20"/>
        <v>0</v>
      </c>
      <c r="H161" s="247">
        <v>0.09</v>
      </c>
      <c r="I161" s="248">
        <f t="shared" si="21"/>
        <v>8.1</v>
      </c>
      <c r="J161" s="251" t="s">
        <v>804</v>
      </c>
      <c r="L161" s="179" t="s">
        <v>2190</v>
      </c>
      <c r="M161" s="252" t="s">
        <v>3471</v>
      </c>
    </row>
    <row r="162" spans="1:13">
      <c r="A162" s="241">
        <v>117</v>
      </c>
      <c r="B162" s="242">
        <v>210810048</v>
      </c>
      <c r="C162" s="250" t="s">
        <v>3476</v>
      </c>
      <c r="D162" s="250" t="s">
        <v>2019</v>
      </c>
      <c r="E162" s="245">
        <v>65</v>
      </c>
      <c r="F162" s="559"/>
      <c r="G162" s="246">
        <f t="shared" si="20"/>
        <v>0</v>
      </c>
      <c r="H162" s="247">
        <v>0.09</v>
      </c>
      <c r="I162" s="248">
        <f t="shared" si="21"/>
        <v>5.85</v>
      </c>
      <c r="J162" s="251" t="s">
        <v>804</v>
      </c>
      <c r="L162" s="179" t="s">
        <v>2190</v>
      </c>
      <c r="M162" s="252" t="s">
        <v>3471</v>
      </c>
    </row>
    <row r="163" spans="1:13">
      <c r="A163" s="241">
        <v>118</v>
      </c>
      <c r="B163" s="242">
        <v>210810048</v>
      </c>
      <c r="C163" s="250" t="s">
        <v>3476</v>
      </c>
      <c r="D163" s="250" t="s">
        <v>2019</v>
      </c>
      <c r="E163" s="245">
        <v>10</v>
      </c>
      <c r="F163" s="559"/>
      <c r="G163" s="246">
        <f t="shared" si="20"/>
        <v>0</v>
      </c>
      <c r="H163" s="247">
        <v>0.09</v>
      </c>
      <c r="I163" s="248">
        <f t="shared" si="21"/>
        <v>0.89999999999999991</v>
      </c>
      <c r="J163" s="251" t="s">
        <v>804</v>
      </c>
      <c r="L163" s="179" t="s">
        <v>2190</v>
      </c>
      <c r="M163" s="252" t="s">
        <v>3471</v>
      </c>
    </row>
    <row r="164" spans="1:13">
      <c r="A164" s="241">
        <v>119</v>
      </c>
      <c r="B164" s="242">
        <v>210810052</v>
      </c>
      <c r="C164" s="250" t="s">
        <v>3477</v>
      </c>
      <c r="D164" s="250" t="s">
        <v>2019</v>
      </c>
      <c r="E164" s="245">
        <v>5</v>
      </c>
      <c r="F164" s="559"/>
      <c r="G164" s="246">
        <f t="shared" si="20"/>
        <v>0</v>
      </c>
      <c r="H164" s="247">
        <v>9.5000000000000001E-2</v>
      </c>
      <c r="I164" s="248">
        <f t="shared" si="21"/>
        <v>0.47499999999999998</v>
      </c>
      <c r="J164" s="251" t="s">
        <v>804</v>
      </c>
      <c r="L164" s="179" t="s">
        <v>2190</v>
      </c>
      <c r="M164" s="252" t="s">
        <v>3471</v>
      </c>
    </row>
    <row r="165" spans="1:13">
      <c r="A165" s="241">
        <v>120</v>
      </c>
      <c r="B165" s="242">
        <v>210100002</v>
      </c>
      <c r="C165" s="250" t="s">
        <v>3478</v>
      </c>
      <c r="D165" s="250" t="s">
        <v>2833</v>
      </c>
      <c r="E165" s="245">
        <v>17</v>
      </c>
      <c r="F165" s="559"/>
      <c r="G165" s="246">
        <f t="shared" si="20"/>
        <v>0</v>
      </c>
      <c r="H165" s="247">
        <v>5.7000000000000002E-2</v>
      </c>
      <c r="I165" s="248">
        <f t="shared" si="21"/>
        <v>0.96900000000000008</v>
      </c>
      <c r="J165" s="251" t="s">
        <v>804</v>
      </c>
      <c r="K165" s="179" t="s">
        <v>3400</v>
      </c>
      <c r="L165" s="179" t="s">
        <v>2190</v>
      </c>
      <c r="M165" s="252" t="s">
        <v>3471</v>
      </c>
    </row>
    <row r="166" spans="1:13">
      <c r="A166" s="241">
        <v>121</v>
      </c>
      <c r="B166" s="242">
        <v>210010321</v>
      </c>
      <c r="C166" s="250" t="s">
        <v>3479</v>
      </c>
      <c r="D166" s="250" t="s">
        <v>2833</v>
      </c>
      <c r="E166" s="245">
        <v>13</v>
      </c>
      <c r="F166" s="559"/>
      <c r="G166" s="246">
        <f t="shared" si="20"/>
        <v>0</v>
      </c>
      <c r="H166" s="247">
        <v>0.39</v>
      </c>
      <c r="I166" s="248">
        <f t="shared" si="21"/>
        <v>5.07</v>
      </c>
      <c r="J166" s="251" t="s">
        <v>804</v>
      </c>
      <c r="L166" s="179" t="s">
        <v>2190</v>
      </c>
      <c r="M166" s="252" t="s">
        <v>3471</v>
      </c>
    </row>
    <row r="167" spans="1:13">
      <c r="A167" s="241">
        <v>122</v>
      </c>
      <c r="B167" s="242">
        <v>210010321</v>
      </c>
      <c r="C167" s="250" t="s">
        <v>3479</v>
      </c>
      <c r="D167" s="250" t="s">
        <v>2833</v>
      </c>
      <c r="E167" s="245">
        <v>14</v>
      </c>
      <c r="F167" s="559"/>
      <c r="G167" s="246">
        <f t="shared" si="20"/>
        <v>0</v>
      </c>
      <c r="H167" s="247">
        <v>0.39</v>
      </c>
      <c r="I167" s="248">
        <f t="shared" si="21"/>
        <v>5.46</v>
      </c>
      <c r="J167" s="251" t="s">
        <v>804</v>
      </c>
      <c r="L167" s="179" t="s">
        <v>2190</v>
      </c>
      <c r="M167" s="252" t="s">
        <v>3471</v>
      </c>
    </row>
    <row r="168" spans="1:13">
      <c r="A168" s="241">
        <v>123</v>
      </c>
      <c r="B168" s="242">
        <v>210110041</v>
      </c>
      <c r="C168" s="250" t="s">
        <v>3480</v>
      </c>
      <c r="D168" s="250" t="s">
        <v>2833</v>
      </c>
      <c r="E168" s="245">
        <v>5</v>
      </c>
      <c r="F168" s="559"/>
      <c r="G168" s="246">
        <f t="shared" si="20"/>
        <v>0</v>
      </c>
      <c r="H168" s="247">
        <v>0.14799999999999999</v>
      </c>
      <c r="I168" s="248">
        <f t="shared" si="21"/>
        <v>0.74</v>
      </c>
      <c r="J168" s="251" t="s">
        <v>804</v>
      </c>
      <c r="L168" s="179" t="s">
        <v>2190</v>
      </c>
      <c r="M168" s="252" t="s">
        <v>3471</v>
      </c>
    </row>
    <row r="169" spans="1:13">
      <c r="A169" s="241">
        <v>124</v>
      </c>
      <c r="B169" s="242">
        <v>210111011</v>
      </c>
      <c r="C169" s="250" t="s">
        <v>3481</v>
      </c>
      <c r="D169" s="250" t="s">
        <v>2833</v>
      </c>
      <c r="E169" s="245">
        <v>8</v>
      </c>
      <c r="F169" s="559"/>
      <c r="G169" s="246">
        <f t="shared" si="20"/>
        <v>0</v>
      </c>
      <c r="H169" s="247">
        <v>0.27400000000000002</v>
      </c>
      <c r="I169" s="248">
        <f t="shared" si="21"/>
        <v>2.1920000000000002</v>
      </c>
      <c r="J169" s="251" t="s">
        <v>804</v>
      </c>
      <c r="L169" s="179" t="s">
        <v>2190</v>
      </c>
      <c r="M169" s="252" t="s">
        <v>3471</v>
      </c>
    </row>
    <row r="170" spans="1:13">
      <c r="A170" s="241">
        <v>125</v>
      </c>
      <c r="B170" s="242">
        <v>210201001</v>
      </c>
      <c r="C170" s="250" t="s">
        <v>3482</v>
      </c>
      <c r="D170" s="250" t="s">
        <v>2833</v>
      </c>
      <c r="E170" s="245">
        <v>12</v>
      </c>
      <c r="F170" s="559"/>
      <c r="G170" s="246">
        <f t="shared" si="20"/>
        <v>0</v>
      </c>
      <c r="H170" s="247">
        <v>0.80100000000000005</v>
      </c>
      <c r="I170" s="248">
        <f t="shared" si="21"/>
        <v>9.6120000000000001</v>
      </c>
      <c r="J170" s="251" t="s">
        <v>804</v>
      </c>
      <c r="L170" s="179" t="s">
        <v>2190</v>
      </c>
      <c r="M170" s="252" t="s">
        <v>3471</v>
      </c>
    </row>
    <row r="171" spans="1:13">
      <c r="A171" s="241">
        <v>126</v>
      </c>
      <c r="B171" s="242">
        <v>210200012</v>
      </c>
      <c r="C171" s="250" t="s">
        <v>3483</v>
      </c>
      <c r="D171" s="250" t="s">
        <v>2833</v>
      </c>
      <c r="E171" s="245">
        <v>2</v>
      </c>
      <c r="F171" s="559"/>
      <c r="G171" s="246">
        <f t="shared" si="20"/>
        <v>0</v>
      </c>
      <c r="H171" s="247">
        <v>0.54800000000000004</v>
      </c>
      <c r="I171" s="248">
        <f t="shared" si="21"/>
        <v>1.0960000000000001</v>
      </c>
      <c r="J171" s="251" t="s">
        <v>804</v>
      </c>
      <c r="L171" s="179" t="s">
        <v>2190</v>
      </c>
      <c r="M171" s="252" t="s">
        <v>3471</v>
      </c>
    </row>
    <row r="172" spans="1:13">
      <c r="A172" s="241"/>
      <c r="B172" s="242"/>
      <c r="C172" s="253" t="s">
        <v>3386</v>
      </c>
      <c r="D172" s="250"/>
      <c r="E172" s="245"/>
      <c r="F172" s="254">
        <f>SUM(G159:G171)</f>
        <v>0</v>
      </c>
      <c r="G172" s="246"/>
      <c r="H172" s="247"/>
      <c r="I172" s="248"/>
      <c r="J172" s="251"/>
      <c r="M172" s="252" t="s">
        <v>3471</v>
      </c>
    </row>
    <row r="173" spans="1:13">
      <c r="A173" s="241"/>
      <c r="B173" s="242"/>
      <c r="C173" s="253" t="s">
        <v>3387</v>
      </c>
      <c r="D173" s="250"/>
      <c r="E173" s="245"/>
      <c r="F173" s="245"/>
      <c r="G173" s="246"/>
      <c r="H173" s="247"/>
      <c r="I173" s="248"/>
      <c r="J173" s="251"/>
      <c r="L173" s="179" t="s">
        <v>436</v>
      </c>
      <c r="M173" s="252" t="s">
        <v>3471</v>
      </c>
    </row>
    <row r="174" spans="1:13">
      <c r="A174" s="241">
        <v>127</v>
      </c>
      <c r="B174" s="242">
        <v>210810048</v>
      </c>
      <c r="C174" s="250" t="s">
        <v>3476</v>
      </c>
      <c r="D174" s="250" t="s">
        <v>2019</v>
      </c>
      <c r="E174" s="245">
        <v>140</v>
      </c>
      <c r="F174" s="559"/>
      <c r="G174" s="246">
        <f t="shared" ref="G174:G198" si="22">E174*F174</f>
        <v>0</v>
      </c>
      <c r="H174" s="247">
        <v>0.09</v>
      </c>
      <c r="I174" s="248">
        <f t="shared" ref="I174:I198" si="23">E174*H174</f>
        <v>12.6</v>
      </c>
      <c r="J174" s="251" t="s">
        <v>804</v>
      </c>
      <c r="L174" s="179" t="s">
        <v>436</v>
      </c>
      <c r="M174" s="252" t="s">
        <v>3471</v>
      </c>
    </row>
    <row r="175" spans="1:13">
      <c r="A175" s="241">
        <v>128</v>
      </c>
      <c r="B175" s="242">
        <v>210810048</v>
      </c>
      <c r="C175" s="250" t="s">
        <v>3476</v>
      </c>
      <c r="D175" s="250" t="s">
        <v>2019</v>
      </c>
      <c r="E175" s="245">
        <v>495</v>
      </c>
      <c r="F175" s="559"/>
      <c r="G175" s="246">
        <f t="shared" si="22"/>
        <v>0</v>
      </c>
      <c r="H175" s="247">
        <v>0.09</v>
      </c>
      <c r="I175" s="248">
        <f t="shared" si="23"/>
        <v>44.55</v>
      </c>
      <c r="J175" s="251" t="s">
        <v>804</v>
      </c>
      <c r="L175" s="179" t="s">
        <v>436</v>
      </c>
      <c r="M175" s="252" t="s">
        <v>3471</v>
      </c>
    </row>
    <row r="176" spans="1:13">
      <c r="A176" s="241">
        <v>129</v>
      </c>
      <c r="B176" s="242">
        <v>210810048</v>
      </c>
      <c r="C176" s="250" t="s">
        <v>3476</v>
      </c>
      <c r="D176" s="250" t="s">
        <v>2019</v>
      </c>
      <c r="E176" s="245">
        <v>75</v>
      </c>
      <c r="F176" s="559"/>
      <c r="G176" s="246">
        <f t="shared" si="22"/>
        <v>0</v>
      </c>
      <c r="H176" s="247">
        <v>0.09</v>
      </c>
      <c r="I176" s="248">
        <f t="shared" si="23"/>
        <v>6.75</v>
      </c>
      <c r="J176" s="251" t="s">
        <v>804</v>
      </c>
      <c r="L176" s="179" t="s">
        <v>436</v>
      </c>
      <c r="M176" s="252" t="s">
        <v>3471</v>
      </c>
    </row>
    <row r="177" spans="1:13">
      <c r="A177" s="241">
        <v>130</v>
      </c>
      <c r="B177" s="242">
        <v>210810048</v>
      </c>
      <c r="C177" s="250" t="s">
        <v>3476</v>
      </c>
      <c r="D177" s="250" t="s">
        <v>2019</v>
      </c>
      <c r="E177" s="245">
        <v>125</v>
      </c>
      <c r="F177" s="559"/>
      <c r="G177" s="246">
        <f t="shared" si="22"/>
        <v>0</v>
      </c>
      <c r="H177" s="247">
        <v>0.09</v>
      </c>
      <c r="I177" s="248">
        <f t="shared" si="23"/>
        <v>11.25</v>
      </c>
      <c r="J177" s="251" t="s">
        <v>804</v>
      </c>
      <c r="L177" s="179" t="s">
        <v>436</v>
      </c>
      <c r="M177" s="252" t="s">
        <v>3471</v>
      </c>
    </row>
    <row r="178" spans="1:13">
      <c r="A178" s="241">
        <v>131</v>
      </c>
      <c r="B178" s="242">
        <v>210810048</v>
      </c>
      <c r="C178" s="250" t="s">
        <v>3476</v>
      </c>
      <c r="D178" s="250" t="s">
        <v>2019</v>
      </c>
      <c r="E178" s="245">
        <v>55</v>
      </c>
      <c r="F178" s="559"/>
      <c r="G178" s="246">
        <f t="shared" si="22"/>
        <v>0</v>
      </c>
      <c r="H178" s="247">
        <v>0.09</v>
      </c>
      <c r="I178" s="248">
        <f t="shared" si="23"/>
        <v>4.95</v>
      </c>
      <c r="J178" s="251" t="s">
        <v>804</v>
      </c>
      <c r="L178" s="179" t="s">
        <v>436</v>
      </c>
      <c r="M178" s="252" t="s">
        <v>3471</v>
      </c>
    </row>
    <row r="179" spans="1:13">
      <c r="A179" s="241">
        <v>132</v>
      </c>
      <c r="B179" s="242">
        <v>210810052</v>
      </c>
      <c r="C179" s="250" t="s">
        <v>3477</v>
      </c>
      <c r="D179" s="250" t="s">
        <v>2019</v>
      </c>
      <c r="E179" s="245">
        <v>70</v>
      </c>
      <c r="F179" s="559"/>
      <c r="G179" s="246">
        <f t="shared" si="22"/>
        <v>0</v>
      </c>
      <c r="H179" s="247">
        <v>9.5000000000000001E-2</v>
      </c>
      <c r="I179" s="248">
        <f t="shared" si="23"/>
        <v>6.65</v>
      </c>
      <c r="J179" s="251" t="s">
        <v>804</v>
      </c>
      <c r="L179" s="179" t="s">
        <v>436</v>
      </c>
      <c r="M179" s="252" t="s">
        <v>3471</v>
      </c>
    </row>
    <row r="180" spans="1:13">
      <c r="A180" s="241">
        <v>133</v>
      </c>
      <c r="B180" s="242">
        <v>210810052</v>
      </c>
      <c r="C180" s="250" t="s">
        <v>3477</v>
      </c>
      <c r="D180" s="250" t="s">
        <v>2019</v>
      </c>
      <c r="E180" s="245">
        <v>45</v>
      </c>
      <c r="F180" s="559"/>
      <c r="G180" s="246">
        <f t="shared" si="22"/>
        <v>0</v>
      </c>
      <c r="H180" s="247">
        <v>9.5000000000000001E-2</v>
      </c>
      <c r="I180" s="248">
        <f t="shared" si="23"/>
        <v>4.2750000000000004</v>
      </c>
      <c r="J180" s="251" t="s">
        <v>804</v>
      </c>
      <c r="L180" s="179" t="s">
        <v>436</v>
      </c>
      <c r="M180" s="252" t="s">
        <v>3471</v>
      </c>
    </row>
    <row r="181" spans="1:13">
      <c r="A181" s="241">
        <v>134</v>
      </c>
      <c r="B181" s="242">
        <v>210100002</v>
      </c>
      <c r="C181" s="250" t="s">
        <v>3478</v>
      </c>
      <c r="D181" s="250" t="s">
        <v>2833</v>
      </c>
      <c r="E181" s="245">
        <v>66</v>
      </c>
      <c r="F181" s="559"/>
      <c r="G181" s="246">
        <f t="shared" si="22"/>
        <v>0</v>
      </c>
      <c r="H181" s="247">
        <v>5.7000000000000002E-2</v>
      </c>
      <c r="I181" s="248">
        <f t="shared" si="23"/>
        <v>3.762</v>
      </c>
      <c r="J181" s="251" t="s">
        <v>804</v>
      </c>
      <c r="K181" s="179" t="s">
        <v>3400</v>
      </c>
      <c r="L181" s="179" t="s">
        <v>436</v>
      </c>
      <c r="M181" s="252" t="s">
        <v>3471</v>
      </c>
    </row>
    <row r="182" spans="1:13">
      <c r="A182" s="241">
        <v>135</v>
      </c>
      <c r="B182" s="242">
        <v>210010321</v>
      </c>
      <c r="C182" s="250" t="s">
        <v>3479</v>
      </c>
      <c r="D182" s="250" t="s">
        <v>2833</v>
      </c>
      <c r="E182" s="245">
        <v>70</v>
      </c>
      <c r="F182" s="559"/>
      <c r="G182" s="246">
        <f t="shared" si="22"/>
        <v>0</v>
      </c>
      <c r="H182" s="247">
        <v>0.39</v>
      </c>
      <c r="I182" s="248">
        <f t="shared" si="23"/>
        <v>27.3</v>
      </c>
      <c r="J182" s="251" t="s">
        <v>804</v>
      </c>
      <c r="L182" s="179" t="s">
        <v>436</v>
      </c>
      <c r="M182" s="252" t="s">
        <v>3471</v>
      </c>
    </row>
    <row r="183" spans="1:13">
      <c r="A183" s="241">
        <v>136</v>
      </c>
      <c r="B183" s="242">
        <v>210010321</v>
      </c>
      <c r="C183" s="250" t="s">
        <v>3479</v>
      </c>
      <c r="D183" s="250" t="s">
        <v>2833</v>
      </c>
      <c r="E183" s="245">
        <v>90</v>
      </c>
      <c r="F183" s="559"/>
      <c r="G183" s="246">
        <f t="shared" si="22"/>
        <v>0</v>
      </c>
      <c r="H183" s="247">
        <v>0.39</v>
      </c>
      <c r="I183" s="248">
        <f t="shared" si="23"/>
        <v>35.1</v>
      </c>
      <c r="J183" s="251" t="s">
        <v>804</v>
      </c>
      <c r="L183" s="179" t="s">
        <v>436</v>
      </c>
      <c r="M183" s="252" t="s">
        <v>3471</v>
      </c>
    </row>
    <row r="184" spans="1:13">
      <c r="A184" s="241">
        <v>137</v>
      </c>
      <c r="B184" s="242">
        <v>210110041</v>
      </c>
      <c r="C184" s="250" t="s">
        <v>3480</v>
      </c>
      <c r="D184" s="250" t="s">
        <v>2833</v>
      </c>
      <c r="E184" s="245">
        <v>24</v>
      </c>
      <c r="F184" s="559"/>
      <c r="G184" s="246">
        <f t="shared" si="22"/>
        <v>0</v>
      </c>
      <c r="H184" s="247">
        <v>0.14799999999999999</v>
      </c>
      <c r="I184" s="248">
        <f t="shared" si="23"/>
        <v>3.5519999999999996</v>
      </c>
      <c r="J184" s="251" t="s">
        <v>804</v>
      </c>
      <c r="L184" s="179" t="s">
        <v>436</v>
      </c>
      <c r="M184" s="252" t="s">
        <v>3471</v>
      </c>
    </row>
    <row r="185" spans="1:13">
      <c r="A185" s="241">
        <v>138</v>
      </c>
      <c r="B185" s="242">
        <v>210110043</v>
      </c>
      <c r="C185" s="250" t="s">
        <v>3484</v>
      </c>
      <c r="D185" s="250" t="s">
        <v>2833</v>
      </c>
      <c r="E185" s="245">
        <v>1</v>
      </c>
      <c r="F185" s="559"/>
      <c r="G185" s="246">
        <f t="shared" si="22"/>
        <v>0</v>
      </c>
      <c r="H185" s="247">
        <v>0.17</v>
      </c>
      <c r="I185" s="248">
        <f t="shared" si="23"/>
        <v>0.17</v>
      </c>
      <c r="J185" s="251" t="s">
        <v>804</v>
      </c>
      <c r="L185" s="179" t="s">
        <v>436</v>
      </c>
      <c r="M185" s="252" t="s">
        <v>3471</v>
      </c>
    </row>
    <row r="186" spans="1:13">
      <c r="A186" s="241">
        <v>139</v>
      </c>
      <c r="B186" s="242">
        <v>210110045</v>
      </c>
      <c r="C186" s="250" t="s">
        <v>3485</v>
      </c>
      <c r="D186" s="250" t="s">
        <v>2833</v>
      </c>
      <c r="E186" s="245">
        <v>12</v>
      </c>
      <c r="F186" s="559"/>
      <c r="G186" s="246">
        <f t="shared" si="22"/>
        <v>0</v>
      </c>
      <c r="H186" s="247">
        <v>0.17</v>
      </c>
      <c r="I186" s="248">
        <f t="shared" si="23"/>
        <v>2.04</v>
      </c>
      <c r="J186" s="251" t="s">
        <v>804</v>
      </c>
      <c r="L186" s="179" t="s">
        <v>436</v>
      </c>
      <c r="M186" s="252" t="s">
        <v>3471</v>
      </c>
    </row>
    <row r="187" spans="1:13">
      <c r="A187" s="241">
        <v>140</v>
      </c>
      <c r="B187" s="242">
        <v>210110046</v>
      </c>
      <c r="C187" s="250" t="s">
        <v>3486</v>
      </c>
      <c r="D187" s="250" t="s">
        <v>2833</v>
      </c>
      <c r="E187" s="245">
        <v>1</v>
      </c>
      <c r="F187" s="559"/>
      <c r="G187" s="246">
        <f t="shared" si="22"/>
        <v>0</v>
      </c>
      <c r="H187" s="247">
        <v>0.19</v>
      </c>
      <c r="I187" s="248">
        <f t="shared" si="23"/>
        <v>0.19</v>
      </c>
      <c r="J187" s="251" t="s">
        <v>804</v>
      </c>
      <c r="L187" s="179" t="s">
        <v>436</v>
      </c>
      <c r="M187" s="252" t="s">
        <v>3471</v>
      </c>
    </row>
    <row r="188" spans="1:13">
      <c r="A188" s="241">
        <v>141</v>
      </c>
      <c r="B188" s="242">
        <v>210110091</v>
      </c>
      <c r="C188" s="250" t="s">
        <v>3487</v>
      </c>
      <c r="D188" s="250" t="s">
        <v>2833</v>
      </c>
      <c r="E188" s="245">
        <v>1</v>
      </c>
      <c r="F188" s="559"/>
      <c r="G188" s="246">
        <f t="shared" si="22"/>
        <v>0</v>
      </c>
      <c r="H188" s="247">
        <v>0.19</v>
      </c>
      <c r="I188" s="248">
        <f t="shared" si="23"/>
        <v>0.19</v>
      </c>
      <c r="J188" s="251" t="s">
        <v>804</v>
      </c>
      <c r="L188" s="179" t="s">
        <v>436</v>
      </c>
      <c r="M188" s="252" t="s">
        <v>3471</v>
      </c>
    </row>
    <row r="189" spans="1:13">
      <c r="A189" s="241">
        <v>142</v>
      </c>
      <c r="B189" s="242">
        <v>210110021</v>
      </c>
      <c r="C189" s="250" t="s">
        <v>3488</v>
      </c>
      <c r="D189" s="250" t="s">
        <v>2833</v>
      </c>
      <c r="E189" s="245">
        <v>2</v>
      </c>
      <c r="F189" s="559"/>
      <c r="G189" s="246">
        <f t="shared" si="22"/>
        <v>0</v>
      </c>
      <c r="H189" s="247">
        <v>0.39</v>
      </c>
      <c r="I189" s="248">
        <f t="shared" si="23"/>
        <v>0.78</v>
      </c>
      <c r="J189" s="251" t="s">
        <v>804</v>
      </c>
      <c r="L189" s="179" t="s">
        <v>436</v>
      </c>
      <c r="M189" s="252" t="s">
        <v>3471</v>
      </c>
    </row>
    <row r="190" spans="1:13">
      <c r="A190" s="241">
        <v>143</v>
      </c>
      <c r="B190" s="242">
        <v>210110071</v>
      </c>
      <c r="C190" s="250" t="s">
        <v>3489</v>
      </c>
      <c r="D190" s="250" t="s">
        <v>2833</v>
      </c>
      <c r="E190" s="245">
        <v>1</v>
      </c>
      <c r="F190" s="559"/>
      <c r="G190" s="246">
        <f t="shared" si="22"/>
        <v>0</v>
      </c>
      <c r="H190" s="247">
        <v>0.27400000000000002</v>
      </c>
      <c r="I190" s="248">
        <f t="shared" si="23"/>
        <v>0.27400000000000002</v>
      </c>
      <c r="J190" s="251" t="s">
        <v>804</v>
      </c>
      <c r="L190" s="179" t="s">
        <v>436</v>
      </c>
      <c r="M190" s="252" t="s">
        <v>3471</v>
      </c>
    </row>
    <row r="191" spans="1:13">
      <c r="A191" s="241">
        <v>144</v>
      </c>
      <c r="B191" s="242">
        <v>210111011</v>
      </c>
      <c r="C191" s="250" t="s">
        <v>3481</v>
      </c>
      <c r="D191" s="250" t="s">
        <v>2833</v>
      </c>
      <c r="E191" s="245">
        <v>28</v>
      </c>
      <c r="F191" s="559"/>
      <c r="G191" s="246">
        <f t="shared" si="22"/>
        <v>0</v>
      </c>
      <c r="H191" s="247">
        <v>0.27400000000000002</v>
      </c>
      <c r="I191" s="248">
        <f t="shared" si="23"/>
        <v>7.6720000000000006</v>
      </c>
      <c r="J191" s="251" t="s">
        <v>804</v>
      </c>
      <c r="L191" s="179" t="s">
        <v>436</v>
      </c>
      <c r="M191" s="252" t="s">
        <v>3471</v>
      </c>
    </row>
    <row r="192" spans="1:13">
      <c r="A192" s="241">
        <v>145</v>
      </c>
      <c r="B192" s="242">
        <v>210201001</v>
      </c>
      <c r="C192" s="250" t="s">
        <v>3482</v>
      </c>
      <c r="D192" s="250" t="s">
        <v>2833</v>
      </c>
      <c r="E192" s="245">
        <v>24</v>
      </c>
      <c r="F192" s="559"/>
      <c r="G192" s="246">
        <f t="shared" si="22"/>
        <v>0</v>
      </c>
      <c r="H192" s="247">
        <v>0.80100000000000005</v>
      </c>
      <c r="I192" s="248">
        <f t="shared" si="23"/>
        <v>19.224</v>
      </c>
      <c r="J192" s="251" t="s">
        <v>804</v>
      </c>
      <c r="L192" s="179" t="s">
        <v>436</v>
      </c>
      <c r="M192" s="252" t="s">
        <v>3471</v>
      </c>
    </row>
    <row r="193" spans="1:13">
      <c r="A193" s="241">
        <v>146</v>
      </c>
      <c r="B193" s="242">
        <v>210201001</v>
      </c>
      <c r="C193" s="250" t="s">
        <v>3482</v>
      </c>
      <c r="D193" s="250" t="s">
        <v>2833</v>
      </c>
      <c r="E193" s="245">
        <v>14</v>
      </c>
      <c r="F193" s="559"/>
      <c r="G193" s="246">
        <f t="shared" si="22"/>
        <v>0</v>
      </c>
      <c r="H193" s="247">
        <v>0.80100000000000005</v>
      </c>
      <c r="I193" s="248">
        <f t="shared" si="23"/>
        <v>11.214</v>
      </c>
      <c r="J193" s="251" t="s">
        <v>804</v>
      </c>
      <c r="L193" s="179" t="s">
        <v>436</v>
      </c>
      <c r="M193" s="252" t="s">
        <v>3471</v>
      </c>
    </row>
    <row r="194" spans="1:13">
      <c r="A194" s="241">
        <v>147</v>
      </c>
      <c r="B194" s="242">
        <v>210201001</v>
      </c>
      <c r="C194" s="250" t="s">
        <v>3482</v>
      </c>
      <c r="D194" s="250" t="s">
        <v>2833</v>
      </c>
      <c r="E194" s="245">
        <v>4</v>
      </c>
      <c r="F194" s="559"/>
      <c r="G194" s="246">
        <f t="shared" si="22"/>
        <v>0</v>
      </c>
      <c r="H194" s="247">
        <v>0.80100000000000005</v>
      </c>
      <c r="I194" s="248">
        <f t="shared" si="23"/>
        <v>3.2040000000000002</v>
      </c>
      <c r="J194" s="251" t="s">
        <v>804</v>
      </c>
      <c r="L194" s="179" t="s">
        <v>436</v>
      </c>
      <c r="M194" s="252" t="s">
        <v>3471</v>
      </c>
    </row>
    <row r="195" spans="1:13">
      <c r="A195" s="241">
        <v>148</v>
      </c>
      <c r="B195" s="242">
        <v>210201001</v>
      </c>
      <c r="C195" s="250" t="s">
        <v>3482</v>
      </c>
      <c r="D195" s="250" t="s">
        <v>2833</v>
      </c>
      <c r="E195" s="245">
        <v>12</v>
      </c>
      <c r="F195" s="559"/>
      <c r="G195" s="246">
        <f t="shared" si="22"/>
        <v>0</v>
      </c>
      <c r="H195" s="247">
        <v>0.80100000000000005</v>
      </c>
      <c r="I195" s="248">
        <f t="shared" si="23"/>
        <v>9.6120000000000001</v>
      </c>
      <c r="J195" s="251" t="s">
        <v>804</v>
      </c>
      <c r="L195" s="179" t="s">
        <v>436</v>
      </c>
      <c r="M195" s="252" t="s">
        <v>3471</v>
      </c>
    </row>
    <row r="196" spans="1:13">
      <c r="A196" s="241">
        <v>149</v>
      </c>
      <c r="B196" s="242">
        <v>210200012</v>
      </c>
      <c r="C196" s="250" t="s">
        <v>3483</v>
      </c>
      <c r="D196" s="250" t="s">
        <v>2833</v>
      </c>
      <c r="E196" s="245">
        <v>17</v>
      </c>
      <c r="F196" s="559"/>
      <c r="G196" s="246">
        <f t="shared" si="22"/>
        <v>0</v>
      </c>
      <c r="H196" s="247">
        <v>0.54800000000000004</v>
      </c>
      <c r="I196" s="248">
        <f t="shared" si="23"/>
        <v>9.3160000000000007</v>
      </c>
      <c r="J196" s="251" t="s">
        <v>804</v>
      </c>
      <c r="L196" s="179" t="s">
        <v>436</v>
      </c>
      <c r="M196" s="252" t="s">
        <v>3471</v>
      </c>
    </row>
    <row r="197" spans="1:13">
      <c r="A197" s="241">
        <v>150</v>
      </c>
      <c r="B197" s="242">
        <v>210200045</v>
      </c>
      <c r="C197" s="250" t="s">
        <v>3490</v>
      </c>
      <c r="D197" s="250" t="s">
        <v>2833</v>
      </c>
      <c r="E197" s="245">
        <v>10</v>
      </c>
      <c r="F197" s="559"/>
      <c r="G197" s="246">
        <f t="shared" si="22"/>
        <v>0</v>
      </c>
      <c r="H197" s="247">
        <v>0.54800000000000004</v>
      </c>
      <c r="I197" s="248">
        <f t="shared" si="23"/>
        <v>5.48</v>
      </c>
      <c r="J197" s="251" t="s">
        <v>804</v>
      </c>
      <c r="L197" s="179" t="s">
        <v>436</v>
      </c>
      <c r="M197" s="252" t="s">
        <v>3471</v>
      </c>
    </row>
    <row r="198" spans="1:13">
      <c r="A198" s="241">
        <v>151</v>
      </c>
      <c r="B198" s="242">
        <v>210201002</v>
      </c>
      <c r="C198" s="250" t="s">
        <v>3491</v>
      </c>
      <c r="D198" s="250" t="s">
        <v>2833</v>
      </c>
      <c r="E198" s="245">
        <v>2</v>
      </c>
      <c r="F198" s="559"/>
      <c r="G198" s="246">
        <f t="shared" si="22"/>
        <v>0</v>
      </c>
      <c r="H198" s="247">
        <v>0.86399999999999999</v>
      </c>
      <c r="I198" s="248">
        <f t="shared" si="23"/>
        <v>1.728</v>
      </c>
      <c r="J198" s="251" t="s">
        <v>804</v>
      </c>
      <c r="L198" s="179" t="s">
        <v>436</v>
      </c>
      <c r="M198" s="252" t="s">
        <v>3471</v>
      </c>
    </row>
    <row r="199" spans="1:13">
      <c r="A199" s="241"/>
      <c r="B199" s="242"/>
      <c r="C199" s="253" t="s">
        <v>3386</v>
      </c>
      <c r="D199" s="250"/>
      <c r="E199" s="245"/>
      <c r="F199" s="254">
        <f>SUM(G174:G198)</f>
        <v>0</v>
      </c>
      <c r="G199" s="246"/>
      <c r="H199" s="247"/>
      <c r="I199" s="248"/>
      <c r="J199" s="251"/>
      <c r="M199" s="252" t="s">
        <v>3471</v>
      </c>
    </row>
    <row r="200" spans="1:13">
      <c r="A200" s="241"/>
      <c r="B200" s="242"/>
      <c r="C200" s="253" t="s">
        <v>3389</v>
      </c>
      <c r="D200" s="250"/>
      <c r="E200" s="245"/>
      <c r="F200" s="245"/>
      <c r="G200" s="246"/>
      <c r="H200" s="247"/>
      <c r="I200" s="248"/>
      <c r="J200" s="251"/>
      <c r="L200" s="179" t="s">
        <v>1548</v>
      </c>
      <c r="M200" s="252" t="s">
        <v>3471</v>
      </c>
    </row>
    <row r="201" spans="1:13">
      <c r="A201" s="241">
        <v>152</v>
      </c>
      <c r="B201" s="242">
        <v>210800851</v>
      </c>
      <c r="C201" s="250" t="s">
        <v>3472</v>
      </c>
      <c r="D201" s="250" t="s">
        <v>2019</v>
      </c>
      <c r="E201" s="245">
        <v>40</v>
      </c>
      <c r="F201" s="559"/>
      <c r="G201" s="246">
        <f t="shared" ref="G201:G222" si="24">E201*F201</f>
        <v>0</v>
      </c>
      <c r="H201" s="247">
        <v>9.0999999999999998E-2</v>
      </c>
      <c r="I201" s="248">
        <f t="shared" ref="I201:I222" si="25">E201*H201</f>
        <v>3.6399999999999997</v>
      </c>
      <c r="J201" s="251" t="s">
        <v>804</v>
      </c>
      <c r="L201" s="179" t="s">
        <v>1548</v>
      </c>
      <c r="M201" s="252" t="s">
        <v>3471</v>
      </c>
    </row>
    <row r="202" spans="1:13">
      <c r="A202" s="241">
        <v>153</v>
      </c>
      <c r="B202" s="242">
        <v>210800851</v>
      </c>
      <c r="C202" s="250" t="s">
        <v>3472</v>
      </c>
      <c r="D202" s="250" t="s">
        <v>2019</v>
      </c>
      <c r="E202" s="245">
        <v>10</v>
      </c>
      <c r="F202" s="559"/>
      <c r="G202" s="246">
        <f t="shared" si="24"/>
        <v>0</v>
      </c>
      <c r="H202" s="247">
        <v>9.0999999999999998E-2</v>
      </c>
      <c r="I202" s="248">
        <f t="shared" si="25"/>
        <v>0.90999999999999992</v>
      </c>
      <c r="J202" s="251" t="s">
        <v>804</v>
      </c>
      <c r="L202" s="179" t="s">
        <v>1548</v>
      </c>
      <c r="M202" s="252" t="s">
        <v>3471</v>
      </c>
    </row>
    <row r="203" spans="1:13">
      <c r="A203" s="241">
        <v>154</v>
      </c>
      <c r="B203" s="242">
        <v>210800851</v>
      </c>
      <c r="C203" s="250" t="s">
        <v>3472</v>
      </c>
      <c r="D203" s="250" t="s">
        <v>2019</v>
      </c>
      <c r="E203" s="245">
        <v>60</v>
      </c>
      <c r="F203" s="559"/>
      <c r="G203" s="246">
        <f t="shared" si="24"/>
        <v>0</v>
      </c>
      <c r="H203" s="247">
        <v>9.0999999999999998E-2</v>
      </c>
      <c r="I203" s="248">
        <f t="shared" si="25"/>
        <v>5.46</v>
      </c>
      <c r="J203" s="251" t="s">
        <v>804</v>
      </c>
      <c r="L203" s="179" t="s">
        <v>1548</v>
      </c>
      <c r="M203" s="252" t="s">
        <v>3471</v>
      </c>
    </row>
    <row r="204" spans="1:13">
      <c r="A204" s="241">
        <v>155</v>
      </c>
      <c r="B204" s="242">
        <v>210810048</v>
      </c>
      <c r="C204" s="250" t="s">
        <v>3476</v>
      </c>
      <c r="D204" s="250" t="s">
        <v>2019</v>
      </c>
      <c r="E204" s="245">
        <v>20</v>
      </c>
      <c r="F204" s="559"/>
      <c r="G204" s="246">
        <f t="shared" si="24"/>
        <v>0</v>
      </c>
      <c r="H204" s="247">
        <v>0.09</v>
      </c>
      <c r="I204" s="248">
        <f t="shared" si="25"/>
        <v>1.7999999999999998</v>
      </c>
      <c r="J204" s="251" t="s">
        <v>804</v>
      </c>
      <c r="L204" s="179" t="s">
        <v>1548</v>
      </c>
      <c r="M204" s="252" t="s">
        <v>3471</v>
      </c>
    </row>
    <row r="205" spans="1:13">
      <c r="A205" s="241">
        <v>156</v>
      </c>
      <c r="B205" s="242">
        <v>210810048</v>
      </c>
      <c r="C205" s="250" t="s">
        <v>3476</v>
      </c>
      <c r="D205" s="250" t="s">
        <v>2019</v>
      </c>
      <c r="E205" s="245">
        <v>205</v>
      </c>
      <c r="F205" s="559"/>
      <c r="G205" s="246">
        <f t="shared" si="24"/>
        <v>0</v>
      </c>
      <c r="H205" s="247">
        <v>0.09</v>
      </c>
      <c r="I205" s="248">
        <f t="shared" si="25"/>
        <v>18.45</v>
      </c>
      <c r="J205" s="251" t="s">
        <v>804</v>
      </c>
      <c r="L205" s="179" t="s">
        <v>1548</v>
      </c>
      <c r="M205" s="252" t="s">
        <v>3471</v>
      </c>
    </row>
    <row r="206" spans="1:13">
      <c r="A206" s="241">
        <v>157</v>
      </c>
      <c r="B206" s="242">
        <v>210810048</v>
      </c>
      <c r="C206" s="250" t="s">
        <v>3476</v>
      </c>
      <c r="D206" s="250" t="s">
        <v>2019</v>
      </c>
      <c r="E206" s="245">
        <v>50</v>
      </c>
      <c r="F206" s="559"/>
      <c r="G206" s="246">
        <f t="shared" si="24"/>
        <v>0</v>
      </c>
      <c r="H206" s="247">
        <v>0.09</v>
      </c>
      <c r="I206" s="248">
        <f t="shared" si="25"/>
        <v>4.5</v>
      </c>
      <c r="J206" s="251" t="s">
        <v>804</v>
      </c>
      <c r="L206" s="179" t="s">
        <v>1548</v>
      </c>
      <c r="M206" s="252" t="s">
        <v>3471</v>
      </c>
    </row>
    <row r="207" spans="1:13">
      <c r="A207" s="241">
        <v>158</v>
      </c>
      <c r="B207" s="242">
        <v>210810048</v>
      </c>
      <c r="C207" s="250" t="s">
        <v>3476</v>
      </c>
      <c r="D207" s="250" t="s">
        <v>2019</v>
      </c>
      <c r="E207" s="245">
        <v>35</v>
      </c>
      <c r="F207" s="559"/>
      <c r="G207" s="246">
        <f t="shared" si="24"/>
        <v>0</v>
      </c>
      <c r="H207" s="247">
        <v>0.09</v>
      </c>
      <c r="I207" s="248">
        <f t="shared" si="25"/>
        <v>3.15</v>
      </c>
      <c r="J207" s="251" t="s">
        <v>804</v>
      </c>
      <c r="L207" s="179" t="s">
        <v>1548</v>
      </c>
      <c r="M207" s="252" t="s">
        <v>3471</v>
      </c>
    </row>
    <row r="208" spans="1:13">
      <c r="A208" s="241">
        <v>159</v>
      </c>
      <c r="B208" s="242">
        <v>210810048</v>
      </c>
      <c r="C208" s="250" t="s">
        <v>3476</v>
      </c>
      <c r="D208" s="250" t="s">
        <v>2019</v>
      </c>
      <c r="E208" s="245">
        <v>40</v>
      </c>
      <c r="F208" s="559"/>
      <c r="G208" s="246">
        <f t="shared" si="24"/>
        <v>0</v>
      </c>
      <c r="H208" s="247">
        <v>0.09</v>
      </c>
      <c r="I208" s="248">
        <f t="shared" si="25"/>
        <v>3.5999999999999996</v>
      </c>
      <c r="J208" s="251" t="s">
        <v>804</v>
      </c>
      <c r="L208" s="179" t="s">
        <v>1548</v>
      </c>
      <c r="M208" s="252" t="s">
        <v>3471</v>
      </c>
    </row>
    <row r="209" spans="1:13">
      <c r="A209" s="241">
        <v>160</v>
      </c>
      <c r="B209" s="242">
        <v>210810052</v>
      </c>
      <c r="C209" s="250" t="s">
        <v>3477</v>
      </c>
      <c r="D209" s="250" t="s">
        <v>2019</v>
      </c>
      <c r="E209" s="245">
        <v>70</v>
      </c>
      <c r="F209" s="559"/>
      <c r="G209" s="246">
        <f t="shared" si="24"/>
        <v>0</v>
      </c>
      <c r="H209" s="247">
        <v>9.5000000000000001E-2</v>
      </c>
      <c r="I209" s="248">
        <f t="shared" si="25"/>
        <v>6.65</v>
      </c>
      <c r="J209" s="251" t="s">
        <v>804</v>
      </c>
      <c r="L209" s="179" t="s">
        <v>1548</v>
      </c>
      <c r="M209" s="252" t="s">
        <v>3471</v>
      </c>
    </row>
    <row r="210" spans="1:13">
      <c r="A210" s="241">
        <v>161</v>
      </c>
      <c r="B210" s="242">
        <v>210810053</v>
      </c>
      <c r="C210" s="250" t="s">
        <v>3492</v>
      </c>
      <c r="D210" s="250" t="s">
        <v>2019</v>
      </c>
      <c r="E210" s="245">
        <v>20</v>
      </c>
      <c r="F210" s="559"/>
      <c r="G210" s="246">
        <f t="shared" si="24"/>
        <v>0</v>
      </c>
      <c r="H210" s="247">
        <v>0.105</v>
      </c>
      <c r="I210" s="248">
        <f t="shared" si="25"/>
        <v>2.1</v>
      </c>
      <c r="J210" s="251" t="s">
        <v>804</v>
      </c>
      <c r="L210" s="179" t="s">
        <v>1548</v>
      </c>
      <c r="M210" s="252" t="s">
        <v>3471</v>
      </c>
    </row>
    <row r="211" spans="1:13">
      <c r="A211" s="241">
        <v>162</v>
      </c>
      <c r="B211" s="242">
        <v>210100002</v>
      </c>
      <c r="C211" s="250" t="s">
        <v>3478</v>
      </c>
      <c r="D211" s="250" t="s">
        <v>2833</v>
      </c>
      <c r="E211" s="245">
        <v>100</v>
      </c>
      <c r="F211" s="559"/>
      <c r="G211" s="246">
        <f t="shared" si="24"/>
        <v>0</v>
      </c>
      <c r="H211" s="247">
        <v>5.7000000000000002E-2</v>
      </c>
      <c r="I211" s="248">
        <f t="shared" si="25"/>
        <v>5.7</v>
      </c>
      <c r="J211" s="251" t="s">
        <v>804</v>
      </c>
      <c r="K211" s="179" t="s">
        <v>3400</v>
      </c>
      <c r="L211" s="179" t="s">
        <v>1548</v>
      </c>
      <c r="M211" s="252" t="s">
        <v>3471</v>
      </c>
    </row>
    <row r="212" spans="1:13">
      <c r="A212" s="241">
        <v>163</v>
      </c>
      <c r="B212" s="242">
        <v>210010321</v>
      </c>
      <c r="C212" s="250" t="s">
        <v>3479</v>
      </c>
      <c r="D212" s="250" t="s">
        <v>2833</v>
      </c>
      <c r="E212" s="245">
        <v>6</v>
      </c>
      <c r="F212" s="559"/>
      <c r="G212" s="246">
        <f t="shared" si="24"/>
        <v>0</v>
      </c>
      <c r="H212" s="247">
        <v>0.39</v>
      </c>
      <c r="I212" s="248">
        <f t="shared" si="25"/>
        <v>2.34</v>
      </c>
      <c r="J212" s="251" t="s">
        <v>804</v>
      </c>
      <c r="L212" s="179" t="s">
        <v>1548</v>
      </c>
      <c r="M212" s="252" t="s">
        <v>3471</v>
      </c>
    </row>
    <row r="213" spans="1:13">
      <c r="A213" s="241">
        <v>164</v>
      </c>
      <c r="B213" s="242">
        <v>210010321</v>
      </c>
      <c r="C213" s="250" t="s">
        <v>3479</v>
      </c>
      <c r="D213" s="250" t="s">
        <v>2833</v>
      </c>
      <c r="E213" s="245">
        <v>7</v>
      </c>
      <c r="F213" s="559"/>
      <c r="G213" s="246">
        <f t="shared" si="24"/>
        <v>0</v>
      </c>
      <c r="H213" s="247">
        <v>0.39</v>
      </c>
      <c r="I213" s="248">
        <f t="shared" si="25"/>
        <v>2.73</v>
      </c>
      <c r="J213" s="251" t="s">
        <v>804</v>
      </c>
      <c r="L213" s="179" t="s">
        <v>1548</v>
      </c>
      <c r="M213" s="252" t="s">
        <v>3471</v>
      </c>
    </row>
    <row r="214" spans="1:13">
      <c r="A214" s="241">
        <v>165</v>
      </c>
      <c r="B214" s="242">
        <v>210010351</v>
      </c>
      <c r="C214" s="250" t="s">
        <v>3493</v>
      </c>
      <c r="D214" s="250" t="s">
        <v>2833</v>
      </c>
      <c r="E214" s="245">
        <v>4</v>
      </c>
      <c r="F214" s="559"/>
      <c r="G214" s="246">
        <f t="shared" si="24"/>
        <v>0</v>
      </c>
      <c r="H214" s="247">
        <v>0.67500000000000004</v>
      </c>
      <c r="I214" s="248">
        <f t="shared" si="25"/>
        <v>2.7</v>
      </c>
      <c r="J214" s="251" t="s">
        <v>804</v>
      </c>
      <c r="L214" s="179" t="s">
        <v>1548</v>
      </c>
      <c r="M214" s="252" t="s">
        <v>3471</v>
      </c>
    </row>
    <row r="215" spans="1:13">
      <c r="A215" s="241">
        <v>166</v>
      </c>
      <c r="B215" s="242">
        <v>210110041</v>
      </c>
      <c r="C215" s="250" t="s">
        <v>3480</v>
      </c>
      <c r="D215" s="250" t="s">
        <v>2833</v>
      </c>
      <c r="E215" s="245">
        <v>2</v>
      </c>
      <c r="F215" s="559"/>
      <c r="G215" s="246">
        <f t="shared" si="24"/>
        <v>0</v>
      </c>
      <c r="H215" s="247">
        <v>0.14799999999999999</v>
      </c>
      <c r="I215" s="248">
        <f t="shared" si="25"/>
        <v>0.29599999999999999</v>
      </c>
      <c r="J215" s="251" t="s">
        <v>804</v>
      </c>
      <c r="L215" s="179" t="s">
        <v>1548</v>
      </c>
      <c r="M215" s="252" t="s">
        <v>3471</v>
      </c>
    </row>
    <row r="216" spans="1:13">
      <c r="A216" s="241">
        <v>167</v>
      </c>
      <c r="B216" s="242">
        <v>210110045</v>
      </c>
      <c r="C216" s="250" t="s">
        <v>3485</v>
      </c>
      <c r="D216" s="250" t="s">
        <v>2833</v>
      </c>
      <c r="E216" s="245">
        <v>2</v>
      </c>
      <c r="F216" s="559"/>
      <c r="G216" s="246">
        <f t="shared" si="24"/>
        <v>0</v>
      </c>
      <c r="H216" s="247">
        <v>0.17</v>
      </c>
      <c r="I216" s="248">
        <f t="shared" si="25"/>
        <v>0.34</v>
      </c>
      <c r="J216" s="251" t="s">
        <v>804</v>
      </c>
      <c r="L216" s="179" t="s">
        <v>1548</v>
      </c>
      <c r="M216" s="252" t="s">
        <v>3471</v>
      </c>
    </row>
    <row r="217" spans="1:13">
      <c r="A217" s="241">
        <v>168</v>
      </c>
      <c r="B217" s="242">
        <v>210110021</v>
      </c>
      <c r="C217" s="250" t="s">
        <v>3488</v>
      </c>
      <c r="D217" s="250" t="s">
        <v>2833</v>
      </c>
      <c r="E217" s="245">
        <v>3</v>
      </c>
      <c r="F217" s="559"/>
      <c r="G217" s="246">
        <f t="shared" si="24"/>
        <v>0</v>
      </c>
      <c r="H217" s="247">
        <v>0.39</v>
      </c>
      <c r="I217" s="248">
        <f t="shared" si="25"/>
        <v>1.17</v>
      </c>
      <c r="J217" s="251" t="s">
        <v>804</v>
      </c>
      <c r="L217" s="179" t="s">
        <v>1548</v>
      </c>
      <c r="M217" s="252" t="s">
        <v>3471</v>
      </c>
    </row>
    <row r="218" spans="1:13">
      <c r="A218" s="241">
        <v>169</v>
      </c>
      <c r="B218" s="242">
        <v>210111031</v>
      </c>
      <c r="C218" s="250" t="s">
        <v>3494</v>
      </c>
      <c r="D218" s="250" t="s">
        <v>2833</v>
      </c>
      <c r="E218" s="245">
        <v>4</v>
      </c>
      <c r="F218" s="559"/>
      <c r="G218" s="246">
        <f t="shared" si="24"/>
        <v>0</v>
      </c>
      <c r="H218" s="247">
        <v>0.46400000000000002</v>
      </c>
      <c r="I218" s="248">
        <f t="shared" si="25"/>
        <v>1.8560000000000001</v>
      </c>
      <c r="J218" s="251" t="s">
        <v>804</v>
      </c>
      <c r="L218" s="179" t="s">
        <v>1548</v>
      </c>
      <c r="M218" s="252" t="s">
        <v>3471</v>
      </c>
    </row>
    <row r="219" spans="1:13">
      <c r="A219" s="241">
        <v>170</v>
      </c>
      <c r="B219" s="242">
        <v>210110071</v>
      </c>
      <c r="C219" s="250" t="s">
        <v>3495</v>
      </c>
      <c r="D219" s="250" t="s">
        <v>2833</v>
      </c>
      <c r="E219" s="245">
        <v>3</v>
      </c>
      <c r="F219" s="559"/>
      <c r="G219" s="246">
        <f t="shared" si="24"/>
        <v>0</v>
      </c>
      <c r="H219" s="247">
        <v>0.27400000000000002</v>
      </c>
      <c r="I219" s="248">
        <f t="shared" si="25"/>
        <v>0.82200000000000006</v>
      </c>
      <c r="J219" s="251" t="s">
        <v>804</v>
      </c>
      <c r="L219" s="179" t="s">
        <v>1548</v>
      </c>
      <c r="M219" s="252" t="s">
        <v>3471</v>
      </c>
    </row>
    <row r="220" spans="1:13">
      <c r="A220" s="241">
        <v>171</v>
      </c>
      <c r="B220" s="242">
        <v>210201002</v>
      </c>
      <c r="C220" s="250" t="s">
        <v>3496</v>
      </c>
      <c r="D220" s="250" t="s">
        <v>2833</v>
      </c>
      <c r="E220" s="245">
        <v>4</v>
      </c>
      <c r="F220" s="559"/>
      <c r="G220" s="246">
        <f t="shared" si="24"/>
        <v>0</v>
      </c>
      <c r="H220" s="247">
        <v>0.86399999999999999</v>
      </c>
      <c r="I220" s="248">
        <f t="shared" si="25"/>
        <v>3.456</v>
      </c>
      <c r="J220" s="251" t="s">
        <v>804</v>
      </c>
      <c r="L220" s="179" t="s">
        <v>1548</v>
      </c>
      <c r="M220" s="252" t="s">
        <v>3471</v>
      </c>
    </row>
    <row r="221" spans="1:13">
      <c r="A221" s="241">
        <v>172</v>
      </c>
      <c r="B221" s="242">
        <v>210201001</v>
      </c>
      <c r="C221" s="250" t="s">
        <v>3482</v>
      </c>
      <c r="D221" s="250" t="s">
        <v>2833</v>
      </c>
      <c r="E221" s="245">
        <v>6</v>
      </c>
      <c r="F221" s="559"/>
      <c r="G221" s="246">
        <f t="shared" si="24"/>
        <v>0</v>
      </c>
      <c r="H221" s="247">
        <v>0.80100000000000005</v>
      </c>
      <c r="I221" s="248">
        <f t="shared" si="25"/>
        <v>4.806</v>
      </c>
      <c r="J221" s="251" t="s">
        <v>804</v>
      </c>
      <c r="L221" s="179" t="s">
        <v>1548</v>
      </c>
      <c r="M221" s="252" t="s">
        <v>3471</v>
      </c>
    </row>
    <row r="222" spans="1:13">
      <c r="A222" s="241">
        <v>173</v>
      </c>
      <c r="B222" s="242">
        <v>210201002</v>
      </c>
      <c r="C222" s="250" t="s">
        <v>3496</v>
      </c>
      <c r="D222" s="250" t="s">
        <v>2833</v>
      </c>
      <c r="E222" s="245">
        <v>5</v>
      </c>
      <c r="F222" s="559"/>
      <c r="G222" s="246">
        <f t="shared" si="24"/>
        <v>0</v>
      </c>
      <c r="H222" s="247">
        <v>0.86399999999999999</v>
      </c>
      <c r="I222" s="248">
        <f t="shared" si="25"/>
        <v>4.32</v>
      </c>
      <c r="J222" s="251" t="s">
        <v>804</v>
      </c>
      <c r="L222" s="179" t="s">
        <v>1548</v>
      </c>
      <c r="M222" s="252" t="s">
        <v>3471</v>
      </c>
    </row>
    <row r="223" spans="1:13">
      <c r="A223" s="241"/>
      <c r="B223" s="242"/>
      <c r="C223" s="253" t="s">
        <v>3386</v>
      </c>
      <c r="D223" s="250"/>
      <c r="E223" s="245"/>
      <c r="F223" s="254">
        <f>SUM(G201:G222)</f>
        <v>0</v>
      </c>
      <c r="G223" s="246"/>
      <c r="H223" s="247"/>
      <c r="I223" s="248"/>
      <c r="J223" s="251"/>
      <c r="M223" s="252" t="s">
        <v>3471</v>
      </c>
    </row>
    <row r="224" spans="1:13">
      <c r="A224" s="241"/>
      <c r="B224" s="242"/>
      <c r="C224" s="253" t="s">
        <v>3392</v>
      </c>
      <c r="D224" s="250"/>
      <c r="E224" s="245"/>
      <c r="F224" s="245"/>
      <c r="G224" s="246"/>
      <c r="H224" s="247"/>
      <c r="I224" s="248"/>
      <c r="J224" s="251"/>
      <c r="L224" s="179" t="s">
        <v>3144</v>
      </c>
      <c r="M224" s="252" t="s">
        <v>3471</v>
      </c>
    </row>
    <row r="225" spans="1:13">
      <c r="A225" s="241">
        <v>174</v>
      </c>
      <c r="B225" s="242">
        <v>210800851</v>
      </c>
      <c r="C225" s="250" t="s">
        <v>3472</v>
      </c>
      <c r="D225" s="250" t="s">
        <v>2019</v>
      </c>
      <c r="E225" s="245">
        <v>40</v>
      </c>
      <c r="F225" s="559"/>
      <c r="G225" s="246">
        <f t="shared" ref="G225:G241" si="26">E225*F225</f>
        <v>0</v>
      </c>
      <c r="H225" s="247">
        <v>9.0999999999999998E-2</v>
      </c>
      <c r="I225" s="248">
        <f t="shared" ref="I225:I241" si="27">E225*H225</f>
        <v>3.6399999999999997</v>
      </c>
      <c r="J225" s="251" t="s">
        <v>804</v>
      </c>
      <c r="L225" s="179" t="s">
        <v>3144</v>
      </c>
      <c r="M225" s="252" t="s">
        <v>3471</v>
      </c>
    </row>
    <row r="226" spans="1:13">
      <c r="A226" s="241">
        <v>175</v>
      </c>
      <c r="B226" s="242">
        <v>210810048</v>
      </c>
      <c r="C226" s="250" t="s">
        <v>3476</v>
      </c>
      <c r="D226" s="250" t="s">
        <v>2019</v>
      </c>
      <c r="E226" s="245">
        <v>70</v>
      </c>
      <c r="F226" s="559"/>
      <c r="G226" s="246">
        <f t="shared" si="26"/>
        <v>0</v>
      </c>
      <c r="H226" s="247">
        <v>0.09</v>
      </c>
      <c r="I226" s="248">
        <f t="shared" si="27"/>
        <v>6.3</v>
      </c>
      <c r="J226" s="251" t="s">
        <v>804</v>
      </c>
      <c r="L226" s="179" t="s">
        <v>3144</v>
      </c>
      <c r="M226" s="252" t="s">
        <v>3471</v>
      </c>
    </row>
    <row r="227" spans="1:13">
      <c r="A227" s="241">
        <v>176</v>
      </c>
      <c r="B227" s="242">
        <v>210810048</v>
      </c>
      <c r="C227" s="250" t="s">
        <v>3476</v>
      </c>
      <c r="D227" s="250" t="s">
        <v>2019</v>
      </c>
      <c r="E227" s="245">
        <v>210</v>
      </c>
      <c r="F227" s="559"/>
      <c r="G227" s="246">
        <f t="shared" si="26"/>
        <v>0</v>
      </c>
      <c r="H227" s="247">
        <v>0.09</v>
      </c>
      <c r="I227" s="248">
        <f t="shared" si="27"/>
        <v>18.899999999999999</v>
      </c>
      <c r="J227" s="251" t="s">
        <v>804</v>
      </c>
      <c r="L227" s="179" t="s">
        <v>3144</v>
      </c>
      <c r="M227" s="252" t="s">
        <v>3471</v>
      </c>
    </row>
    <row r="228" spans="1:13">
      <c r="A228" s="241">
        <v>177</v>
      </c>
      <c r="B228" s="242">
        <v>210810048</v>
      </c>
      <c r="C228" s="250" t="s">
        <v>3476</v>
      </c>
      <c r="D228" s="250" t="s">
        <v>2019</v>
      </c>
      <c r="E228" s="245">
        <v>190</v>
      </c>
      <c r="F228" s="559"/>
      <c r="G228" s="246">
        <f t="shared" si="26"/>
        <v>0</v>
      </c>
      <c r="H228" s="247">
        <v>0.09</v>
      </c>
      <c r="I228" s="248">
        <f t="shared" si="27"/>
        <v>17.099999999999998</v>
      </c>
      <c r="J228" s="251" t="s">
        <v>804</v>
      </c>
      <c r="L228" s="179" t="s">
        <v>3144</v>
      </c>
      <c r="M228" s="252" t="s">
        <v>3471</v>
      </c>
    </row>
    <row r="229" spans="1:13">
      <c r="A229" s="241">
        <v>178</v>
      </c>
      <c r="B229" s="242">
        <v>210810048</v>
      </c>
      <c r="C229" s="250" t="s">
        <v>3476</v>
      </c>
      <c r="D229" s="250" t="s">
        <v>2019</v>
      </c>
      <c r="E229" s="245">
        <v>5</v>
      </c>
      <c r="F229" s="559"/>
      <c r="G229" s="246">
        <f t="shared" si="26"/>
        <v>0</v>
      </c>
      <c r="H229" s="247">
        <v>0.09</v>
      </c>
      <c r="I229" s="248">
        <f t="shared" si="27"/>
        <v>0.44999999999999996</v>
      </c>
      <c r="J229" s="251" t="s">
        <v>804</v>
      </c>
      <c r="L229" s="179" t="s">
        <v>3144</v>
      </c>
      <c r="M229" s="252" t="s">
        <v>3471</v>
      </c>
    </row>
    <row r="230" spans="1:13">
      <c r="A230" s="241">
        <v>179</v>
      </c>
      <c r="B230" s="242">
        <v>210810048</v>
      </c>
      <c r="C230" s="250" t="s">
        <v>3476</v>
      </c>
      <c r="D230" s="250" t="s">
        <v>2019</v>
      </c>
      <c r="E230" s="245">
        <v>45</v>
      </c>
      <c r="F230" s="559"/>
      <c r="G230" s="246">
        <f t="shared" si="26"/>
        <v>0</v>
      </c>
      <c r="H230" s="247">
        <v>0.09</v>
      </c>
      <c r="I230" s="248">
        <f t="shared" si="27"/>
        <v>4.05</v>
      </c>
      <c r="J230" s="251" t="s">
        <v>804</v>
      </c>
      <c r="L230" s="179" t="s">
        <v>3144</v>
      </c>
      <c r="M230" s="252" t="s">
        <v>3471</v>
      </c>
    </row>
    <row r="231" spans="1:13">
      <c r="A231" s="241">
        <v>180</v>
      </c>
      <c r="B231" s="242">
        <v>210810052</v>
      </c>
      <c r="C231" s="250" t="s">
        <v>3477</v>
      </c>
      <c r="D231" s="250" t="s">
        <v>2019</v>
      </c>
      <c r="E231" s="245">
        <v>50</v>
      </c>
      <c r="F231" s="559"/>
      <c r="G231" s="246">
        <f t="shared" si="26"/>
        <v>0</v>
      </c>
      <c r="H231" s="247">
        <v>9.5000000000000001E-2</v>
      </c>
      <c r="I231" s="248">
        <f t="shared" si="27"/>
        <v>4.75</v>
      </c>
      <c r="J231" s="251" t="s">
        <v>804</v>
      </c>
      <c r="L231" s="179" t="s">
        <v>3144</v>
      </c>
      <c r="M231" s="252" t="s">
        <v>3471</v>
      </c>
    </row>
    <row r="232" spans="1:13">
      <c r="A232" s="241">
        <v>181</v>
      </c>
      <c r="B232" s="242">
        <v>210100002</v>
      </c>
      <c r="C232" s="250" t="s">
        <v>3478</v>
      </c>
      <c r="D232" s="250" t="s">
        <v>2833</v>
      </c>
      <c r="E232" s="245">
        <v>48</v>
      </c>
      <c r="F232" s="559"/>
      <c r="G232" s="246">
        <f t="shared" si="26"/>
        <v>0</v>
      </c>
      <c r="H232" s="247">
        <v>5.7000000000000002E-2</v>
      </c>
      <c r="I232" s="248">
        <f t="shared" si="27"/>
        <v>2.7360000000000002</v>
      </c>
      <c r="J232" s="251" t="s">
        <v>804</v>
      </c>
      <c r="K232" s="179" t="s">
        <v>3400</v>
      </c>
      <c r="L232" s="179" t="s">
        <v>3144</v>
      </c>
      <c r="M232" s="252" t="s">
        <v>3471</v>
      </c>
    </row>
    <row r="233" spans="1:13">
      <c r="A233" s="241">
        <v>182</v>
      </c>
      <c r="B233" s="242">
        <v>210010321</v>
      </c>
      <c r="C233" s="250" t="s">
        <v>3479</v>
      </c>
      <c r="D233" s="250" t="s">
        <v>2833</v>
      </c>
      <c r="E233" s="245">
        <v>40</v>
      </c>
      <c r="F233" s="559"/>
      <c r="G233" s="246">
        <f t="shared" si="26"/>
        <v>0</v>
      </c>
      <c r="H233" s="247">
        <v>0.39</v>
      </c>
      <c r="I233" s="248">
        <f t="shared" si="27"/>
        <v>15.600000000000001</v>
      </c>
      <c r="J233" s="251" t="s">
        <v>804</v>
      </c>
      <c r="L233" s="179" t="s">
        <v>3144</v>
      </c>
      <c r="M233" s="252" t="s">
        <v>3471</v>
      </c>
    </row>
    <row r="234" spans="1:13">
      <c r="A234" s="241">
        <v>183</v>
      </c>
      <c r="B234" s="242">
        <v>210010321</v>
      </c>
      <c r="C234" s="250" t="s">
        <v>3479</v>
      </c>
      <c r="D234" s="250" t="s">
        <v>2833</v>
      </c>
      <c r="E234" s="245">
        <v>39</v>
      </c>
      <c r="F234" s="559"/>
      <c r="G234" s="246">
        <f t="shared" si="26"/>
        <v>0</v>
      </c>
      <c r="H234" s="247">
        <v>0.39</v>
      </c>
      <c r="I234" s="248">
        <f t="shared" si="27"/>
        <v>15.21</v>
      </c>
      <c r="J234" s="251" t="s">
        <v>804</v>
      </c>
      <c r="L234" s="179" t="s">
        <v>3144</v>
      </c>
      <c r="M234" s="252" t="s">
        <v>3471</v>
      </c>
    </row>
    <row r="235" spans="1:13">
      <c r="A235" s="241">
        <v>184</v>
      </c>
      <c r="B235" s="242">
        <v>210110041</v>
      </c>
      <c r="C235" s="250" t="s">
        <v>3480</v>
      </c>
      <c r="D235" s="250" t="s">
        <v>2833</v>
      </c>
      <c r="E235" s="245">
        <v>10</v>
      </c>
      <c r="F235" s="559"/>
      <c r="G235" s="246">
        <f t="shared" si="26"/>
        <v>0</v>
      </c>
      <c r="H235" s="247">
        <v>0.14799999999999999</v>
      </c>
      <c r="I235" s="248">
        <f t="shared" si="27"/>
        <v>1.48</v>
      </c>
      <c r="J235" s="251" t="s">
        <v>804</v>
      </c>
      <c r="L235" s="179" t="s">
        <v>3144</v>
      </c>
      <c r="M235" s="252" t="s">
        <v>3471</v>
      </c>
    </row>
    <row r="236" spans="1:13">
      <c r="A236" s="241">
        <v>185</v>
      </c>
      <c r="B236" s="242">
        <v>210110043</v>
      </c>
      <c r="C236" s="250" t="s">
        <v>3484</v>
      </c>
      <c r="D236" s="250" t="s">
        <v>2833</v>
      </c>
      <c r="E236" s="245">
        <v>2</v>
      </c>
      <c r="F236" s="559"/>
      <c r="G236" s="246">
        <f t="shared" si="26"/>
        <v>0</v>
      </c>
      <c r="H236" s="247">
        <v>0.17</v>
      </c>
      <c r="I236" s="248">
        <f t="shared" si="27"/>
        <v>0.34</v>
      </c>
      <c r="J236" s="251" t="s">
        <v>804</v>
      </c>
      <c r="L236" s="179" t="s">
        <v>3144</v>
      </c>
      <c r="M236" s="252" t="s">
        <v>3471</v>
      </c>
    </row>
    <row r="237" spans="1:13">
      <c r="A237" s="241">
        <v>186</v>
      </c>
      <c r="B237" s="242">
        <v>210110046</v>
      </c>
      <c r="C237" s="250" t="s">
        <v>3486</v>
      </c>
      <c r="D237" s="250" t="s">
        <v>2833</v>
      </c>
      <c r="E237" s="245">
        <v>4</v>
      </c>
      <c r="F237" s="559"/>
      <c r="G237" s="246">
        <f t="shared" si="26"/>
        <v>0</v>
      </c>
      <c r="H237" s="247">
        <v>0.19</v>
      </c>
      <c r="I237" s="248">
        <f t="shared" si="27"/>
        <v>0.76</v>
      </c>
      <c r="J237" s="251" t="s">
        <v>804</v>
      </c>
      <c r="L237" s="179" t="s">
        <v>3144</v>
      </c>
      <c r="M237" s="252" t="s">
        <v>3471</v>
      </c>
    </row>
    <row r="238" spans="1:13">
      <c r="A238" s="241">
        <v>187</v>
      </c>
      <c r="B238" s="242">
        <v>210120804</v>
      </c>
      <c r="C238" s="250" t="s">
        <v>3497</v>
      </c>
      <c r="D238" s="250" t="s">
        <v>2833</v>
      </c>
      <c r="E238" s="245">
        <v>2</v>
      </c>
      <c r="F238" s="559"/>
      <c r="G238" s="246">
        <f t="shared" si="26"/>
        <v>0</v>
      </c>
      <c r="H238" s="247">
        <v>0.42399999999999999</v>
      </c>
      <c r="I238" s="248">
        <f t="shared" si="27"/>
        <v>0.84799999999999998</v>
      </c>
      <c r="J238" s="251" t="s">
        <v>804</v>
      </c>
      <c r="L238" s="179" t="s">
        <v>3144</v>
      </c>
      <c r="M238" s="252" t="s">
        <v>3471</v>
      </c>
    </row>
    <row r="239" spans="1:13">
      <c r="A239" s="241">
        <v>188</v>
      </c>
      <c r="B239" s="242">
        <v>210111011</v>
      </c>
      <c r="C239" s="250" t="s">
        <v>3481</v>
      </c>
      <c r="D239" s="250" t="s">
        <v>2833</v>
      </c>
      <c r="E239" s="245">
        <v>24</v>
      </c>
      <c r="F239" s="559"/>
      <c r="G239" s="246">
        <f t="shared" si="26"/>
        <v>0</v>
      </c>
      <c r="H239" s="247">
        <v>0.27400000000000002</v>
      </c>
      <c r="I239" s="248">
        <f t="shared" si="27"/>
        <v>6.5760000000000005</v>
      </c>
      <c r="J239" s="251" t="s">
        <v>804</v>
      </c>
      <c r="L239" s="179" t="s">
        <v>3144</v>
      </c>
      <c r="M239" s="252" t="s">
        <v>3471</v>
      </c>
    </row>
    <row r="240" spans="1:13">
      <c r="A240" s="241">
        <v>189</v>
      </c>
      <c r="B240" s="242">
        <v>210200012</v>
      </c>
      <c r="C240" s="250" t="s">
        <v>3483</v>
      </c>
      <c r="D240" s="250" t="s">
        <v>2833</v>
      </c>
      <c r="E240" s="245">
        <v>16</v>
      </c>
      <c r="F240" s="559"/>
      <c r="G240" s="246">
        <f t="shared" si="26"/>
        <v>0</v>
      </c>
      <c r="H240" s="247">
        <v>0.54800000000000004</v>
      </c>
      <c r="I240" s="248">
        <f t="shared" si="27"/>
        <v>8.7680000000000007</v>
      </c>
      <c r="J240" s="251" t="s">
        <v>804</v>
      </c>
      <c r="L240" s="179" t="s">
        <v>3144</v>
      </c>
      <c r="M240" s="252" t="s">
        <v>3471</v>
      </c>
    </row>
    <row r="241" spans="1:13">
      <c r="A241" s="241">
        <v>190</v>
      </c>
      <c r="B241" s="242">
        <v>210220361</v>
      </c>
      <c r="C241" s="250" t="s">
        <v>3498</v>
      </c>
      <c r="D241" s="250" t="s">
        <v>2833</v>
      </c>
      <c r="E241" s="245">
        <v>10</v>
      </c>
      <c r="F241" s="559"/>
      <c r="G241" s="246">
        <f t="shared" si="26"/>
        <v>0</v>
      </c>
      <c r="H241" s="247">
        <v>1.45</v>
      </c>
      <c r="I241" s="248">
        <f t="shared" si="27"/>
        <v>14.5</v>
      </c>
      <c r="J241" s="251" t="s">
        <v>804</v>
      </c>
      <c r="L241" s="179" t="s">
        <v>3144</v>
      </c>
      <c r="M241" s="252" t="s">
        <v>3471</v>
      </c>
    </row>
    <row r="242" spans="1:13">
      <c r="A242" s="241"/>
      <c r="B242" s="242"/>
      <c r="C242" s="253" t="s">
        <v>3386</v>
      </c>
      <c r="D242" s="250"/>
      <c r="E242" s="245"/>
      <c r="F242" s="254">
        <f>SUM(G225:G241)</f>
        <v>0</v>
      </c>
      <c r="G242" s="246"/>
      <c r="H242" s="247"/>
      <c r="I242" s="248"/>
      <c r="J242" s="251"/>
      <c r="M242" s="252" t="s">
        <v>3471</v>
      </c>
    </row>
    <row r="243" spans="1:13">
      <c r="A243" s="241"/>
      <c r="B243" s="242"/>
      <c r="C243" s="253" t="s">
        <v>3394</v>
      </c>
      <c r="D243" s="250"/>
      <c r="E243" s="245"/>
      <c r="F243" s="245"/>
      <c r="G243" s="246"/>
      <c r="H243" s="247"/>
      <c r="I243" s="248"/>
      <c r="J243" s="251"/>
      <c r="L243" s="179" t="s">
        <v>3395</v>
      </c>
      <c r="M243" s="252" t="s">
        <v>3471</v>
      </c>
    </row>
    <row r="244" spans="1:13">
      <c r="A244" s="241">
        <v>191</v>
      </c>
      <c r="B244" s="242">
        <v>210220101</v>
      </c>
      <c r="C244" s="250" t="s">
        <v>3499</v>
      </c>
      <c r="D244" s="250" t="s">
        <v>2019</v>
      </c>
      <c r="E244" s="245">
        <v>340</v>
      </c>
      <c r="F244" s="559"/>
      <c r="G244" s="246">
        <f>E244*F244</f>
        <v>0</v>
      </c>
      <c r="H244" s="247">
        <v>0.497</v>
      </c>
      <c r="I244" s="248">
        <f>E244*H244</f>
        <v>168.98</v>
      </c>
      <c r="J244" s="251" t="s">
        <v>804</v>
      </c>
      <c r="L244" s="179" t="s">
        <v>3395</v>
      </c>
      <c r="M244" s="252" t="s">
        <v>3471</v>
      </c>
    </row>
    <row r="245" spans="1:13">
      <c r="A245" s="241">
        <v>192</v>
      </c>
      <c r="B245" s="242">
        <v>210220372</v>
      </c>
      <c r="C245" s="250" t="s">
        <v>3500</v>
      </c>
      <c r="D245" s="250" t="s">
        <v>2833</v>
      </c>
      <c r="E245" s="245">
        <v>10</v>
      </c>
      <c r="F245" s="559"/>
      <c r="G245" s="246">
        <f>E245*F245</f>
        <v>0</v>
      </c>
      <c r="H245" s="247">
        <v>0.87</v>
      </c>
      <c r="I245" s="248">
        <f>E245*H245</f>
        <v>8.6999999999999993</v>
      </c>
      <c r="J245" s="251" t="s">
        <v>804</v>
      </c>
      <c r="L245" s="179" t="s">
        <v>3395</v>
      </c>
      <c r="M245" s="252" t="s">
        <v>3471</v>
      </c>
    </row>
    <row r="246" spans="1:13">
      <c r="A246" s="241">
        <v>193</v>
      </c>
      <c r="B246" s="242">
        <v>210220401</v>
      </c>
      <c r="C246" s="250" t="s">
        <v>3501</v>
      </c>
      <c r="D246" s="250" t="s">
        <v>2833</v>
      </c>
      <c r="E246" s="245">
        <v>10</v>
      </c>
      <c r="F246" s="559"/>
      <c r="G246" s="246">
        <f>E246*F246</f>
        <v>0</v>
      </c>
      <c r="H246" s="247">
        <v>0.18</v>
      </c>
      <c r="I246" s="248">
        <f>E246*H246</f>
        <v>1.7999999999999998</v>
      </c>
      <c r="J246" s="251" t="s">
        <v>804</v>
      </c>
      <c r="L246" s="179" t="s">
        <v>3395</v>
      </c>
      <c r="M246" s="252" t="s">
        <v>3471</v>
      </c>
    </row>
    <row r="247" spans="1:13">
      <c r="A247" s="241">
        <v>194</v>
      </c>
      <c r="B247" s="242">
        <v>210220458</v>
      </c>
      <c r="C247" s="250" t="s">
        <v>3502</v>
      </c>
      <c r="D247" s="250" t="s">
        <v>2019</v>
      </c>
      <c r="E247" s="245">
        <v>340</v>
      </c>
      <c r="F247" s="559"/>
      <c r="G247" s="246">
        <f>E247*F247</f>
        <v>0</v>
      </c>
      <c r="H247" s="247">
        <v>0.10100000000000001</v>
      </c>
      <c r="I247" s="248">
        <f>E247*H247</f>
        <v>34.340000000000003</v>
      </c>
      <c r="J247" s="251" t="s">
        <v>804</v>
      </c>
      <c r="K247" s="179" t="s">
        <v>3400</v>
      </c>
      <c r="L247" s="179" t="s">
        <v>3395</v>
      </c>
      <c r="M247" s="252" t="s">
        <v>3471</v>
      </c>
    </row>
    <row r="248" spans="1:13">
      <c r="A248" s="241">
        <v>195</v>
      </c>
      <c r="B248" s="242">
        <v>210220021</v>
      </c>
      <c r="C248" s="250" t="s">
        <v>3503</v>
      </c>
      <c r="D248" s="250" t="s">
        <v>2019</v>
      </c>
      <c r="E248" s="245">
        <v>170</v>
      </c>
      <c r="F248" s="559"/>
      <c r="G248" s="246">
        <f>E248*F248</f>
        <v>0</v>
      </c>
      <c r="H248" s="247">
        <v>7.5999999999999998E-2</v>
      </c>
      <c r="I248" s="248">
        <f>E248*H248</f>
        <v>12.92</v>
      </c>
      <c r="J248" s="251" t="s">
        <v>804</v>
      </c>
      <c r="L248" s="179" t="s">
        <v>3395</v>
      </c>
      <c r="M248" s="252" t="s">
        <v>3471</v>
      </c>
    </row>
    <row r="249" spans="1:13" ht="15.75" thickBot="1">
      <c r="A249" s="255"/>
      <c r="B249" s="256"/>
      <c r="C249" s="257" t="s">
        <v>3386</v>
      </c>
      <c r="D249" s="286"/>
      <c r="E249" s="259"/>
      <c r="F249" s="260">
        <f>SUM(G244:G248)</f>
        <v>0</v>
      </c>
      <c r="G249" s="261"/>
      <c r="H249" s="262"/>
      <c r="I249" s="263"/>
      <c r="J249" s="264"/>
      <c r="M249" s="252" t="s">
        <v>3471</v>
      </c>
    </row>
    <row r="250" spans="1:13" s="274" customFormat="1" ht="14.25">
      <c r="A250" s="265"/>
      <c r="B250" s="266"/>
      <c r="C250" s="267" t="s">
        <v>3397</v>
      </c>
      <c r="D250" s="267"/>
      <c r="E250" s="269"/>
      <c r="F250" s="269"/>
      <c r="G250" s="270">
        <f>SUM(G146:G249)</f>
        <v>0</v>
      </c>
      <c r="H250" s="271"/>
      <c r="I250" s="272">
        <f>SUM(I146:I249)</f>
        <v>718.04599999999994</v>
      </c>
      <c r="J250" s="273"/>
      <c r="M250" s="275" t="s">
        <v>3471</v>
      </c>
    </row>
    <row r="251" spans="1:13" s="223" customFormat="1" ht="20.100000000000001" customHeight="1">
      <c r="A251" s="276" t="s">
        <v>598</v>
      </c>
      <c r="B251" s="277"/>
      <c r="C251" s="278"/>
      <c r="D251" s="278"/>
      <c r="E251" s="280"/>
      <c r="F251" s="280"/>
      <c r="G251" s="281"/>
      <c r="H251" s="282"/>
      <c r="I251" s="283"/>
      <c r="J251" s="284"/>
      <c r="M251" s="285"/>
    </row>
    <row r="252" spans="1:13">
      <c r="A252" s="241"/>
      <c r="B252" s="242"/>
      <c r="C252" s="253" t="s">
        <v>3394</v>
      </c>
      <c r="D252" s="250"/>
      <c r="E252" s="245"/>
      <c r="F252" s="245"/>
      <c r="G252" s="246"/>
      <c r="H252" s="247"/>
      <c r="I252" s="248"/>
      <c r="J252" s="251"/>
      <c r="L252" s="179" t="s">
        <v>3395</v>
      </c>
      <c r="M252" s="252" t="s">
        <v>3504</v>
      </c>
    </row>
    <row r="253" spans="1:13">
      <c r="A253" s="241">
        <v>196</v>
      </c>
      <c r="B253" s="242">
        <v>460200233</v>
      </c>
      <c r="C253" s="250" t="s">
        <v>3505</v>
      </c>
      <c r="D253" s="250" t="s">
        <v>2019</v>
      </c>
      <c r="E253" s="245">
        <v>170</v>
      </c>
      <c r="F253" s="559"/>
      <c r="G253" s="246">
        <f t="shared" ref="G253:G258" si="28">E253*F253</f>
        <v>0</v>
      </c>
      <c r="H253" s="247">
        <v>0.307</v>
      </c>
      <c r="I253" s="248">
        <f t="shared" ref="I253:I258" si="29">E253*H253</f>
        <v>52.19</v>
      </c>
      <c r="J253" s="251" t="s">
        <v>804</v>
      </c>
      <c r="K253" s="179" t="s">
        <v>3400</v>
      </c>
      <c r="L253" s="179" t="s">
        <v>3395</v>
      </c>
      <c r="M253" s="252" t="s">
        <v>3504</v>
      </c>
    </row>
    <row r="254" spans="1:13">
      <c r="A254" s="241">
        <v>197</v>
      </c>
      <c r="B254" s="242">
        <v>460070103</v>
      </c>
      <c r="C254" s="250" t="s">
        <v>3506</v>
      </c>
      <c r="D254" s="250" t="s">
        <v>2833</v>
      </c>
      <c r="E254" s="245">
        <v>10</v>
      </c>
      <c r="F254" s="559"/>
      <c r="G254" s="246">
        <f t="shared" si="28"/>
        <v>0</v>
      </c>
      <c r="H254" s="247">
        <v>13.5</v>
      </c>
      <c r="I254" s="248">
        <f t="shared" si="29"/>
        <v>135</v>
      </c>
      <c r="J254" s="251" t="s">
        <v>804</v>
      </c>
      <c r="L254" s="179" t="s">
        <v>3395</v>
      </c>
      <c r="M254" s="252" t="s">
        <v>3504</v>
      </c>
    </row>
    <row r="255" spans="1:13">
      <c r="A255" s="241">
        <v>198</v>
      </c>
      <c r="B255" s="242">
        <v>460560233</v>
      </c>
      <c r="C255" s="250" t="s">
        <v>3507</v>
      </c>
      <c r="D255" s="250" t="s">
        <v>2019</v>
      </c>
      <c r="E255" s="245">
        <v>170</v>
      </c>
      <c r="F255" s="559"/>
      <c r="G255" s="246">
        <f t="shared" si="28"/>
        <v>0</v>
      </c>
      <c r="H255" s="247">
        <v>0.11600000000000001</v>
      </c>
      <c r="I255" s="248">
        <f t="shared" si="29"/>
        <v>19.720000000000002</v>
      </c>
      <c r="J255" s="251" t="s">
        <v>804</v>
      </c>
      <c r="L255" s="179" t="s">
        <v>3395</v>
      </c>
      <c r="M255" s="252" t="s">
        <v>3504</v>
      </c>
    </row>
    <row r="256" spans="1:13">
      <c r="A256" s="241">
        <v>199</v>
      </c>
      <c r="B256" s="242">
        <v>460600001</v>
      </c>
      <c r="C256" s="250" t="s">
        <v>3508</v>
      </c>
      <c r="D256" s="250" t="s">
        <v>2359</v>
      </c>
      <c r="E256" s="245">
        <v>15.75</v>
      </c>
      <c r="F256" s="559"/>
      <c r="G256" s="246">
        <f t="shared" si="28"/>
        <v>0</v>
      </c>
      <c r="H256" s="247">
        <v>2.2799999999999998</v>
      </c>
      <c r="I256" s="248">
        <f t="shared" si="29"/>
        <v>35.909999999999997</v>
      </c>
      <c r="J256" s="251" t="s">
        <v>804</v>
      </c>
      <c r="L256" s="179" t="s">
        <v>3395</v>
      </c>
      <c r="M256" s="252" t="s">
        <v>3504</v>
      </c>
    </row>
    <row r="257" spans="1:13">
      <c r="A257" s="241">
        <v>200</v>
      </c>
      <c r="B257" s="242">
        <v>460650021</v>
      </c>
      <c r="C257" s="250" t="s">
        <v>3509</v>
      </c>
      <c r="D257" s="250" t="s">
        <v>2398</v>
      </c>
      <c r="E257" s="245">
        <v>105</v>
      </c>
      <c r="F257" s="559"/>
      <c r="G257" s="246">
        <f t="shared" si="28"/>
        <v>0</v>
      </c>
      <c r="H257" s="247">
        <v>0.68</v>
      </c>
      <c r="I257" s="248">
        <f t="shared" si="29"/>
        <v>71.400000000000006</v>
      </c>
      <c r="J257" s="251" t="s">
        <v>804</v>
      </c>
      <c r="L257" s="179" t="s">
        <v>3395</v>
      </c>
      <c r="M257" s="252" t="s">
        <v>3504</v>
      </c>
    </row>
    <row r="258" spans="1:13">
      <c r="A258" s="241">
        <v>201</v>
      </c>
      <c r="B258" s="242">
        <v>460650042</v>
      </c>
      <c r="C258" s="250" t="s">
        <v>3510</v>
      </c>
      <c r="D258" s="250" t="s">
        <v>2398</v>
      </c>
      <c r="E258" s="245">
        <v>105</v>
      </c>
      <c r="F258" s="559"/>
      <c r="G258" s="246">
        <f t="shared" si="28"/>
        <v>0</v>
      </c>
      <c r="H258" s="247">
        <v>2.67</v>
      </c>
      <c r="I258" s="248">
        <f t="shared" si="29"/>
        <v>280.34999999999997</v>
      </c>
      <c r="J258" s="251" t="s">
        <v>804</v>
      </c>
      <c r="L258" s="179" t="s">
        <v>3395</v>
      </c>
      <c r="M258" s="252" t="s">
        <v>3504</v>
      </c>
    </row>
    <row r="259" spans="1:13" ht="15.75" thickBot="1">
      <c r="A259" s="255"/>
      <c r="B259" s="256"/>
      <c r="C259" s="257" t="s">
        <v>3386</v>
      </c>
      <c r="D259" s="286"/>
      <c r="E259" s="259"/>
      <c r="F259" s="260">
        <f>SUM(G253:G258)</f>
        <v>0</v>
      </c>
      <c r="G259" s="261"/>
      <c r="H259" s="262"/>
      <c r="I259" s="263"/>
      <c r="J259" s="264"/>
      <c r="M259" s="252" t="s">
        <v>3504</v>
      </c>
    </row>
    <row r="260" spans="1:13" s="274" customFormat="1" ht="14.25">
      <c r="A260" s="265"/>
      <c r="B260" s="266"/>
      <c r="C260" s="267" t="s">
        <v>3397</v>
      </c>
      <c r="D260" s="267"/>
      <c r="E260" s="269"/>
      <c r="F260" s="269"/>
      <c r="G260" s="270">
        <f>SUM(G252:G259)</f>
        <v>0</v>
      </c>
      <c r="H260" s="271"/>
      <c r="I260" s="272">
        <f>SUM(I252:I259)</f>
        <v>594.56999999999994</v>
      </c>
      <c r="J260" s="273"/>
      <c r="M260" s="275" t="s">
        <v>3504</v>
      </c>
    </row>
    <row r="261" spans="1:13" s="223" customFormat="1" ht="20.100000000000001" customHeight="1">
      <c r="A261" s="276" t="s">
        <v>3511</v>
      </c>
      <c r="B261" s="277"/>
      <c r="C261" s="278"/>
      <c r="D261" s="278"/>
      <c r="E261" s="280"/>
      <c r="F261" s="280"/>
      <c r="G261" s="281"/>
      <c r="H261" s="282"/>
      <c r="I261" s="283"/>
      <c r="J261" s="284"/>
      <c r="M261" s="285"/>
    </row>
    <row r="262" spans="1:13">
      <c r="A262" s="241"/>
      <c r="B262" s="242"/>
      <c r="C262" s="253" t="s">
        <v>3383</v>
      </c>
      <c r="D262" s="250"/>
      <c r="E262" s="245"/>
      <c r="F262" s="245"/>
      <c r="G262" s="246"/>
      <c r="H262" s="247"/>
      <c r="I262" s="248"/>
      <c r="J262" s="251"/>
      <c r="L262" s="179" t="s">
        <v>2190</v>
      </c>
      <c r="M262" s="252" t="s">
        <v>3512</v>
      </c>
    </row>
    <row r="263" spans="1:13">
      <c r="A263" s="241">
        <v>202</v>
      </c>
      <c r="B263" s="242">
        <v>218009001</v>
      </c>
      <c r="C263" s="250" t="s">
        <v>3513</v>
      </c>
      <c r="D263" s="250" t="s">
        <v>2833</v>
      </c>
      <c r="E263" s="245">
        <v>12</v>
      </c>
      <c r="F263" s="559"/>
      <c r="G263" s="246">
        <f>E263*F263</f>
        <v>0</v>
      </c>
      <c r="H263" s="247">
        <v>0</v>
      </c>
      <c r="I263" s="248">
        <f>E263*H263</f>
        <v>0</v>
      </c>
      <c r="J263" s="251" t="s">
        <v>3391</v>
      </c>
      <c r="L263" s="179" t="s">
        <v>2190</v>
      </c>
      <c r="M263" s="252" t="s">
        <v>3512</v>
      </c>
    </row>
    <row r="264" spans="1:13">
      <c r="A264" s="241">
        <v>203</v>
      </c>
      <c r="B264" s="242">
        <v>218009001</v>
      </c>
      <c r="C264" s="250" t="s">
        <v>3513</v>
      </c>
      <c r="D264" s="250" t="s">
        <v>2833</v>
      </c>
      <c r="E264" s="245">
        <v>2</v>
      </c>
      <c r="F264" s="559"/>
      <c r="G264" s="246">
        <f>E264*F264</f>
        <v>0</v>
      </c>
      <c r="H264" s="247">
        <v>0</v>
      </c>
      <c r="I264" s="248">
        <f>E264*H264</f>
        <v>0</v>
      </c>
      <c r="J264" s="251" t="s">
        <v>3391</v>
      </c>
      <c r="L264" s="179" t="s">
        <v>2190</v>
      </c>
      <c r="M264" s="252" t="s">
        <v>3512</v>
      </c>
    </row>
    <row r="265" spans="1:13">
      <c r="A265" s="241"/>
      <c r="B265" s="242"/>
      <c r="C265" s="253" t="s">
        <v>3386</v>
      </c>
      <c r="D265" s="250"/>
      <c r="E265" s="245"/>
      <c r="F265" s="254">
        <f>SUM(G263:G264)</f>
        <v>0</v>
      </c>
      <c r="G265" s="246"/>
      <c r="H265" s="247"/>
      <c r="I265" s="248"/>
      <c r="J265" s="251"/>
      <c r="M265" s="252" t="s">
        <v>3512</v>
      </c>
    </row>
    <row r="266" spans="1:13">
      <c r="A266" s="241"/>
      <c r="B266" s="242"/>
      <c r="C266" s="253" t="s">
        <v>3387</v>
      </c>
      <c r="D266" s="250"/>
      <c r="E266" s="245"/>
      <c r="F266" s="245"/>
      <c r="G266" s="246"/>
      <c r="H266" s="247"/>
      <c r="I266" s="248"/>
      <c r="J266" s="251"/>
      <c r="L266" s="179" t="s">
        <v>436</v>
      </c>
      <c r="M266" s="252" t="s">
        <v>3512</v>
      </c>
    </row>
    <row r="267" spans="1:13">
      <c r="A267" s="241">
        <v>204</v>
      </c>
      <c r="B267" s="242">
        <v>218009001</v>
      </c>
      <c r="C267" s="250" t="s">
        <v>3513</v>
      </c>
      <c r="D267" s="250" t="s">
        <v>2833</v>
      </c>
      <c r="E267" s="245">
        <v>24</v>
      </c>
      <c r="F267" s="559"/>
      <c r="G267" s="246">
        <f t="shared" ref="G267:G272" si="30">E267*F267</f>
        <v>0</v>
      </c>
      <c r="H267" s="247">
        <v>0</v>
      </c>
      <c r="I267" s="248">
        <f t="shared" ref="I267:I272" si="31">E267*H267</f>
        <v>0</v>
      </c>
      <c r="J267" s="251" t="s">
        <v>3391</v>
      </c>
      <c r="L267" s="179" t="s">
        <v>436</v>
      </c>
      <c r="M267" s="252" t="s">
        <v>3512</v>
      </c>
    </row>
    <row r="268" spans="1:13">
      <c r="A268" s="241">
        <v>205</v>
      </c>
      <c r="B268" s="242">
        <v>218009001</v>
      </c>
      <c r="C268" s="250" t="s">
        <v>3513</v>
      </c>
      <c r="D268" s="250" t="s">
        <v>2833</v>
      </c>
      <c r="E268" s="245">
        <v>14</v>
      </c>
      <c r="F268" s="559"/>
      <c r="G268" s="246">
        <f t="shared" si="30"/>
        <v>0</v>
      </c>
      <c r="H268" s="247">
        <v>0</v>
      </c>
      <c r="I268" s="248">
        <f t="shared" si="31"/>
        <v>0</v>
      </c>
      <c r="J268" s="251" t="s">
        <v>3391</v>
      </c>
      <c r="L268" s="179" t="s">
        <v>436</v>
      </c>
      <c r="M268" s="252" t="s">
        <v>3512</v>
      </c>
    </row>
    <row r="269" spans="1:13">
      <c r="A269" s="241">
        <v>206</v>
      </c>
      <c r="B269" s="242">
        <v>218009001</v>
      </c>
      <c r="C269" s="250" t="s">
        <v>3513</v>
      </c>
      <c r="D269" s="250" t="s">
        <v>2833</v>
      </c>
      <c r="E269" s="245">
        <v>4</v>
      </c>
      <c r="F269" s="559"/>
      <c r="G269" s="246">
        <f t="shared" si="30"/>
        <v>0</v>
      </c>
      <c r="H269" s="247">
        <v>0</v>
      </c>
      <c r="I269" s="248">
        <f t="shared" si="31"/>
        <v>0</v>
      </c>
      <c r="J269" s="251" t="s">
        <v>3391</v>
      </c>
      <c r="L269" s="179" t="s">
        <v>436</v>
      </c>
      <c r="M269" s="252" t="s">
        <v>3512</v>
      </c>
    </row>
    <row r="270" spans="1:13">
      <c r="A270" s="241">
        <v>207</v>
      </c>
      <c r="B270" s="242">
        <v>218009001</v>
      </c>
      <c r="C270" s="250" t="s">
        <v>3513</v>
      </c>
      <c r="D270" s="250" t="s">
        <v>2833</v>
      </c>
      <c r="E270" s="245">
        <v>12</v>
      </c>
      <c r="F270" s="559"/>
      <c r="G270" s="246">
        <f t="shared" si="30"/>
        <v>0</v>
      </c>
      <c r="H270" s="247">
        <v>0</v>
      </c>
      <c r="I270" s="248">
        <f t="shared" si="31"/>
        <v>0</v>
      </c>
      <c r="J270" s="251" t="s">
        <v>3391</v>
      </c>
      <c r="L270" s="179" t="s">
        <v>436</v>
      </c>
      <c r="M270" s="252" t="s">
        <v>3512</v>
      </c>
    </row>
    <row r="271" spans="1:13">
      <c r="A271" s="241">
        <v>208</v>
      </c>
      <c r="B271" s="242">
        <v>218009001</v>
      </c>
      <c r="C271" s="250" t="s">
        <v>3513</v>
      </c>
      <c r="D271" s="250" t="s">
        <v>2833</v>
      </c>
      <c r="E271" s="245">
        <v>17</v>
      </c>
      <c r="F271" s="559"/>
      <c r="G271" s="246">
        <f t="shared" si="30"/>
        <v>0</v>
      </c>
      <c r="H271" s="247">
        <v>0</v>
      </c>
      <c r="I271" s="248">
        <f t="shared" si="31"/>
        <v>0</v>
      </c>
      <c r="J271" s="251" t="s">
        <v>3391</v>
      </c>
      <c r="L271" s="179" t="s">
        <v>436</v>
      </c>
      <c r="M271" s="252" t="s">
        <v>3512</v>
      </c>
    </row>
    <row r="272" spans="1:13">
      <c r="A272" s="241">
        <v>209</v>
      </c>
      <c r="B272" s="242">
        <v>218009001</v>
      </c>
      <c r="C272" s="250" t="s">
        <v>3513</v>
      </c>
      <c r="D272" s="250" t="s">
        <v>2833</v>
      </c>
      <c r="E272" s="245">
        <v>2</v>
      </c>
      <c r="F272" s="559"/>
      <c r="G272" s="246">
        <f t="shared" si="30"/>
        <v>0</v>
      </c>
      <c r="H272" s="247">
        <v>0</v>
      </c>
      <c r="I272" s="248">
        <f t="shared" si="31"/>
        <v>0</v>
      </c>
      <c r="J272" s="251" t="s">
        <v>3391</v>
      </c>
      <c r="L272" s="179" t="s">
        <v>436</v>
      </c>
      <c r="M272" s="252" t="s">
        <v>3512</v>
      </c>
    </row>
    <row r="273" spans="1:13">
      <c r="A273" s="241"/>
      <c r="B273" s="242"/>
      <c r="C273" s="253" t="s">
        <v>3386</v>
      </c>
      <c r="D273" s="250"/>
      <c r="E273" s="245"/>
      <c r="F273" s="254">
        <f>SUM(G267:G272)</f>
        <v>0</v>
      </c>
      <c r="G273" s="246"/>
      <c r="H273" s="247"/>
      <c r="I273" s="248"/>
      <c r="J273" s="251"/>
      <c r="M273" s="252" t="s">
        <v>3512</v>
      </c>
    </row>
    <row r="274" spans="1:13">
      <c r="A274" s="241"/>
      <c r="B274" s="242"/>
      <c r="C274" s="253" t="s">
        <v>3389</v>
      </c>
      <c r="D274" s="250"/>
      <c r="E274" s="245"/>
      <c r="F274" s="245"/>
      <c r="G274" s="246"/>
      <c r="H274" s="247"/>
      <c r="I274" s="248"/>
      <c r="J274" s="251"/>
      <c r="L274" s="179" t="s">
        <v>1548</v>
      </c>
      <c r="M274" s="252" t="s">
        <v>3512</v>
      </c>
    </row>
    <row r="275" spans="1:13">
      <c r="A275" s="241">
        <v>210</v>
      </c>
      <c r="B275" s="242">
        <v>218009001</v>
      </c>
      <c r="C275" s="250" t="s">
        <v>3513</v>
      </c>
      <c r="D275" s="250" t="s">
        <v>2833</v>
      </c>
      <c r="E275" s="245">
        <v>4</v>
      </c>
      <c r="F275" s="559"/>
      <c r="G275" s="246">
        <f>E275*F275</f>
        <v>0</v>
      </c>
      <c r="H275" s="247">
        <v>0</v>
      </c>
      <c r="I275" s="248">
        <f>E275*H275</f>
        <v>0</v>
      </c>
      <c r="J275" s="251" t="s">
        <v>3391</v>
      </c>
      <c r="L275" s="179" t="s">
        <v>1548</v>
      </c>
      <c r="M275" s="252" t="s">
        <v>3512</v>
      </c>
    </row>
    <row r="276" spans="1:13">
      <c r="A276" s="241">
        <v>211</v>
      </c>
      <c r="B276" s="242">
        <v>218009001</v>
      </c>
      <c r="C276" s="250" t="s">
        <v>3513</v>
      </c>
      <c r="D276" s="250" t="s">
        <v>2833</v>
      </c>
      <c r="E276" s="245">
        <v>6</v>
      </c>
      <c r="F276" s="559"/>
      <c r="G276" s="246">
        <f>E276*F276</f>
        <v>0</v>
      </c>
      <c r="H276" s="247">
        <v>0</v>
      </c>
      <c r="I276" s="248">
        <f>E276*H276</f>
        <v>0</v>
      </c>
      <c r="J276" s="251" t="s">
        <v>3391</v>
      </c>
      <c r="L276" s="179" t="s">
        <v>1548</v>
      </c>
      <c r="M276" s="252" t="s">
        <v>3512</v>
      </c>
    </row>
    <row r="277" spans="1:13">
      <c r="A277" s="241">
        <v>212</v>
      </c>
      <c r="B277" s="242">
        <v>218009001</v>
      </c>
      <c r="C277" s="250" t="s">
        <v>3513</v>
      </c>
      <c r="D277" s="250" t="s">
        <v>2833</v>
      </c>
      <c r="E277" s="245">
        <v>5</v>
      </c>
      <c r="F277" s="559"/>
      <c r="G277" s="246">
        <f>E277*F277</f>
        <v>0</v>
      </c>
      <c r="H277" s="247">
        <v>0</v>
      </c>
      <c r="I277" s="248">
        <f>E277*H277</f>
        <v>0</v>
      </c>
      <c r="J277" s="251" t="s">
        <v>3391</v>
      </c>
      <c r="L277" s="179" t="s">
        <v>1548</v>
      </c>
      <c r="M277" s="252" t="s">
        <v>3512</v>
      </c>
    </row>
    <row r="278" spans="1:13">
      <c r="A278" s="241"/>
      <c r="B278" s="242"/>
      <c r="C278" s="253" t="s">
        <v>3386</v>
      </c>
      <c r="D278" s="250"/>
      <c r="E278" s="245"/>
      <c r="F278" s="254">
        <f>SUM(G275:G277)</f>
        <v>0</v>
      </c>
      <c r="G278" s="246"/>
      <c r="H278" s="247"/>
      <c r="I278" s="248"/>
      <c r="J278" s="251"/>
      <c r="M278" s="252" t="s">
        <v>3512</v>
      </c>
    </row>
    <row r="279" spans="1:13">
      <c r="A279" s="241"/>
      <c r="B279" s="242"/>
      <c r="C279" s="253" t="s">
        <v>3392</v>
      </c>
      <c r="D279" s="250"/>
      <c r="E279" s="245"/>
      <c r="F279" s="245"/>
      <c r="G279" s="246"/>
      <c r="H279" s="247"/>
      <c r="I279" s="248"/>
      <c r="J279" s="251"/>
      <c r="L279" s="179" t="s">
        <v>3144</v>
      </c>
      <c r="M279" s="252" t="s">
        <v>3512</v>
      </c>
    </row>
    <row r="280" spans="1:13">
      <c r="A280" s="241">
        <v>213</v>
      </c>
      <c r="B280" s="242">
        <v>218009001</v>
      </c>
      <c r="C280" s="250" t="s">
        <v>3513</v>
      </c>
      <c r="D280" s="250" t="s">
        <v>2833</v>
      </c>
      <c r="E280" s="245">
        <v>16</v>
      </c>
      <c r="F280" s="559"/>
      <c r="G280" s="246">
        <f>E280*F280</f>
        <v>0</v>
      </c>
      <c r="H280" s="247">
        <v>0</v>
      </c>
      <c r="I280" s="248">
        <f>E280*H280</f>
        <v>0</v>
      </c>
      <c r="J280" s="251" t="s">
        <v>3391</v>
      </c>
      <c r="L280" s="179" t="s">
        <v>3144</v>
      </c>
      <c r="M280" s="252" t="s">
        <v>3512</v>
      </c>
    </row>
    <row r="281" spans="1:13" ht="15.75" thickBot="1">
      <c r="A281" s="255"/>
      <c r="B281" s="256"/>
      <c r="C281" s="257" t="s">
        <v>3386</v>
      </c>
      <c r="D281" s="286"/>
      <c r="E281" s="259"/>
      <c r="F281" s="260">
        <f>SUM(G280:G280)</f>
        <v>0</v>
      </c>
      <c r="G281" s="261"/>
      <c r="H281" s="262"/>
      <c r="I281" s="263"/>
      <c r="J281" s="264"/>
      <c r="M281" s="252" t="s">
        <v>3512</v>
      </c>
    </row>
    <row r="282" spans="1:13" s="274" customFormat="1" thickBot="1">
      <c r="A282" s="287"/>
      <c r="B282" s="288"/>
      <c r="C282" s="289" t="s">
        <v>3397</v>
      </c>
      <c r="D282" s="289"/>
      <c r="E282" s="290"/>
      <c r="F282" s="290"/>
      <c r="G282" s="291">
        <f>SUM(G262:G281)</f>
        <v>0</v>
      </c>
      <c r="H282" s="292"/>
      <c r="I282" s="293">
        <f>SUM(I262:I281)</f>
        <v>0</v>
      </c>
      <c r="J282" s="294"/>
      <c r="M282" s="274" t="s">
        <v>3512</v>
      </c>
    </row>
    <row r="283" spans="1:13">
      <c r="B283" s="295"/>
      <c r="E283" s="221"/>
      <c r="F283" s="221"/>
      <c r="G283" s="296"/>
      <c r="H283" s="297"/>
      <c r="I283" s="298"/>
    </row>
    <row r="284" spans="1:13">
      <c r="A284" s="179" t="s">
        <v>3588</v>
      </c>
      <c r="B284" s="295"/>
      <c r="E284" s="221"/>
      <c r="F284" s="221"/>
      <c r="G284" s="296"/>
      <c r="H284" s="297"/>
      <c r="I284" s="298"/>
    </row>
    <row r="285" spans="1:13">
      <c r="A285" s="179" t="s">
        <v>3514</v>
      </c>
      <c r="B285" s="295"/>
      <c r="E285" s="221"/>
      <c r="F285" s="221"/>
      <c r="G285" s="296"/>
      <c r="H285" s="297"/>
      <c r="I285" s="298"/>
    </row>
    <row r="286" spans="1:13">
      <c r="B286" s="295"/>
      <c r="E286" s="221"/>
      <c r="F286" s="221"/>
      <c r="G286" s="296"/>
      <c r="H286" s="297"/>
      <c r="I286" s="298"/>
    </row>
    <row r="287" spans="1:13">
      <c r="B287" s="295"/>
      <c r="E287" s="221"/>
      <c r="F287" s="221"/>
      <c r="G287" s="296"/>
      <c r="H287" s="297"/>
      <c r="I287" s="298"/>
    </row>
    <row r="288" spans="1:13">
      <c r="B288" s="295"/>
      <c r="E288" s="221"/>
      <c r="F288" s="221"/>
      <c r="G288" s="296"/>
      <c r="H288" s="297"/>
      <c r="I288" s="298"/>
    </row>
    <row r="289" spans="2:9">
      <c r="B289" s="295"/>
      <c r="E289" s="221"/>
      <c r="F289" s="221"/>
      <c r="G289" s="296"/>
      <c r="H289" s="297"/>
      <c r="I289" s="298"/>
    </row>
    <row r="290" spans="2:9">
      <c r="B290" s="295"/>
      <c r="E290" s="221"/>
      <c r="F290" s="221"/>
      <c r="G290" s="296"/>
      <c r="H290" s="297"/>
      <c r="I290" s="298"/>
    </row>
    <row r="291" spans="2:9">
      <c r="B291" s="295"/>
      <c r="E291" s="221"/>
      <c r="F291" s="221"/>
      <c r="G291" s="296"/>
      <c r="H291" s="297"/>
      <c r="I291" s="298"/>
    </row>
    <row r="292" spans="2:9">
      <c r="B292" s="295"/>
      <c r="E292" s="221"/>
      <c r="F292" s="221"/>
      <c r="G292" s="296"/>
      <c r="H292" s="297"/>
      <c r="I292" s="298"/>
    </row>
    <row r="293" spans="2:9">
      <c r="B293" s="295"/>
      <c r="E293" s="221"/>
      <c r="F293" s="221"/>
      <c r="G293" s="296"/>
      <c r="H293" s="297"/>
      <c r="I293" s="298"/>
    </row>
    <row r="294" spans="2:9">
      <c r="B294" s="295"/>
      <c r="E294" s="221"/>
      <c r="F294" s="221"/>
      <c r="G294" s="296"/>
      <c r="H294" s="297"/>
      <c r="I294" s="298"/>
    </row>
    <row r="295" spans="2:9">
      <c r="B295" s="295"/>
      <c r="E295" s="221"/>
      <c r="F295" s="221"/>
      <c r="G295" s="296"/>
      <c r="H295" s="297"/>
      <c r="I295" s="298"/>
    </row>
    <row r="296" spans="2:9">
      <c r="B296" s="295"/>
      <c r="E296" s="221"/>
      <c r="F296" s="221"/>
      <c r="G296" s="296"/>
      <c r="H296" s="297"/>
      <c r="I296" s="298"/>
    </row>
    <row r="297" spans="2:9">
      <c r="B297" s="295"/>
      <c r="E297" s="221"/>
      <c r="F297" s="221"/>
      <c r="G297" s="296"/>
      <c r="H297" s="297"/>
      <c r="I297" s="298"/>
    </row>
    <row r="298" spans="2:9">
      <c r="B298" s="295"/>
      <c r="E298" s="221"/>
      <c r="F298" s="221"/>
      <c r="G298" s="296"/>
      <c r="H298" s="297"/>
      <c r="I298" s="298"/>
    </row>
    <row r="299" spans="2:9">
      <c r="B299" s="295"/>
      <c r="E299" s="221"/>
      <c r="F299" s="221"/>
      <c r="G299" s="296"/>
      <c r="H299" s="297"/>
      <c r="I299" s="298"/>
    </row>
    <row r="300" spans="2:9">
      <c r="B300" s="295"/>
      <c r="E300" s="221"/>
      <c r="F300" s="221"/>
      <c r="G300" s="296"/>
      <c r="H300" s="297"/>
      <c r="I300" s="298"/>
    </row>
    <row r="301" spans="2:9">
      <c r="B301" s="295"/>
      <c r="E301" s="221"/>
      <c r="F301" s="221"/>
      <c r="G301" s="296"/>
      <c r="H301" s="297"/>
      <c r="I301" s="298"/>
    </row>
    <row r="302" spans="2:9">
      <c r="B302" s="295"/>
      <c r="E302" s="221"/>
      <c r="F302" s="221"/>
      <c r="G302" s="296"/>
      <c r="H302" s="297"/>
      <c r="I302" s="298"/>
    </row>
    <row r="303" spans="2:9">
      <c r="B303" s="295"/>
      <c r="E303" s="221"/>
      <c r="F303" s="221"/>
      <c r="G303" s="296"/>
      <c r="H303" s="297"/>
      <c r="I303" s="298"/>
    </row>
    <row r="304" spans="2:9">
      <c r="B304" s="295"/>
      <c r="E304" s="221"/>
      <c r="F304" s="221"/>
      <c r="G304" s="296"/>
      <c r="H304" s="297"/>
      <c r="I304" s="298"/>
    </row>
    <row r="305" spans="2:9">
      <c r="B305" s="295"/>
      <c r="E305" s="221"/>
      <c r="F305" s="221"/>
      <c r="G305" s="296"/>
      <c r="H305" s="297"/>
      <c r="I305" s="298"/>
    </row>
    <row r="306" spans="2:9">
      <c r="B306" s="295"/>
      <c r="E306" s="221"/>
      <c r="F306" s="221"/>
      <c r="G306" s="296"/>
      <c r="H306" s="297"/>
      <c r="I306" s="298"/>
    </row>
    <row r="307" spans="2:9">
      <c r="B307" s="295"/>
      <c r="E307" s="221"/>
      <c r="F307" s="221"/>
      <c r="G307" s="296"/>
      <c r="H307" s="297"/>
      <c r="I307" s="298"/>
    </row>
    <row r="308" spans="2:9">
      <c r="B308" s="295"/>
      <c r="E308" s="221"/>
      <c r="F308" s="221"/>
      <c r="G308" s="296"/>
      <c r="H308" s="297"/>
      <c r="I308" s="298"/>
    </row>
    <row r="309" spans="2:9">
      <c r="B309" s="295"/>
      <c r="E309" s="221"/>
      <c r="F309" s="221"/>
      <c r="G309" s="296"/>
      <c r="H309" s="297"/>
      <c r="I309" s="298"/>
    </row>
    <row r="310" spans="2:9">
      <c r="B310" s="295"/>
      <c r="E310" s="221"/>
      <c r="F310" s="221"/>
      <c r="G310" s="296"/>
      <c r="H310" s="297"/>
      <c r="I310" s="298"/>
    </row>
    <row r="311" spans="2:9">
      <c r="B311" s="295"/>
      <c r="E311" s="221"/>
      <c r="F311" s="221"/>
      <c r="G311" s="296"/>
      <c r="H311" s="297"/>
      <c r="I311" s="298"/>
    </row>
    <row r="312" spans="2:9">
      <c r="B312" s="295"/>
      <c r="E312" s="221"/>
      <c r="F312" s="221"/>
      <c r="G312" s="296"/>
      <c r="H312" s="297"/>
      <c r="I312" s="298"/>
    </row>
    <row r="313" spans="2:9">
      <c r="B313" s="295"/>
      <c r="E313" s="221"/>
      <c r="F313" s="221"/>
      <c r="G313" s="296"/>
      <c r="H313" s="297"/>
      <c r="I313" s="298"/>
    </row>
    <row r="314" spans="2:9">
      <c r="B314" s="295"/>
      <c r="E314" s="221"/>
      <c r="F314" s="221"/>
      <c r="G314" s="296"/>
      <c r="H314" s="297"/>
      <c r="I314" s="298"/>
    </row>
    <row r="315" spans="2:9">
      <c r="B315" s="295"/>
      <c r="E315" s="221"/>
      <c r="F315" s="221"/>
      <c r="G315" s="296"/>
      <c r="H315" s="297"/>
      <c r="I315" s="298"/>
    </row>
    <row r="316" spans="2:9">
      <c r="B316" s="295"/>
      <c r="E316" s="221"/>
      <c r="F316" s="221"/>
      <c r="G316" s="296"/>
      <c r="H316" s="297"/>
      <c r="I316" s="298"/>
    </row>
    <row r="317" spans="2:9">
      <c r="B317" s="295"/>
      <c r="E317" s="221"/>
      <c r="F317" s="221"/>
      <c r="G317" s="296"/>
      <c r="H317" s="297"/>
      <c r="I317" s="298"/>
    </row>
    <row r="318" spans="2:9">
      <c r="B318" s="295"/>
      <c r="E318" s="221"/>
      <c r="F318" s="221"/>
      <c r="G318" s="296"/>
      <c r="H318" s="297"/>
      <c r="I318" s="298"/>
    </row>
    <row r="319" spans="2:9">
      <c r="B319" s="295"/>
      <c r="E319" s="221"/>
      <c r="F319" s="221"/>
      <c r="G319" s="296"/>
      <c r="H319" s="297"/>
      <c r="I319" s="298"/>
    </row>
    <row r="320" spans="2:9">
      <c r="B320" s="295"/>
      <c r="E320" s="221"/>
      <c r="F320" s="221"/>
      <c r="G320" s="296"/>
      <c r="H320" s="297"/>
      <c r="I320" s="298"/>
    </row>
    <row r="321" spans="2:9">
      <c r="B321" s="295"/>
      <c r="E321" s="221"/>
      <c r="F321" s="221"/>
      <c r="G321" s="296"/>
      <c r="H321" s="297"/>
      <c r="I321" s="298"/>
    </row>
    <row r="322" spans="2:9">
      <c r="B322" s="295"/>
      <c r="E322" s="221"/>
      <c r="F322" s="221"/>
      <c r="G322" s="296"/>
      <c r="H322" s="297"/>
      <c r="I322" s="298"/>
    </row>
    <row r="323" spans="2:9">
      <c r="B323" s="295"/>
      <c r="E323" s="221"/>
      <c r="F323" s="221"/>
      <c r="G323" s="296"/>
      <c r="H323" s="297"/>
      <c r="I323" s="298"/>
    </row>
    <row r="324" spans="2:9">
      <c r="B324" s="295"/>
      <c r="E324" s="221"/>
      <c r="F324" s="221"/>
      <c r="G324" s="296"/>
      <c r="H324" s="297"/>
      <c r="I324" s="298"/>
    </row>
    <row r="325" spans="2:9">
      <c r="B325" s="295"/>
      <c r="E325" s="221"/>
      <c r="F325" s="221"/>
      <c r="G325" s="296"/>
      <c r="H325" s="297"/>
      <c r="I325" s="298"/>
    </row>
    <row r="326" spans="2:9">
      <c r="B326" s="295"/>
      <c r="E326" s="221"/>
      <c r="F326" s="221"/>
      <c r="G326" s="296"/>
      <c r="H326" s="297"/>
      <c r="I326" s="298"/>
    </row>
    <row r="327" spans="2:9">
      <c r="B327" s="295"/>
      <c r="E327" s="221"/>
      <c r="F327" s="221"/>
      <c r="G327" s="296"/>
      <c r="H327" s="297"/>
      <c r="I327" s="298"/>
    </row>
    <row r="328" spans="2:9">
      <c r="B328" s="295"/>
      <c r="E328" s="221"/>
      <c r="F328" s="221"/>
      <c r="G328" s="296"/>
      <c r="H328" s="297"/>
      <c r="I328" s="298"/>
    </row>
    <row r="329" spans="2:9">
      <c r="B329" s="295"/>
      <c r="E329" s="221"/>
      <c r="F329" s="221"/>
      <c r="G329" s="296"/>
      <c r="H329" s="297"/>
      <c r="I329" s="298"/>
    </row>
    <row r="330" spans="2:9">
      <c r="B330" s="295"/>
      <c r="E330" s="221"/>
      <c r="F330" s="221"/>
      <c r="G330" s="296"/>
      <c r="H330" s="297"/>
      <c r="I330" s="298"/>
    </row>
    <row r="331" spans="2:9">
      <c r="B331" s="295"/>
      <c r="E331" s="221"/>
      <c r="F331" s="221"/>
      <c r="G331" s="296"/>
      <c r="H331" s="297"/>
      <c r="I331" s="298"/>
    </row>
    <row r="332" spans="2:9">
      <c r="B332" s="295"/>
      <c r="E332" s="221"/>
      <c r="F332" s="221"/>
      <c r="G332" s="296"/>
      <c r="H332" s="297"/>
      <c r="I332" s="298"/>
    </row>
    <row r="333" spans="2:9">
      <c r="B333" s="295"/>
      <c r="E333" s="221"/>
      <c r="F333" s="221"/>
      <c r="G333" s="296"/>
      <c r="H333" s="297"/>
      <c r="I333" s="298"/>
    </row>
    <row r="334" spans="2:9">
      <c r="B334" s="295"/>
      <c r="E334" s="221"/>
      <c r="F334" s="221"/>
      <c r="G334" s="296"/>
      <c r="H334" s="297"/>
      <c r="I334" s="298"/>
    </row>
    <row r="335" spans="2:9">
      <c r="B335" s="295"/>
      <c r="E335" s="221"/>
      <c r="F335" s="221"/>
      <c r="G335" s="296"/>
      <c r="H335" s="297"/>
      <c r="I335" s="298"/>
    </row>
    <row r="336" spans="2:9">
      <c r="B336" s="295"/>
      <c r="E336" s="221"/>
      <c r="F336" s="221"/>
      <c r="G336" s="296"/>
      <c r="H336" s="297"/>
      <c r="I336" s="298"/>
    </row>
    <row r="337" spans="2:9">
      <c r="B337" s="295"/>
      <c r="E337" s="221"/>
      <c r="F337" s="221"/>
      <c r="G337" s="296"/>
      <c r="H337" s="297"/>
      <c r="I337" s="298"/>
    </row>
    <row r="338" spans="2:9">
      <c r="B338" s="295"/>
      <c r="E338" s="221"/>
      <c r="F338" s="221"/>
      <c r="G338" s="296"/>
      <c r="H338" s="297"/>
      <c r="I338" s="298"/>
    </row>
    <row r="339" spans="2:9">
      <c r="B339" s="295"/>
      <c r="E339" s="221"/>
      <c r="F339" s="221"/>
      <c r="G339" s="296"/>
      <c r="H339" s="297"/>
      <c r="I339" s="298"/>
    </row>
    <row r="340" spans="2:9">
      <c r="B340" s="295"/>
      <c r="E340" s="221"/>
      <c r="F340" s="221"/>
      <c r="G340" s="296"/>
      <c r="H340" s="297"/>
      <c r="I340" s="298"/>
    </row>
    <row r="341" spans="2:9">
      <c r="B341" s="295"/>
      <c r="E341" s="221"/>
      <c r="F341" s="221"/>
      <c r="G341" s="296"/>
      <c r="H341" s="297"/>
      <c r="I341" s="298"/>
    </row>
    <row r="342" spans="2:9">
      <c r="B342" s="295"/>
      <c r="E342" s="221"/>
      <c r="F342" s="221"/>
      <c r="G342" s="296"/>
      <c r="H342" s="297"/>
      <c r="I342" s="298"/>
    </row>
    <row r="343" spans="2:9">
      <c r="B343" s="295"/>
      <c r="E343" s="221"/>
      <c r="F343" s="221"/>
      <c r="G343" s="296"/>
      <c r="H343" s="297"/>
      <c r="I343" s="298"/>
    </row>
    <row r="344" spans="2:9">
      <c r="B344" s="295"/>
      <c r="E344" s="221"/>
      <c r="F344" s="221"/>
      <c r="G344" s="296"/>
      <c r="H344" s="297"/>
      <c r="I344" s="298"/>
    </row>
    <row r="345" spans="2:9">
      <c r="B345" s="295"/>
      <c r="E345" s="221"/>
      <c r="F345" s="221"/>
      <c r="G345" s="296"/>
      <c r="H345" s="297"/>
      <c r="I345" s="298"/>
    </row>
    <row r="346" spans="2:9">
      <c r="B346" s="295"/>
      <c r="E346" s="221"/>
      <c r="F346" s="221"/>
      <c r="G346" s="296"/>
      <c r="H346" s="297"/>
      <c r="I346" s="298"/>
    </row>
    <row r="347" spans="2:9">
      <c r="B347" s="295"/>
      <c r="E347" s="221"/>
      <c r="F347" s="221"/>
      <c r="G347" s="296"/>
      <c r="H347" s="297"/>
      <c r="I347" s="298"/>
    </row>
    <row r="348" spans="2:9">
      <c r="B348" s="295"/>
      <c r="E348" s="221"/>
      <c r="F348" s="221"/>
      <c r="G348" s="296"/>
      <c r="H348" s="297"/>
      <c r="I348" s="298"/>
    </row>
    <row r="349" spans="2:9">
      <c r="B349" s="295"/>
      <c r="E349" s="221"/>
      <c r="F349" s="221"/>
      <c r="G349" s="296"/>
      <c r="H349" s="297"/>
      <c r="I349" s="298"/>
    </row>
    <row r="350" spans="2:9">
      <c r="B350" s="295"/>
      <c r="E350" s="221"/>
      <c r="F350" s="221"/>
      <c r="G350" s="296"/>
      <c r="H350" s="297"/>
      <c r="I350" s="298"/>
    </row>
    <row r="351" spans="2:9">
      <c r="B351" s="295"/>
      <c r="E351" s="221"/>
      <c r="F351" s="221"/>
      <c r="G351" s="296"/>
      <c r="H351" s="297"/>
      <c r="I351" s="298"/>
    </row>
    <row r="352" spans="2:9">
      <c r="B352" s="295"/>
      <c r="E352" s="221"/>
      <c r="F352" s="221"/>
      <c r="G352" s="296"/>
      <c r="H352" s="297"/>
      <c r="I352" s="298"/>
    </row>
  </sheetData>
  <pageMargins left="0.7" right="0.7" top="0.42" bottom="0.41" header="0.3" footer="0.3"/>
  <pageSetup paperSize="9" scale="76" orientation="landscape" r:id="rId1"/>
  <rowBreaks count="5" manualBreakCount="5">
    <brk id="46" max="16383" man="1"/>
    <brk id="91" max="16383" man="1"/>
    <brk id="137" max="16383" man="1"/>
    <brk id="172" max="16383" man="1"/>
    <brk id="25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I292"/>
  <sheetViews>
    <sheetView topLeftCell="A256" zoomScaleNormal="100" workbookViewId="0">
      <selection activeCell="O18" sqref="O18"/>
    </sheetView>
  </sheetViews>
  <sheetFormatPr defaultRowHeight="15"/>
  <cols>
    <col min="2" max="2" width="20.5" customWidth="1"/>
    <col min="3" max="3" width="45.75" customWidth="1"/>
    <col min="4" max="4" width="22.5" customWidth="1"/>
    <col min="5" max="5" width="15.5" customWidth="1"/>
    <col min="6" max="6" width="23.5" customWidth="1"/>
    <col min="7" max="7" width="18.75" customWidth="1"/>
    <col min="8" max="8" width="21" customWidth="1"/>
    <col min="9" max="9" width="15.75" customWidth="1"/>
  </cols>
  <sheetData>
    <row r="1" spans="1:6">
      <c r="A1" s="334"/>
      <c r="B1" s="334"/>
      <c r="C1" s="334"/>
      <c r="D1" s="335"/>
      <c r="E1" s="336"/>
      <c r="F1" s="337"/>
    </row>
    <row r="2" spans="1:6">
      <c r="A2" s="334"/>
      <c r="B2" s="334"/>
      <c r="C2" s="334"/>
      <c r="D2" s="335"/>
      <c r="E2" s="336"/>
      <c r="F2" s="337"/>
    </row>
    <row r="3" spans="1:6">
      <c r="A3" s="334"/>
      <c r="B3" s="338" t="s">
        <v>1683</v>
      </c>
      <c r="C3" s="339"/>
      <c r="D3" s="335"/>
      <c r="E3" s="336"/>
      <c r="F3" s="337"/>
    </row>
    <row r="4" spans="1:6" ht="15.75" thickBot="1">
      <c r="A4" s="340"/>
      <c r="B4" s="341"/>
      <c r="C4" s="342"/>
      <c r="D4" s="335"/>
      <c r="E4" s="343"/>
      <c r="F4" s="344"/>
    </row>
    <row r="5" spans="1:6" ht="21" thickBot="1">
      <c r="A5" s="345" t="s">
        <v>3577</v>
      </c>
      <c r="B5" s="346"/>
      <c r="C5" s="346"/>
      <c r="D5" s="347"/>
      <c r="E5" s="348"/>
      <c r="F5" s="349"/>
    </row>
    <row r="6" spans="1:6" ht="15.75" thickBot="1">
      <c r="A6" s="350" t="s">
        <v>3338</v>
      </c>
      <c r="B6" s="351"/>
      <c r="C6" s="351"/>
      <c r="D6" s="352"/>
      <c r="E6" s="353"/>
      <c r="F6" s="354" t="s">
        <v>3340</v>
      </c>
    </row>
    <row r="7" spans="1:6">
      <c r="A7" s="355">
        <v>1</v>
      </c>
      <c r="B7" s="356" t="s">
        <v>3515</v>
      </c>
      <c r="C7" s="356"/>
      <c r="D7" s="357"/>
      <c r="E7" s="358">
        <v>0</v>
      </c>
      <c r="F7" s="359">
        <f>G28</f>
        <v>0</v>
      </c>
    </row>
    <row r="8" spans="1:6" ht="15.75" thickBot="1">
      <c r="A8" s="355">
        <v>2</v>
      </c>
      <c r="B8" s="356" t="s">
        <v>3516</v>
      </c>
      <c r="C8" s="356"/>
      <c r="D8" s="357">
        <v>3</v>
      </c>
      <c r="E8" s="358">
        <f>F7</f>
        <v>0</v>
      </c>
      <c r="F8" s="359">
        <f>D8*E8/100</f>
        <v>0</v>
      </c>
    </row>
    <row r="9" spans="1:6">
      <c r="A9" s="360">
        <v>3</v>
      </c>
      <c r="B9" s="361" t="s">
        <v>2825</v>
      </c>
      <c r="C9" s="361"/>
      <c r="D9" s="362"/>
      <c r="E9" s="363">
        <v>0</v>
      </c>
      <c r="F9" s="364">
        <f>F7+F8</f>
        <v>0</v>
      </c>
    </row>
    <row r="10" spans="1:6">
      <c r="A10" s="365"/>
      <c r="B10" s="366"/>
      <c r="C10" s="366"/>
      <c r="D10" s="367"/>
      <c r="E10" s="368"/>
      <c r="F10" s="369"/>
    </row>
    <row r="11" spans="1:6" ht="15.75" thickBot="1">
      <c r="A11" s="355">
        <v>4</v>
      </c>
      <c r="B11" s="356" t="s">
        <v>3517</v>
      </c>
      <c r="C11" s="356"/>
      <c r="D11" s="357">
        <v>3.03</v>
      </c>
      <c r="E11" s="561"/>
      <c r="F11" s="359">
        <f>D11*E11</f>
        <v>0</v>
      </c>
    </row>
    <row r="12" spans="1:6">
      <c r="A12" s="360">
        <v>5</v>
      </c>
      <c r="B12" s="361" t="s">
        <v>3518</v>
      </c>
      <c r="C12" s="361"/>
      <c r="D12" s="362"/>
      <c r="E12" s="363">
        <v>0</v>
      </c>
      <c r="F12" s="364">
        <f>F9+F11</f>
        <v>0</v>
      </c>
    </row>
    <row r="13" spans="1:6">
      <c r="A13" s="365"/>
      <c r="B13" s="366"/>
      <c r="C13" s="366"/>
      <c r="D13" s="367"/>
      <c r="E13" s="368"/>
      <c r="F13" s="369"/>
    </row>
    <row r="14" spans="1:6" ht="15.75" thickBot="1">
      <c r="A14" s="355">
        <v>6</v>
      </c>
      <c r="B14" s="356" t="s">
        <v>3519</v>
      </c>
      <c r="C14" s="356"/>
      <c r="D14" s="357">
        <v>1</v>
      </c>
      <c r="E14" s="358">
        <v>0</v>
      </c>
      <c r="F14" s="359"/>
    </row>
    <row r="15" spans="1:6" ht="16.5" thickTop="1" thickBot="1">
      <c r="A15" s="370">
        <v>7</v>
      </c>
      <c r="B15" s="371" t="s">
        <v>2827</v>
      </c>
      <c r="C15" s="371"/>
      <c r="D15" s="372"/>
      <c r="E15" s="373">
        <v>0</v>
      </c>
      <c r="F15" s="374">
        <f>D14*F12</f>
        <v>0</v>
      </c>
    </row>
    <row r="17" spans="1:9" ht="21" thickBot="1">
      <c r="A17" s="225" t="s">
        <v>3369</v>
      </c>
      <c r="B17" s="225"/>
      <c r="C17" s="225"/>
      <c r="D17" s="225"/>
      <c r="E17" s="225"/>
      <c r="F17" s="225"/>
      <c r="G17" s="225"/>
      <c r="H17" s="225"/>
      <c r="I17" s="225"/>
    </row>
    <row r="18" spans="1:9" ht="15.75" thickBot="1">
      <c r="A18" s="229" t="s">
        <v>3338</v>
      </c>
      <c r="B18" s="228" t="s">
        <v>3370</v>
      </c>
      <c r="C18" s="229" t="s">
        <v>3371</v>
      </c>
      <c r="D18" s="229" t="s">
        <v>3372</v>
      </c>
      <c r="E18" s="230" t="s">
        <v>3373</v>
      </c>
      <c r="F18" s="230" t="s">
        <v>3520</v>
      </c>
      <c r="G18" s="231" t="s">
        <v>3375</v>
      </c>
      <c r="H18" s="232" t="s">
        <v>3376</v>
      </c>
      <c r="I18" s="376" t="s">
        <v>3377</v>
      </c>
    </row>
    <row r="19" spans="1:9" ht="15.75">
      <c r="A19" s="377"/>
      <c r="B19" s="378" t="s">
        <v>3521</v>
      </c>
      <c r="C19" s="379"/>
      <c r="D19" s="379"/>
      <c r="E19" s="380"/>
      <c r="F19" s="380"/>
      <c r="G19" s="381"/>
      <c r="H19" s="382"/>
      <c r="I19" s="383"/>
    </row>
    <row r="20" spans="1:9">
      <c r="A20" s="241">
        <v>1</v>
      </c>
      <c r="B20" s="242">
        <v>764112</v>
      </c>
      <c r="C20" s="250" t="s">
        <v>3522</v>
      </c>
      <c r="D20" s="250" t="s">
        <v>2833</v>
      </c>
      <c r="E20" s="245">
        <v>1</v>
      </c>
      <c r="F20" s="559"/>
      <c r="G20" s="246">
        <f t="shared" ref="G20:G27" si="0">E20*F20</f>
        <v>0</v>
      </c>
      <c r="H20" s="247">
        <v>0.50600000000000001</v>
      </c>
      <c r="I20" s="248">
        <f t="shared" ref="I20:I27" si="1">E20*H20</f>
        <v>0.50600000000000001</v>
      </c>
    </row>
    <row r="21" spans="1:9">
      <c r="A21" s="241">
        <v>2</v>
      </c>
      <c r="B21" s="242">
        <v>764751</v>
      </c>
      <c r="C21" s="250" t="s">
        <v>3523</v>
      </c>
      <c r="D21" s="250" t="s">
        <v>2833</v>
      </c>
      <c r="E21" s="245">
        <v>1</v>
      </c>
      <c r="F21" s="559"/>
      <c r="G21" s="246">
        <f t="shared" si="0"/>
        <v>0</v>
      </c>
      <c r="H21" s="247">
        <v>0.23200000000000001</v>
      </c>
      <c r="I21" s="248">
        <f t="shared" si="1"/>
        <v>0.23200000000000001</v>
      </c>
    </row>
    <row r="22" spans="1:9">
      <c r="A22" s="241">
        <v>3</v>
      </c>
      <c r="B22" s="242">
        <v>781301</v>
      </c>
      <c r="C22" s="250" t="s">
        <v>3524</v>
      </c>
      <c r="D22" s="250" t="s">
        <v>2833</v>
      </c>
      <c r="E22" s="245">
        <v>3</v>
      </c>
      <c r="F22" s="559"/>
      <c r="G22" s="246">
        <f t="shared" si="0"/>
        <v>0</v>
      </c>
      <c r="H22" s="247">
        <v>0.23200000000000001</v>
      </c>
      <c r="I22" s="248">
        <f t="shared" si="1"/>
        <v>0.69600000000000006</v>
      </c>
    </row>
    <row r="23" spans="1:9">
      <c r="A23" s="241">
        <v>4</v>
      </c>
      <c r="B23" s="242">
        <v>782311</v>
      </c>
      <c r="C23" s="250" t="s">
        <v>3525</v>
      </c>
      <c r="D23" s="250" t="s">
        <v>2019</v>
      </c>
      <c r="E23" s="245">
        <v>1</v>
      </c>
      <c r="F23" s="559"/>
      <c r="G23" s="246">
        <f t="shared" si="0"/>
        <v>0</v>
      </c>
      <c r="H23" s="247">
        <v>0.30599999999999999</v>
      </c>
      <c r="I23" s="248">
        <f t="shared" si="1"/>
        <v>0.30599999999999999</v>
      </c>
    </row>
    <row r="24" spans="1:9">
      <c r="A24" s="241">
        <v>5</v>
      </c>
      <c r="B24" s="242">
        <v>415142</v>
      </c>
      <c r="C24" s="250" t="s">
        <v>3526</v>
      </c>
      <c r="D24" s="250" t="s">
        <v>2833</v>
      </c>
      <c r="E24" s="245">
        <v>1</v>
      </c>
      <c r="F24" s="559"/>
      <c r="G24" s="246">
        <f t="shared" si="0"/>
        <v>0</v>
      </c>
      <c r="H24" s="247">
        <v>0.34799999999999998</v>
      </c>
      <c r="I24" s="248">
        <f t="shared" si="1"/>
        <v>0.34799999999999998</v>
      </c>
    </row>
    <row r="25" spans="1:9">
      <c r="A25" s="241">
        <v>6</v>
      </c>
      <c r="B25" s="242">
        <v>434121</v>
      </c>
      <c r="C25" s="250" t="s">
        <v>3527</v>
      </c>
      <c r="D25" s="250" t="s">
        <v>2833</v>
      </c>
      <c r="E25" s="245">
        <v>1</v>
      </c>
      <c r="F25" s="559"/>
      <c r="G25" s="246">
        <f t="shared" si="0"/>
        <v>0</v>
      </c>
      <c r="H25" s="247">
        <v>0.19</v>
      </c>
      <c r="I25" s="248">
        <f t="shared" si="1"/>
        <v>0.19</v>
      </c>
    </row>
    <row r="26" spans="1:9">
      <c r="A26" s="241">
        <v>7</v>
      </c>
      <c r="B26" s="242">
        <v>434134</v>
      </c>
      <c r="C26" s="250" t="s">
        <v>3528</v>
      </c>
      <c r="D26" s="250" t="s">
        <v>2833</v>
      </c>
      <c r="E26" s="245">
        <v>1</v>
      </c>
      <c r="F26" s="559"/>
      <c r="G26" s="246">
        <f t="shared" si="0"/>
        <v>0</v>
      </c>
      <c r="H26" s="247">
        <v>0.19</v>
      </c>
      <c r="I26" s="248">
        <f t="shared" si="1"/>
        <v>0.19</v>
      </c>
    </row>
    <row r="27" spans="1:9" ht="15.75" thickBot="1">
      <c r="A27" s="255">
        <v>8</v>
      </c>
      <c r="B27" s="256">
        <v>438104</v>
      </c>
      <c r="C27" s="286" t="s">
        <v>3529</v>
      </c>
      <c r="D27" s="286" t="s">
        <v>2833</v>
      </c>
      <c r="E27" s="259">
        <v>2</v>
      </c>
      <c r="F27" s="560"/>
      <c r="G27" s="261">
        <f t="shared" si="0"/>
        <v>0</v>
      </c>
      <c r="H27" s="262">
        <v>0.27600000000000002</v>
      </c>
      <c r="I27" s="263">
        <f t="shared" si="1"/>
        <v>0.55200000000000005</v>
      </c>
    </row>
    <row r="28" spans="1:9" ht="15.75" thickBot="1">
      <c r="A28" s="287"/>
      <c r="B28" s="288"/>
      <c r="C28" s="289" t="s">
        <v>3397</v>
      </c>
      <c r="D28" s="289"/>
      <c r="E28" s="290"/>
      <c r="F28" s="290"/>
      <c r="G28" s="291">
        <f>SUM(G20:G27)</f>
        <v>0</v>
      </c>
      <c r="H28" s="292"/>
      <c r="I28" s="293">
        <f>SUM(I20:I27)</f>
        <v>3.02</v>
      </c>
    </row>
    <row r="31" spans="1:9" ht="15.75" thickBot="1">
      <c r="A31" s="301"/>
      <c r="B31" s="302"/>
      <c r="C31" s="303"/>
      <c r="D31" s="300"/>
      <c r="E31" s="304"/>
      <c r="F31" s="305"/>
    </row>
    <row r="32" spans="1:9" ht="21" thickBot="1">
      <c r="A32" s="180" t="s">
        <v>3576</v>
      </c>
      <c r="B32" s="181"/>
      <c r="C32" s="181"/>
      <c r="D32" s="306"/>
      <c r="E32" s="307"/>
      <c r="F32" s="308"/>
    </row>
    <row r="33" spans="1:9" ht="15.75" thickBot="1">
      <c r="A33" s="309" t="s">
        <v>3338</v>
      </c>
      <c r="B33" s="310"/>
      <c r="C33" s="310"/>
      <c r="D33" s="311"/>
      <c r="E33" s="312"/>
      <c r="F33" s="313" t="s">
        <v>3340</v>
      </c>
    </row>
    <row r="34" spans="1:9">
      <c r="A34" s="314">
        <v>1</v>
      </c>
      <c r="B34" s="315" t="s">
        <v>3515</v>
      </c>
      <c r="C34" s="315"/>
      <c r="D34" s="316"/>
      <c r="E34" s="317">
        <v>0</v>
      </c>
      <c r="F34" s="318">
        <f>G60</f>
        <v>0</v>
      </c>
    </row>
    <row r="35" spans="1:9" ht="15.75" thickBot="1">
      <c r="A35" s="314">
        <v>2</v>
      </c>
      <c r="B35" s="315" t="s">
        <v>3516</v>
      </c>
      <c r="C35" s="315"/>
      <c r="D35" s="316">
        <v>3</v>
      </c>
      <c r="E35" s="317">
        <f>F34</f>
        <v>0</v>
      </c>
      <c r="F35" s="318">
        <f>D35*E35/100</f>
        <v>0</v>
      </c>
    </row>
    <row r="36" spans="1:9">
      <c r="A36" s="319">
        <v>3</v>
      </c>
      <c r="B36" s="320" t="s">
        <v>2825</v>
      </c>
      <c r="C36" s="320"/>
      <c r="D36" s="321"/>
      <c r="E36" s="322">
        <v>0</v>
      </c>
      <c r="F36" s="323">
        <f>F34+F35</f>
        <v>0</v>
      </c>
    </row>
    <row r="37" spans="1:9">
      <c r="A37" s="324"/>
      <c r="B37" s="325"/>
      <c r="C37" s="325"/>
      <c r="D37" s="326"/>
      <c r="E37" s="327"/>
      <c r="F37" s="328"/>
    </row>
    <row r="38" spans="1:9" ht="15.75" thickBot="1">
      <c r="A38" s="314">
        <v>4</v>
      </c>
      <c r="B38" s="315" t="s">
        <v>3517</v>
      </c>
      <c r="C38" s="315"/>
      <c r="D38" s="316">
        <v>5.16</v>
      </c>
      <c r="E38" s="562"/>
      <c r="F38" s="318">
        <f>D38*E38</f>
        <v>0</v>
      </c>
    </row>
    <row r="39" spans="1:9">
      <c r="A39" s="319">
        <v>5</v>
      </c>
      <c r="B39" s="320" t="s">
        <v>3518</v>
      </c>
      <c r="C39" s="320"/>
      <c r="D39" s="321"/>
      <c r="E39" s="322">
        <v>0</v>
      </c>
      <c r="F39" s="323">
        <f>F36+F38</f>
        <v>0</v>
      </c>
    </row>
    <row r="40" spans="1:9">
      <c r="A40" s="324"/>
      <c r="B40" s="325"/>
      <c r="C40" s="325"/>
      <c r="D40" s="326"/>
      <c r="E40" s="327"/>
      <c r="F40" s="328"/>
    </row>
    <row r="41" spans="1:9" ht="15.75" thickBot="1">
      <c r="A41" s="314">
        <v>6</v>
      </c>
      <c r="B41" s="315" t="s">
        <v>3519</v>
      </c>
      <c r="C41" s="315"/>
      <c r="D41" s="316">
        <v>1</v>
      </c>
      <c r="E41" s="317">
        <v>0</v>
      </c>
      <c r="F41" s="318"/>
    </row>
    <row r="42" spans="1:9" ht="16.5" thickTop="1" thickBot="1">
      <c r="A42" s="329">
        <v>7</v>
      </c>
      <c r="B42" s="330" t="s">
        <v>2827</v>
      </c>
      <c r="C42" s="330"/>
      <c r="D42" s="331"/>
      <c r="E42" s="332">
        <v>0</v>
      </c>
      <c r="F42" s="333">
        <f>D41*F39</f>
        <v>0</v>
      </c>
    </row>
    <row r="44" spans="1:9" ht="21" thickBot="1">
      <c r="A44" s="225" t="s">
        <v>3369</v>
      </c>
      <c r="B44" s="225"/>
      <c r="C44" s="225"/>
      <c r="D44" s="225"/>
      <c r="E44" s="225"/>
      <c r="F44" s="225"/>
      <c r="G44" s="225"/>
      <c r="H44" s="225"/>
      <c r="I44" s="225"/>
    </row>
    <row r="45" spans="1:9" ht="15.75" thickBot="1">
      <c r="A45" s="229" t="s">
        <v>3338</v>
      </c>
      <c r="B45" s="228" t="s">
        <v>3370</v>
      </c>
      <c r="C45" s="229" t="s">
        <v>3371</v>
      </c>
      <c r="D45" s="229" t="s">
        <v>3372</v>
      </c>
      <c r="E45" s="230" t="s">
        <v>3373</v>
      </c>
      <c r="F45" s="230" t="s">
        <v>3520</v>
      </c>
      <c r="G45" s="231" t="s">
        <v>3375</v>
      </c>
      <c r="H45" s="232" t="s">
        <v>3376</v>
      </c>
      <c r="I45" s="376" t="s">
        <v>3377</v>
      </c>
    </row>
    <row r="46" spans="1:9" ht="15.75">
      <c r="A46" s="377"/>
      <c r="B46" s="378" t="s">
        <v>3530</v>
      </c>
      <c r="C46" s="379"/>
      <c r="D46" s="379"/>
      <c r="E46" s="380"/>
      <c r="F46" s="380"/>
      <c r="G46" s="381"/>
      <c r="H46" s="382"/>
      <c r="I46" s="383"/>
    </row>
    <row r="47" spans="1:9" ht="15.75" thickBot="1">
      <c r="A47" s="255">
        <v>1</v>
      </c>
      <c r="B47" s="256">
        <v>761311</v>
      </c>
      <c r="C47" s="286" t="s">
        <v>3531</v>
      </c>
      <c r="D47" s="286" t="s">
        <v>2833</v>
      </c>
      <c r="E47" s="259">
        <v>1</v>
      </c>
      <c r="F47" s="560"/>
      <c r="G47" s="261">
        <f>E47*F47</f>
        <v>0</v>
      </c>
      <c r="H47" s="262">
        <v>0.51</v>
      </c>
      <c r="I47" s="263">
        <f>E47*H47</f>
        <v>0.51</v>
      </c>
    </row>
    <row r="48" spans="1:9">
      <c r="A48" s="265"/>
      <c r="B48" s="266"/>
      <c r="C48" s="267" t="s">
        <v>3397</v>
      </c>
      <c r="D48" s="267"/>
      <c r="E48" s="269"/>
      <c r="F48" s="269"/>
      <c r="G48" s="270">
        <f>SUM(G47:G47)</f>
        <v>0</v>
      </c>
      <c r="H48" s="271"/>
      <c r="I48" s="272">
        <f>SUM(I47:I47)</f>
        <v>0.51</v>
      </c>
    </row>
    <row r="49" spans="1:9" ht="15.75">
      <c r="A49" s="276"/>
      <c r="B49" s="277" t="s">
        <v>3532</v>
      </c>
      <c r="C49" s="278"/>
      <c r="D49" s="278"/>
      <c r="E49" s="280"/>
      <c r="F49" s="280"/>
      <c r="G49" s="281"/>
      <c r="H49" s="282"/>
      <c r="I49" s="283"/>
    </row>
    <row r="50" spans="1:9" ht="15.75" thickBot="1">
      <c r="A50" s="255">
        <v>2</v>
      </c>
      <c r="B50" s="256"/>
      <c r="C50" s="286" t="s">
        <v>3533</v>
      </c>
      <c r="D50" s="258"/>
      <c r="E50" s="259"/>
      <c r="F50" s="259"/>
      <c r="G50" s="261">
        <f>E50*F50</f>
        <v>0</v>
      </c>
      <c r="H50" s="262"/>
      <c r="I50" s="263">
        <f>E50*H50</f>
        <v>0</v>
      </c>
    </row>
    <row r="51" spans="1:9">
      <c r="A51" s="265"/>
      <c r="B51" s="266"/>
      <c r="C51" s="267" t="s">
        <v>3397</v>
      </c>
      <c r="D51" s="268"/>
      <c r="E51" s="269"/>
      <c r="F51" s="269"/>
      <c r="G51" s="270">
        <f>SUM(G50:G50)</f>
        <v>0</v>
      </c>
      <c r="H51" s="271"/>
      <c r="I51" s="272">
        <f>SUM(I50:I50)</f>
        <v>0</v>
      </c>
    </row>
    <row r="52" spans="1:9" ht="15.75">
      <c r="A52" s="276"/>
      <c r="B52" s="277" t="s">
        <v>3530</v>
      </c>
      <c r="C52" s="278"/>
      <c r="D52" s="279"/>
      <c r="E52" s="280"/>
      <c r="F52" s="280"/>
      <c r="G52" s="281"/>
      <c r="H52" s="282"/>
      <c r="I52" s="283"/>
    </row>
    <row r="53" spans="1:9">
      <c r="A53" s="241">
        <v>3</v>
      </c>
      <c r="B53" s="242">
        <v>781436</v>
      </c>
      <c r="C53" s="250" t="s">
        <v>3534</v>
      </c>
      <c r="D53" s="250" t="s">
        <v>2833</v>
      </c>
      <c r="E53" s="245">
        <v>2</v>
      </c>
      <c r="F53" s="559"/>
      <c r="G53" s="246">
        <f t="shared" ref="G53:G59" si="2">E53*F53</f>
        <v>0</v>
      </c>
      <c r="H53" s="247">
        <v>0.23200000000000001</v>
      </c>
      <c r="I53" s="248">
        <f t="shared" ref="I53:I59" si="3">E53*H53</f>
        <v>0.46400000000000002</v>
      </c>
    </row>
    <row r="54" spans="1:9">
      <c r="A54" s="241">
        <v>4</v>
      </c>
      <c r="B54" s="242">
        <v>788211</v>
      </c>
      <c r="C54" s="250" t="s">
        <v>3535</v>
      </c>
      <c r="D54" s="250" t="s">
        <v>2398</v>
      </c>
      <c r="E54" s="245">
        <v>2</v>
      </c>
      <c r="F54" s="559"/>
      <c r="G54" s="246">
        <f t="shared" si="2"/>
        <v>0</v>
      </c>
      <c r="H54" s="247">
        <v>0.751</v>
      </c>
      <c r="I54" s="248">
        <f t="shared" si="3"/>
        <v>1.502</v>
      </c>
    </row>
    <row r="55" spans="1:9">
      <c r="A55" s="241">
        <v>5</v>
      </c>
      <c r="B55" s="242">
        <v>435025</v>
      </c>
      <c r="C55" s="250" t="s">
        <v>3536</v>
      </c>
      <c r="D55" s="250" t="s">
        <v>2833</v>
      </c>
      <c r="E55" s="245">
        <v>3</v>
      </c>
      <c r="F55" s="559"/>
      <c r="G55" s="246">
        <f t="shared" si="2"/>
        <v>0</v>
      </c>
      <c r="H55" s="247">
        <v>0.34799999999999998</v>
      </c>
      <c r="I55" s="248">
        <f t="shared" si="3"/>
        <v>1.044</v>
      </c>
    </row>
    <row r="56" spans="1:9">
      <c r="A56" s="241">
        <v>6</v>
      </c>
      <c r="B56" s="242">
        <v>435026</v>
      </c>
      <c r="C56" s="250" t="s">
        <v>3537</v>
      </c>
      <c r="D56" s="250" t="s">
        <v>2833</v>
      </c>
      <c r="E56" s="245">
        <v>1</v>
      </c>
      <c r="F56" s="559"/>
      <c r="G56" s="246">
        <f t="shared" si="2"/>
        <v>0</v>
      </c>
      <c r="H56" s="247">
        <v>0.57699999999999996</v>
      </c>
      <c r="I56" s="248">
        <f t="shared" si="3"/>
        <v>0.57699999999999996</v>
      </c>
    </row>
    <row r="57" spans="1:9">
      <c r="A57" s="241">
        <v>7</v>
      </c>
      <c r="B57" s="242">
        <v>435029</v>
      </c>
      <c r="C57" s="250" t="s">
        <v>3538</v>
      </c>
      <c r="D57" s="250" t="s">
        <v>2833</v>
      </c>
      <c r="E57" s="245">
        <v>1</v>
      </c>
      <c r="F57" s="559"/>
      <c r="G57" s="246">
        <f t="shared" si="2"/>
        <v>0</v>
      </c>
      <c r="H57" s="247">
        <v>0.57699999999999996</v>
      </c>
      <c r="I57" s="248">
        <f t="shared" si="3"/>
        <v>0.57699999999999996</v>
      </c>
    </row>
    <row r="58" spans="1:9">
      <c r="A58" s="241">
        <v>8</v>
      </c>
      <c r="B58" s="242">
        <v>436502</v>
      </c>
      <c r="C58" s="250" t="s">
        <v>3539</v>
      </c>
      <c r="D58" s="250" t="s">
        <v>2833</v>
      </c>
      <c r="E58" s="245">
        <v>1</v>
      </c>
      <c r="F58" s="559"/>
      <c r="G58" s="246">
        <f t="shared" si="2"/>
        <v>0</v>
      </c>
      <c r="H58" s="247">
        <v>0.28499999999999998</v>
      </c>
      <c r="I58" s="248">
        <f t="shared" si="3"/>
        <v>0.28499999999999998</v>
      </c>
    </row>
    <row r="59" spans="1:9" ht="15.75" thickBot="1">
      <c r="A59" s="255">
        <v>9</v>
      </c>
      <c r="B59" s="256">
        <v>439131</v>
      </c>
      <c r="C59" s="286" t="s">
        <v>3540</v>
      </c>
      <c r="D59" s="286" t="s">
        <v>2833</v>
      </c>
      <c r="E59" s="259">
        <v>1</v>
      </c>
      <c r="F59" s="560"/>
      <c r="G59" s="261">
        <f t="shared" si="2"/>
        <v>0</v>
      </c>
      <c r="H59" s="262">
        <v>0.19</v>
      </c>
      <c r="I59" s="263">
        <f t="shared" si="3"/>
        <v>0.19</v>
      </c>
    </row>
    <row r="60" spans="1:9" ht="15.75" thickBot="1">
      <c r="A60" s="287"/>
      <c r="B60" s="288"/>
      <c r="C60" s="289" t="s">
        <v>3397</v>
      </c>
      <c r="D60" s="289"/>
      <c r="E60" s="290"/>
      <c r="F60" s="290"/>
      <c r="G60" s="291">
        <f>SUM(G53:G59)</f>
        <v>0</v>
      </c>
      <c r="H60" s="292"/>
      <c r="I60" s="293">
        <f>SUM(I53:I59)</f>
        <v>4.6390000000000002</v>
      </c>
    </row>
    <row r="63" spans="1:9" ht="15.75" thickBot="1">
      <c r="A63" s="301"/>
      <c r="B63" s="302"/>
      <c r="C63" s="303"/>
      <c r="D63" s="300"/>
      <c r="E63" s="304"/>
      <c r="F63" s="305"/>
    </row>
    <row r="64" spans="1:9" ht="21" thickBot="1">
      <c r="A64" s="180" t="s">
        <v>3575</v>
      </c>
      <c r="B64" s="181"/>
      <c r="C64" s="181"/>
      <c r="D64" s="306"/>
      <c r="E64" s="307"/>
      <c r="F64" s="308"/>
    </row>
    <row r="65" spans="1:9" ht="15.75" thickBot="1">
      <c r="A65" s="309" t="s">
        <v>3338</v>
      </c>
      <c r="B65" s="310"/>
      <c r="C65" s="310"/>
      <c r="D65" s="311"/>
      <c r="E65" s="312"/>
      <c r="F65" s="313" t="s">
        <v>3340</v>
      </c>
    </row>
    <row r="66" spans="1:9">
      <c r="A66" s="314">
        <v>1</v>
      </c>
      <c r="B66" s="315" t="s">
        <v>3515</v>
      </c>
      <c r="C66" s="315"/>
      <c r="D66" s="316"/>
      <c r="E66" s="317">
        <v>0</v>
      </c>
      <c r="F66" s="318">
        <f>G89</f>
        <v>0</v>
      </c>
    </row>
    <row r="67" spans="1:9" ht="15.75" thickBot="1">
      <c r="A67" s="314">
        <v>2</v>
      </c>
      <c r="B67" s="315" t="s">
        <v>3516</v>
      </c>
      <c r="C67" s="315"/>
      <c r="D67" s="316">
        <v>3</v>
      </c>
      <c r="E67" s="317">
        <f>F66</f>
        <v>0</v>
      </c>
      <c r="F67" s="318">
        <f>D67*E67/100</f>
        <v>0</v>
      </c>
    </row>
    <row r="68" spans="1:9">
      <c r="A68" s="319">
        <v>3</v>
      </c>
      <c r="B68" s="320" t="s">
        <v>2825</v>
      </c>
      <c r="C68" s="320"/>
      <c r="D68" s="321"/>
      <c r="E68" s="322">
        <v>0</v>
      </c>
      <c r="F68" s="323">
        <f>F66+F67</f>
        <v>0</v>
      </c>
    </row>
    <row r="69" spans="1:9">
      <c r="A69" s="324"/>
      <c r="B69" s="325"/>
      <c r="C69" s="325"/>
      <c r="D69" s="326"/>
      <c r="E69" s="327"/>
      <c r="F69" s="328"/>
    </row>
    <row r="70" spans="1:9" ht="15.75" thickBot="1">
      <c r="A70" s="314">
        <v>4</v>
      </c>
      <c r="B70" s="315" t="s">
        <v>3517</v>
      </c>
      <c r="C70" s="315"/>
      <c r="D70" s="316">
        <v>4.84</v>
      </c>
      <c r="E70" s="562"/>
      <c r="F70" s="318">
        <f>D70*E70</f>
        <v>0</v>
      </c>
    </row>
    <row r="71" spans="1:9">
      <c r="A71" s="319">
        <v>5</v>
      </c>
      <c r="B71" s="320" t="s">
        <v>3518</v>
      </c>
      <c r="C71" s="320"/>
      <c r="D71" s="321"/>
      <c r="E71" s="322">
        <v>0</v>
      </c>
      <c r="F71" s="323">
        <f>F68+F70</f>
        <v>0</v>
      </c>
    </row>
    <row r="72" spans="1:9">
      <c r="A72" s="324"/>
      <c r="B72" s="325"/>
      <c r="C72" s="325"/>
      <c r="D72" s="326"/>
      <c r="E72" s="327"/>
      <c r="F72" s="328"/>
    </row>
    <row r="73" spans="1:9" ht="15.75" thickBot="1">
      <c r="A73" s="314">
        <v>6</v>
      </c>
      <c r="B73" s="315" t="s">
        <v>3519</v>
      </c>
      <c r="C73" s="315"/>
      <c r="D73" s="316">
        <v>1</v>
      </c>
      <c r="E73" s="317">
        <v>0</v>
      </c>
      <c r="F73" s="318"/>
    </row>
    <row r="74" spans="1:9" ht="16.5" thickTop="1" thickBot="1">
      <c r="A74" s="329">
        <v>7</v>
      </c>
      <c r="B74" s="330" t="s">
        <v>2827</v>
      </c>
      <c r="C74" s="330"/>
      <c r="D74" s="331"/>
      <c r="E74" s="332">
        <v>0</v>
      </c>
      <c r="F74" s="333">
        <f>D73*F71</f>
        <v>0</v>
      </c>
    </row>
    <row r="76" spans="1:9" ht="21" thickBot="1">
      <c r="A76" s="225" t="s">
        <v>3369</v>
      </c>
      <c r="B76" s="225"/>
      <c r="C76" s="225"/>
      <c r="D76" s="225"/>
      <c r="E76" s="225"/>
      <c r="F76" s="225"/>
      <c r="G76" s="225"/>
      <c r="H76" s="225"/>
      <c r="I76" s="225"/>
    </row>
    <row r="77" spans="1:9" ht="15.75" thickBot="1">
      <c r="A77" s="229" t="s">
        <v>3338</v>
      </c>
      <c r="B77" s="228" t="s">
        <v>3370</v>
      </c>
      <c r="C77" s="229" t="s">
        <v>3371</v>
      </c>
      <c r="D77" s="229" t="s">
        <v>3372</v>
      </c>
      <c r="E77" s="230" t="s">
        <v>3373</v>
      </c>
      <c r="F77" s="230" t="s">
        <v>3520</v>
      </c>
      <c r="G77" s="231" t="s">
        <v>3375</v>
      </c>
      <c r="H77" s="232" t="s">
        <v>3376</v>
      </c>
      <c r="I77" s="376" t="s">
        <v>3377</v>
      </c>
    </row>
    <row r="78" spans="1:9" ht="15.75">
      <c r="A78" s="377"/>
      <c r="B78" s="378" t="s">
        <v>3541</v>
      </c>
      <c r="C78" s="379"/>
      <c r="D78" s="379"/>
      <c r="E78" s="380"/>
      <c r="F78" s="380"/>
      <c r="G78" s="381"/>
      <c r="H78" s="382"/>
      <c r="I78" s="383"/>
    </row>
    <row r="79" spans="1:9">
      <c r="A79" s="241">
        <v>1</v>
      </c>
      <c r="B79" s="242">
        <v>764702</v>
      </c>
      <c r="C79" s="250" t="s">
        <v>3542</v>
      </c>
      <c r="D79" s="250" t="s">
        <v>2833</v>
      </c>
      <c r="E79" s="245">
        <v>1</v>
      </c>
      <c r="F79" s="559"/>
      <c r="G79" s="246">
        <f t="shared" ref="G79:G88" si="4">E79*F79</f>
        <v>0</v>
      </c>
      <c r="H79" s="247">
        <v>0.50600000000000001</v>
      </c>
      <c r="I79" s="248">
        <f t="shared" ref="I79:I88" si="5">E79*H79</f>
        <v>0.50600000000000001</v>
      </c>
    </row>
    <row r="80" spans="1:9">
      <c r="A80" s="241">
        <v>2</v>
      </c>
      <c r="B80" s="242">
        <v>781331</v>
      </c>
      <c r="C80" s="250" t="s">
        <v>3543</v>
      </c>
      <c r="D80" s="250" t="s">
        <v>2833</v>
      </c>
      <c r="E80" s="245">
        <v>3</v>
      </c>
      <c r="F80" s="559"/>
      <c r="G80" s="246">
        <f t="shared" si="4"/>
        <v>0</v>
      </c>
      <c r="H80" s="247">
        <v>0.23200000000000001</v>
      </c>
      <c r="I80" s="248">
        <f t="shared" si="5"/>
        <v>0.69600000000000006</v>
      </c>
    </row>
    <row r="81" spans="1:9">
      <c r="A81" s="241">
        <v>3</v>
      </c>
      <c r="B81" s="242">
        <v>782311</v>
      </c>
      <c r="C81" s="250" t="s">
        <v>3525</v>
      </c>
      <c r="D81" s="250" t="s">
        <v>2019</v>
      </c>
      <c r="E81" s="245">
        <v>1</v>
      </c>
      <c r="F81" s="559"/>
      <c r="G81" s="246">
        <f t="shared" si="4"/>
        <v>0</v>
      </c>
      <c r="H81" s="247">
        <v>0.30599999999999999</v>
      </c>
      <c r="I81" s="248">
        <f t="shared" si="5"/>
        <v>0.30599999999999999</v>
      </c>
    </row>
    <row r="82" spans="1:9">
      <c r="A82" s="241">
        <v>4</v>
      </c>
      <c r="B82" s="242">
        <v>788211</v>
      </c>
      <c r="C82" s="250" t="s">
        <v>3535</v>
      </c>
      <c r="D82" s="250" t="s">
        <v>2398</v>
      </c>
      <c r="E82" s="245">
        <v>1</v>
      </c>
      <c r="F82" s="559"/>
      <c r="G82" s="246">
        <f t="shared" si="4"/>
        <v>0</v>
      </c>
      <c r="H82" s="247">
        <v>0.751</v>
      </c>
      <c r="I82" s="248">
        <f t="shared" si="5"/>
        <v>0.751</v>
      </c>
    </row>
    <row r="83" spans="1:9">
      <c r="A83" s="241">
        <v>5</v>
      </c>
      <c r="B83" s="242">
        <v>415145</v>
      </c>
      <c r="C83" s="250" t="s">
        <v>3544</v>
      </c>
      <c r="D83" s="250" t="s">
        <v>2833</v>
      </c>
      <c r="E83" s="245">
        <v>1</v>
      </c>
      <c r="F83" s="559"/>
      <c r="G83" s="246">
        <f t="shared" si="4"/>
        <v>0</v>
      </c>
      <c r="H83" s="247">
        <v>0.57699999999999996</v>
      </c>
      <c r="I83" s="248">
        <f t="shared" si="5"/>
        <v>0.57699999999999996</v>
      </c>
    </row>
    <row r="84" spans="1:9">
      <c r="A84" s="241">
        <v>6</v>
      </c>
      <c r="B84" s="242">
        <v>435237</v>
      </c>
      <c r="C84" s="250" t="s">
        <v>3545</v>
      </c>
      <c r="D84" s="250" t="s">
        <v>2833</v>
      </c>
      <c r="E84" s="245">
        <v>1</v>
      </c>
      <c r="F84" s="559"/>
      <c r="G84" s="246">
        <f t="shared" si="4"/>
        <v>0</v>
      </c>
      <c r="H84" s="247">
        <v>0.57699999999999996</v>
      </c>
      <c r="I84" s="248">
        <f t="shared" si="5"/>
        <v>0.57699999999999996</v>
      </c>
    </row>
    <row r="85" spans="1:9">
      <c r="A85" s="241">
        <v>7</v>
      </c>
      <c r="B85" s="242">
        <v>438124</v>
      </c>
      <c r="C85" s="250" t="s">
        <v>3546</v>
      </c>
      <c r="D85" s="250" t="s">
        <v>2833</v>
      </c>
      <c r="E85" s="245">
        <v>1</v>
      </c>
      <c r="F85" s="559"/>
      <c r="G85" s="246">
        <f t="shared" si="4"/>
        <v>0</v>
      </c>
      <c r="H85" s="247">
        <v>0.27600000000000002</v>
      </c>
      <c r="I85" s="248">
        <f t="shared" si="5"/>
        <v>0.27600000000000002</v>
      </c>
    </row>
    <row r="86" spans="1:9">
      <c r="A86" s="241">
        <v>8</v>
      </c>
      <c r="B86" s="242">
        <v>434150</v>
      </c>
      <c r="C86" s="250" t="s">
        <v>3547</v>
      </c>
      <c r="D86" s="250" t="s">
        <v>2833</v>
      </c>
      <c r="E86" s="245">
        <v>4</v>
      </c>
      <c r="F86" s="559"/>
      <c r="G86" s="246">
        <f t="shared" si="4"/>
        <v>0</v>
      </c>
      <c r="H86" s="247">
        <v>0.19</v>
      </c>
      <c r="I86" s="248">
        <f t="shared" si="5"/>
        <v>0.76</v>
      </c>
    </row>
    <row r="87" spans="1:9">
      <c r="A87" s="241">
        <v>9</v>
      </c>
      <c r="B87" s="242">
        <v>434151</v>
      </c>
      <c r="C87" s="250" t="s">
        <v>3548</v>
      </c>
      <c r="D87" s="250" t="s">
        <v>2833</v>
      </c>
      <c r="E87" s="245">
        <v>1</v>
      </c>
      <c r="F87" s="559"/>
      <c r="G87" s="246">
        <f t="shared" si="4"/>
        <v>0</v>
      </c>
      <c r="H87" s="247">
        <v>0.19</v>
      </c>
      <c r="I87" s="248">
        <f t="shared" si="5"/>
        <v>0.19</v>
      </c>
    </row>
    <row r="88" spans="1:9" ht="15.75" thickBot="1">
      <c r="A88" s="255">
        <v>10</v>
      </c>
      <c r="B88" s="256">
        <v>434164</v>
      </c>
      <c r="C88" s="286" t="s">
        <v>3549</v>
      </c>
      <c r="D88" s="286" t="s">
        <v>2833</v>
      </c>
      <c r="E88" s="259">
        <v>1</v>
      </c>
      <c r="F88" s="560"/>
      <c r="G88" s="261">
        <f t="shared" si="4"/>
        <v>0</v>
      </c>
      <c r="H88" s="262">
        <v>0.19</v>
      </c>
      <c r="I88" s="263">
        <f t="shared" si="5"/>
        <v>0.19</v>
      </c>
    </row>
    <row r="89" spans="1:9" ht="15.75" thickBot="1">
      <c r="A89" s="287"/>
      <c r="B89" s="288"/>
      <c r="C89" s="289" t="s">
        <v>3397</v>
      </c>
      <c r="D89" s="289"/>
      <c r="E89" s="290"/>
      <c r="F89" s="290"/>
      <c r="G89" s="291">
        <f>SUM(G79:G88)</f>
        <v>0</v>
      </c>
      <c r="H89" s="292"/>
      <c r="I89" s="293">
        <f>SUM(I79:I88)</f>
        <v>4.8290000000000006</v>
      </c>
    </row>
    <row r="92" spans="1:9" ht="15.75" thickBot="1">
      <c r="A92" s="301"/>
      <c r="B92" s="302"/>
      <c r="C92" s="303"/>
      <c r="D92" s="300"/>
      <c r="E92" s="304"/>
      <c r="F92" s="305"/>
    </row>
    <row r="93" spans="1:9" ht="21" thickBot="1">
      <c r="A93" s="180" t="s">
        <v>3574</v>
      </c>
      <c r="B93" s="181"/>
      <c r="C93" s="181"/>
      <c r="D93" s="306"/>
      <c r="E93" s="307"/>
      <c r="F93" s="308"/>
    </row>
    <row r="94" spans="1:9" ht="15.75" thickBot="1">
      <c r="A94" s="309" t="s">
        <v>3338</v>
      </c>
      <c r="B94" s="310"/>
      <c r="C94" s="310"/>
      <c r="D94" s="311"/>
      <c r="E94" s="312"/>
      <c r="F94" s="313" t="s">
        <v>3340</v>
      </c>
    </row>
    <row r="95" spans="1:9">
      <c r="A95" s="314">
        <v>1</v>
      </c>
      <c r="B95" s="315" t="s">
        <v>3515</v>
      </c>
      <c r="C95" s="315"/>
      <c r="D95" s="316"/>
      <c r="E95" s="317">
        <v>0</v>
      </c>
      <c r="F95" s="318">
        <f>G121</f>
        <v>0</v>
      </c>
    </row>
    <row r="96" spans="1:9" ht="15.75" thickBot="1">
      <c r="A96" s="314">
        <v>2</v>
      </c>
      <c r="B96" s="315" t="s">
        <v>3516</v>
      </c>
      <c r="C96" s="315"/>
      <c r="D96" s="316">
        <v>3</v>
      </c>
      <c r="E96" s="317">
        <f>F95</f>
        <v>0</v>
      </c>
      <c r="F96" s="318">
        <f>D96*E96/100</f>
        <v>0</v>
      </c>
    </row>
    <row r="97" spans="1:9">
      <c r="A97" s="319">
        <v>3</v>
      </c>
      <c r="B97" s="320" t="s">
        <v>2825</v>
      </c>
      <c r="C97" s="320"/>
      <c r="D97" s="321"/>
      <c r="E97" s="322">
        <v>0</v>
      </c>
      <c r="F97" s="323">
        <f>F95+F96</f>
        <v>0</v>
      </c>
    </row>
    <row r="98" spans="1:9">
      <c r="A98" s="324"/>
      <c r="B98" s="325"/>
      <c r="C98" s="325"/>
      <c r="D98" s="326"/>
      <c r="E98" s="327"/>
      <c r="F98" s="328"/>
    </row>
    <row r="99" spans="1:9" ht="15.75" thickBot="1">
      <c r="A99" s="314">
        <v>4</v>
      </c>
      <c r="B99" s="315" t="s">
        <v>3517</v>
      </c>
      <c r="C99" s="315"/>
      <c r="D99" s="316">
        <v>7.53</v>
      </c>
      <c r="E99" s="562"/>
      <c r="F99" s="318">
        <f>D99*E99</f>
        <v>0</v>
      </c>
    </row>
    <row r="100" spans="1:9">
      <c r="A100" s="319">
        <v>5</v>
      </c>
      <c r="B100" s="320" t="s">
        <v>3518</v>
      </c>
      <c r="C100" s="320"/>
      <c r="D100" s="321"/>
      <c r="E100" s="322">
        <v>0</v>
      </c>
      <c r="F100" s="323">
        <f>F97+F99</f>
        <v>0</v>
      </c>
    </row>
    <row r="101" spans="1:9">
      <c r="A101" s="324"/>
      <c r="B101" s="325"/>
      <c r="C101" s="325"/>
      <c r="D101" s="326"/>
      <c r="E101" s="327"/>
      <c r="F101" s="328"/>
    </row>
    <row r="102" spans="1:9" ht="15.75" thickBot="1">
      <c r="A102" s="314">
        <v>6</v>
      </c>
      <c r="B102" s="315" t="s">
        <v>3519</v>
      </c>
      <c r="C102" s="315"/>
      <c r="D102" s="316">
        <v>1</v>
      </c>
      <c r="E102" s="317">
        <v>0</v>
      </c>
      <c r="F102" s="318"/>
    </row>
    <row r="103" spans="1:9" ht="16.5" thickTop="1" thickBot="1">
      <c r="A103" s="329">
        <v>7</v>
      </c>
      <c r="B103" s="330" t="s">
        <v>2827</v>
      </c>
      <c r="C103" s="330"/>
      <c r="D103" s="331"/>
      <c r="E103" s="332">
        <v>0</v>
      </c>
      <c r="F103" s="333">
        <f>D102*F100</f>
        <v>0</v>
      </c>
    </row>
    <row r="105" spans="1:9" ht="21" thickBot="1">
      <c r="A105" s="225" t="s">
        <v>3369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15.75" thickBot="1">
      <c r="A106" s="229" t="s">
        <v>3338</v>
      </c>
      <c r="B106" s="228" t="s">
        <v>3370</v>
      </c>
      <c r="C106" s="229" t="s">
        <v>3371</v>
      </c>
      <c r="D106" s="229" t="s">
        <v>3372</v>
      </c>
      <c r="E106" s="230" t="s">
        <v>3373</v>
      </c>
      <c r="F106" s="230" t="s">
        <v>3520</v>
      </c>
      <c r="G106" s="231" t="s">
        <v>3375</v>
      </c>
      <c r="H106" s="232" t="s">
        <v>3376</v>
      </c>
      <c r="I106" s="376" t="s">
        <v>3377</v>
      </c>
    </row>
    <row r="107" spans="1:9" ht="15.75">
      <c r="A107" s="377"/>
      <c r="B107" s="378" t="s">
        <v>3550</v>
      </c>
      <c r="C107" s="379"/>
      <c r="D107" s="379"/>
      <c r="E107" s="380"/>
      <c r="F107" s="380"/>
      <c r="G107" s="381"/>
      <c r="H107" s="382"/>
      <c r="I107" s="383"/>
    </row>
    <row r="108" spans="1:9">
      <c r="A108" s="241">
        <v>1</v>
      </c>
      <c r="B108" s="242">
        <v>764114</v>
      </c>
      <c r="C108" s="250" t="s">
        <v>3551</v>
      </c>
      <c r="D108" s="250" t="s">
        <v>2833</v>
      </c>
      <c r="E108" s="245">
        <v>1</v>
      </c>
      <c r="F108" s="559"/>
      <c r="G108" s="246">
        <f t="shared" ref="G108:G120" si="6">E108*F108</f>
        <v>0</v>
      </c>
      <c r="H108" s="247">
        <v>0.50600000000000001</v>
      </c>
      <c r="I108" s="248">
        <f t="shared" ref="I108:I120" si="7">E108*H108</f>
        <v>0.50600000000000001</v>
      </c>
    </row>
    <row r="109" spans="1:9">
      <c r="A109" s="241">
        <v>2</v>
      </c>
      <c r="B109" s="242">
        <v>764124</v>
      </c>
      <c r="C109" s="250" t="s">
        <v>3552</v>
      </c>
      <c r="D109" s="250" t="s">
        <v>2833</v>
      </c>
      <c r="E109" s="245">
        <v>1</v>
      </c>
      <c r="F109" s="559"/>
      <c r="G109" s="246">
        <f t="shared" si="6"/>
        <v>0</v>
      </c>
      <c r="H109" s="247">
        <v>0.11600000000000001</v>
      </c>
      <c r="I109" s="248">
        <f t="shared" si="7"/>
        <v>0.11600000000000001</v>
      </c>
    </row>
    <row r="110" spans="1:9">
      <c r="A110" s="241">
        <v>3</v>
      </c>
      <c r="B110" s="242">
        <v>781331</v>
      </c>
      <c r="C110" s="250" t="s">
        <v>3543</v>
      </c>
      <c r="D110" s="250" t="s">
        <v>2833</v>
      </c>
      <c r="E110" s="245">
        <v>4</v>
      </c>
      <c r="F110" s="559"/>
      <c r="G110" s="246">
        <f t="shared" si="6"/>
        <v>0</v>
      </c>
      <c r="H110" s="247">
        <v>0.23200000000000001</v>
      </c>
      <c r="I110" s="248">
        <f t="shared" si="7"/>
        <v>0.92800000000000005</v>
      </c>
    </row>
    <row r="111" spans="1:9">
      <c r="A111" s="241">
        <v>4</v>
      </c>
      <c r="B111" s="242">
        <v>782311</v>
      </c>
      <c r="C111" s="250" t="s">
        <v>3525</v>
      </c>
      <c r="D111" s="250" t="s">
        <v>2019</v>
      </c>
      <c r="E111" s="245">
        <v>1</v>
      </c>
      <c r="F111" s="559"/>
      <c r="G111" s="246">
        <f t="shared" si="6"/>
        <v>0</v>
      </c>
      <c r="H111" s="247">
        <v>0.30599999999999999</v>
      </c>
      <c r="I111" s="248">
        <f t="shared" si="7"/>
        <v>0.30599999999999999</v>
      </c>
    </row>
    <row r="112" spans="1:9">
      <c r="A112" s="241">
        <v>5</v>
      </c>
      <c r="B112" s="242">
        <v>788211</v>
      </c>
      <c r="C112" s="250" t="s">
        <v>3535</v>
      </c>
      <c r="D112" s="250" t="s">
        <v>2398</v>
      </c>
      <c r="E112" s="245">
        <v>1</v>
      </c>
      <c r="F112" s="559"/>
      <c r="G112" s="246">
        <f t="shared" si="6"/>
        <v>0</v>
      </c>
      <c r="H112" s="247">
        <v>0.751</v>
      </c>
      <c r="I112" s="248">
        <f t="shared" si="7"/>
        <v>0.751</v>
      </c>
    </row>
    <row r="113" spans="1:9">
      <c r="A113" s="241">
        <v>6</v>
      </c>
      <c r="B113" s="242">
        <v>415145</v>
      </c>
      <c r="C113" s="250" t="s">
        <v>3544</v>
      </c>
      <c r="D113" s="250" t="s">
        <v>2833</v>
      </c>
      <c r="E113" s="245">
        <v>1</v>
      </c>
      <c r="F113" s="559"/>
      <c r="G113" s="246">
        <f t="shared" si="6"/>
        <v>0</v>
      </c>
      <c r="H113" s="247">
        <v>0.57699999999999996</v>
      </c>
      <c r="I113" s="248">
        <f t="shared" si="7"/>
        <v>0.57699999999999996</v>
      </c>
    </row>
    <row r="114" spans="1:9">
      <c r="A114" s="241">
        <v>7</v>
      </c>
      <c r="B114" s="242">
        <v>434120</v>
      </c>
      <c r="C114" s="250" t="s">
        <v>3553</v>
      </c>
      <c r="D114" s="250" t="s">
        <v>2833</v>
      </c>
      <c r="E114" s="245">
        <v>1</v>
      </c>
      <c r="F114" s="559"/>
      <c r="G114" s="246">
        <f t="shared" si="6"/>
        <v>0</v>
      </c>
      <c r="H114" s="247">
        <v>0.19</v>
      </c>
      <c r="I114" s="248">
        <f t="shared" si="7"/>
        <v>0.19</v>
      </c>
    </row>
    <row r="115" spans="1:9">
      <c r="A115" s="241">
        <v>8</v>
      </c>
      <c r="B115" s="242">
        <v>434121</v>
      </c>
      <c r="C115" s="250" t="s">
        <v>3527</v>
      </c>
      <c r="D115" s="250" t="s">
        <v>2833</v>
      </c>
      <c r="E115" s="245">
        <v>5</v>
      </c>
      <c r="F115" s="559"/>
      <c r="G115" s="246">
        <f t="shared" si="6"/>
        <v>0</v>
      </c>
      <c r="H115" s="247">
        <v>0.19</v>
      </c>
      <c r="I115" s="248">
        <f t="shared" si="7"/>
        <v>0.95</v>
      </c>
    </row>
    <row r="116" spans="1:9">
      <c r="A116" s="241">
        <v>9</v>
      </c>
      <c r="B116" s="242">
        <v>434166</v>
      </c>
      <c r="C116" s="250" t="s">
        <v>3554</v>
      </c>
      <c r="D116" s="250" t="s">
        <v>2833</v>
      </c>
      <c r="E116" s="245">
        <v>1</v>
      </c>
      <c r="F116" s="559"/>
      <c r="G116" s="246">
        <f t="shared" si="6"/>
        <v>0</v>
      </c>
      <c r="H116" s="247">
        <v>0.19</v>
      </c>
      <c r="I116" s="248">
        <f t="shared" si="7"/>
        <v>0.19</v>
      </c>
    </row>
    <row r="117" spans="1:9">
      <c r="A117" s="241">
        <v>10</v>
      </c>
      <c r="B117" s="242">
        <v>435233</v>
      </c>
      <c r="C117" s="250" t="s">
        <v>3555</v>
      </c>
      <c r="D117" s="250" t="s">
        <v>2833</v>
      </c>
      <c r="E117" s="245">
        <v>2</v>
      </c>
      <c r="F117" s="559"/>
      <c r="G117" s="246">
        <f t="shared" si="6"/>
        <v>0</v>
      </c>
      <c r="H117" s="247">
        <v>0.34799999999999998</v>
      </c>
      <c r="I117" s="248">
        <f t="shared" si="7"/>
        <v>0.69599999999999995</v>
      </c>
    </row>
    <row r="118" spans="1:9">
      <c r="A118" s="241">
        <v>11</v>
      </c>
      <c r="B118" s="242">
        <v>435235</v>
      </c>
      <c r="C118" s="250" t="s">
        <v>3556</v>
      </c>
      <c r="D118" s="250" t="s">
        <v>2833</v>
      </c>
      <c r="E118" s="245">
        <v>1</v>
      </c>
      <c r="F118" s="559"/>
      <c r="G118" s="246">
        <f t="shared" si="6"/>
        <v>0</v>
      </c>
      <c r="H118" s="247">
        <v>0.34799999999999998</v>
      </c>
      <c r="I118" s="248">
        <f t="shared" si="7"/>
        <v>0.34799999999999998</v>
      </c>
    </row>
    <row r="119" spans="1:9">
      <c r="A119" s="241">
        <v>12</v>
      </c>
      <c r="B119" s="242">
        <v>438102</v>
      </c>
      <c r="C119" s="250" t="s">
        <v>3557</v>
      </c>
      <c r="D119" s="250" t="s">
        <v>2833</v>
      </c>
      <c r="E119" s="245">
        <v>1</v>
      </c>
      <c r="F119" s="559"/>
      <c r="G119" s="246">
        <f t="shared" si="6"/>
        <v>0</v>
      </c>
      <c r="H119" s="247">
        <v>0.27600000000000002</v>
      </c>
      <c r="I119" s="248">
        <f t="shared" si="7"/>
        <v>0.27600000000000002</v>
      </c>
    </row>
    <row r="120" spans="1:9" ht="15.75" thickBot="1">
      <c r="A120" s="255">
        <v>13</v>
      </c>
      <c r="B120" s="256">
        <v>438104</v>
      </c>
      <c r="C120" s="286" t="s">
        <v>3529</v>
      </c>
      <c r="D120" s="286" t="s">
        <v>2833</v>
      </c>
      <c r="E120" s="259">
        <v>6</v>
      </c>
      <c r="F120" s="560"/>
      <c r="G120" s="261">
        <f t="shared" si="6"/>
        <v>0</v>
      </c>
      <c r="H120" s="262">
        <v>0.27600000000000002</v>
      </c>
      <c r="I120" s="263">
        <f t="shared" si="7"/>
        <v>1.6560000000000001</v>
      </c>
    </row>
    <row r="121" spans="1:9" ht="15.75" thickBot="1">
      <c r="A121" s="287"/>
      <c r="B121" s="288"/>
      <c r="C121" s="289" t="s">
        <v>3397</v>
      </c>
      <c r="D121" s="289"/>
      <c r="E121" s="290"/>
      <c r="F121" s="290"/>
      <c r="G121" s="291">
        <f>SUM(G108:G120)</f>
        <v>0</v>
      </c>
      <c r="H121" s="292"/>
      <c r="I121" s="293">
        <f>SUM(I108:I120)</f>
        <v>7.49</v>
      </c>
    </row>
    <row r="123" spans="1:9" ht="15.75" thickBot="1"/>
    <row r="124" spans="1:9" ht="21" thickBot="1">
      <c r="A124" s="180" t="s">
        <v>3578</v>
      </c>
      <c r="B124" s="181"/>
      <c r="C124" s="181"/>
      <c r="D124" s="306"/>
      <c r="E124" s="307"/>
      <c r="F124" s="308"/>
    </row>
    <row r="125" spans="1:9" ht="15.75" thickBot="1">
      <c r="A125" s="309" t="s">
        <v>3338</v>
      </c>
      <c r="B125" s="310"/>
      <c r="C125" s="310"/>
      <c r="D125" s="311"/>
      <c r="E125" s="312"/>
      <c r="F125" s="313" t="s">
        <v>3340</v>
      </c>
    </row>
    <row r="126" spans="1:9">
      <c r="A126" s="314">
        <v>1</v>
      </c>
      <c r="B126" s="315" t="s">
        <v>3515</v>
      </c>
      <c r="C126" s="315"/>
      <c r="D126" s="316"/>
      <c r="E126" s="317">
        <v>0</v>
      </c>
      <c r="F126" s="318">
        <f>G148</f>
        <v>0</v>
      </c>
    </row>
    <row r="127" spans="1:9" ht="15.75" thickBot="1">
      <c r="A127" s="314">
        <v>2</v>
      </c>
      <c r="B127" s="315" t="s">
        <v>3516</v>
      </c>
      <c r="C127" s="315"/>
      <c r="D127" s="316">
        <v>3</v>
      </c>
      <c r="E127" s="317">
        <f>F126</f>
        <v>0</v>
      </c>
      <c r="F127" s="318">
        <f>D127*E127/100</f>
        <v>0</v>
      </c>
    </row>
    <row r="128" spans="1:9">
      <c r="A128" s="319">
        <v>3</v>
      </c>
      <c r="B128" s="320" t="s">
        <v>2825</v>
      </c>
      <c r="C128" s="320"/>
      <c r="D128" s="321"/>
      <c r="E128" s="322">
        <v>0</v>
      </c>
      <c r="F128" s="323">
        <f>F126+F127</f>
        <v>0</v>
      </c>
    </row>
    <row r="129" spans="1:9">
      <c r="A129" s="324"/>
      <c r="B129" s="325"/>
      <c r="C129" s="325"/>
      <c r="D129" s="326"/>
      <c r="E129" s="327"/>
      <c r="F129" s="328"/>
    </row>
    <row r="130" spans="1:9" ht="15.75" thickBot="1">
      <c r="A130" s="314">
        <v>4</v>
      </c>
      <c r="B130" s="315" t="s">
        <v>3517</v>
      </c>
      <c r="C130" s="315"/>
      <c r="D130" s="316">
        <v>4.63</v>
      </c>
      <c r="E130" s="562"/>
      <c r="F130" s="318">
        <f>D130*E130</f>
        <v>0</v>
      </c>
    </row>
    <row r="131" spans="1:9">
      <c r="A131" s="319">
        <v>5</v>
      </c>
      <c r="B131" s="320" t="s">
        <v>3518</v>
      </c>
      <c r="C131" s="320"/>
      <c r="D131" s="321"/>
      <c r="E131" s="322">
        <v>0</v>
      </c>
      <c r="F131" s="323">
        <f>F128+F130</f>
        <v>0</v>
      </c>
    </row>
    <row r="132" spans="1:9">
      <c r="A132" s="324"/>
      <c r="B132" s="325"/>
      <c r="C132" s="325"/>
      <c r="D132" s="326"/>
      <c r="E132" s="327"/>
      <c r="F132" s="328"/>
    </row>
    <row r="133" spans="1:9" ht="15.75" thickBot="1">
      <c r="A133" s="314">
        <v>6</v>
      </c>
      <c r="B133" s="315" t="s">
        <v>3519</v>
      </c>
      <c r="C133" s="315"/>
      <c r="D133" s="316">
        <v>1</v>
      </c>
      <c r="E133" s="317">
        <v>0</v>
      </c>
      <c r="F133" s="318"/>
    </row>
    <row r="134" spans="1:9" ht="16.5" thickTop="1" thickBot="1">
      <c r="A134" s="329">
        <v>7</v>
      </c>
      <c r="B134" s="330" t="s">
        <v>2827</v>
      </c>
      <c r="C134" s="330"/>
      <c r="D134" s="331"/>
      <c r="E134" s="332">
        <v>0</v>
      </c>
      <c r="F134" s="333">
        <f>D133*F131</f>
        <v>0</v>
      </c>
    </row>
    <row r="136" spans="1:9" ht="21" thickBot="1">
      <c r="A136" s="225" t="s">
        <v>3369</v>
      </c>
      <c r="B136" s="225"/>
      <c r="C136" s="225"/>
      <c r="D136" s="225"/>
      <c r="E136" s="225"/>
      <c r="F136" s="225"/>
      <c r="G136" s="225"/>
      <c r="H136" s="225"/>
      <c r="I136" s="225"/>
    </row>
    <row r="137" spans="1:9" ht="15.75" thickBot="1">
      <c r="A137" s="229" t="s">
        <v>3338</v>
      </c>
      <c r="B137" s="228" t="s">
        <v>3370</v>
      </c>
      <c r="C137" s="229" t="s">
        <v>3371</v>
      </c>
      <c r="D137" s="229" t="s">
        <v>3372</v>
      </c>
      <c r="E137" s="230" t="s">
        <v>3373</v>
      </c>
      <c r="F137" s="230" t="s">
        <v>3520</v>
      </c>
      <c r="G137" s="231" t="s">
        <v>3375</v>
      </c>
      <c r="H137" s="232" t="s">
        <v>3376</v>
      </c>
      <c r="I137" s="376" t="s">
        <v>3377</v>
      </c>
    </row>
    <row r="138" spans="1:9" ht="15.75">
      <c r="A138" s="377"/>
      <c r="B138" s="378" t="s">
        <v>3558</v>
      </c>
      <c r="C138" s="379"/>
      <c r="D138" s="379"/>
      <c r="E138" s="380"/>
      <c r="F138" s="380"/>
      <c r="G138" s="381"/>
      <c r="H138" s="382"/>
      <c r="I138" s="383"/>
    </row>
    <row r="139" spans="1:9">
      <c r="A139" s="241">
        <v>1</v>
      </c>
      <c r="B139" s="242">
        <v>764113</v>
      </c>
      <c r="C139" s="250" t="s">
        <v>3559</v>
      </c>
      <c r="D139" s="250" t="s">
        <v>2833</v>
      </c>
      <c r="E139" s="245">
        <v>1</v>
      </c>
      <c r="F139" s="559"/>
      <c r="G139" s="246">
        <f t="shared" ref="G139:G147" si="8">E139*F139</f>
        <v>0</v>
      </c>
      <c r="H139" s="247">
        <v>0.50600000000000001</v>
      </c>
      <c r="I139" s="248">
        <f t="shared" ref="I139:I147" si="9">E139*H139</f>
        <v>0.50600000000000001</v>
      </c>
    </row>
    <row r="140" spans="1:9">
      <c r="A140" s="241">
        <v>2</v>
      </c>
      <c r="B140" s="242">
        <v>764123</v>
      </c>
      <c r="C140" s="250" t="s">
        <v>3560</v>
      </c>
      <c r="D140" s="250" t="s">
        <v>2833</v>
      </c>
      <c r="E140" s="245">
        <v>1</v>
      </c>
      <c r="F140" s="559"/>
      <c r="G140" s="246">
        <f t="shared" si="8"/>
        <v>0</v>
      </c>
      <c r="H140" s="247">
        <v>0.11600000000000001</v>
      </c>
      <c r="I140" s="248">
        <f t="shared" si="9"/>
        <v>0.11600000000000001</v>
      </c>
    </row>
    <row r="141" spans="1:9">
      <c r="A141" s="241">
        <v>3</v>
      </c>
      <c r="B141" s="242">
        <v>781331</v>
      </c>
      <c r="C141" s="250" t="s">
        <v>3543</v>
      </c>
      <c r="D141" s="250" t="s">
        <v>2833</v>
      </c>
      <c r="E141" s="245">
        <v>3</v>
      </c>
      <c r="F141" s="559"/>
      <c r="G141" s="246">
        <f t="shared" si="8"/>
        <v>0</v>
      </c>
      <c r="H141" s="247">
        <v>0.23200000000000001</v>
      </c>
      <c r="I141" s="248">
        <f t="shared" si="9"/>
        <v>0.69600000000000006</v>
      </c>
    </row>
    <row r="142" spans="1:9">
      <c r="A142" s="241">
        <v>4</v>
      </c>
      <c r="B142" s="242">
        <v>782311</v>
      </c>
      <c r="C142" s="250" t="s">
        <v>3525</v>
      </c>
      <c r="D142" s="250" t="s">
        <v>2019</v>
      </c>
      <c r="E142" s="245">
        <v>1</v>
      </c>
      <c r="F142" s="559"/>
      <c r="G142" s="246">
        <f t="shared" si="8"/>
        <v>0</v>
      </c>
      <c r="H142" s="247">
        <v>0.30599999999999999</v>
      </c>
      <c r="I142" s="248">
        <f t="shared" si="9"/>
        <v>0.30599999999999999</v>
      </c>
    </row>
    <row r="143" spans="1:9">
      <c r="A143" s="241">
        <v>5</v>
      </c>
      <c r="B143" s="242">
        <v>788211</v>
      </c>
      <c r="C143" s="250" t="s">
        <v>3535</v>
      </c>
      <c r="D143" s="250" t="s">
        <v>2398</v>
      </c>
      <c r="E143" s="245">
        <v>1</v>
      </c>
      <c r="F143" s="559"/>
      <c r="G143" s="246">
        <f t="shared" si="8"/>
        <v>0</v>
      </c>
      <c r="H143" s="247">
        <v>0.751</v>
      </c>
      <c r="I143" s="248">
        <f t="shared" si="9"/>
        <v>0.751</v>
      </c>
    </row>
    <row r="144" spans="1:9">
      <c r="A144" s="241">
        <v>6</v>
      </c>
      <c r="B144" s="242">
        <v>415142</v>
      </c>
      <c r="C144" s="250" t="s">
        <v>3526</v>
      </c>
      <c r="D144" s="250" t="s">
        <v>2833</v>
      </c>
      <c r="E144" s="245">
        <v>1</v>
      </c>
      <c r="F144" s="559"/>
      <c r="G144" s="246">
        <f t="shared" si="8"/>
        <v>0</v>
      </c>
      <c r="H144" s="247">
        <v>0.34799999999999998</v>
      </c>
      <c r="I144" s="248">
        <f t="shared" si="9"/>
        <v>0.34799999999999998</v>
      </c>
    </row>
    <row r="145" spans="1:9">
      <c r="A145" s="241">
        <v>7</v>
      </c>
      <c r="B145" s="242">
        <v>434151</v>
      </c>
      <c r="C145" s="250" t="s">
        <v>3548</v>
      </c>
      <c r="D145" s="250" t="s">
        <v>2833</v>
      </c>
      <c r="E145" s="245">
        <v>3</v>
      </c>
      <c r="F145" s="559"/>
      <c r="G145" s="246">
        <f t="shared" si="8"/>
        <v>0</v>
      </c>
      <c r="H145" s="247">
        <v>0.19</v>
      </c>
      <c r="I145" s="248">
        <f t="shared" si="9"/>
        <v>0.57000000000000006</v>
      </c>
    </row>
    <row r="146" spans="1:9">
      <c r="A146" s="241">
        <v>8</v>
      </c>
      <c r="B146" s="242">
        <v>435234</v>
      </c>
      <c r="C146" s="250" t="s">
        <v>3561</v>
      </c>
      <c r="D146" s="250" t="s">
        <v>2833</v>
      </c>
      <c r="E146" s="245">
        <v>3</v>
      </c>
      <c r="F146" s="559"/>
      <c r="G146" s="246">
        <f t="shared" si="8"/>
        <v>0</v>
      </c>
      <c r="H146" s="247">
        <v>0.34799999999999998</v>
      </c>
      <c r="I146" s="248">
        <f t="shared" si="9"/>
        <v>1.044</v>
      </c>
    </row>
    <row r="147" spans="1:9" ht="15.75" thickBot="1">
      <c r="A147" s="255">
        <v>9</v>
      </c>
      <c r="B147" s="256">
        <v>438104</v>
      </c>
      <c r="C147" s="286" t="s">
        <v>3529</v>
      </c>
      <c r="D147" s="286" t="s">
        <v>2833</v>
      </c>
      <c r="E147" s="259">
        <v>1</v>
      </c>
      <c r="F147" s="560"/>
      <c r="G147" s="261">
        <f t="shared" si="8"/>
        <v>0</v>
      </c>
      <c r="H147" s="262">
        <v>0.27600000000000002</v>
      </c>
      <c r="I147" s="263">
        <f t="shared" si="9"/>
        <v>0.27600000000000002</v>
      </c>
    </row>
    <row r="148" spans="1:9" ht="15.75" thickBot="1">
      <c r="A148" s="287"/>
      <c r="B148" s="288"/>
      <c r="C148" s="289" t="s">
        <v>3397</v>
      </c>
      <c r="D148" s="289"/>
      <c r="E148" s="290"/>
      <c r="F148" s="290"/>
      <c r="G148" s="291">
        <f>SUM(G139:G147)</f>
        <v>0</v>
      </c>
      <c r="H148" s="292"/>
      <c r="I148" s="293">
        <f>SUM(I139:I147)</f>
        <v>4.6129999999999995</v>
      </c>
    </row>
    <row r="150" spans="1:9" ht="15.75" thickBot="1"/>
    <row r="151" spans="1:9" ht="21" thickBot="1">
      <c r="A151" s="180" t="s">
        <v>3579</v>
      </c>
      <c r="B151" s="181"/>
      <c r="C151" s="181"/>
      <c r="D151" s="306"/>
      <c r="E151" s="307"/>
      <c r="F151" s="308"/>
    </row>
    <row r="152" spans="1:9" ht="15.75" thickBot="1">
      <c r="A152" s="309" t="s">
        <v>3338</v>
      </c>
      <c r="B152" s="310"/>
      <c r="C152" s="310"/>
      <c r="D152" s="311"/>
      <c r="E152" s="312"/>
      <c r="F152" s="313" t="s">
        <v>3340</v>
      </c>
    </row>
    <row r="153" spans="1:9">
      <c r="A153" s="314">
        <v>1</v>
      </c>
      <c r="B153" s="315" t="s">
        <v>3515</v>
      </c>
      <c r="C153" s="315"/>
      <c r="D153" s="316"/>
      <c r="E153" s="317">
        <v>0</v>
      </c>
      <c r="F153" s="318">
        <f>G176</f>
        <v>0</v>
      </c>
    </row>
    <row r="154" spans="1:9" ht="15.75" thickBot="1">
      <c r="A154" s="314">
        <v>2</v>
      </c>
      <c r="B154" s="315" t="s">
        <v>3516</v>
      </c>
      <c r="C154" s="315"/>
      <c r="D154" s="316">
        <v>3</v>
      </c>
      <c r="E154" s="317">
        <f>F153</f>
        <v>0</v>
      </c>
      <c r="F154" s="318">
        <f>D154*E154/100</f>
        <v>0</v>
      </c>
    </row>
    <row r="155" spans="1:9">
      <c r="A155" s="319">
        <v>3</v>
      </c>
      <c r="B155" s="320" t="s">
        <v>2825</v>
      </c>
      <c r="C155" s="320"/>
      <c r="D155" s="321"/>
      <c r="E155" s="322">
        <v>0</v>
      </c>
      <c r="F155" s="323">
        <f>F153+F154</f>
        <v>0</v>
      </c>
    </row>
    <row r="156" spans="1:9">
      <c r="A156" s="324"/>
      <c r="B156" s="325"/>
      <c r="C156" s="325"/>
      <c r="D156" s="326"/>
      <c r="E156" s="327"/>
      <c r="F156" s="328"/>
    </row>
    <row r="157" spans="1:9" ht="15.75" thickBot="1">
      <c r="A157" s="314">
        <v>4</v>
      </c>
      <c r="B157" s="315" t="s">
        <v>3517</v>
      </c>
      <c r="C157" s="315"/>
      <c r="D157" s="316">
        <v>2.74</v>
      </c>
      <c r="E157" s="562"/>
      <c r="F157" s="318">
        <f>D157*E157</f>
        <v>0</v>
      </c>
    </row>
    <row r="158" spans="1:9">
      <c r="A158" s="319">
        <v>5</v>
      </c>
      <c r="B158" s="320" t="s">
        <v>3518</v>
      </c>
      <c r="C158" s="320"/>
      <c r="D158" s="321"/>
      <c r="E158" s="322">
        <v>0</v>
      </c>
      <c r="F158" s="323">
        <f>F155+F157</f>
        <v>0</v>
      </c>
    </row>
    <row r="159" spans="1:9">
      <c r="A159" s="324"/>
      <c r="B159" s="325"/>
      <c r="C159" s="325"/>
      <c r="D159" s="326"/>
      <c r="E159" s="327"/>
      <c r="F159" s="328"/>
    </row>
    <row r="160" spans="1:9" ht="15.75" thickBot="1">
      <c r="A160" s="314">
        <v>6</v>
      </c>
      <c r="B160" s="315" t="s">
        <v>3519</v>
      </c>
      <c r="C160" s="315"/>
      <c r="D160" s="316">
        <v>1</v>
      </c>
      <c r="E160" s="317">
        <v>0</v>
      </c>
      <c r="F160" s="318"/>
    </row>
    <row r="161" spans="1:9" ht="16.5" thickTop="1" thickBot="1">
      <c r="A161" s="329">
        <v>7</v>
      </c>
      <c r="B161" s="330" t="s">
        <v>2827</v>
      </c>
      <c r="C161" s="330"/>
      <c r="D161" s="331"/>
      <c r="E161" s="332">
        <v>0</v>
      </c>
      <c r="F161" s="333">
        <f>D160*F158</f>
        <v>0</v>
      </c>
    </row>
    <row r="164" spans="1:9" ht="21" thickBot="1">
      <c r="A164" s="225" t="s">
        <v>3369</v>
      </c>
      <c r="B164" s="225"/>
      <c r="C164" s="225"/>
      <c r="D164" s="225"/>
      <c r="E164" s="225"/>
      <c r="F164" s="225"/>
      <c r="G164" s="225"/>
      <c r="H164" s="225"/>
      <c r="I164" s="225"/>
    </row>
    <row r="165" spans="1:9" ht="15.75" thickBot="1">
      <c r="A165" s="229" t="s">
        <v>3338</v>
      </c>
      <c r="B165" s="228" t="s">
        <v>3370</v>
      </c>
      <c r="C165" s="229" t="s">
        <v>3371</v>
      </c>
      <c r="D165" s="229" t="s">
        <v>3372</v>
      </c>
      <c r="E165" s="230" t="s">
        <v>3373</v>
      </c>
      <c r="F165" s="230" t="s">
        <v>3520</v>
      </c>
      <c r="G165" s="231" t="s">
        <v>3375</v>
      </c>
      <c r="H165" s="232" t="s">
        <v>3376</v>
      </c>
      <c r="I165" s="376" t="s">
        <v>3377</v>
      </c>
    </row>
    <row r="166" spans="1:9" ht="15.75">
      <c r="A166" s="377"/>
      <c r="B166" s="378" t="s">
        <v>3562</v>
      </c>
      <c r="C166" s="379"/>
      <c r="D166" s="379"/>
      <c r="E166" s="380"/>
      <c r="F166" s="380"/>
      <c r="G166" s="381"/>
      <c r="H166" s="382"/>
      <c r="I166" s="383"/>
    </row>
    <row r="167" spans="1:9">
      <c r="A167" s="241">
        <v>1</v>
      </c>
      <c r="B167" s="242">
        <v>764111</v>
      </c>
      <c r="C167" s="250" t="s">
        <v>3563</v>
      </c>
      <c r="D167" s="250" t="s">
        <v>2833</v>
      </c>
      <c r="E167" s="245">
        <v>1</v>
      </c>
      <c r="F167" s="559"/>
      <c r="G167" s="246">
        <f t="shared" ref="G167:G175" si="10">E167*F167</f>
        <v>0</v>
      </c>
      <c r="H167" s="247">
        <v>0.50600000000000001</v>
      </c>
      <c r="I167" s="248">
        <f t="shared" ref="I167:I175" si="11">E167*H167</f>
        <v>0.50600000000000001</v>
      </c>
    </row>
    <row r="168" spans="1:9">
      <c r="A168" s="241">
        <v>2</v>
      </c>
      <c r="B168" s="242">
        <v>764121</v>
      </c>
      <c r="C168" s="250" t="s">
        <v>3564</v>
      </c>
      <c r="D168" s="250" t="s">
        <v>2833</v>
      </c>
      <c r="E168" s="245">
        <v>1</v>
      </c>
      <c r="F168" s="559"/>
      <c r="G168" s="246">
        <f t="shared" si="10"/>
        <v>0</v>
      </c>
      <c r="H168" s="247">
        <v>0.11600000000000001</v>
      </c>
      <c r="I168" s="248">
        <f t="shared" si="11"/>
        <v>0.11600000000000001</v>
      </c>
    </row>
    <row r="169" spans="1:9">
      <c r="A169" s="241">
        <v>3</v>
      </c>
      <c r="B169" s="242">
        <v>781331</v>
      </c>
      <c r="C169" s="250" t="s">
        <v>3543</v>
      </c>
      <c r="D169" s="250" t="s">
        <v>2833</v>
      </c>
      <c r="E169" s="245">
        <v>1</v>
      </c>
      <c r="F169" s="559"/>
      <c r="G169" s="246">
        <f t="shared" si="10"/>
        <v>0</v>
      </c>
      <c r="H169" s="247">
        <v>0.23200000000000001</v>
      </c>
      <c r="I169" s="248">
        <f t="shared" si="11"/>
        <v>0.23200000000000001</v>
      </c>
    </row>
    <row r="170" spans="1:9">
      <c r="A170" s="241">
        <v>4</v>
      </c>
      <c r="B170" s="242">
        <v>782311</v>
      </c>
      <c r="C170" s="250" t="s">
        <v>3525</v>
      </c>
      <c r="D170" s="250" t="s">
        <v>2019</v>
      </c>
      <c r="E170" s="245">
        <v>1</v>
      </c>
      <c r="F170" s="559"/>
      <c r="G170" s="246">
        <f t="shared" si="10"/>
        <v>0</v>
      </c>
      <c r="H170" s="247">
        <v>0.30599999999999999</v>
      </c>
      <c r="I170" s="248">
        <f t="shared" si="11"/>
        <v>0.30599999999999999</v>
      </c>
    </row>
    <row r="171" spans="1:9">
      <c r="A171" s="241">
        <v>5</v>
      </c>
      <c r="B171" s="242">
        <v>788211</v>
      </c>
      <c r="C171" s="250" t="s">
        <v>3535</v>
      </c>
      <c r="D171" s="250" t="s">
        <v>2398</v>
      </c>
      <c r="E171" s="245">
        <v>0.5</v>
      </c>
      <c r="F171" s="559"/>
      <c r="G171" s="246">
        <f t="shared" si="10"/>
        <v>0</v>
      </c>
      <c r="H171" s="247">
        <v>0.751</v>
      </c>
      <c r="I171" s="248">
        <f t="shared" si="11"/>
        <v>0.3755</v>
      </c>
    </row>
    <row r="172" spans="1:9">
      <c r="A172" s="241">
        <v>6</v>
      </c>
      <c r="B172" s="242">
        <v>788312</v>
      </c>
      <c r="C172" s="250" t="s">
        <v>3565</v>
      </c>
      <c r="D172" s="250" t="s">
        <v>2398</v>
      </c>
      <c r="E172" s="245">
        <v>0.5</v>
      </c>
      <c r="F172" s="559"/>
      <c r="G172" s="246">
        <f t="shared" si="10"/>
        <v>0</v>
      </c>
      <c r="H172" s="247">
        <v>0.751</v>
      </c>
      <c r="I172" s="248">
        <f t="shared" si="11"/>
        <v>0.3755</v>
      </c>
    </row>
    <row r="173" spans="1:9">
      <c r="A173" s="241">
        <v>7</v>
      </c>
      <c r="B173" s="242">
        <v>415142</v>
      </c>
      <c r="C173" s="250" t="s">
        <v>3526</v>
      </c>
      <c r="D173" s="250" t="s">
        <v>2833</v>
      </c>
      <c r="E173" s="245">
        <v>1</v>
      </c>
      <c r="F173" s="559"/>
      <c r="G173" s="246">
        <f t="shared" si="10"/>
        <v>0</v>
      </c>
      <c r="H173" s="247">
        <v>0.34799999999999998</v>
      </c>
      <c r="I173" s="248">
        <f t="shared" si="11"/>
        <v>0.34799999999999998</v>
      </c>
    </row>
    <row r="174" spans="1:9">
      <c r="A174" s="241">
        <v>8</v>
      </c>
      <c r="B174" s="242">
        <v>434121</v>
      </c>
      <c r="C174" s="250" t="s">
        <v>3527</v>
      </c>
      <c r="D174" s="250" t="s">
        <v>2833</v>
      </c>
      <c r="E174" s="245">
        <v>1</v>
      </c>
      <c r="F174" s="559"/>
      <c r="G174" s="246">
        <f t="shared" si="10"/>
        <v>0</v>
      </c>
      <c r="H174" s="247">
        <v>0.19</v>
      </c>
      <c r="I174" s="248">
        <f t="shared" si="11"/>
        <v>0.19</v>
      </c>
    </row>
    <row r="175" spans="1:9" ht="15.75" thickBot="1">
      <c r="A175" s="255">
        <v>9</v>
      </c>
      <c r="B175" s="256">
        <v>438104</v>
      </c>
      <c r="C175" s="286" t="s">
        <v>3529</v>
      </c>
      <c r="D175" s="286" t="s">
        <v>2833</v>
      </c>
      <c r="E175" s="259">
        <v>1</v>
      </c>
      <c r="F175" s="560"/>
      <c r="G175" s="261">
        <f t="shared" si="10"/>
        <v>0</v>
      </c>
      <c r="H175" s="262">
        <v>0.27600000000000002</v>
      </c>
      <c r="I175" s="263">
        <f t="shared" si="11"/>
        <v>0.27600000000000002</v>
      </c>
    </row>
    <row r="176" spans="1:9" ht="15.75" thickBot="1">
      <c r="A176" s="287"/>
      <c r="B176" s="288"/>
      <c r="C176" s="289" t="s">
        <v>3397</v>
      </c>
      <c r="D176" s="289"/>
      <c r="E176" s="290"/>
      <c r="F176" s="290"/>
      <c r="G176" s="291">
        <f>SUM(G167:G175)</f>
        <v>0</v>
      </c>
      <c r="H176" s="292"/>
      <c r="I176" s="293">
        <f>SUM(I167:I175)</f>
        <v>2.7249999999999996</v>
      </c>
    </row>
    <row r="178" spans="1:9" ht="15.75" thickBot="1"/>
    <row r="179" spans="1:9" ht="21" thickBot="1">
      <c r="A179" s="180" t="s">
        <v>3580</v>
      </c>
      <c r="B179" s="181"/>
      <c r="C179" s="181"/>
      <c r="D179" s="306"/>
      <c r="E179" s="307"/>
      <c r="F179" s="308"/>
    </row>
    <row r="180" spans="1:9" ht="15.75" thickBot="1">
      <c r="A180" s="309" t="s">
        <v>3338</v>
      </c>
      <c r="B180" s="310"/>
      <c r="C180" s="310"/>
      <c r="D180" s="311"/>
      <c r="E180" s="312"/>
      <c r="F180" s="313" t="s">
        <v>3340</v>
      </c>
    </row>
    <row r="181" spans="1:9">
      <c r="A181" s="314">
        <v>1</v>
      </c>
      <c r="B181" s="315" t="s">
        <v>3515</v>
      </c>
      <c r="C181" s="315"/>
      <c r="D181" s="316"/>
      <c r="E181" s="317">
        <v>0</v>
      </c>
      <c r="F181" s="318">
        <f>G204</f>
        <v>0</v>
      </c>
    </row>
    <row r="182" spans="1:9" ht="15.75" thickBot="1">
      <c r="A182" s="314">
        <v>2</v>
      </c>
      <c r="B182" s="315" t="s">
        <v>3516</v>
      </c>
      <c r="C182" s="315"/>
      <c r="D182" s="316">
        <v>3</v>
      </c>
      <c r="E182" s="317">
        <f>F181</f>
        <v>0</v>
      </c>
      <c r="F182" s="318">
        <f>D182*E182/100</f>
        <v>0</v>
      </c>
    </row>
    <row r="183" spans="1:9">
      <c r="A183" s="319">
        <v>3</v>
      </c>
      <c r="B183" s="320" t="s">
        <v>2825</v>
      </c>
      <c r="C183" s="320"/>
      <c r="D183" s="321"/>
      <c r="E183" s="322">
        <v>0</v>
      </c>
      <c r="F183" s="323">
        <f>F181+F182</f>
        <v>0</v>
      </c>
    </row>
    <row r="184" spans="1:9">
      <c r="A184" s="324"/>
      <c r="B184" s="325"/>
      <c r="C184" s="325"/>
      <c r="D184" s="326"/>
      <c r="E184" s="327"/>
      <c r="F184" s="328"/>
    </row>
    <row r="185" spans="1:9" ht="15.75" thickBot="1">
      <c r="A185" s="314">
        <v>4</v>
      </c>
      <c r="B185" s="315" t="s">
        <v>3517</v>
      </c>
      <c r="C185" s="315"/>
      <c r="D185" s="316">
        <v>4.03</v>
      </c>
      <c r="E185" s="562"/>
      <c r="F185" s="318">
        <f>D185*E185</f>
        <v>0</v>
      </c>
    </row>
    <row r="186" spans="1:9">
      <c r="A186" s="319">
        <v>5</v>
      </c>
      <c r="B186" s="320" t="s">
        <v>3518</v>
      </c>
      <c r="C186" s="320"/>
      <c r="D186" s="321"/>
      <c r="E186" s="322">
        <v>0</v>
      </c>
      <c r="F186" s="323">
        <f>F183+F185</f>
        <v>0</v>
      </c>
    </row>
    <row r="187" spans="1:9">
      <c r="A187" s="324"/>
      <c r="B187" s="325"/>
      <c r="C187" s="325"/>
      <c r="D187" s="326"/>
      <c r="E187" s="327"/>
      <c r="F187" s="328"/>
    </row>
    <row r="188" spans="1:9" ht="15.75" thickBot="1">
      <c r="A188" s="314">
        <v>6</v>
      </c>
      <c r="B188" s="315" t="s">
        <v>3519</v>
      </c>
      <c r="C188" s="315"/>
      <c r="D188" s="316">
        <v>1</v>
      </c>
      <c r="E188" s="317">
        <v>0</v>
      </c>
      <c r="F188" s="318"/>
    </row>
    <row r="189" spans="1:9" ht="16.5" thickTop="1" thickBot="1">
      <c r="A189" s="329">
        <v>7</v>
      </c>
      <c r="B189" s="330" t="s">
        <v>2827</v>
      </c>
      <c r="C189" s="330"/>
      <c r="D189" s="331"/>
      <c r="E189" s="332">
        <v>0</v>
      </c>
      <c r="F189" s="333">
        <f>D188*F186</f>
        <v>0</v>
      </c>
    </row>
    <row r="191" spans="1:9" ht="21" thickBot="1">
      <c r="A191" s="225" t="s">
        <v>3369</v>
      </c>
      <c r="B191" s="225"/>
      <c r="C191" s="225"/>
      <c r="D191" s="225"/>
      <c r="E191" s="225"/>
      <c r="F191" s="225"/>
      <c r="G191" s="225"/>
      <c r="H191" s="225"/>
      <c r="I191" s="225"/>
    </row>
    <row r="192" spans="1:9" ht="15.75" thickBot="1">
      <c r="A192" s="229" t="s">
        <v>3338</v>
      </c>
      <c r="B192" s="228" t="s">
        <v>3370</v>
      </c>
      <c r="C192" s="229" t="s">
        <v>3371</v>
      </c>
      <c r="D192" s="229" t="s">
        <v>3372</v>
      </c>
      <c r="E192" s="230" t="s">
        <v>3373</v>
      </c>
      <c r="F192" s="230" t="s">
        <v>3520</v>
      </c>
      <c r="G192" s="231" t="s">
        <v>3375</v>
      </c>
      <c r="H192" s="232" t="s">
        <v>3376</v>
      </c>
      <c r="I192" s="376" t="s">
        <v>3377</v>
      </c>
    </row>
    <row r="193" spans="1:9" ht="15.75">
      <c r="A193" s="377"/>
      <c r="B193" s="378" t="s">
        <v>3566</v>
      </c>
      <c r="C193" s="379"/>
      <c r="D193" s="379"/>
      <c r="E193" s="380"/>
      <c r="F193" s="380"/>
      <c r="G193" s="381"/>
      <c r="H193" s="382"/>
      <c r="I193" s="383"/>
    </row>
    <row r="194" spans="1:9">
      <c r="A194" s="241">
        <v>1</v>
      </c>
      <c r="B194" s="242">
        <v>764112</v>
      </c>
      <c r="C194" s="250" t="s">
        <v>3522</v>
      </c>
      <c r="D194" s="250" t="s">
        <v>2833</v>
      </c>
      <c r="E194" s="245">
        <v>1</v>
      </c>
      <c r="F194" s="559"/>
      <c r="G194" s="246">
        <f t="shared" ref="G194:G203" si="12">E194*F194</f>
        <v>0</v>
      </c>
      <c r="H194" s="247">
        <v>0.50600000000000001</v>
      </c>
      <c r="I194" s="248">
        <f t="shared" ref="I194:I203" si="13">E194*H194</f>
        <v>0.50600000000000001</v>
      </c>
    </row>
    <row r="195" spans="1:9">
      <c r="A195" s="241">
        <v>2</v>
      </c>
      <c r="B195" s="242">
        <v>764122</v>
      </c>
      <c r="C195" s="250" t="s">
        <v>3567</v>
      </c>
      <c r="D195" s="250" t="s">
        <v>2833</v>
      </c>
      <c r="E195" s="245">
        <v>1</v>
      </c>
      <c r="F195" s="559"/>
      <c r="G195" s="246">
        <f t="shared" si="12"/>
        <v>0</v>
      </c>
      <c r="H195" s="247">
        <v>0.11600000000000001</v>
      </c>
      <c r="I195" s="248">
        <f t="shared" si="13"/>
        <v>0.11600000000000001</v>
      </c>
    </row>
    <row r="196" spans="1:9">
      <c r="A196" s="241">
        <v>3</v>
      </c>
      <c r="B196" s="242">
        <v>781331</v>
      </c>
      <c r="C196" s="250" t="s">
        <v>3543</v>
      </c>
      <c r="D196" s="250" t="s">
        <v>2833</v>
      </c>
      <c r="E196" s="245">
        <v>2</v>
      </c>
      <c r="F196" s="559"/>
      <c r="G196" s="246">
        <f t="shared" si="12"/>
        <v>0</v>
      </c>
      <c r="H196" s="247">
        <v>0.23200000000000001</v>
      </c>
      <c r="I196" s="248">
        <f t="shared" si="13"/>
        <v>0.46400000000000002</v>
      </c>
    </row>
    <row r="197" spans="1:9">
      <c r="A197" s="241">
        <v>4</v>
      </c>
      <c r="B197" s="242">
        <v>782311</v>
      </c>
      <c r="C197" s="250" t="s">
        <v>3525</v>
      </c>
      <c r="D197" s="250" t="s">
        <v>2019</v>
      </c>
      <c r="E197" s="245">
        <v>1</v>
      </c>
      <c r="F197" s="559"/>
      <c r="G197" s="246">
        <f t="shared" si="12"/>
        <v>0</v>
      </c>
      <c r="H197" s="247">
        <v>0.30599999999999999</v>
      </c>
      <c r="I197" s="248">
        <f t="shared" si="13"/>
        <v>0.30599999999999999</v>
      </c>
    </row>
    <row r="198" spans="1:9">
      <c r="A198" s="241">
        <v>5</v>
      </c>
      <c r="B198" s="242">
        <v>788211</v>
      </c>
      <c r="C198" s="250" t="s">
        <v>3535</v>
      </c>
      <c r="D198" s="250" t="s">
        <v>2398</v>
      </c>
      <c r="E198" s="245">
        <v>0.5</v>
      </c>
      <c r="F198" s="559"/>
      <c r="G198" s="246">
        <f t="shared" si="12"/>
        <v>0</v>
      </c>
      <c r="H198" s="247">
        <v>0.751</v>
      </c>
      <c r="I198" s="248">
        <f t="shared" si="13"/>
        <v>0.3755</v>
      </c>
    </row>
    <row r="199" spans="1:9">
      <c r="A199" s="241">
        <v>6</v>
      </c>
      <c r="B199" s="242">
        <v>788312</v>
      </c>
      <c r="C199" s="250" t="s">
        <v>3565</v>
      </c>
      <c r="D199" s="250" t="s">
        <v>2398</v>
      </c>
      <c r="E199" s="245">
        <v>0.5</v>
      </c>
      <c r="F199" s="559"/>
      <c r="G199" s="246">
        <f t="shared" si="12"/>
        <v>0</v>
      </c>
      <c r="H199" s="247">
        <v>0.751</v>
      </c>
      <c r="I199" s="248">
        <f t="shared" si="13"/>
        <v>0.3755</v>
      </c>
    </row>
    <row r="200" spans="1:9">
      <c r="A200" s="241">
        <v>7</v>
      </c>
      <c r="B200" s="242">
        <v>415143</v>
      </c>
      <c r="C200" s="250" t="s">
        <v>3568</v>
      </c>
      <c r="D200" s="250" t="s">
        <v>2833</v>
      </c>
      <c r="E200" s="245">
        <v>1</v>
      </c>
      <c r="F200" s="559"/>
      <c r="G200" s="246">
        <f t="shared" si="12"/>
        <v>0</v>
      </c>
      <c r="H200" s="247">
        <v>0.57699999999999996</v>
      </c>
      <c r="I200" s="248">
        <f t="shared" si="13"/>
        <v>0.57699999999999996</v>
      </c>
    </row>
    <row r="201" spans="1:9">
      <c r="A201" s="241">
        <v>8</v>
      </c>
      <c r="B201" s="242">
        <v>434120</v>
      </c>
      <c r="C201" s="250" t="s">
        <v>3553</v>
      </c>
      <c r="D201" s="250" t="s">
        <v>2833</v>
      </c>
      <c r="E201" s="245">
        <v>2</v>
      </c>
      <c r="F201" s="559"/>
      <c r="G201" s="246">
        <f t="shared" si="12"/>
        <v>0</v>
      </c>
      <c r="H201" s="247">
        <v>0.19</v>
      </c>
      <c r="I201" s="248">
        <f t="shared" si="13"/>
        <v>0.38</v>
      </c>
    </row>
    <row r="202" spans="1:9">
      <c r="A202" s="241">
        <v>9</v>
      </c>
      <c r="B202" s="242">
        <v>434134</v>
      </c>
      <c r="C202" s="250" t="s">
        <v>3528</v>
      </c>
      <c r="D202" s="250" t="s">
        <v>2833</v>
      </c>
      <c r="E202" s="245">
        <v>3</v>
      </c>
      <c r="F202" s="559"/>
      <c r="G202" s="246">
        <f t="shared" si="12"/>
        <v>0</v>
      </c>
      <c r="H202" s="247">
        <v>0.19</v>
      </c>
      <c r="I202" s="248">
        <f t="shared" si="13"/>
        <v>0.57000000000000006</v>
      </c>
    </row>
    <row r="203" spans="1:9" ht="15.75" thickBot="1">
      <c r="A203" s="255">
        <v>10</v>
      </c>
      <c r="B203" s="256">
        <v>435203</v>
      </c>
      <c r="C203" s="286" t="s">
        <v>3569</v>
      </c>
      <c r="D203" s="286" t="s">
        <v>2833</v>
      </c>
      <c r="E203" s="259">
        <v>1</v>
      </c>
      <c r="F203" s="560"/>
      <c r="G203" s="261">
        <f t="shared" si="12"/>
        <v>0</v>
      </c>
      <c r="H203" s="262">
        <v>0.34799999999999998</v>
      </c>
      <c r="I203" s="263">
        <f t="shared" si="13"/>
        <v>0.34799999999999998</v>
      </c>
    </row>
    <row r="204" spans="1:9" ht="15.75" thickBot="1">
      <c r="A204" s="287"/>
      <c r="B204" s="288"/>
      <c r="C204" s="289" t="s">
        <v>3397</v>
      </c>
      <c r="D204" s="289"/>
      <c r="E204" s="290"/>
      <c r="F204" s="290"/>
      <c r="G204" s="291">
        <f>SUM(G194:G203)</f>
        <v>0</v>
      </c>
      <c r="H204" s="292"/>
      <c r="I204" s="293">
        <f>SUM(I194:I203)</f>
        <v>4.0179999999999998</v>
      </c>
    </row>
    <row r="206" spans="1:9" ht="15.75" thickBot="1"/>
    <row r="207" spans="1:9" ht="21" thickBot="1">
      <c r="A207" s="180" t="s">
        <v>3581</v>
      </c>
      <c r="B207" s="181"/>
      <c r="C207" s="181"/>
      <c r="D207" s="306"/>
      <c r="E207" s="307"/>
      <c r="F207" s="308"/>
    </row>
    <row r="208" spans="1:9" ht="15.75" thickBot="1">
      <c r="A208" s="309" t="s">
        <v>3338</v>
      </c>
      <c r="B208" s="310"/>
      <c r="C208" s="310"/>
      <c r="D208" s="311"/>
      <c r="E208" s="312"/>
      <c r="F208" s="313" t="s">
        <v>3340</v>
      </c>
    </row>
    <row r="209" spans="1:9">
      <c r="A209" s="314">
        <v>1</v>
      </c>
      <c r="B209" s="315" t="s">
        <v>3515</v>
      </c>
      <c r="C209" s="315"/>
      <c r="D209" s="316"/>
      <c r="E209" s="317">
        <v>0</v>
      </c>
      <c r="F209" s="318">
        <f>G235</f>
        <v>0</v>
      </c>
    </row>
    <row r="210" spans="1:9" ht="15.75" thickBot="1">
      <c r="A210" s="314">
        <v>2</v>
      </c>
      <c r="B210" s="315" t="s">
        <v>3516</v>
      </c>
      <c r="C210" s="315"/>
      <c r="D210" s="316">
        <v>3</v>
      </c>
      <c r="E210" s="317">
        <f>F209</f>
        <v>0</v>
      </c>
      <c r="F210" s="318">
        <f>D210*E210/100</f>
        <v>0</v>
      </c>
    </row>
    <row r="211" spans="1:9">
      <c r="A211" s="319">
        <v>3</v>
      </c>
      <c r="B211" s="320" t="s">
        <v>2825</v>
      </c>
      <c r="C211" s="320"/>
      <c r="D211" s="321"/>
      <c r="E211" s="322">
        <v>0</v>
      </c>
      <c r="F211" s="323">
        <f>F209+F210</f>
        <v>0</v>
      </c>
    </row>
    <row r="212" spans="1:9">
      <c r="A212" s="324"/>
      <c r="B212" s="325"/>
      <c r="C212" s="325"/>
      <c r="D212" s="326"/>
      <c r="E212" s="327"/>
      <c r="F212" s="328"/>
    </row>
    <row r="213" spans="1:9" ht="15.75" thickBot="1">
      <c r="A213" s="314">
        <v>4</v>
      </c>
      <c r="B213" s="315" t="s">
        <v>3517</v>
      </c>
      <c r="C213" s="315"/>
      <c r="D213" s="316">
        <v>4.9000000000000004</v>
      </c>
      <c r="E213" s="562"/>
      <c r="F213" s="318">
        <f>D213*E213</f>
        <v>0</v>
      </c>
    </row>
    <row r="214" spans="1:9">
      <c r="A214" s="319">
        <v>5</v>
      </c>
      <c r="B214" s="320" t="s">
        <v>3518</v>
      </c>
      <c r="C214" s="320"/>
      <c r="D214" s="321"/>
      <c r="E214" s="322">
        <v>0</v>
      </c>
      <c r="F214" s="323">
        <f>F211+F213</f>
        <v>0</v>
      </c>
    </row>
    <row r="215" spans="1:9">
      <c r="A215" s="324"/>
      <c r="B215" s="325"/>
      <c r="C215" s="325"/>
      <c r="D215" s="326"/>
      <c r="E215" s="327"/>
      <c r="F215" s="328"/>
    </row>
    <row r="216" spans="1:9" ht="15.75" thickBot="1">
      <c r="A216" s="314">
        <v>6</v>
      </c>
      <c r="B216" s="315" t="s">
        <v>3519</v>
      </c>
      <c r="C216" s="315"/>
      <c r="D216" s="316">
        <v>1</v>
      </c>
      <c r="E216" s="317">
        <v>0</v>
      </c>
      <c r="F216" s="318"/>
    </row>
    <row r="217" spans="1:9" ht="16.5" thickTop="1" thickBot="1">
      <c r="A217" s="329">
        <v>7</v>
      </c>
      <c r="B217" s="330" t="s">
        <v>2827</v>
      </c>
      <c r="C217" s="330"/>
      <c r="D217" s="331"/>
      <c r="E217" s="332">
        <v>0</v>
      </c>
      <c r="F217" s="333">
        <f>D216*F214</f>
        <v>0</v>
      </c>
    </row>
    <row r="219" spans="1:9" ht="21" thickBot="1">
      <c r="A219" s="225" t="s">
        <v>3369</v>
      </c>
      <c r="B219" s="225"/>
      <c r="C219" s="225"/>
      <c r="D219" s="225"/>
      <c r="E219" s="225"/>
      <c r="F219" s="225"/>
      <c r="G219" s="225"/>
      <c r="H219" s="225"/>
      <c r="I219" s="225"/>
    </row>
    <row r="220" spans="1:9" ht="15.75" thickBot="1">
      <c r="A220" s="229" t="s">
        <v>3338</v>
      </c>
      <c r="B220" s="228" t="s">
        <v>3370</v>
      </c>
      <c r="C220" s="229" t="s">
        <v>3371</v>
      </c>
      <c r="D220" s="229" t="s">
        <v>3372</v>
      </c>
      <c r="E220" s="230" t="s">
        <v>3373</v>
      </c>
      <c r="F220" s="230" t="s">
        <v>3520</v>
      </c>
      <c r="G220" s="231" t="s">
        <v>3375</v>
      </c>
      <c r="H220" s="232" t="s">
        <v>3376</v>
      </c>
      <c r="I220" s="376" t="s">
        <v>3377</v>
      </c>
    </row>
    <row r="221" spans="1:9" ht="15.75">
      <c r="A221" s="377"/>
      <c r="B221" s="378" t="s">
        <v>3570</v>
      </c>
      <c r="C221" s="379"/>
      <c r="D221" s="379"/>
      <c r="E221" s="380"/>
      <c r="F221" s="380"/>
      <c r="G221" s="381"/>
      <c r="H221" s="382"/>
      <c r="I221" s="383"/>
    </row>
    <row r="222" spans="1:9">
      <c r="A222" s="241">
        <v>1</v>
      </c>
      <c r="B222" s="242">
        <v>764113</v>
      </c>
      <c r="C222" s="250" t="s">
        <v>3559</v>
      </c>
      <c r="D222" s="250" t="s">
        <v>2833</v>
      </c>
      <c r="E222" s="245">
        <v>1</v>
      </c>
      <c r="F222" s="559"/>
      <c r="G222" s="246">
        <f t="shared" ref="G222:G234" si="14">E222*F222</f>
        <v>0</v>
      </c>
      <c r="H222" s="247">
        <v>0.50600000000000001</v>
      </c>
      <c r="I222" s="248">
        <f t="shared" ref="I222:I234" si="15">E222*H222</f>
        <v>0.50600000000000001</v>
      </c>
    </row>
    <row r="223" spans="1:9">
      <c r="A223" s="241">
        <v>2</v>
      </c>
      <c r="B223" s="242">
        <v>764123</v>
      </c>
      <c r="C223" s="250" t="s">
        <v>3560</v>
      </c>
      <c r="D223" s="250" t="s">
        <v>2833</v>
      </c>
      <c r="E223" s="245">
        <v>1</v>
      </c>
      <c r="F223" s="559"/>
      <c r="G223" s="246">
        <f t="shared" si="14"/>
        <v>0</v>
      </c>
      <c r="H223" s="247">
        <v>0.11600000000000001</v>
      </c>
      <c r="I223" s="248">
        <f t="shared" si="15"/>
        <v>0.11600000000000001</v>
      </c>
    </row>
    <row r="224" spans="1:9">
      <c r="A224" s="241">
        <v>3</v>
      </c>
      <c r="B224" s="242">
        <v>781331</v>
      </c>
      <c r="C224" s="250" t="s">
        <v>3543</v>
      </c>
      <c r="D224" s="250" t="s">
        <v>2833</v>
      </c>
      <c r="E224" s="245">
        <v>2</v>
      </c>
      <c r="F224" s="559"/>
      <c r="G224" s="246">
        <f t="shared" si="14"/>
        <v>0</v>
      </c>
      <c r="H224" s="247">
        <v>0.23200000000000001</v>
      </c>
      <c r="I224" s="248">
        <f t="shared" si="15"/>
        <v>0.46400000000000002</v>
      </c>
    </row>
    <row r="225" spans="1:9">
      <c r="A225" s="241">
        <v>4</v>
      </c>
      <c r="B225" s="242">
        <v>782311</v>
      </c>
      <c r="C225" s="250" t="s">
        <v>3525</v>
      </c>
      <c r="D225" s="250" t="s">
        <v>2019</v>
      </c>
      <c r="E225" s="245">
        <v>1</v>
      </c>
      <c r="F225" s="559"/>
      <c r="G225" s="246">
        <f t="shared" si="14"/>
        <v>0</v>
      </c>
      <c r="H225" s="247">
        <v>0.30599999999999999</v>
      </c>
      <c r="I225" s="248">
        <f t="shared" si="15"/>
        <v>0.30599999999999999</v>
      </c>
    </row>
    <row r="226" spans="1:9">
      <c r="A226" s="241">
        <v>5</v>
      </c>
      <c r="B226" s="242">
        <v>788211</v>
      </c>
      <c r="C226" s="250" t="s">
        <v>3535</v>
      </c>
      <c r="D226" s="250" t="s">
        <v>2398</v>
      </c>
      <c r="E226" s="245">
        <v>0.5</v>
      </c>
      <c r="F226" s="559"/>
      <c r="G226" s="246">
        <f t="shared" si="14"/>
        <v>0</v>
      </c>
      <c r="H226" s="247">
        <v>0.751</v>
      </c>
      <c r="I226" s="248">
        <f t="shared" si="15"/>
        <v>0.3755</v>
      </c>
    </row>
    <row r="227" spans="1:9">
      <c r="A227" s="241">
        <v>6</v>
      </c>
      <c r="B227" s="242">
        <v>788312</v>
      </c>
      <c r="C227" s="250" t="s">
        <v>3565</v>
      </c>
      <c r="D227" s="250" t="s">
        <v>2398</v>
      </c>
      <c r="E227" s="245">
        <v>0.5</v>
      </c>
      <c r="F227" s="559"/>
      <c r="G227" s="246">
        <f t="shared" si="14"/>
        <v>0</v>
      </c>
      <c r="H227" s="247">
        <v>0.751</v>
      </c>
      <c r="I227" s="248">
        <f t="shared" si="15"/>
        <v>0.3755</v>
      </c>
    </row>
    <row r="228" spans="1:9">
      <c r="A228" s="241">
        <v>7</v>
      </c>
      <c r="B228" s="242">
        <v>415145</v>
      </c>
      <c r="C228" s="250" t="s">
        <v>3544</v>
      </c>
      <c r="D228" s="250" t="s">
        <v>2833</v>
      </c>
      <c r="E228" s="245">
        <v>1</v>
      </c>
      <c r="F228" s="559"/>
      <c r="G228" s="246">
        <f t="shared" si="14"/>
        <v>0</v>
      </c>
      <c r="H228" s="247">
        <v>0.57699999999999996</v>
      </c>
      <c r="I228" s="248">
        <f t="shared" si="15"/>
        <v>0.57699999999999996</v>
      </c>
    </row>
    <row r="229" spans="1:9">
      <c r="A229" s="241">
        <v>8</v>
      </c>
      <c r="B229" s="242">
        <v>434121</v>
      </c>
      <c r="C229" s="250" t="s">
        <v>3527</v>
      </c>
      <c r="D229" s="250" t="s">
        <v>2833</v>
      </c>
      <c r="E229" s="245">
        <v>1</v>
      </c>
      <c r="F229" s="559"/>
      <c r="G229" s="246">
        <f t="shared" si="14"/>
        <v>0</v>
      </c>
      <c r="H229" s="247">
        <v>0.19</v>
      </c>
      <c r="I229" s="248">
        <f t="shared" si="15"/>
        <v>0.19</v>
      </c>
    </row>
    <row r="230" spans="1:9">
      <c r="A230" s="241">
        <v>9</v>
      </c>
      <c r="B230" s="242">
        <v>434134</v>
      </c>
      <c r="C230" s="250" t="s">
        <v>3528</v>
      </c>
      <c r="D230" s="250" t="s">
        <v>2833</v>
      </c>
      <c r="E230" s="245">
        <v>1</v>
      </c>
      <c r="F230" s="559"/>
      <c r="G230" s="246">
        <f t="shared" si="14"/>
        <v>0</v>
      </c>
      <c r="H230" s="247">
        <v>0.19</v>
      </c>
      <c r="I230" s="248">
        <f t="shared" si="15"/>
        <v>0.19</v>
      </c>
    </row>
    <row r="231" spans="1:9">
      <c r="A231" s="241">
        <v>10</v>
      </c>
      <c r="B231" s="242">
        <v>435204</v>
      </c>
      <c r="C231" s="250" t="s">
        <v>3571</v>
      </c>
      <c r="D231" s="250" t="s">
        <v>2833</v>
      </c>
      <c r="E231" s="245">
        <v>1</v>
      </c>
      <c r="F231" s="559"/>
      <c r="G231" s="246">
        <f t="shared" si="14"/>
        <v>0</v>
      </c>
      <c r="H231" s="247">
        <v>0.34799999999999998</v>
      </c>
      <c r="I231" s="248">
        <f t="shared" si="15"/>
        <v>0.34799999999999998</v>
      </c>
    </row>
    <row r="232" spans="1:9">
      <c r="A232" s="241">
        <v>11</v>
      </c>
      <c r="B232" s="242">
        <v>435206</v>
      </c>
      <c r="C232" s="250" t="s">
        <v>3572</v>
      </c>
      <c r="D232" s="250" t="s">
        <v>2833</v>
      </c>
      <c r="E232" s="245">
        <v>1</v>
      </c>
      <c r="F232" s="559"/>
      <c r="G232" s="246">
        <f t="shared" si="14"/>
        <v>0</v>
      </c>
      <c r="H232" s="247">
        <v>0.57699999999999996</v>
      </c>
      <c r="I232" s="248">
        <f t="shared" si="15"/>
        <v>0.57699999999999996</v>
      </c>
    </row>
    <row r="233" spans="1:9">
      <c r="A233" s="241">
        <v>12</v>
      </c>
      <c r="B233" s="242">
        <v>435207</v>
      </c>
      <c r="C233" s="250" t="s">
        <v>3573</v>
      </c>
      <c r="D233" s="250" t="s">
        <v>2833</v>
      </c>
      <c r="E233" s="245">
        <v>1</v>
      </c>
      <c r="F233" s="559"/>
      <c r="G233" s="246">
        <f t="shared" si="14"/>
        <v>0</v>
      </c>
      <c r="H233" s="247">
        <v>0.57699999999999996</v>
      </c>
      <c r="I233" s="248">
        <f t="shared" si="15"/>
        <v>0.57699999999999996</v>
      </c>
    </row>
    <row r="234" spans="1:9" ht="15.75" thickBot="1">
      <c r="A234" s="255">
        <v>13</v>
      </c>
      <c r="B234" s="256">
        <v>438104</v>
      </c>
      <c r="C234" s="286" t="s">
        <v>3529</v>
      </c>
      <c r="D234" s="286" t="s">
        <v>2833</v>
      </c>
      <c r="E234" s="259">
        <v>1</v>
      </c>
      <c r="F234" s="560"/>
      <c r="G234" s="261">
        <f t="shared" si="14"/>
        <v>0</v>
      </c>
      <c r="H234" s="262">
        <v>0.27600000000000002</v>
      </c>
      <c r="I234" s="263">
        <f t="shared" si="15"/>
        <v>0.27600000000000002</v>
      </c>
    </row>
    <row r="235" spans="1:9" ht="15.75" thickBot="1">
      <c r="A235" s="287"/>
      <c r="B235" s="288"/>
      <c r="C235" s="289" t="s">
        <v>3397</v>
      </c>
      <c r="D235" s="289"/>
      <c r="E235" s="290"/>
      <c r="F235" s="290"/>
      <c r="G235" s="291">
        <f>SUM(G222:G234)</f>
        <v>0</v>
      </c>
      <c r="H235" s="292"/>
      <c r="I235" s="293">
        <f>SUM(I222:I234)</f>
        <v>4.8780000000000001</v>
      </c>
    </row>
    <row r="238" spans="1:9" ht="15.75" thickBot="1">
      <c r="A238" s="301"/>
      <c r="B238" s="302"/>
      <c r="C238" s="303"/>
      <c r="D238" s="300"/>
      <c r="E238" s="304"/>
      <c r="F238" s="305"/>
    </row>
    <row r="239" spans="1:9" ht="21" thickBot="1">
      <c r="A239" s="180" t="s">
        <v>3582</v>
      </c>
      <c r="B239" s="181"/>
      <c r="C239" s="181"/>
      <c r="D239" s="306"/>
      <c r="E239" s="307"/>
      <c r="F239" s="308"/>
    </row>
    <row r="240" spans="1:9" ht="15.75" thickBot="1">
      <c r="A240" s="309" t="s">
        <v>3338</v>
      </c>
      <c r="B240" s="310"/>
      <c r="C240" s="310"/>
      <c r="D240" s="311"/>
      <c r="E240" s="312"/>
      <c r="F240" s="313" t="s">
        <v>3340</v>
      </c>
    </row>
    <row r="241" spans="1:9">
      <c r="A241" s="314">
        <v>1</v>
      </c>
      <c r="B241" s="315" t="s">
        <v>3515</v>
      </c>
      <c r="C241" s="315"/>
      <c r="D241" s="316"/>
      <c r="E241" s="317">
        <v>0</v>
      </c>
      <c r="F241" s="318">
        <f>G264</f>
        <v>0</v>
      </c>
    </row>
    <row r="242" spans="1:9" ht="15.75" thickBot="1">
      <c r="A242" s="314">
        <v>2</v>
      </c>
      <c r="B242" s="315" t="s">
        <v>3516</v>
      </c>
      <c r="C242" s="315"/>
      <c r="D242" s="316">
        <v>3</v>
      </c>
      <c r="E242" s="317">
        <f>F241</f>
        <v>0</v>
      </c>
      <c r="F242" s="318">
        <f>D242*E242/100</f>
        <v>0</v>
      </c>
    </row>
    <row r="243" spans="1:9">
      <c r="A243" s="319">
        <v>3</v>
      </c>
      <c r="B243" s="320" t="s">
        <v>2825</v>
      </c>
      <c r="C243" s="320"/>
      <c r="D243" s="321"/>
      <c r="E243" s="322">
        <v>0</v>
      </c>
      <c r="F243" s="323">
        <f>F241+F242</f>
        <v>0</v>
      </c>
    </row>
    <row r="244" spans="1:9">
      <c r="A244" s="324"/>
      <c r="B244" s="325"/>
      <c r="C244" s="325"/>
      <c r="D244" s="326"/>
      <c r="E244" s="327"/>
      <c r="F244" s="328"/>
    </row>
    <row r="245" spans="1:9" ht="15.75" thickBot="1">
      <c r="A245" s="314">
        <v>4</v>
      </c>
      <c r="B245" s="315" t="s">
        <v>3517</v>
      </c>
      <c r="C245" s="315"/>
      <c r="D245" s="316">
        <v>6.53</v>
      </c>
      <c r="E245" s="562"/>
      <c r="F245" s="318">
        <f>D245*E245</f>
        <v>0</v>
      </c>
    </row>
    <row r="246" spans="1:9">
      <c r="A246" s="319">
        <v>5</v>
      </c>
      <c r="B246" s="320" t="s">
        <v>3518</v>
      </c>
      <c r="C246" s="320"/>
      <c r="D246" s="321"/>
      <c r="E246" s="322">
        <v>0</v>
      </c>
      <c r="F246" s="323">
        <f>F243+F245</f>
        <v>0</v>
      </c>
    </row>
    <row r="247" spans="1:9">
      <c r="A247" s="324"/>
      <c r="B247" s="325"/>
      <c r="C247" s="325"/>
      <c r="D247" s="326"/>
      <c r="E247" s="327"/>
      <c r="F247" s="328"/>
    </row>
    <row r="248" spans="1:9" ht="15.75" thickBot="1">
      <c r="A248" s="314">
        <v>6</v>
      </c>
      <c r="B248" s="315" t="s">
        <v>3519</v>
      </c>
      <c r="C248" s="315"/>
      <c r="D248" s="316">
        <v>1</v>
      </c>
      <c r="E248" s="317">
        <v>0</v>
      </c>
      <c r="F248" s="318"/>
    </row>
    <row r="249" spans="1:9" ht="16.5" thickTop="1" thickBot="1">
      <c r="A249" s="329">
        <v>7</v>
      </c>
      <c r="B249" s="330" t="s">
        <v>2827</v>
      </c>
      <c r="C249" s="330"/>
      <c r="D249" s="331"/>
      <c r="E249" s="332">
        <v>0</v>
      </c>
      <c r="F249" s="333">
        <f>D248*F246</f>
        <v>0</v>
      </c>
    </row>
    <row r="251" spans="1:9" ht="21" thickBot="1">
      <c r="A251" s="225" t="s">
        <v>3369</v>
      </c>
      <c r="B251" s="225"/>
      <c r="C251" s="225"/>
      <c r="D251" s="225"/>
      <c r="E251" s="225"/>
      <c r="F251" s="225"/>
      <c r="G251" s="225"/>
      <c r="H251" s="225"/>
      <c r="I251" s="225"/>
    </row>
    <row r="252" spans="1:9" ht="15.75" thickBot="1">
      <c r="A252" s="229" t="s">
        <v>3338</v>
      </c>
      <c r="B252" s="228" t="s">
        <v>3370</v>
      </c>
      <c r="C252" s="229" t="s">
        <v>3371</v>
      </c>
      <c r="D252" s="229" t="s">
        <v>3372</v>
      </c>
      <c r="E252" s="230" t="s">
        <v>3373</v>
      </c>
      <c r="F252" s="230" t="s">
        <v>3520</v>
      </c>
      <c r="G252" s="231" t="s">
        <v>3375</v>
      </c>
      <c r="H252" s="232" t="s">
        <v>3376</v>
      </c>
      <c r="I252" s="376" t="s">
        <v>3377</v>
      </c>
    </row>
    <row r="253" spans="1:9" ht="15.75">
      <c r="A253" s="377"/>
      <c r="B253" s="378" t="s">
        <v>3583</v>
      </c>
      <c r="C253" s="379"/>
      <c r="D253" s="379"/>
      <c r="E253" s="380"/>
      <c r="F253" s="380"/>
      <c r="G253" s="381"/>
      <c r="H253" s="382"/>
      <c r="I253" s="383"/>
    </row>
    <row r="254" spans="1:9">
      <c r="A254" s="241">
        <v>1</v>
      </c>
      <c r="B254" s="242">
        <v>764410</v>
      </c>
      <c r="C254" s="250" t="s">
        <v>3584</v>
      </c>
      <c r="D254" s="250" t="s">
        <v>2833</v>
      </c>
      <c r="E254" s="245">
        <v>1</v>
      </c>
      <c r="F254" s="559"/>
      <c r="G254" s="246">
        <f t="shared" ref="G254:G263" si="16">E254*F254</f>
        <v>0</v>
      </c>
      <c r="H254" s="247">
        <v>0.50600000000000001</v>
      </c>
      <c r="I254" s="248">
        <f t="shared" ref="I254:I263" si="17">E254*H254</f>
        <v>0.50600000000000001</v>
      </c>
    </row>
    <row r="255" spans="1:9">
      <c r="A255" s="241">
        <v>2</v>
      </c>
      <c r="B255" s="242">
        <v>781331</v>
      </c>
      <c r="C255" s="250" t="s">
        <v>3543</v>
      </c>
      <c r="D255" s="250" t="s">
        <v>2833</v>
      </c>
      <c r="E255" s="245">
        <v>3</v>
      </c>
      <c r="F255" s="559"/>
      <c r="G255" s="246">
        <f t="shared" si="16"/>
        <v>0</v>
      </c>
      <c r="H255" s="247">
        <v>0.23200000000000001</v>
      </c>
      <c r="I255" s="248">
        <f t="shared" si="17"/>
        <v>0.69600000000000006</v>
      </c>
    </row>
    <row r="256" spans="1:9">
      <c r="A256" s="241">
        <v>3</v>
      </c>
      <c r="B256" s="242">
        <v>782311</v>
      </c>
      <c r="C256" s="250" t="s">
        <v>3525</v>
      </c>
      <c r="D256" s="250" t="s">
        <v>2019</v>
      </c>
      <c r="E256" s="245">
        <v>1</v>
      </c>
      <c r="F256" s="559"/>
      <c r="G256" s="246">
        <f t="shared" si="16"/>
        <v>0</v>
      </c>
      <c r="H256" s="247">
        <v>0.30599999999999999</v>
      </c>
      <c r="I256" s="248">
        <f t="shared" si="17"/>
        <v>0.30599999999999999</v>
      </c>
    </row>
    <row r="257" spans="1:9">
      <c r="A257" s="241">
        <v>4</v>
      </c>
      <c r="B257" s="242">
        <v>788211</v>
      </c>
      <c r="C257" s="250" t="s">
        <v>3535</v>
      </c>
      <c r="D257" s="250" t="s">
        <v>2398</v>
      </c>
      <c r="E257" s="245">
        <v>1</v>
      </c>
      <c r="F257" s="559"/>
      <c r="G257" s="246">
        <f t="shared" si="16"/>
        <v>0</v>
      </c>
      <c r="H257" s="247">
        <v>0.751</v>
      </c>
      <c r="I257" s="248">
        <f t="shared" si="17"/>
        <v>0.751</v>
      </c>
    </row>
    <row r="258" spans="1:9">
      <c r="A258" s="241">
        <v>5</v>
      </c>
      <c r="B258" s="242">
        <v>788312</v>
      </c>
      <c r="C258" s="250" t="s">
        <v>3565</v>
      </c>
      <c r="D258" s="250" t="s">
        <v>2398</v>
      </c>
      <c r="E258" s="245">
        <v>1</v>
      </c>
      <c r="F258" s="559"/>
      <c r="G258" s="246">
        <f t="shared" si="16"/>
        <v>0</v>
      </c>
      <c r="H258" s="247">
        <v>0.751</v>
      </c>
      <c r="I258" s="248">
        <f t="shared" si="17"/>
        <v>0.751</v>
      </c>
    </row>
    <row r="259" spans="1:9">
      <c r="A259" s="241">
        <v>6</v>
      </c>
      <c r="B259" s="242">
        <v>415143</v>
      </c>
      <c r="C259" s="250" t="s">
        <v>3568</v>
      </c>
      <c r="D259" s="250" t="s">
        <v>2833</v>
      </c>
      <c r="E259" s="245">
        <v>1</v>
      </c>
      <c r="F259" s="559"/>
      <c r="G259" s="246">
        <f t="shared" si="16"/>
        <v>0</v>
      </c>
      <c r="H259" s="247">
        <v>0.57699999999999996</v>
      </c>
      <c r="I259" s="248">
        <f t="shared" si="17"/>
        <v>0.57699999999999996</v>
      </c>
    </row>
    <row r="260" spans="1:9">
      <c r="A260" s="241">
        <v>7</v>
      </c>
      <c r="B260" s="242">
        <v>434120</v>
      </c>
      <c r="C260" s="250" t="s">
        <v>3553</v>
      </c>
      <c r="D260" s="250" t="s">
        <v>2833</v>
      </c>
      <c r="E260" s="245">
        <v>6</v>
      </c>
      <c r="F260" s="559"/>
      <c r="G260" s="246">
        <f t="shared" si="16"/>
        <v>0</v>
      </c>
      <c r="H260" s="247">
        <v>0.19</v>
      </c>
      <c r="I260" s="248">
        <f t="shared" si="17"/>
        <v>1.1400000000000001</v>
      </c>
    </row>
    <row r="261" spans="1:9">
      <c r="A261" s="241">
        <v>8</v>
      </c>
      <c r="B261" s="242">
        <v>434121</v>
      </c>
      <c r="C261" s="250" t="s">
        <v>3527</v>
      </c>
      <c r="D261" s="250" t="s">
        <v>2833</v>
      </c>
      <c r="E261" s="245">
        <v>1</v>
      </c>
      <c r="F261" s="559"/>
      <c r="G261" s="246">
        <f t="shared" si="16"/>
        <v>0</v>
      </c>
      <c r="H261" s="247">
        <v>0.19</v>
      </c>
      <c r="I261" s="248">
        <f t="shared" si="17"/>
        <v>0.19</v>
      </c>
    </row>
    <row r="262" spans="1:9">
      <c r="A262" s="241">
        <v>9</v>
      </c>
      <c r="B262" s="242">
        <v>435201</v>
      </c>
      <c r="C262" s="250" t="s">
        <v>3585</v>
      </c>
      <c r="D262" s="250" t="s">
        <v>2833</v>
      </c>
      <c r="E262" s="245">
        <v>3</v>
      </c>
      <c r="F262" s="559"/>
      <c r="G262" s="246">
        <f t="shared" si="16"/>
        <v>0</v>
      </c>
      <c r="H262" s="247">
        <v>0.34799999999999998</v>
      </c>
      <c r="I262" s="248">
        <f t="shared" si="17"/>
        <v>1.044</v>
      </c>
    </row>
    <row r="263" spans="1:9" ht="15.75" thickBot="1">
      <c r="A263" s="255">
        <v>10</v>
      </c>
      <c r="B263" s="256">
        <v>438104</v>
      </c>
      <c r="C263" s="286" t="s">
        <v>3529</v>
      </c>
      <c r="D263" s="286" t="s">
        <v>2833</v>
      </c>
      <c r="E263" s="259">
        <v>2</v>
      </c>
      <c r="F263" s="560"/>
      <c r="G263" s="261">
        <f t="shared" si="16"/>
        <v>0</v>
      </c>
      <c r="H263" s="262">
        <v>0.27600000000000002</v>
      </c>
      <c r="I263" s="263">
        <f t="shared" si="17"/>
        <v>0.55200000000000005</v>
      </c>
    </row>
    <row r="264" spans="1:9" ht="15.75" thickBot="1">
      <c r="A264" s="287"/>
      <c r="B264" s="288"/>
      <c r="C264" s="289" t="s">
        <v>3397</v>
      </c>
      <c r="D264" s="289"/>
      <c r="E264" s="290"/>
      <c r="F264" s="290"/>
      <c r="G264" s="291">
        <f>SUM(G254:G263)</f>
        <v>0</v>
      </c>
      <c r="H264" s="292"/>
      <c r="I264" s="293">
        <f>SUM(I254:I263)</f>
        <v>6.5129999999999999</v>
      </c>
    </row>
    <row r="266" spans="1:9" ht="15.75" thickBot="1"/>
    <row r="267" spans="1:9" ht="21" thickBot="1">
      <c r="A267" s="180" t="s">
        <v>3586</v>
      </c>
      <c r="B267" s="181"/>
      <c r="C267" s="181"/>
      <c r="D267" s="306"/>
      <c r="E267" s="307"/>
      <c r="F267" s="308"/>
    </row>
    <row r="268" spans="1:9" ht="15.75" thickBot="1">
      <c r="A268" s="309" t="s">
        <v>3338</v>
      </c>
      <c r="B268" s="310"/>
      <c r="C268" s="310"/>
      <c r="D268" s="311"/>
      <c r="E268" s="312"/>
      <c r="F268" s="313" t="s">
        <v>3340</v>
      </c>
    </row>
    <row r="269" spans="1:9">
      <c r="A269" s="314">
        <v>1</v>
      </c>
      <c r="B269" s="315" t="s">
        <v>3515</v>
      </c>
      <c r="C269" s="315"/>
      <c r="D269" s="316"/>
      <c r="E269" s="317">
        <v>0</v>
      </c>
      <c r="F269" s="318">
        <f>G292</f>
        <v>0</v>
      </c>
    </row>
    <row r="270" spans="1:9" ht="15.75" thickBot="1">
      <c r="A270" s="314">
        <v>2</v>
      </c>
      <c r="B270" s="315" t="s">
        <v>3516</v>
      </c>
      <c r="C270" s="315"/>
      <c r="D270" s="316">
        <v>3</v>
      </c>
      <c r="E270" s="317">
        <f>F269</f>
        <v>0</v>
      </c>
      <c r="F270" s="318">
        <f>D270*E270/100</f>
        <v>0</v>
      </c>
    </row>
    <row r="271" spans="1:9">
      <c r="A271" s="319">
        <v>3</v>
      </c>
      <c r="B271" s="320" t="s">
        <v>2825</v>
      </c>
      <c r="C271" s="320"/>
      <c r="D271" s="321"/>
      <c r="E271" s="322">
        <v>0</v>
      </c>
      <c r="F271" s="323">
        <f>F269+F270</f>
        <v>0</v>
      </c>
    </row>
    <row r="272" spans="1:9">
      <c r="A272" s="324"/>
      <c r="B272" s="325"/>
      <c r="C272" s="325"/>
      <c r="D272" s="326"/>
      <c r="E272" s="327"/>
      <c r="F272" s="328"/>
    </row>
    <row r="273" spans="1:9" ht="15.75" thickBot="1">
      <c r="A273" s="314">
        <v>4</v>
      </c>
      <c r="B273" s="315" t="s">
        <v>3517</v>
      </c>
      <c r="C273" s="315"/>
      <c r="D273" s="316">
        <v>4.26</v>
      </c>
      <c r="E273" s="562"/>
      <c r="F273" s="318">
        <f>D273*E273</f>
        <v>0</v>
      </c>
    </row>
    <row r="274" spans="1:9">
      <c r="A274" s="319">
        <v>5</v>
      </c>
      <c r="B274" s="320" t="s">
        <v>3518</v>
      </c>
      <c r="C274" s="320"/>
      <c r="D274" s="321"/>
      <c r="E274" s="322">
        <v>0</v>
      </c>
      <c r="F274" s="323">
        <f>F271+F273</f>
        <v>0</v>
      </c>
    </row>
    <row r="275" spans="1:9">
      <c r="A275" s="324"/>
      <c r="B275" s="325"/>
      <c r="C275" s="325"/>
      <c r="D275" s="326"/>
      <c r="E275" s="327"/>
      <c r="F275" s="328"/>
    </row>
    <row r="276" spans="1:9" ht="15.75" thickBot="1">
      <c r="A276" s="314">
        <v>6</v>
      </c>
      <c r="B276" s="315" t="s">
        <v>3519</v>
      </c>
      <c r="C276" s="315"/>
      <c r="D276" s="316">
        <v>2</v>
      </c>
      <c r="E276" s="317">
        <v>0</v>
      </c>
      <c r="F276" s="318"/>
    </row>
    <row r="277" spans="1:9" ht="16.5" thickTop="1" thickBot="1">
      <c r="A277" s="329">
        <v>7</v>
      </c>
      <c r="B277" s="330" t="s">
        <v>2827</v>
      </c>
      <c r="C277" s="330"/>
      <c r="D277" s="331"/>
      <c r="E277" s="332">
        <v>0</v>
      </c>
      <c r="F277" s="333">
        <f>D276*F274</f>
        <v>0</v>
      </c>
    </row>
    <row r="279" spans="1:9" ht="21" thickBot="1">
      <c r="A279" s="225" t="s">
        <v>3369</v>
      </c>
      <c r="B279" s="225"/>
      <c r="C279" s="225"/>
      <c r="D279" s="225"/>
      <c r="E279" s="225"/>
      <c r="F279" s="225"/>
      <c r="G279" s="225"/>
      <c r="H279" s="225"/>
      <c r="I279" s="225"/>
    </row>
    <row r="280" spans="1:9" ht="15.75" thickBot="1">
      <c r="A280" s="229" t="s">
        <v>3338</v>
      </c>
      <c r="B280" s="228" t="s">
        <v>3370</v>
      </c>
      <c r="C280" s="229" t="s">
        <v>3371</v>
      </c>
      <c r="D280" s="229" t="s">
        <v>3372</v>
      </c>
      <c r="E280" s="230" t="s">
        <v>3373</v>
      </c>
      <c r="F280" s="230" t="s">
        <v>3520</v>
      </c>
      <c r="G280" s="231" t="s">
        <v>3375</v>
      </c>
      <c r="H280" s="232" t="s">
        <v>3376</v>
      </c>
      <c r="I280" s="376" t="s">
        <v>3377</v>
      </c>
    </row>
    <row r="281" spans="1:9" ht="15.75">
      <c r="A281" s="377"/>
      <c r="B281" s="378" t="s">
        <v>3587</v>
      </c>
      <c r="C281" s="379"/>
      <c r="D281" s="379"/>
      <c r="E281" s="380"/>
      <c r="F281" s="380"/>
      <c r="G281" s="381"/>
      <c r="H281" s="382"/>
      <c r="I281" s="383"/>
    </row>
    <row r="282" spans="1:9">
      <c r="A282" s="241">
        <v>1</v>
      </c>
      <c r="B282" s="242">
        <v>764113</v>
      </c>
      <c r="C282" s="250" t="s">
        <v>3559</v>
      </c>
      <c r="D282" s="250" t="s">
        <v>2833</v>
      </c>
      <c r="E282" s="245">
        <v>1</v>
      </c>
      <c r="F282" s="559"/>
      <c r="G282" s="246">
        <f t="shared" ref="G282:G291" si="18">E282*F282</f>
        <v>0</v>
      </c>
      <c r="H282" s="247">
        <v>0.50600000000000001</v>
      </c>
      <c r="I282" s="248">
        <f t="shared" ref="I282:I291" si="19">E282*H282</f>
        <v>0.50600000000000001</v>
      </c>
    </row>
    <row r="283" spans="1:9">
      <c r="A283" s="241">
        <v>2</v>
      </c>
      <c r="B283" s="242">
        <v>764123</v>
      </c>
      <c r="C283" s="250" t="s">
        <v>3560</v>
      </c>
      <c r="D283" s="250" t="s">
        <v>2833</v>
      </c>
      <c r="E283" s="245">
        <v>1</v>
      </c>
      <c r="F283" s="559"/>
      <c r="G283" s="246">
        <f t="shared" si="18"/>
        <v>0</v>
      </c>
      <c r="H283" s="247">
        <v>0.11600000000000001</v>
      </c>
      <c r="I283" s="248">
        <f t="shared" si="19"/>
        <v>0.11600000000000001</v>
      </c>
    </row>
    <row r="284" spans="1:9">
      <c r="A284" s="241">
        <v>3</v>
      </c>
      <c r="B284" s="242">
        <v>781331</v>
      </c>
      <c r="C284" s="250" t="s">
        <v>3543</v>
      </c>
      <c r="D284" s="250" t="s">
        <v>2833</v>
      </c>
      <c r="E284" s="245">
        <v>2</v>
      </c>
      <c r="F284" s="559"/>
      <c r="G284" s="246">
        <f t="shared" si="18"/>
        <v>0</v>
      </c>
      <c r="H284" s="247">
        <v>0.23200000000000001</v>
      </c>
      <c r="I284" s="248">
        <f t="shared" si="19"/>
        <v>0.46400000000000002</v>
      </c>
    </row>
    <row r="285" spans="1:9">
      <c r="A285" s="241">
        <v>4</v>
      </c>
      <c r="B285" s="242">
        <v>782311</v>
      </c>
      <c r="C285" s="250" t="s">
        <v>3525</v>
      </c>
      <c r="D285" s="250" t="s">
        <v>2019</v>
      </c>
      <c r="E285" s="245">
        <v>1</v>
      </c>
      <c r="F285" s="559"/>
      <c r="G285" s="246">
        <f t="shared" si="18"/>
        <v>0</v>
      </c>
      <c r="H285" s="247">
        <v>0.30599999999999999</v>
      </c>
      <c r="I285" s="248">
        <f t="shared" si="19"/>
        <v>0.30599999999999999</v>
      </c>
    </row>
    <row r="286" spans="1:9">
      <c r="A286" s="241">
        <v>5</v>
      </c>
      <c r="B286" s="242">
        <v>415142</v>
      </c>
      <c r="C286" s="250" t="s">
        <v>3526</v>
      </c>
      <c r="D286" s="250" t="s">
        <v>2833</v>
      </c>
      <c r="E286" s="245">
        <v>1</v>
      </c>
      <c r="F286" s="559"/>
      <c r="G286" s="246">
        <f t="shared" si="18"/>
        <v>0</v>
      </c>
      <c r="H286" s="247">
        <v>0.34799999999999998</v>
      </c>
      <c r="I286" s="248">
        <f t="shared" si="19"/>
        <v>0.34799999999999998</v>
      </c>
    </row>
    <row r="287" spans="1:9">
      <c r="A287" s="241">
        <v>6</v>
      </c>
      <c r="B287" s="242">
        <v>434134</v>
      </c>
      <c r="C287" s="250" t="s">
        <v>3528</v>
      </c>
      <c r="D287" s="250" t="s">
        <v>2833</v>
      </c>
      <c r="E287" s="245">
        <v>1</v>
      </c>
      <c r="F287" s="559"/>
      <c r="G287" s="246">
        <f t="shared" si="18"/>
        <v>0</v>
      </c>
      <c r="H287" s="247">
        <v>0.19</v>
      </c>
      <c r="I287" s="248">
        <f t="shared" si="19"/>
        <v>0.19</v>
      </c>
    </row>
    <row r="288" spans="1:9">
      <c r="A288" s="241">
        <v>7</v>
      </c>
      <c r="B288" s="242">
        <v>434121</v>
      </c>
      <c r="C288" s="250" t="s">
        <v>3527</v>
      </c>
      <c r="D288" s="250" t="s">
        <v>2833</v>
      </c>
      <c r="E288" s="245">
        <v>3</v>
      </c>
      <c r="F288" s="559"/>
      <c r="G288" s="246">
        <f t="shared" si="18"/>
        <v>0</v>
      </c>
      <c r="H288" s="247">
        <v>0.19</v>
      </c>
      <c r="I288" s="248">
        <f t="shared" si="19"/>
        <v>0.57000000000000006</v>
      </c>
    </row>
    <row r="289" spans="1:9">
      <c r="A289" s="241">
        <v>8</v>
      </c>
      <c r="B289" s="242">
        <v>435203</v>
      </c>
      <c r="C289" s="250" t="s">
        <v>3569</v>
      </c>
      <c r="D289" s="250" t="s">
        <v>2833</v>
      </c>
      <c r="E289" s="245">
        <v>1</v>
      </c>
      <c r="F289" s="559"/>
      <c r="G289" s="246">
        <f t="shared" si="18"/>
        <v>0</v>
      </c>
      <c r="H289" s="247">
        <v>0.34799999999999998</v>
      </c>
      <c r="I289" s="248">
        <f t="shared" si="19"/>
        <v>0.34799999999999998</v>
      </c>
    </row>
    <row r="290" spans="1:9">
      <c r="A290" s="241">
        <v>9</v>
      </c>
      <c r="B290" s="242">
        <v>438104</v>
      </c>
      <c r="C290" s="250" t="s">
        <v>3529</v>
      </c>
      <c r="D290" s="250" t="s">
        <v>2833</v>
      </c>
      <c r="E290" s="245">
        <v>4</v>
      </c>
      <c r="F290" s="559"/>
      <c r="G290" s="246">
        <f t="shared" si="18"/>
        <v>0</v>
      </c>
      <c r="H290" s="247">
        <v>0.27600000000000002</v>
      </c>
      <c r="I290" s="248">
        <f t="shared" si="19"/>
        <v>1.1040000000000001</v>
      </c>
    </row>
    <row r="291" spans="1:9" ht="15.75" thickBot="1">
      <c r="A291" s="255">
        <v>10</v>
      </c>
      <c r="B291" s="256">
        <v>438102</v>
      </c>
      <c r="C291" s="286" t="s">
        <v>3557</v>
      </c>
      <c r="D291" s="286" t="s">
        <v>2833</v>
      </c>
      <c r="E291" s="259">
        <v>1</v>
      </c>
      <c r="F291" s="560"/>
      <c r="G291" s="261">
        <f t="shared" si="18"/>
        <v>0</v>
      </c>
      <c r="H291" s="262">
        <v>0.27600000000000002</v>
      </c>
      <c r="I291" s="263">
        <f t="shared" si="19"/>
        <v>0.27600000000000002</v>
      </c>
    </row>
    <row r="292" spans="1:9" ht="15.75" thickBot="1">
      <c r="A292" s="287"/>
      <c r="B292" s="288"/>
      <c r="C292" s="289" t="s">
        <v>3397</v>
      </c>
      <c r="D292" s="289"/>
      <c r="E292" s="290"/>
      <c r="F292" s="290"/>
      <c r="G292" s="291">
        <f>SUM(G282:G291)</f>
        <v>0</v>
      </c>
      <c r="H292" s="292"/>
      <c r="I292" s="293">
        <f>SUM(I282:I291)</f>
        <v>4.2279999999999998</v>
      </c>
    </row>
  </sheetData>
  <pageMargins left="0.7" right="0.7" top="0.78740157499999996" bottom="0.78740157499999996" header="0.3" footer="0.3"/>
  <pageSetup paperSize="9" scale="76" orientation="portrait" r:id="rId1"/>
  <rowBreaks count="4" manualBreakCount="4">
    <brk id="60" max="16383" man="1"/>
    <brk id="121" max="16383" man="1"/>
    <brk id="176" max="16383" man="1"/>
    <brk id="2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</sheetPr>
  <dimension ref="A1:E43"/>
  <sheetViews>
    <sheetView zoomScaleNormal="100" workbookViewId="0">
      <selection activeCell="D20" sqref="D20"/>
    </sheetView>
  </sheetViews>
  <sheetFormatPr defaultRowHeight="15"/>
  <cols>
    <col min="1" max="1" width="34.5" customWidth="1"/>
    <col min="2" max="2" width="103.75" customWidth="1"/>
    <col min="3" max="3" width="30.75" customWidth="1"/>
    <col min="4" max="4" width="32" customWidth="1"/>
    <col min="5" max="5" width="30.5" customWidth="1"/>
  </cols>
  <sheetData>
    <row r="1" spans="1:5" ht="18">
      <c r="A1" s="499" t="s">
        <v>3715</v>
      </c>
      <c r="B1" s="390"/>
      <c r="C1" s="390"/>
      <c r="D1" s="390"/>
      <c r="E1" s="390"/>
    </row>
    <row r="2" spans="1:5">
      <c r="A2" s="500"/>
      <c r="B2" s="390"/>
      <c r="C2" s="390"/>
      <c r="D2" s="390"/>
      <c r="E2" s="390"/>
    </row>
    <row r="3" spans="1:5">
      <c r="A3" s="388"/>
      <c r="B3" s="390"/>
      <c r="C3" s="390"/>
      <c r="D3" s="390"/>
      <c r="E3" s="390"/>
    </row>
    <row r="4" spans="1:5">
      <c r="A4" s="388" t="s">
        <v>3589</v>
      </c>
      <c r="B4" s="390" t="s">
        <v>3590</v>
      </c>
      <c r="C4" s="125"/>
      <c r="D4" s="125"/>
      <c r="E4" s="125"/>
    </row>
    <row r="5" spans="1:5">
      <c r="A5" s="388"/>
      <c r="B5" s="390"/>
      <c r="C5" s="390"/>
      <c r="D5" s="390"/>
      <c r="E5" s="390"/>
    </row>
    <row r="6" spans="1:5">
      <c r="A6" s="388" t="s">
        <v>3592</v>
      </c>
      <c r="B6" s="388" t="s">
        <v>3593</v>
      </c>
      <c r="C6" s="390"/>
      <c r="D6" s="390"/>
      <c r="E6" s="390"/>
    </row>
    <row r="7" spans="1:5">
      <c r="A7" s="391"/>
      <c r="B7" s="390"/>
      <c r="C7" s="390"/>
      <c r="D7" s="390"/>
      <c r="E7" s="390"/>
    </row>
    <row r="8" spans="1:5">
      <c r="A8" s="390" t="s">
        <v>3716</v>
      </c>
      <c r="B8" s="390" t="s">
        <v>3717</v>
      </c>
      <c r="C8" s="390"/>
      <c r="D8" s="390"/>
      <c r="E8" s="390"/>
    </row>
    <row r="9" spans="1:5">
      <c r="A9" s="390"/>
      <c r="B9" s="391"/>
      <c r="C9" s="390"/>
      <c r="D9" s="390"/>
      <c r="E9" s="390"/>
    </row>
    <row r="10" spans="1:5">
      <c r="A10" s="390" t="s">
        <v>3588</v>
      </c>
      <c r="B10" s="501">
        <v>44746</v>
      </c>
      <c r="C10" s="390"/>
      <c r="D10" s="390"/>
      <c r="E10" s="390"/>
    </row>
    <row r="11" spans="1:5">
      <c r="A11" s="391"/>
      <c r="B11" s="391"/>
      <c r="C11" s="391"/>
      <c r="D11" s="390"/>
      <c r="E11" s="390"/>
    </row>
    <row r="12" spans="1:5">
      <c r="A12" s="500"/>
      <c r="B12" s="390"/>
      <c r="C12" s="390"/>
      <c r="D12" s="390"/>
      <c r="E12" s="390"/>
    </row>
    <row r="13" spans="1:5" ht="15.75" thickBot="1">
      <c r="A13" s="390"/>
      <c r="B13" s="390"/>
      <c r="C13" s="390"/>
      <c r="D13" s="390"/>
      <c r="E13" s="390"/>
    </row>
    <row r="14" spans="1:5" ht="23.25">
      <c r="A14" s="502" t="s">
        <v>3141</v>
      </c>
      <c r="B14" s="503" t="s">
        <v>3718</v>
      </c>
      <c r="C14" s="504" t="s">
        <v>3719</v>
      </c>
      <c r="D14" s="505" t="s">
        <v>3720</v>
      </c>
      <c r="E14" s="506" t="s">
        <v>3721</v>
      </c>
    </row>
    <row r="15" spans="1:5" ht="15.75" thickBot="1">
      <c r="A15" s="507"/>
      <c r="B15" s="508"/>
      <c r="C15" s="509" t="s">
        <v>3334</v>
      </c>
      <c r="D15" s="508" t="s">
        <v>3334</v>
      </c>
      <c r="E15" s="510" t="s">
        <v>3334</v>
      </c>
    </row>
    <row r="16" spans="1:5">
      <c r="A16" s="511"/>
      <c r="B16" s="512"/>
      <c r="C16" s="513"/>
      <c r="D16" s="514"/>
      <c r="E16" s="515"/>
    </row>
    <row r="17" spans="1:5">
      <c r="A17" s="516" t="s">
        <v>3722</v>
      </c>
      <c r="B17" s="517" t="s">
        <v>3723</v>
      </c>
      <c r="C17" s="518">
        <f>'MAR Materiál'!G52</f>
        <v>0</v>
      </c>
      <c r="D17" s="519">
        <f>'MAR montáž'!G60</f>
        <v>0</v>
      </c>
      <c r="E17" s="520">
        <f>C17+D17</f>
        <v>0</v>
      </c>
    </row>
    <row r="18" spans="1:5">
      <c r="A18" s="516"/>
      <c r="B18" s="517" t="s">
        <v>3724</v>
      </c>
      <c r="C18" s="521">
        <v>0</v>
      </c>
      <c r="D18" s="558"/>
      <c r="E18" s="523">
        <f t="shared" ref="E18:E19" si="0">C18+D18</f>
        <v>0</v>
      </c>
    </row>
    <row r="19" spans="1:5">
      <c r="A19" s="524"/>
      <c r="B19" s="525" t="s">
        <v>3725</v>
      </c>
      <c r="C19" s="526">
        <v>0</v>
      </c>
      <c r="D19" s="522">
        <f>'MAR Materiál'!G52*0.035+'MAR montáž'!G60*0.035</f>
        <v>0</v>
      </c>
      <c r="E19" s="523">
        <f t="shared" si="0"/>
        <v>0</v>
      </c>
    </row>
    <row r="20" spans="1:5">
      <c r="A20" s="524"/>
      <c r="B20" s="527"/>
      <c r="C20" s="526"/>
      <c r="D20" s="528"/>
      <c r="E20" s="529"/>
    </row>
    <row r="21" spans="1:5">
      <c r="A21" s="530"/>
      <c r="B21" s="531" t="s">
        <v>335</v>
      </c>
      <c r="C21" s="532">
        <f>SUM(C17:C20)</f>
        <v>0</v>
      </c>
      <c r="D21" s="532">
        <f>SUM(D17:D20)</f>
        <v>0</v>
      </c>
      <c r="E21" s="533">
        <f>SUM(E17:E20)</f>
        <v>0</v>
      </c>
    </row>
    <row r="22" spans="1:5">
      <c r="A22" s="524"/>
      <c r="B22" s="534" t="s">
        <v>1826</v>
      </c>
      <c r="C22" s="535">
        <f>C21*0.21</f>
        <v>0</v>
      </c>
      <c r="D22" s="535">
        <f t="shared" ref="D22:E22" si="1">D21*0.21</f>
        <v>0</v>
      </c>
      <c r="E22" s="536">
        <f t="shared" si="1"/>
        <v>0</v>
      </c>
    </row>
    <row r="23" spans="1:5">
      <c r="A23" s="524"/>
      <c r="B23" s="534" t="s">
        <v>3726</v>
      </c>
      <c r="C23" s="535">
        <f>SUM(C21:C22)</f>
        <v>0</v>
      </c>
      <c r="D23" s="535">
        <f>SUM(D21:D22)</f>
        <v>0</v>
      </c>
      <c r="E23" s="536">
        <f>SUM(E21:E22)</f>
        <v>0</v>
      </c>
    </row>
    <row r="24" spans="1:5" ht="15.75" thickBot="1">
      <c r="A24" s="537"/>
      <c r="B24" s="538"/>
      <c r="C24" s="539"/>
      <c r="D24" s="540"/>
      <c r="E24" s="541"/>
    </row>
    <row r="25" spans="1:5">
      <c r="A25" s="390"/>
      <c r="B25" s="390"/>
      <c r="C25" s="390"/>
      <c r="D25" s="390"/>
      <c r="E25" s="390"/>
    </row>
    <row r="26" spans="1:5">
      <c r="A26" s="390"/>
      <c r="B26" s="390"/>
      <c r="C26" s="542"/>
      <c r="D26" s="542"/>
      <c r="E26" s="542"/>
    </row>
    <row r="27" spans="1:5">
      <c r="A27" s="500"/>
      <c r="B27" s="500"/>
      <c r="C27" s="500"/>
      <c r="D27" s="500"/>
      <c r="E27" s="390"/>
    </row>
    <row r="28" spans="1:5">
      <c r="A28" s="390"/>
      <c r="B28" s="390"/>
      <c r="C28" s="390"/>
      <c r="D28" s="390"/>
      <c r="E28" s="390"/>
    </row>
    <row r="29" spans="1:5">
      <c r="A29" s="390"/>
      <c r="B29" s="543" t="s">
        <v>3727</v>
      </c>
      <c r="C29" s="390"/>
      <c r="D29" s="390"/>
      <c r="E29" s="390"/>
    </row>
    <row r="30" spans="1:5">
      <c r="A30" s="390"/>
      <c r="B30" s="543" t="s">
        <v>3728</v>
      </c>
      <c r="C30" s="390"/>
      <c r="D30" s="542"/>
      <c r="E30" s="390"/>
    </row>
    <row r="31" spans="1:5">
      <c r="A31" s="390"/>
      <c r="B31" s="390"/>
      <c r="C31" s="390"/>
      <c r="D31" s="390"/>
      <c r="E31" s="390"/>
    </row>
    <row r="32" spans="1:5">
      <c r="A32" s="390"/>
      <c r="B32" s="390"/>
      <c r="C32" s="390"/>
      <c r="D32" s="390"/>
      <c r="E32" s="390"/>
    </row>
    <row r="33" spans="1:5">
      <c r="A33" s="390"/>
      <c r="B33" s="390"/>
      <c r="C33" s="390"/>
      <c r="D33" s="390"/>
      <c r="E33" s="390"/>
    </row>
    <row r="34" spans="1:5">
      <c r="A34" s="500" t="s">
        <v>3729</v>
      </c>
      <c r="B34" s="390"/>
      <c r="C34" s="390"/>
      <c r="D34" s="390"/>
      <c r="E34" s="390"/>
    </row>
    <row r="35" spans="1:5">
      <c r="A35" s="390"/>
      <c r="B35" s="390"/>
      <c r="C35" s="390"/>
      <c r="D35" s="390"/>
      <c r="E35" s="390"/>
    </row>
    <row r="36" spans="1:5">
      <c r="A36" s="390"/>
      <c r="B36" s="390"/>
      <c r="C36" s="390"/>
      <c r="D36" s="390"/>
      <c r="E36" s="390"/>
    </row>
    <row r="37" spans="1:5">
      <c r="A37" s="390" t="s">
        <v>3730</v>
      </c>
      <c r="B37" s="390"/>
      <c r="C37" s="390"/>
      <c r="D37" s="390"/>
      <c r="E37" s="390"/>
    </row>
    <row r="38" spans="1:5">
      <c r="A38" s="390" t="s">
        <v>3731</v>
      </c>
      <c r="B38" s="390"/>
      <c r="C38" s="390"/>
      <c r="D38" s="390"/>
      <c r="E38" s="390"/>
    </row>
    <row r="39" spans="1:5">
      <c r="A39" s="390" t="s">
        <v>3732</v>
      </c>
      <c r="B39" s="390"/>
      <c r="C39" s="390"/>
      <c r="D39" s="390"/>
      <c r="E39" s="390"/>
    </row>
    <row r="40" spans="1:5">
      <c r="A40" s="390" t="s">
        <v>3733</v>
      </c>
      <c r="B40" s="390"/>
      <c r="C40" s="390"/>
      <c r="D40" s="390"/>
      <c r="E40" s="390"/>
    </row>
    <row r="41" spans="1:5">
      <c r="A41" s="390"/>
      <c r="B41" s="390"/>
      <c r="C41" s="390"/>
      <c r="D41" s="390"/>
      <c r="E41" s="390"/>
    </row>
    <row r="42" spans="1:5">
      <c r="A42" s="390" t="s">
        <v>3734</v>
      </c>
      <c r="B42" s="500"/>
      <c r="C42" s="390"/>
      <c r="D42" s="390"/>
      <c r="E42" s="390"/>
    </row>
    <row r="43" spans="1:5">
      <c r="A43" s="390" t="s">
        <v>3735</v>
      </c>
      <c r="B43" s="390"/>
      <c r="C43" s="390"/>
      <c r="D43" s="390"/>
      <c r="E43" s="390"/>
    </row>
  </sheetData>
  <pageMargins left="0.7" right="0.7" top="0.78740157499999996" bottom="0.78740157499999996" header="0.3" footer="0.3"/>
  <pageSetup paperSize="9"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</sheetPr>
  <dimension ref="A4:H53"/>
  <sheetViews>
    <sheetView topLeftCell="A36" zoomScaleNormal="100" workbookViewId="0">
      <selection activeCell="L46" sqref="L46"/>
    </sheetView>
  </sheetViews>
  <sheetFormatPr defaultRowHeight="15"/>
  <cols>
    <col min="2" max="2" width="22.5" customWidth="1"/>
    <col min="3" max="3" width="138.25" customWidth="1"/>
    <col min="6" max="6" width="13.5" customWidth="1"/>
    <col min="7" max="7" width="24.75" customWidth="1"/>
    <col min="8" max="8" width="21.25" customWidth="1"/>
  </cols>
  <sheetData>
    <row r="4" spans="1:8">
      <c r="A4" s="388" t="s">
        <v>3589</v>
      </c>
      <c r="B4" s="389" t="s">
        <v>3590</v>
      </c>
      <c r="C4" s="125"/>
      <c r="D4" s="125"/>
      <c r="E4" s="125"/>
      <c r="F4" s="390"/>
      <c r="G4" s="391"/>
      <c r="H4" s="391"/>
    </row>
    <row r="5" spans="1:8">
      <c r="A5" s="392" t="s">
        <v>3592</v>
      </c>
      <c r="B5" s="388" t="s">
        <v>3593</v>
      </c>
      <c r="C5" s="393"/>
      <c r="D5" s="394"/>
      <c r="E5" s="394" t="s">
        <v>3594</v>
      </c>
      <c r="F5" s="395"/>
      <c r="G5" s="395"/>
      <c r="H5" s="392"/>
    </row>
    <row r="6" spans="1:8" ht="15.75" thickBot="1">
      <c r="A6" s="392"/>
      <c r="B6" s="392"/>
      <c r="C6" s="393"/>
      <c r="D6" s="392"/>
      <c r="E6" s="392"/>
      <c r="F6" s="392"/>
      <c r="G6" s="392"/>
      <c r="H6" s="392"/>
    </row>
    <row r="7" spans="1:8">
      <c r="A7" s="396"/>
      <c r="B7" s="397"/>
      <c r="C7" s="398"/>
      <c r="D7" s="397"/>
      <c r="E7" s="397"/>
      <c r="F7" s="665" t="s">
        <v>3678</v>
      </c>
      <c r="G7" s="666"/>
      <c r="H7" s="399"/>
    </row>
    <row r="8" spans="1:8" ht="15.75" thickBot="1">
      <c r="A8" s="400" t="s">
        <v>3596</v>
      </c>
      <c r="B8" s="401" t="s">
        <v>3597</v>
      </c>
      <c r="C8" s="402" t="s">
        <v>3598</v>
      </c>
      <c r="D8" s="403" t="s">
        <v>859</v>
      </c>
      <c r="E8" s="403" t="s">
        <v>3373</v>
      </c>
      <c r="F8" s="403" t="s">
        <v>3599</v>
      </c>
      <c r="G8" s="404" t="s">
        <v>3375</v>
      </c>
      <c r="H8" s="405" t="s">
        <v>3600</v>
      </c>
    </row>
    <row r="9" spans="1:8">
      <c r="A9" s="406"/>
      <c r="B9" s="407"/>
      <c r="C9" s="408"/>
      <c r="D9" s="409"/>
      <c r="E9" s="410"/>
      <c r="F9" s="410"/>
      <c r="G9" s="411"/>
      <c r="H9" s="412"/>
    </row>
    <row r="10" spans="1:8">
      <c r="A10" s="413" t="s">
        <v>3601</v>
      </c>
      <c r="B10" s="414"/>
      <c r="C10" s="415"/>
      <c r="D10" s="416"/>
      <c r="E10" s="417"/>
      <c r="F10" s="418"/>
      <c r="G10" s="419"/>
      <c r="H10" s="412"/>
    </row>
    <row r="11" spans="1:8">
      <c r="A11" s="420"/>
      <c r="B11" s="421"/>
      <c r="C11" s="415"/>
      <c r="D11" s="416"/>
      <c r="E11" s="417"/>
      <c r="F11" s="418"/>
      <c r="G11" s="419"/>
      <c r="H11" s="412"/>
    </row>
    <row r="12" spans="1:8">
      <c r="A12" s="422" t="s">
        <v>3679</v>
      </c>
      <c r="B12" s="423">
        <v>358111499</v>
      </c>
      <c r="C12" s="424" t="s">
        <v>3680</v>
      </c>
      <c r="D12" s="425" t="s">
        <v>595</v>
      </c>
      <c r="E12" s="417">
        <v>7</v>
      </c>
      <c r="F12" s="547"/>
      <c r="G12" s="419">
        <f t="shared" ref="G12:G42" si="0">E12*F12</f>
        <v>0</v>
      </c>
      <c r="H12" s="412" t="s">
        <v>3635</v>
      </c>
    </row>
    <row r="13" spans="1:8" ht="30.95" customHeight="1">
      <c r="A13" s="422" t="s">
        <v>3681</v>
      </c>
      <c r="B13" s="423">
        <v>358111323</v>
      </c>
      <c r="C13" s="426" t="s">
        <v>3682</v>
      </c>
      <c r="D13" s="425" t="s">
        <v>595</v>
      </c>
      <c r="E13" s="417">
        <v>7</v>
      </c>
      <c r="F13" s="547"/>
      <c r="G13" s="419">
        <f t="shared" si="0"/>
        <v>0</v>
      </c>
      <c r="H13" s="412" t="s">
        <v>3635</v>
      </c>
    </row>
    <row r="14" spans="1:8">
      <c r="A14" s="427"/>
      <c r="B14" s="428"/>
      <c r="C14" s="429"/>
      <c r="D14" s="430"/>
      <c r="E14" s="431"/>
      <c r="F14" s="432"/>
      <c r="G14" s="419"/>
      <c r="H14" s="412"/>
    </row>
    <row r="15" spans="1:8">
      <c r="A15" s="433" t="s">
        <v>3609</v>
      </c>
      <c r="B15" s="434"/>
      <c r="C15" s="435"/>
      <c r="D15" s="436"/>
      <c r="E15" s="418"/>
      <c r="F15" s="418"/>
      <c r="G15" s="419"/>
      <c r="H15" s="412"/>
    </row>
    <row r="16" spans="1:8">
      <c r="A16" s="437"/>
      <c r="B16" s="434"/>
      <c r="C16" s="435"/>
      <c r="D16" s="436"/>
      <c r="E16" s="418"/>
      <c r="F16" s="418"/>
      <c r="G16" s="419"/>
      <c r="H16" s="438"/>
    </row>
    <row r="17" spans="1:8" ht="48.6" customHeight="1">
      <c r="A17" s="437" t="s">
        <v>3683</v>
      </c>
      <c r="B17" s="439">
        <v>341118228</v>
      </c>
      <c r="C17" s="435" t="s">
        <v>3684</v>
      </c>
      <c r="D17" s="440" t="s">
        <v>2019</v>
      </c>
      <c r="E17" s="441">
        <v>400</v>
      </c>
      <c r="F17" s="548"/>
      <c r="G17" s="419">
        <f t="shared" si="0"/>
        <v>0</v>
      </c>
      <c r="H17" s="412" t="s">
        <v>3635</v>
      </c>
    </row>
    <row r="18" spans="1:8">
      <c r="A18" s="437" t="s">
        <v>3685</v>
      </c>
      <c r="B18" s="428">
        <v>341118201</v>
      </c>
      <c r="C18" s="424" t="s">
        <v>3686</v>
      </c>
      <c r="D18" s="440" t="s">
        <v>2019</v>
      </c>
      <c r="E18" s="442">
        <v>600</v>
      </c>
      <c r="F18" s="549"/>
      <c r="G18" s="419">
        <f t="shared" si="0"/>
        <v>0</v>
      </c>
      <c r="H18" s="412" t="s">
        <v>3635</v>
      </c>
    </row>
    <row r="19" spans="1:8" ht="27.95" customHeight="1">
      <c r="A19" s="437" t="s">
        <v>3687</v>
      </c>
      <c r="B19" s="428">
        <v>345212124</v>
      </c>
      <c r="C19" s="435" t="s">
        <v>3688</v>
      </c>
      <c r="D19" s="441" t="s">
        <v>2019</v>
      </c>
      <c r="E19" s="443">
        <v>20</v>
      </c>
      <c r="F19" s="550"/>
      <c r="G19" s="419">
        <f t="shared" si="0"/>
        <v>0</v>
      </c>
      <c r="H19" s="412" t="s">
        <v>3635</v>
      </c>
    </row>
    <row r="20" spans="1:8">
      <c r="A20" s="437"/>
      <c r="B20" s="434"/>
      <c r="C20" s="435"/>
      <c r="D20" s="444"/>
      <c r="E20" s="418"/>
      <c r="F20" s="418"/>
      <c r="G20" s="419"/>
      <c r="H20" s="412"/>
    </row>
    <row r="21" spans="1:8">
      <c r="A21" s="433" t="s">
        <v>3616</v>
      </c>
      <c r="B21" s="434"/>
      <c r="C21" s="435"/>
      <c r="D21" s="444"/>
      <c r="E21" s="418"/>
      <c r="F21" s="418"/>
      <c r="G21" s="419"/>
      <c r="H21" s="412"/>
    </row>
    <row r="22" spans="1:8">
      <c r="A22" s="437"/>
      <c r="B22" s="434"/>
      <c r="C22" s="435"/>
      <c r="D22" s="444"/>
      <c r="E22" s="418"/>
      <c r="F22" s="418"/>
      <c r="G22" s="419"/>
      <c r="H22" s="412"/>
    </row>
    <row r="23" spans="1:8" ht="27.95" customHeight="1">
      <c r="A23" s="437" t="s">
        <v>3689</v>
      </c>
      <c r="B23" s="423" t="s">
        <v>3690</v>
      </c>
      <c r="C23" s="429" t="s">
        <v>3691</v>
      </c>
      <c r="D23" s="430" t="s">
        <v>595</v>
      </c>
      <c r="E23" s="432">
        <v>1</v>
      </c>
      <c r="F23" s="551"/>
      <c r="G23" s="419">
        <f t="shared" si="0"/>
        <v>0</v>
      </c>
      <c r="H23" s="412" t="s">
        <v>3635</v>
      </c>
    </row>
    <row r="24" spans="1:8" ht="39.950000000000003" customHeight="1">
      <c r="A24" s="437" t="s">
        <v>3692</v>
      </c>
      <c r="B24" s="423" t="s">
        <v>3693</v>
      </c>
      <c r="C24" s="429" t="s">
        <v>3694</v>
      </c>
      <c r="D24" s="430" t="s">
        <v>595</v>
      </c>
      <c r="E24" s="432">
        <v>1</v>
      </c>
      <c r="F24" s="551"/>
      <c r="G24" s="419">
        <f t="shared" si="0"/>
        <v>0</v>
      </c>
      <c r="H24" s="412" t="s">
        <v>3635</v>
      </c>
    </row>
    <row r="25" spans="1:8">
      <c r="A25" s="437"/>
      <c r="B25" s="434"/>
      <c r="C25" s="435"/>
      <c r="D25" s="444"/>
      <c r="E25" s="418"/>
      <c r="F25" s="418"/>
      <c r="G25" s="419"/>
      <c r="H25" s="412"/>
    </row>
    <row r="26" spans="1:8">
      <c r="A26" s="433" t="s">
        <v>3627</v>
      </c>
      <c r="B26" s="434"/>
      <c r="C26" s="435"/>
      <c r="D26" s="436"/>
      <c r="E26" s="418"/>
      <c r="F26" s="418"/>
      <c r="G26" s="419"/>
      <c r="H26" s="412"/>
    </row>
    <row r="27" spans="1:8">
      <c r="A27" s="437"/>
      <c r="B27" s="434"/>
      <c r="C27" s="435"/>
      <c r="D27" s="436"/>
      <c r="E27" s="418"/>
      <c r="F27" s="418"/>
      <c r="G27" s="419"/>
      <c r="H27" s="412"/>
    </row>
    <row r="28" spans="1:8" ht="45.95" customHeight="1">
      <c r="A28" s="446" t="s">
        <v>3695</v>
      </c>
      <c r="B28" s="447">
        <v>345112712</v>
      </c>
      <c r="C28" s="448" t="s">
        <v>3696</v>
      </c>
      <c r="D28" s="449" t="s">
        <v>2019</v>
      </c>
      <c r="E28" s="450">
        <v>100</v>
      </c>
      <c r="F28" s="552"/>
      <c r="G28" s="419">
        <f t="shared" si="0"/>
        <v>0</v>
      </c>
      <c r="H28" s="412" t="s">
        <v>3635</v>
      </c>
    </row>
    <row r="29" spans="1:8" ht="47.1" customHeight="1">
      <c r="A29" s="446" t="s">
        <v>3697</v>
      </c>
      <c r="B29" s="428">
        <v>345012014</v>
      </c>
      <c r="C29" s="451" t="s">
        <v>3698</v>
      </c>
      <c r="D29" s="441" t="s">
        <v>2019</v>
      </c>
      <c r="E29" s="445">
        <v>300</v>
      </c>
      <c r="F29" s="552"/>
      <c r="G29" s="419">
        <f t="shared" si="0"/>
        <v>0</v>
      </c>
      <c r="H29" s="412" t="s">
        <v>3635</v>
      </c>
    </row>
    <row r="30" spans="1:8">
      <c r="A30" s="446" t="s">
        <v>3699</v>
      </c>
      <c r="B30" s="428">
        <v>721218223</v>
      </c>
      <c r="C30" s="452" t="s">
        <v>3700</v>
      </c>
      <c r="D30" s="453" t="s">
        <v>595</v>
      </c>
      <c r="E30" s="454">
        <v>1</v>
      </c>
      <c r="F30" s="553"/>
      <c r="G30" s="419">
        <f t="shared" si="0"/>
        <v>0</v>
      </c>
      <c r="H30" s="412" t="s">
        <v>3635</v>
      </c>
    </row>
    <row r="31" spans="1:8" ht="32.1" customHeight="1">
      <c r="A31" s="446" t="s">
        <v>3701</v>
      </c>
      <c r="B31" s="455">
        <v>314324118</v>
      </c>
      <c r="C31" s="456" t="s">
        <v>3702</v>
      </c>
      <c r="D31" s="430" t="s">
        <v>595</v>
      </c>
      <c r="E31" s="432">
        <v>450</v>
      </c>
      <c r="F31" s="554"/>
      <c r="G31" s="419">
        <f t="shared" si="0"/>
        <v>0</v>
      </c>
      <c r="H31" s="412" t="s">
        <v>3635</v>
      </c>
    </row>
    <row r="32" spans="1:8">
      <c r="A32" s="446"/>
      <c r="B32" s="428"/>
      <c r="C32" s="452"/>
      <c r="D32" s="457"/>
      <c r="E32" s="458"/>
      <c r="F32" s="459"/>
      <c r="G32" s="419"/>
      <c r="H32" s="412"/>
    </row>
    <row r="33" spans="1:8">
      <c r="A33" s="460" t="s">
        <v>3638</v>
      </c>
      <c r="B33" s="461"/>
      <c r="C33" s="430"/>
      <c r="D33" s="430"/>
      <c r="E33" s="431"/>
      <c r="F33" s="432"/>
      <c r="G33" s="419"/>
      <c r="H33" s="412"/>
    </row>
    <row r="34" spans="1:8">
      <c r="A34" s="462"/>
      <c r="B34" s="463"/>
      <c r="C34" s="429"/>
      <c r="D34" s="429"/>
      <c r="E34" s="464"/>
      <c r="F34" s="465"/>
      <c r="G34" s="419"/>
      <c r="H34" s="412"/>
    </row>
    <row r="35" spans="1:8">
      <c r="A35" s="462" t="s">
        <v>3703</v>
      </c>
      <c r="B35" s="466">
        <v>246122186</v>
      </c>
      <c r="C35" s="442" t="s">
        <v>3704</v>
      </c>
      <c r="D35" s="430" t="s">
        <v>2398</v>
      </c>
      <c r="E35" s="442">
        <v>0.4</v>
      </c>
      <c r="F35" s="548"/>
      <c r="G35" s="419">
        <f t="shared" si="0"/>
        <v>0</v>
      </c>
      <c r="H35" s="412" t="s">
        <v>3635</v>
      </c>
    </row>
    <row r="36" spans="1:8">
      <c r="A36" s="462" t="s">
        <v>3705</v>
      </c>
      <c r="B36" s="466">
        <v>246122186</v>
      </c>
      <c r="C36" s="442" t="s">
        <v>3706</v>
      </c>
      <c r="D36" s="429" t="s">
        <v>2398</v>
      </c>
      <c r="E36" s="442">
        <v>0.3</v>
      </c>
      <c r="F36" s="548"/>
      <c r="G36" s="419">
        <f t="shared" si="0"/>
        <v>0</v>
      </c>
      <c r="H36" s="412" t="s">
        <v>3635</v>
      </c>
    </row>
    <row r="37" spans="1:8">
      <c r="A37" s="467"/>
      <c r="B37" s="428"/>
      <c r="C37" s="435"/>
      <c r="D37" s="424"/>
      <c r="E37" s="468"/>
      <c r="F37" s="417"/>
      <c r="G37" s="419"/>
      <c r="H37" s="412"/>
    </row>
    <row r="38" spans="1:8">
      <c r="A38" s="469" t="s">
        <v>3643</v>
      </c>
      <c r="B38" s="428"/>
      <c r="C38" s="435"/>
      <c r="D38" s="424"/>
      <c r="E38" s="468"/>
      <c r="F38" s="470"/>
      <c r="G38" s="419"/>
      <c r="H38" s="412"/>
    </row>
    <row r="39" spans="1:8">
      <c r="A39" s="467"/>
      <c r="B39" s="428"/>
      <c r="C39" s="435"/>
      <c r="D39" s="424"/>
      <c r="E39" s="468"/>
      <c r="F39" s="470"/>
      <c r="G39" s="419"/>
      <c r="H39" s="412"/>
    </row>
    <row r="40" spans="1:8" ht="113.1" customHeight="1">
      <c r="A40" s="467" t="s">
        <v>3707</v>
      </c>
      <c r="B40" s="428" t="s">
        <v>3708</v>
      </c>
      <c r="C40" s="471" t="s">
        <v>3646</v>
      </c>
      <c r="D40" s="424" t="s">
        <v>595</v>
      </c>
      <c r="E40" s="472">
        <v>1</v>
      </c>
      <c r="F40" s="555"/>
      <c r="G40" s="419">
        <f t="shared" si="0"/>
        <v>0</v>
      </c>
      <c r="H40" s="412" t="s">
        <v>3635</v>
      </c>
    </row>
    <row r="41" spans="1:8">
      <c r="A41" s="467" t="s">
        <v>3709</v>
      </c>
      <c r="B41" s="428" t="s">
        <v>3710</v>
      </c>
      <c r="C41" s="473" t="s">
        <v>3711</v>
      </c>
      <c r="D41" s="453" t="s">
        <v>595</v>
      </c>
      <c r="E41" s="474">
        <v>1</v>
      </c>
      <c r="F41" s="556"/>
      <c r="G41" s="419">
        <f t="shared" si="0"/>
        <v>0</v>
      </c>
      <c r="H41" s="412" t="s">
        <v>3635</v>
      </c>
    </row>
    <row r="42" spans="1:8" ht="100.5" customHeight="1">
      <c r="A42" s="467" t="s">
        <v>3712</v>
      </c>
      <c r="B42" s="455">
        <v>341000000</v>
      </c>
      <c r="C42" s="475" t="s">
        <v>3713</v>
      </c>
      <c r="D42" s="445" t="s">
        <v>595</v>
      </c>
      <c r="E42" s="445">
        <v>1</v>
      </c>
      <c r="F42" s="551"/>
      <c r="G42" s="419">
        <f t="shared" si="0"/>
        <v>0</v>
      </c>
      <c r="H42" s="412" t="s">
        <v>3635</v>
      </c>
    </row>
    <row r="43" spans="1:8">
      <c r="A43" s="476"/>
      <c r="B43" s="477"/>
      <c r="C43" s="478"/>
      <c r="D43" s="479"/>
      <c r="E43" s="480"/>
      <c r="F43" s="480"/>
      <c r="G43" s="411"/>
      <c r="H43" s="412"/>
    </row>
    <row r="44" spans="1:8">
      <c r="A44" s="476"/>
      <c r="B44" s="477"/>
      <c r="C44" s="478"/>
      <c r="D44" s="479"/>
      <c r="E44" s="480"/>
      <c r="F44" s="480"/>
      <c r="G44" s="411"/>
      <c r="H44" s="412"/>
    </row>
    <row r="45" spans="1:8" ht="39.6" customHeight="1">
      <c r="A45" s="476"/>
      <c r="B45" s="477"/>
      <c r="C45" s="478" t="s">
        <v>3676</v>
      </c>
      <c r="D45" s="479"/>
      <c r="E45" s="480"/>
      <c r="F45" s="480"/>
      <c r="G45" s="557"/>
      <c r="H45" s="481"/>
    </row>
    <row r="46" spans="1:8">
      <c r="A46" s="476"/>
      <c r="B46" s="477"/>
      <c r="C46" s="478"/>
      <c r="D46" s="479"/>
      <c r="E46" s="480"/>
      <c r="F46" s="480"/>
      <c r="G46" s="411"/>
      <c r="H46" s="412"/>
    </row>
    <row r="47" spans="1:8">
      <c r="A47" s="476"/>
      <c r="B47" s="477"/>
      <c r="C47" s="478"/>
      <c r="D47" s="479"/>
      <c r="E47" s="480"/>
      <c r="F47" s="480"/>
      <c r="G47" s="411"/>
      <c r="H47" s="412"/>
    </row>
    <row r="48" spans="1:8">
      <c r="A48" s="476"/>
      <c r="B48" s="477"/>
      <c r="C48" s="478"/>
      <c r="D48" s="479"/>
      <c r="E48" s="480"/>
      <c r="F48" s="480"/>
      <c r="G48" s="411"/>
      <c r="H48" s="412"/>
    </row>
    <row r="49" spans="1:8">
      <c r="A49" s="476"/>
      <c r="B49" s="477"/>
      <c r="C49" s="478"/>
      <c r="D49" s="479"/>
      <c r="E49" s="480"/>
      <c r="F49" s="480"/>
      <c r="G49" s="411"/>
      <c r="H49" s="412"/>
    </row>
    <row r="50" spans="1:8" ht="15.75" thickBot="1">
      <c r="A50" s="476"/>
      <c r="B50" s="482"/>
      <c r="C50" s="483"/>
      <c r="D50" s="484"/>
      <c r="E50" s="485"/>
      <c r="F50" s="485"/>
      <c r="G50" s="479"/>
      <c r="H50" s="412"/>
    </row>
    <row r="51" spans="1:8">
      <c r="A51" s="486"/>
      <c r="B51" s="487"/>
      <c r="C51" s="488"/>
      <c r="D51" s="487"/>
      <c r="E51" s="487"/>
      <c r="F51" s="487"/>
      <c r="G51" s="487"/>
      <c r="H51" s="489"/>
    </row>
    <row r="52" spans="1:8">
      <c r="A52" s="490"/>
      <c r="B52" s="491" t="s">
        <v>3714</v>
      </c>
      <c r="C52" s="492"/>
      <c r="D52" s="491"/>
      <c r="E52" s="491"/>
      <c r="F52" s="491"/>
      <c r="G52" s="493">
        <f>SUM(G12:G51)</f>
        <v>0</v>
      </c>
      <c r="H52" s="494"/>
    </row>
    <row r="53" spans="1:8" ht="15.75" thickBot="1">
      <c r="A53" s="495"/>
      <c r="B53" s="496"/>
      <c r="C53" s="497"/>
      <c r="D53" s="496"/>
      <c r="E53" s="496"/>
      <c r="F53" s="496"/>
      <c r="G53" s="496"/>
      <c r="H53" s="498"/>
    </row>
  </sheetData>
  <mergeCells count="1">
    <mergeCell ref="F7:G7"/>
  </mergeCells>
  <pageMargins left="0.7" right="0.7" top="0.41" bottom="0.38" header="0.3" footer="0.3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</sheetPr>
  <dimension ref="A1:H62"/>
  <sheetViews>
    <sheetView topLeftCell="A36" zoomScaleNormal="100" workbookViewId="0">
      <selection activeCell="G10" sqref="G10"/>
    </sheetView>
  </sheetViews>
  <sheetFormatPr defaultRowHeight="15"/>
  <cols>
    <col min="2" max="2" width="18.75" customWidth="1"/>
    <col min="3" max="3" width="121.5" style="132" customWidth="1"/>
    <col min="6" max="6" width="17.5" customWidth="1"/>
    <col min="7" max="7" width="19.25" customWidth="1"/>
    <col min="8" max="8" width="22.5" customWidth="1"/>
  </cols>
  <sheetData>
    <row r="1" spans="1:8">
      <c r="A1" s="375" t="s">
        <v>3589</v>
      </c>
      <c r="B1" s="375" t="s">
        <v>3590</v>
      </c>
      <c r="D1" s="375"/>
      <c r="E1" s="375"/>
      <c r="F1" s="375"/>
      <c r="G1" s="375"/>
      <c r="H1" s="375"/>
    </row>
    <row r="2" spans="1:8">
      <c r="A2" s="375"/>
      <c r="B2" s="375" t="s">
        <v>3591</v>
      </c>
      <c r="D2" s="375"/>
      <c r="E2" s="375"/>
      <c r="F2" s="375"/>
      <c r="G2" s="375"/>
      <c r="H2" s="375"/>
    </row>
    <row r="3" spans="1:8">
      <c r="A3" s="375" t="s">
        <v>3592</v>
      </c>
      <c r="B3" s="375" t="s">
        <v>3593</v>
      </c>
      <c r="D3" s="375" t="s">
        <v>3594</v>
      </c>
      <c r="E3" s="375"/>
      <c r="F3" s="375"/>
      <c r="G3" s="375"/>
      <c r="H3" s="375"/>
    </row>
    <row r="4" spans="1:8">
      <c r="A4" s="375"/>
      <c r="B4" s="375"/>
      <c r="D4" s="375"/>
      <c r="E4" s="375"/>
      <c r="F4" s="375"/>
      <c r="G4" s="375"/>
      <c r="H4" s="375"/>
    </row>
    <row r="5" spans="1:8">
      <c r="A5" s="375"/>
      <c r="B5" s="375"/>
      <c r="D5" s="375"/>
      <c r="E5" s="375"/>
      <c r="F5" s="375" t="s">
        <v>3595</v>
      </c>
      <c r="G5" s="375"/>
      <c r="H5" s="375"/>
    </row>
    <row r="6" spans="1:8">
      <c r="A6" s="375" t="s">
        <v>3596</v>
      </c>
      <c r="B6" s="375" t="s">
        <v>3597</v>
      </c>
      <c r="C6" s="132" t="s">
        <v>3598</v>
      </c>
      <c r="D6" s="375" t="s">
        <v>859</v>
      </c>
      <c r="E6" s="375" t="s">
        <v>3373</v>
      </c>
      <c r="F6" s="375" t="s">
        <v>3599</v>
      </c>
      <c r="G6" s="375" t="s">
        <v>3375</v>
      </c>
      <c r="H6" s="375" t="s">
        <v>3600</v>
      </c>
    </row>
    <row r="7" spans="1:8">
      <c r="A7" s="375"/>
      <c r="B7" s="375"/>
      <c r="D7" s="375"/>
      <c r="E7" s="375"/>
      <c r="F7" s="375"/>
      <c r="G7" s="375"/>
      <c r="H7" s="375"/>
    </row>
    <row r="8" spans="1:8">
      <c r="A8" s="375" t="s">
        <v>3601</v>
      </c>
      <c r="B8" s="375"/>
      <c r="D8" s="375"/>
      <c r="E8" s="375"/>
      <c r="F8" s="375"/>
      <c r="G8" s="375"/>
      <c r="H8" s="375"/>
    </row>
    <row r="9" spans="1:8">
      <c r="A9" s="375"/>
      <c r="B9" s="375"/>
      <c r="D9" s="375"/>
      <c r="E9" s="375"/>
      <c r="F9" s="375"/>
      <c r="G9" s="375"/>
      <c r="H9" s="375"/>
    </row>
    <row r="10" spans="1:8" ht="63" customHeight="1">
      <c r="A10" s="375" t="s">
        <v>3602</v>
      </c>
      <c r="B10" s="375">
        <v>742330044</v>
      </c>
      <c r="C10" s="132" t="s">
        <v>3603</v>
      </c>
      <c r="D10" s="375" t="s">
        <v>595</v>
      </c>
      <c r="E10" s="375">
        <v>7</v>
      </c>
      <c r="F10" s="545"/>
      <c r="G10" s="375">
        <f t="shared" ref="G10:G50" si="0">E10*F10</f>
        <v>0</v>
      </c>
      <c r="H10" s="375" t="s">
        <v>3604</v>
      </c>
    </row>
    <row r="11" spans="1:8">
      <c r="A11" s="375" t="s">
        <v>3605</v>
      </c>
      <c r="B11" s="375">
        <v>742330051</v>
      </c>
      <c r="C11" s="132" t="s">
        <v>3606</v>
      </c>
      <c r="D11" s="375" t="s">
        <v>595</v>
      </c>
      <c r="E11" s="375">
        <v>7</v>
      </c>
      <c r="F11" s="545"/>
      <c r="G11" s="375">
        <f t="shared" si="0"/>
        <v>0</v>
      </c>
      <c r="H11" s="375" t="s">
        <v>3604</v>
      </c>
    </row>
    <row r="12" spans="1:8" ht="30">
      <c r="A12" s="375" t="s">
        <v>3607</v>
      </c>
      <c r="B12" s="375">
        <v>742330101</v>
      </c>
      <c r="C12" s="132" t="s">
        <v>3608</v>
      </c>
      <c r="D12" s="375" t="s">
        <v>595</v>
      </c>
      <c r="E12" s="375">
        <v>7</v>
      </c>
      <c r="F12" s="545"/>
      <c r="G12" s="375">
        <f t="shared" si="0"/>
        <v>0</v>
      </c>
      <c r="H12" s="375" t="s">
        <v>3604</v>
      </c>
    </row>
    <row r="13" spans="1:8">
      <c r="A13" s="375"/>
      <c r="B13" s="375"/>
      <c r="D13" s="375"/>
      <c r="E13" s="375"/>
      <c r="F13" s="375"/>
      <c r="G13" s="375"/>
      <c r="H13" s="375"/>
    </row>
    <row r="14" spans="1:8">
      <c r="A14" s="375" t="s">
        <v>3609</v>
      </c>
      <c r="B14" s="375"/>
      <c r="D14" s="375"/>
      <c r="E14" s="375"/>
      <c r="F14" s="375"/>
      <c r="G14" s="375"/>
      <c r="H14" s="375"/>
    </row>
    <row r="15" spans="1:8">
      <c r="A15" s="375"/>
      <c r="B15" s="375"/>
      <c r="D15" s="375"/>
      <c r="E15" s="375"/>
      <c r="F15" s="375"/>
      <c r="G15" s="375"/>
      <c r="H15" s="375"/>
    </row>
    <row r="16" spans="1:8" ht="66" customHeight="1">
      <c r="A16" s="375" t="s">
        <v>3610</v>
      </c>
      <c r="B16" s="375">
        <v>741124703</v>
      </c>
      <c r="C16" s="132" t="s">
        <v>3611</v>
      </c>
      <c r="D16" s="375" t="s">
        <v>2019</v>
      </c>
      <c r="E16" s="375">
        <v>400</v>
      </c>
      <c r="F16" s="545"/>
      <c r="G16" s="375">
        <f t="shared" si="0"/>
        <v>0</v>
      </c>
      <c r="H16" s="375" t="s">
        <v>3604</v>
      </c>
    </row>
    <row r="17" spans="1:8">
      <c r="A17" s="375" t="s">
        <v>3612</v>
      </c>
      <c r="B17" s="375">
        <v>742121001</v>
      </c>
      <c r="C17" s="132" t="s">
        <v>3613</v>
      </c>
      <c r="D17" s="375" t="s">
        <v>2019</v>
      </c>
      <c r="E17" s="375">
        <v>600</v>
      </c>
      <c r="F17" s="545"/>
      <c r="G17" s="375">
        <f t="shared" si="0"/>
        <v>0</v>
      </c>
      <c r="H17" s="375" t="s">
        <v>3604</v>
      </c>
    </row>
    <row r="18" spans="1:8" ht="84.6" customHeight="1">
      <c r="A18" s="375" t="s">
        <v>3614</v>
      </c>
      <c r="B18" s="375">
        <v>741120301</v>
      </c>
      <c r="C18" s="132" t="s">
        <v>3615</v>
      </c>
      <c r="D18" s="375" t="s">
        <v>2019</v>
      </c>
      <c r="E18" s="384">
        <v>20</v>
      </c>
      <c r="F18" s="545"/>
      <c r="G18" s="375">
        <f t="shared" si="0"/>
        <v>0</v>
      </c>
      <c r="H18" s="375" t="s">
        <v>3604</v>
      </c>
    </row>
    <row r="19" spans="1:8">
      <c r="A19" s="375"/>
      <c r="B19" s="375"/>
      <c r="D19" s="375"/>
      <c r="E19" s="375"/>
      <c r="F19" s="375"/>
      <c r="G19" s="375"/>
      <c r="H19" s="375"/>
    </row>
    <row r="20" spans="1:8">
      <c r="A20" s="375" t="s">
        <v>3616</v>
      </c>
      <c r="B20" s="375"/>
      <c r="D20" s="375"/>
      <c r="E20" s="375"/>
      <c r="F20" s="375"/>
      <c r="G20" s="375"/>
      <c r="H20" s="375"/>
    </row>
    <row r="21" spans="1:8">
      <c r="A21" s="375"/>
      <c r="B21" s="375"/>
      <c r="D21" s="375"/>
      <c r="E21" s="375"/>
      <c r="F21" s="375"/>
      <c r="G21" s="375"/>
      <c r="H21" s="375"/>
    </row>
    <row r="22" spans="1:8" ht="34.5" customHeight="1">
      <c r="A22" s="375" t="s">
        <v>3617</v>
      </c>
      <c r="B22" s="375" t="s">
        <v>3618</v>
      </c>
      <c r="C22" s="132" t="s">
        <v>3619</v>
      </c>
      <c r="D22" s="375" t="s">
        <v>3153</v>
      </c>
      <c r="E22" s="375">
        <v>8</v>
      </c>
      <c r="F22" s="545"/>
      <c r="G22" s="375">
        <f t="shared" si="0"/>
        <v>0</v>
      </c>
      <c r="H22" s="375" t="s">
        <v>3620</v>
      </c>
    </row>
    <row r="23" spans="1:8" ht="30">
      <c r="A23" s="375" t="s">
        <v>3621</v>
      </c>
      <c r="B23" s="375" t="s">
        <v>3622</v>
      </c>
      <c r="C23" s="132" t="s">
        <v>3623</v>
      </c>
      <c r="D23" s="375" t="s">
        <v>3153</v>
      </c>
      <c r="E23" s="375">
        <v>1</v>
      </c>
      <c r="F23" s="545"/>
      <c r="G23" s="375">
        <f t="shared" si="0"/>
        <v>0</v>
      </c>
      <c r="H23" s="375" t="s">
        <v>3620</v>
      </c>
    </row>
    <row r="24" spans="1:8">
      <c r="A24" s="375" t="s">
        <v>3624</v>
      </c>
      <c r="B24" s="375" t="s">
        <v>3625</v>
      </c>
      <c r="C24" s="132" t="s">
        <v>3626</v>
      </c>
      <c r="D24" s="375" t="s">
        <v>595</v>
      </c>
      <c r="E24" s="375">
        <v>1</v>
      </c>
      <c r="F24" s="545"/>
      <c r="G24" s="375">
        <f t="shared" si="0"/>
        <v>0</v>
      </c>
      <c r="H24" s="375" t="s">
        <v>3150</v>
      </c>
    </row>
    <row r="25" spans="1:8">
      <c r="A25" s="375"/>
      <c r="B25" s="375"/>
      <c r="D25" s="375"/>
      <c r="E25" s="375"/>
      <c r="F25" s="375"/>
      <c r="G25" s="375"/>
      <c r="H25" s="375"/>
    </row>
    <row r="26" spans="1:8">
      <c r="A26" s="375" t="s">
        <v>3627</v>
      </c>
      <c r="B26" s="375"/>
      <c r="D26" s="375"/>
      <c r="E26" s="375"/>
      <c r="F26" s="375"/>
      <c r="G26" s="375"/>
      <c r="H26" s="375"/>
    </row>
    <row r="27" spans="1:8">
      <c r="A27" s="375"/>
      <c r="B27" s="375"/>
      <c r="D27" s="375"/>
      <c r="E27" s="375"/>
      <c r="F27" s="375"/>
      <c r="G27" s="375"/>
      <c r="H27" s="375"/>
    </row>
    <row r="28" spans="1:8" ht="44.1" customHeight="1">
      <c r="A28" s="375" t="s">
        <v>3628</v>
      </c>
      <c r="B28" s="375">
        <v>741110511</v>
      </c>
      <c r="C28" s="132" t="s">
        <v>3629</v>
      </c>
      <c r="D28" s="375" t="s">
        <v>2019</v>
      </c>
      <c r="E28" s="375">
        <v>100</v>
      </c>
      <c r="F28" s="545"/>
      <c r="G28" s="375">
        <f t="shared" si="0"/>
        <v>0</v>
      </c>
      <c r="H28" s="375" t="s">
        <v>3604</v>
      </c>
    </row>
    <row r="29" spans="1:8" ht="63.6" customHeight="1">
      <c r="A29" s="375" t="s">
        <v>3630</v>
      </c>
      <c r="B29" s="375">
        <v>741110041</v>
      </c>
      <c r="C29" s="132" t="s">
        <v>3631</v>
      </c>
      <c r="D29" s="375" t="s">
        <v>2019</v>
      </c>
      <c r="E29" s="375">
        <v>300</v>
      </c>
      <c r="F29" s="545"/>
      <c r="G29" s="375">
        <f t="shared" si="0"/>
        <v>0</v>
      </c>
      <c r="H29" s="375" t="s">
        <v>3604</v>
      </c>
    </row>
    <row r="30" spans="1:8">
      <c r="A30" s="375" t="s">
        <v>3632</v>
      </c>
      <c r="B30" s="375" t="s">
        <v>3633</v>
      </c>
      <c r="C30" s="132" t="s">
        <v>3634</v>
      </c>
      <c r="D30" s="375" t="s">
        <v>3153</v>
      </c>
      <c r="E30" s="375">
        <v>0.5</v>
      </c>
      <c r="F30" s="545"/>
      <c r="G30" s="375">
        <f t="shared" si="0"/>
        <v>0</v>
      </c>
      <c r="H30" s="375" t="s">
        <v>3635</v>
      </c>
    </row>
    <row r="31" spans="1:8" ht="66" customHeight="1">
      <c r="A31" s="375" t="s">
        <v>3636</v>
      </c>
      <c r="B31" s="375">
        <v>460932111</v>
      </c>
      <c r="C31" s="132" t="s">
        <v>3637</v>
      </c>
      <c r="D31" s="375" t="s">
        <v>595</v>
      </c>
      <c r="E31" s="375">
        <v>450</v>
      </c>
      <c r="F31" s="546"/>
      <c r="G31" s="375">
        <f t="shared" si="0"/>
        <v>0</v>
      </c>
      <c r="H31" s="375" t="s">
        <v>3604</v>
      </c>
    </row>
    <row r="32" spans="1:8">
      <c r="A32" s="375"/>
      <c r="B32" s="375"/>
      <c r="D32" s="375"/>
      <c r="E32" s="375"/>
      <c r="F32" s="375"/>
      <c r="G32" s="375"/>
      <c r="H32" s="375"/>
    </row>
    <row r="33" spans="1:8">
      <c r="A33" s="375" t="s">
        <v>3638</v>
      </c>
      <c r="B33" s="375"/>
      <c r="D33" s="375"/>
      <c r="E33" s="375"/>
      <c r="F33" s="375"/>
      <c r="G33" s="375"/>
      <c r="H33" s="375"/>
    </row>
    <row r="34" spans="1:8">
      <c r="A34" s="375"/>
      <c r="B34" s="375"/>
      <c r="D34" s="375"/>
      <c r="E34" s="375"/>
      <c r="F34" s="375"/>
      <c r="G34" s="375"/>
      <c r="H34" s="375"/>
    </row>
    <row r="35" spans="1:8" ht="65.099999999999994" customHeight="1">
      <c r="A35" s="375" t="s">
        <v>3639</v>
      </c>
      <c r="B35" s="375">
        <v>741920051</v>
      </c>
      <c r="C35" s="132" t="s">
        <v>3640</v>
      </c>
      <c r="D35" s="375" t="s">
        <v>2398</v>
      </c>
      <c r="E35" s="375">
        <v>0.4</v>
      </c>
      <c r="F35" s="545"/>
      <c r="G35" s="375">
        <f t="shared" si="0"/>
        <v>0</v>
      </c>
      <c r="H35" s="375" t="s">
        <v>3604</v>
      </c>
    </row>
    <row r="36" spans="1:8" ht="71.45" customHeight="1">
      <c r="A36" s="375" t="s">
        <v>3641</v>
      </c>
      <c r="B36" s="375">
        <v>741920061</v>
      </c>
      <c r="C36" s="132" t="s">
        <v>3642</v>
      </c>
      <c r="D36" s="375" t="s">
        <v>2398</v>
      </c>
      <c r="E36" s="375">
        <v>0.3</v>
      </c>
      <c r="F36" s="545"/>
      <c r="G36" s="375">
        <f t="shared" si="0"/>
        <v>0</v>
      </c>
      <c r="H36" s="375" t="s">
        <v>3604</v>
      </c>
    </row>
    <row r="37" spans="1:8">
      <c r="A37" s="375"/>
      <c r="B37" s="375"/>
      <c r="D37" s="375"/>
      <c r="E37" s="375"/>
      <c r="F37" s="375"/>
      <c r="G37" s="375"/>
      <c r="H37" s="375"/>
    </row>
    <row r="38" spans="1:8">
      <c r="A38" s="375" t="s">
        <v>3643</v>
      </c>
      <c r="B38" s="375"/>
      <c r="D38" s="375"/>
      <c r="E38" s="375"/>
      <c r="F38" s="375"/>
      <c r="G38" s="375"/>
      <c r="H38" s="375"/>
    </row>
    <row r="39" spans="1:8">
      <c r="A39" s="375"/>
      <c r="B39" s="375"/>
      <c r="D39" s="375"/>
      <c r="E39" s="375"/>
      <c r="F39" s="375"/>
      <c r="G39" s="375"/>
      <c r="H39" s="375"/>
    </row>
    <row r="40" spans="1:8" ht="108.95" customHeight="1">
      <c r="A40" s="375" t="s">
        <v>3644</v>
      </c>
      <c r="B40" s="375" t="s">
        <v>3645</v>
      </c>
      <c r="C40" s="132" t="s">
        <v>3646</v>
      </c>
      <c r="D40" s="375" t="s">
        <v>3153</v>
      </c>
      <c r="E40" s="375">
        <v>4</v>
      </c>
      <c r="F40" s="545"/>
      <c r="G40" s="375">
        <f t="shared" si="0"/>
        <v>0</v>
      </c>
      <c r="H40" s="375" t="s">
        <v>3620</v>
      </c>
    </row>
    <row r="41" spans="1:8">
      <c r="A41" s="375" t="s">
        <v>3647</v>
      </c>
      <c r="B41" s="375" t="s">
        <v>3648</v>
      </c>
      <c r="C41" s="132" t="s">
        <v>3649</v>
      </c>
      <c r="D41" s="375" t="s">
        <v>3153</v>
      </c>
      <c r="E41" s="375">
        <v>4</v>
      </c>
      <c r="F41" s="545"/>
      <c r="G41" s="375">
        <f t="shared" si="0"/>
        <v>0</v>
      </c>
      <c r="H41" s="375" t="s">
        <v>3620</v>
      </c>
    </row>
    <row r="42" spans="1:8" ht="44.1" customHeight="1">
      <c r="A42" s="375" t="s">
        <v>3650</v>
      </c>
      <c r="B42" s="375" t="s">
        <v>3651</v>
      </c>
      <c r="C42" s="132" t="s">
        <v>3652</v>
      </c>
      <c r="D42" s="375" t="s">
        <v>3153</v>
      </c>
      <c r="E42" s="375">
        <v>5</v>
      </c>
      <c r="F42" s="545"/>
      <c r="G42" s="375">
        <f t="shared" si="0"/>
        <v>0</v>
      </c>
      <c r="H42" s="375" t="s">
        <v>3620</v>
      </c>
    </row>
    <row r="43" spans="1:8">
      <c r="A43" s="375" t="s">
        <v>3653</v>
      </c>
      <c r="B43" s="375" t="s">
        <v>3654</v>
      </c>
      <c r="C43" s="132" t="s">
        <v>3655</v>
      </c>
      <c r="D43" s="375" t="s">
        <v>3153</v>
      </c>
      <c r="E43" s="375">
        <v>6</v>
      </c>
      <c r="F43" s="545"/>
      <c r="G43" s="375">
        <f t="shared" si="0"/>
        <v>0</v>
      </c>
      <c r="H43" s="375" t="s">
        <v>3620</v>
      </c>
    </row>
    <row r="44" spans="1:8">
      <c r="A44" s="375" t="s">
        <v>3656</v>
      </c>
      <c r="B44" s="375" t="s">
        <v>3657</v>
      </c>
      <c r="C44" s="132" t="s">
        <v>3658</v>
      </c>
      <c r="D44" s="375" t="s">
        <v>3153</v>
      </c>
      <c r="E44" s="375">
        <v>6</v>
      </c>
      <c r="F44" s="545"/>
      <c r="G44" s="375">
        <f t="shared" si="0"/>
        <v>0</v>
      </c>
      <c r="H44" s="375" t="s">
        <v>3620</v>
      </c>
    </row>
    <row r="45" spans="1:8" ht="56.1" customHeight="1">
      <c r="A45" s="375" t="s">
        <v>3659</v>
      </c>
      <c r="B45" s="375" t="s">
        <v>3660</v>
      </c>
      <c r="C45" s="132" t="s">
        <v>3661</v>
      </c>
      <c r="D45" s="375" t="s">
        <v>3153</v>
      </c>
      <c r="E45" s="375">
        <v>8</v>
      </c>
      <c r="F45" s="545"/>
      <c r="G45" s="375">
        <f t="shared" si="0"/>
        <v>0</v>
      </c>
      <c r="H45" s="375" t="s">
        <v>3620</v>
      </c>
    </row>
    <row r="46" spans="1:8">
      <c r="A46" s="375" t="s">
        <v>3662</v>
      </c>
      <c r="B46" s="375" t="s">
        <v>3663</v>
      </c>
      <c r="C46" s="132" t="s">
        <v>3664</v>
      </c>
      <c r="D46" s="375" t="s">
        <v>3153</v>
      </c>
      <c r="E46" s="375">
        <v>1</v>
      </c>
      <c r="F46" s="545"/>
      <c r="G46" s="375">
        <f t="shared" si="0"/>
        <v>0</v>
      </c>
      <c r="H46" s="375" t="s">
        <v>3620</v>
      </c>
    </row>
    <row r="47" spans="1:8">
      <c r="A47" s="375" t="s">
        <v>3665</v>
      </c>
      <c r="B47" s="375" t="s">
        <v>3666</v>
      </c>
      <c r="C47" s="132" t="s">
        <v>3667</v>
      </c>
      <c r="D47" s="375" t="s">
        <v>3153</v>
      </c>
      <c r="E47" s="375">
        <v>4</v>
      </c>
      <c r="F47" s="545"/>
      <c r="G47" s="375">
        <f t="shared" si="0"/>
        <v>0</v>
      </c>
      <c r="H47" s="375" t="s">
        <v>3620</v>
      </c>
    </row>
    <row r="48" spans="1:8" ht="57.95" customHeight="1">
      <c r="A48" s="375" t="s">
        <v>3668</v>
      </c>
      <c r="B48" s="375">
        <v>741810001</v>
      </c>
      <c r="C48" s="132" t="s">
        <v>3669</v>
      </c>
      <c r="D48" s="375" t="s">
        <v>595</v>
      </c>
      <c r="E48" s="375">
        <v>1</v>
      </c>
      <c r="F48" s="545"/>
      <c r="G48" s="375">
        <f t="shared" si="0"/>
        <v>0</v>
      </c>
      <c r="H48" s="375" t="s">
        <v>3670</v>
      </c>
    </row>
    <row r="49" spans="1:8" ht="46.5" customHeight="1">
      <c r="A49" s="375" t="s">
        <v>3671</v>
      </c>
      <c r="B49" s="375" t="s">
        <v>3672</v>
      </c>
      <c r="C49" s="132" t="s">
        <v>3673</v>
      </c>
      <c r="D49" s="375" t="s">
        <v>3153</v>
      </c>
      <c r="E49" s="375">
        <v>16</v>
      </c>
      <c r="F49" s="545"/>
      <c r="G49" s="375">
        <f t="shared" si="0"/>
        <v>0</v>
      </c>
      <c r="H49" s="375" t="s">
        <v>3620</v>
      </c>
    </row>
    <row r="50" spans="1:8">
      <c r="A50" s="375" t="s">
        <v>3674</v>
      </c>
      <c r="B50" s="375" t="s">
        <v>3675</v>
      </c>
      <c r="C50" s="132" t="s">
        <v>3169</v>
      </c>
      <c r="D50" s="375" t="s">
        <v>3153</v>
      </c>
      <c r="E50" s="375">
        <v>4</v>
      </c>
      <c r="F50" s="545"/>
      <c r="G50" s="375">
        <f t="shared" si="0"/>
        <v>0</v>
      </c>
      <c r="H50" s="375" t="s">
        <v>3620</v>
      </c>
    </row>
    <row r="51" spans="1:8">
      <c r="A51" s="375"/>
      <c r="B51" s="375"/>
      <c r="D51" s="375"/>
      <c r="E51" s="375"/>
      <c r="F51" s="375"/>
      <c r="G51" s="375"/>
      <c r="H51" s="375"/>
    </row>
    <row r="52" spans="1:8">
      <c r="A52" s="375"/>
      <c r="B52" s="375"/>
      <c r="D52" s="375"/>
      <c r="E52" s="375"/>
      <c r="F52" s="375"/>
      <c r="G52" s="375"/>
      <c r="H52" s="375"/>
    </row>
    <row r="53" spans="1:8" ht="18.600000000000001" customHeight="1">
      <c r="A53" s="375"/>
      <c r="B53" s="375"/>
      <c r="C53" s="132" t="s">
        <v>3676</v>
      </c>
      <c r="D53" s="375"/>
      <c r="E53" s="375"/>
      <c r="F53" s="375"/>
      <c r="G53" s="545"/>
      <c r="H53" s="375"/>
    </row>
    <row r="54" spans="1:8">
      <c r="A54" s="375"/>
      <c r="B54" s="375"/>
      <c r="D54" s="375"/>
      <c r="E54" s="375"/>
      <c r="F54" s="375"/>
      <c r="G54" s="375"/>
      <c r="H54" s="375"/>
    </row>
    <row r="55" spans="1:8">
      <c r="A55" s="375"/>
      <c r="B55" s="375"/>
      <c r="D55" s="375"/>
      <c r="E55" s="375"/>
      <c r="F55" s="375"/>
      <c r="G55" s="375"/>
      <c r="H55" s="375"/>
    </row>
    <row r="56" spans="1:8">
      <c r="A56" s="375"/>
      <c r="B56" s="375"/>
      <c r="D56" s="375"/>
      <c r="E56" s="375"/>
      <c r="F56" s="375"/>
      <c r="G56" s="375"/>
      <c r="H56" s="375"/>
    </row>
    <row r="57" spans="1:8">
      <c r="A57" s="375"/>
      <c r="B57" s="375"/>
      <c r="D57" s="375"/>
      <c r="E57" s="375"/>
      <c r="F57" s="375"/>
      <c r="G57" s="375"/>
      <c r="H57" s="375"/>
    </row>
    <row r="58" spans="1:8">
      <c r="A58" s="375"/>
      <c r="B58" s="375"/>
      <c r="D58" s="375"/>
      <c r="E58" s="375"/>
      <c r="F58" s="375"/>
      <c r="G58" s="375"/>
      <c r="H58" s="375"/>
    </row>
    <row r="59" spans="1:8">
      <c r="A59" s="375"/>
      <c r="B59" s="375"/>
      <c r="D59" s="375"/>
      <c r="E59" s="375"/>
      <c r="F59" s="375"/>
      <c r="G59" s="375"/>
      <c r="H59" s="375"/>
    </row>
    <row r="60" spans="1:8">
      <c r="A60" s="375"/>
      <c r="B60" s="385" t="s">
        <v>3677</v>
      </c>
      <c r="C60" s="386"/>
      <c r="D60" s="385"/>
      <c r="E60" s="385"/>
      <c r="F60" s="385"/>
      <c r="G60" s="387">
        <f>SUM(G10:G58)</f>
        <v>0</v>
      </c>
      <c r="H60" s="375"/>
    </row>
    <row r="61" spans="1:8">
      <c r="A61" s="375"/>
      <c r="B61" s="375"/>
      <c r="D61" s="375"/>
      <c r="E61" s="375"/>
      <c r="F61" s="375"/>
      <c r="G61" s="375"/>
      <c r="H61" s="375"/>
    </row>
    <row r="62" spans="1:8">
      <c r="A62" s="375"/>
      <c r="B62" s="375"/>
      <c r="D62" s="375"/>
      <c r="E62" s="375"/>
      <c r="F62" s="375"/>
      <c r="G62" s="375"/>
      <c r="H62" s="375"/>
    </row>
  </sheetData>
  <pageMargins left="0.7" right="0.7" top="0.78740157499999996" bottom="0.78740157499999996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A1:I45"/>
  <sheetViews>
    <sheetView showOutlineSymbols="0" topLeftCell="A4" zoomScaleNormal="100" workbookViewId="0">
      <selection activeCell="G21" sqref="G21"/>
    </sheetView>
  </sheetViews>
  <sheetFormatPr defaultColWidth="21.25" defaultRowHeight="15" customHeight="1"/>
  <cols>
    <col min="1" max="1" width="16"/>
    <col min="2" max="2" width="22.5"/>
    <col min="3" max="3" width="40"/>
    <col min="4" max="4" width="17.5"/>
    <col min="5" max="5" width="24.5"/>
    <col min="6" max="6" width="40"/>
    <col min="7" max="7" width="16"/>
    <col min="8" max="8" width="30"/>
    <col min="9" max="9" width="40"/>
  </cols>
  <sheetData>
    <row r="1" spans="1:9" ht="54.75" customHeight="1">
      <c r="A1" s="581" t="s">
        <v>348</v>
      </c>
      <c r="B1" s="582"/>
      <c r="C1" s="582"/>
      <c r="D1" s="582"/>
      <c r="E1" s="582"/>
      <c r="F1" s="582"/>
      <c r="G1" s="582"/>
      <c r="H1" s="582"/>
      <c r="I1" s="582"/>
    </row>
    <row r="2" spans="1:9" ht="15" customHeight="1">
      <c r="A2" s="583" t="s">
        <v>178</v>
      </c>
      <c r="B2" s="584"/>
      <c r="C2" s="595" t="str">
        <f>'Stavební rozpočet'!C2</f>
        <v>Obecní dům Vavřineč</v>
      </c>
      <c r="D2" s="596"/>
      <c r="E2" s="588" t="s">
        <v>2059</v>
      </c>
      <c r="F2" s="588" t="str">
        <f>'Stavební rozpočet'!I2</f>
        <v>Obec Malý Újezd</v>
      </c>
      <c r="G2" s="584"/>
      <c r="H2" s="588" t="s">
        <v>1572</v>
      </c>
      <c r="I2" s="589" t="s">
        <v>964</v>
      </c>
    </row>
    <row r="3" spans="1:9" ht="15" customHeight="1">
      <c r="A3" s="585"/>
      <c r="B3" s="579"/>
      <c r="C3" s="597"/>
      <c r="D3" s="597"/>
      <c r="E3" s="579"/>
      <c r="F3" s="579"/>
      <c r="G3" s="579"/>
      <c r="H3" s="579"/>
      <c r="I3" s="590"/>
    </row>
    <row r="4" spans="1:9" ht="15" customHeight="1">
      <c r="A4" s="586" t="s">
        <v>1327</v>
      </c>
      <c r="B4" s="579"/>
      <c r="C4" s="578" t="str">
        <f>'Stavební rozpočet'!C4</f>
        <v>Rekonstrukce a rozšíření objektu</v>
      </c>
      <c r="D4" s="579"/>
      <c r="E4" s="578" t="s">
        <v>1678</v>
      </c>
      <c r="F4" s="578" t="str">
        <f>'Stavební rozpočet'!I4</f>
        <v> </v>
      </c>
      <c r="G4" s="579"/>
      <c r="H4" s="578" t="s">
        <v>1572</v>
      </c>
      <c r="I4" s="590" t="s">
        <v>1683</v>
      </c>
    </row>
    <row r="5" spans="1:9" ht="15" customHeight="1">
      <c r="A5" s="585"/>
      <c r="B5" s="579"/>
      <c r="C5" s="579"/>
      <c r="D5" s="579"/>
      <c r="E5" s="579"/>
      <c r="F5" s="579"/>
      <c r="G5" s="579"/>
      <c r="H5" s="579"/>
      <c r="I5" s="590"/>
    </row>
    <row r="6" spans="1:9" ht="15" customHeight="1">
      <c r="A6" s="586" t="s">
        <v>217</v>
      </c>
      <c r="B6" s="579"/>
      <c r="C6" s="578" t="str">
        <f>'Stavební rozpočet'!C6</f>
        <v>Malý Újezd Vavřineč</v>
      </c>
      <c r="D6" s="579"/>
      <c r="E6" s="578" t="s">
        <v>2143</v>
      </c>
      <c r="F6" s="578" t="str">
        <f>'Stavební rozpočet'!I6</f>
        <v>vzejde z výberového řízení</v>
      </c>
      <c r="G6" s="579"/>
      <c r="H6" s="578" t="s">
        <v>1572</v>
      </c>
      <c r="I6" s="590" t="s">
        <v>1683</v>
      </c>
    </row>
    <row r="7" spans="1:9" ht="15" customHeight="1">
      <c r="A7" s="585"/>
      <c r="B7" s="579"/>
      <c r="C7" s="579"/>
      <c r="D7" s="579"/>
      <c r="E7" s="579"/>
      <c r="F7" s="579"/>
      <c r="G7" s="579"/>
      <c r="H7" s="579"/>
      <c r="I7" s="590"/>
    </row>
    <row r="8" spans="1:9" ht="15" customHeight="1">
      <c r="A8" s="586" t="s">
        <v>2168</v>
      </c>
      <c r="B8" s="579"/>
      <c r="C8" s="578" t="str">
        <f>'Stavební rozpočet'!F4</f>
        <v xml:space="preserve"> </v>
      </c>
      <c r="D8" s="579"/>
      <c r="E8" s="578" t="s">
        <v>782</v>
      </c>
      <c r="F8" s="578" t="str">
        <f>'Stavební rozpočet'!F6</f>
        <v xml:space="preserve"> </v>
      </c>
      <c r="G8" s="579"/>
      <c r="H8" s="579" t="s">
        <v>2462</v>
      </c>
      <c r="I8" s="591">
        <v>635</v>
      </c>
    </row>
    <row r="9" spans="1:9" ht="15" customHeight="1">
      <c r="A9" s="585"/>
      <c r="B9" s="579"/>
      <c r="C9" s="579"/>
      <c r="D9" s="579"/>
      <c r="E9" s="579"/>
      <c r="F9" s="579"/>
      <c r="G9" s="579"/>
      <c r="H9" s="579"/>
      <c r="I9" s="590"/>
    </row>
    <row r="10" spans="1:9" ht="15" customHeight="1">
      <c r="A10" s="586" t="s">
        <v>1182</v>
      </c>
      <c r="B10" s="579"/>
      <c r="C10" s="578" t="str">
        <f>'Stavební rozpočet'!C8</f>
        <v>8018912</v>
      </c>
      <c r="D10" s="579"/>
      <c r="E10" s="578" t="s">
        <v>1608</v>
      </c>
      <c r="F10" s="578" t="str">
        <f>'Stavební rozpočet'!I8</f>
        <v>Ing. Jiří Šír - VISTA</v>
      </c>
      <c r="G10" s="579"/>
      <c r="H10" s="579" t="s">
        <v>2379</v>
      </c>
      <c r="I10" s="592">
        <f>'Stavební rozpočet'!F8</f>
        <v>45231</v>
      </c>
    </row>
    <row r="11" spans="1:9" ht="15" customHeight="1">
      <c r="A11" s="587"/>
      <c r="B11" s="580"/>
      <c r="C11" s="580"/>
      <c r="D11" s="580"/>
      <c r="E11" s="580"/>
      <c r="F11" s="580"/>
      <c r="G11" s="580"/>
      <c r="H11" s="580"/>
      <c r="I11" s="593"/>
    </row>
    <row r="13" spans="1:9" ht="15.75" customHeight="1">
      <c r="A13" s="624" t="s">
        <v>910</v>
      </c>
      <c r="B13" s="624"/>
      <c r="C13" s="624"/>
      <c r="D13" s="624"/>
      <c r="E13" s="624"/>
    </row>
    <row r="14" spans="1:9" ht="15" customHeight="1">
      <c r="A14" s="631" t="s">
        <v>2732</v>
      </c>
      <c r="B14" s="632"/>
      <c r="C14" s="632"/>
      <c r="D14" s="632"/>
      <c r="E14" s="633"/>
      <c r="F14" s="105" t="s">
        <v>2537</v>
      </c>
      <c r="G14" s="105" t="s">
        <v>2149</v>
      </c>
      <c r="H14" s="105" t="s">
        <v>591</v>
      </c>
      <c r="I14" s="105" t="s">
        <v>2537</v>
      </c>
    </row>
    <row r="15" spans="1:9" ht="15" customHeight="1">
      <c r="A15" s="587" t="s">
        <v>1754</v>
      </c>
      <c r="B15" s="580"/>
      <c r="C15" s="580"/>
      <c r="D15" s="580"/>
      <c r="E15" s="593"/>
      <c r="F15" s="88">
        <v>0</v>
      </c>
      <c r="G15" s="4" t="s">
        <v>1683</v>
      </c>
      <c r="H15" s="4" t="s">
        <v>1683</v>
      </c>
      <c r="I15" s="88">
        <f>F15</f>
        <v>0</v>
      </c>
    </row>
    <row r="16" spans="1:9" ht="15" customHeight="1">
      <c r="A16" s="587" t="s">
        <v>240</v>
      </c>
      <c r="B16" s="580"/>
      <c r="C16" s="580"/>
      <c r="D16" s="580"/>
      <c r="E16" s="593"/>
      <c r="F16" s="88">
        <v>0</v>
      </c>
      <c r="G16" s="4" t="s">
        <v>1683</v>
      </c>
      <c r="H16" s="4" t="s">
        <v>1683</v>
      </c>
      <c r="I16" s="88">
        <f>F16</f>
        <v>0</v>
      </c>
    </row>
    <row r="17" spans="1:9" ht="15" customHeight="1">
      <c r="A17" s="585" t="s">
        <v>1803</v>
      </c>
      <c r="B17" s="579"/>
      <c r="C17" s="579"/>
      <c r="D17" s="579"/>
      <c r="E17" s="590"/>
      <c r="F17" s="36">
        <v>0</v>
      </c>
      <c r="G17" s="8" t="s">
        <v>1683</v>
      </c>
      <c r="H17" s="8" t="s">
        <v>1683</v>
      </c>
      <c r="I17" s="36">
        <f>F17</f>
        <v>0</v>
      </c>
    </row>
    <row r="18" spans="1:9" ht="15" customHeight="1">
      <c r="A18" s="625" t="s">
        <v>2631</v>
      </c>
      <c r="B18" s="626"/>
      <c r="C18" s="626"/>
      <c r="D18" s="626"/>
      <c r="E18" s="627"/>
      <c r="F18" s="17" t="s">
        <v>1683</v>
      </c>
      <c r="G18" s="107" t="s">
        <v>1683</v>
      </c>
      <c r="H18" s="107" t="s">
        <v>1683</v>
      </c>
      <c r="I18" s="99">
        <f>SUM(I15:I17)</f>
        <v>0</v>
      </c>
    </row>
    <row r="20" spans="1:9" ht="15" customHeight="1">
      <c r="A20" s="631" t="s">
        <v>441</v>
      </c>
      <c r="B20" s="632"/>
      <c r="C20" s="632"/>
      <c r="D20" s="632"/>
      <c r="E20" s="633"/>
      <c r="F20" s="105" t="s">
        <v>2537</v>
      </c>
      <c r="G20" s="105" t="s">
        <v>2149</v>
      </c>
      <c r="H20" s="105" t="s">
        <v>591</v>
      </c>
      <c r="I20" s="105" t="s">
        <v>2537</v>
      </c>
    </row>
    <row r="21" spans="1:9" ht="15" customHeight="1">
      <c r="A21" s="587" t="s">
        <v>247</v>
      </c>
      <c r="B21" s="580"/>
      <c r="C21" s="580"/>
      <c r="D21" s="580"/>
      <c r="E21" s="593"/>
      <c r="F21" s="4" t="s">
        <v>1683</v>
      </c>
      <c r="G21" s="571"/>
      <c r="H21" s="88">
        <f>'Krycí list rozpočtu'!C22</f>
        <v>0</v>
      </c>
      <c r="I21" s="88">
        <f>ROUND((G21/100)*H21,2)</f>
        <v>0</v>
      </c>
    </row>
    <row r="22" spans="1:9" ht="15" customHeight="1">
      <c r="A22" s="587" t="s">
        <v>1928</v>
      </c>
      <c r="B22" s="580"/>
      <c r="C22" s="580"/>
      <c r="D22" s="580"/>
      <c r="E22" s="593"/>
      <c r="F22" s="88">
        <v>0</v>
      </c>
      <c r="G22" s="4" t="s">
        <v>1683</v>
      </c>
      <c r="H22" s="4" t="s">
        <v>1683</v>
      </c>
      <c r="I22" s="88">
        <f>F22</f>
        <v>0</v>
      </c>
    </row>
    <row r="23" spans="1:9" ht="15" customHeight="1">
      <c r="A23" s="587" t="s">
        <v>2349</v>
      </c>
      <c r="B23" s="580"/>
      <c r="C23" s="580"/>
      <c r="D23" s="580"/>
      <c r="E23" s="593"/>
      <c r="F23" s="88">
        <v>0</v>
      </c>
      <c r="G23" s="4" t="s">
        <v>1683</v>
      </c>
      <c r="H23" s="4" t="s">
        <v>1683</v>
      </c>
      <c r="I23" s="88">
        <f>F23</f>
        <v>0</v>
      </c>
    </row>
    <row r="24" spans="1:9" ht="15" customHeight="1">
      <c r="A24" s="587" t="s">
        <v>1285</v>
      </c>
      <c r="B24" s="580"/>
      <c r="C24" s="580"/>
      <c r="D24" s="580"/>
      <c r="E24" s="593"/>
      <c r="F24" s="88">
        <v>0</v>
      </c>
      <c r="G24" s="4" t="s">
        <v>1683</v>
      </c>
      <c r="H24" s="4" t="s">
        <v>1683</v>
      </c>
      <c r="I24" s="88">
        <f>F24</f>
        <v>0</v>
      </c>
    </row>
    <row r="25" spans="1:9" ht="15" customHeight="1">
      <c r="A25" s="587" t="s">
        <v>1578</v>
      </c>
      <c r="B25" s="580"/>
      <c r="C25" s="580"/>
      <c r="D25" s="580"/>
      <c r="E25" s="593"/>
      <c r="F25" s="88">
        <v>0</v>
      </c>
      <c r="G25" s="4" t="s">
        <v>1683</v>
      </c>
      <c r="H25" s="4" t="s">
        <v>1683</v>
      </c>
      <c r="I25" s="88">
        <f>F25</f>
        <v>0</v>
      </c>
    </row>
    <row r="26" spans="1:9" ht="15" customHeight="1">
      <c r="A26" s="585" t="s">
        <v>2414</v>
      </c>
      <c r="B26" s="579"/>
      <c r="C26" s="579"/>
      <c r="D26" s="579"/>
      <c r="E26" s="590"/>
      <c r="F26" s="36">
        <v>0</v>
      </c>
      <c r="G26" s="8" t="s">
        <v>1683</v>
      </c>
      <c r="H26" s="8" t="s">
        <v>1683</v>
      </c>
      <c r="I26" s="36">
        <f>F26</f>
        <v>0</v>
      </c>
    </row>
    <row r="27" spans="1:9" ht="15" customHeight="1">
      <c r="A27" s="625" t="s">
        <v>978</v>
      </c>
      <c r="B27" s="626"/>
      <c r="C27" s="626"/>
      <c r="D27" s="626"/>
      <c r="E27" s="627"/>
      <c r="F27" s="17" t="s">
        <v>1683</v>
      </c>
      <c r="G27" s="107" t="s">
        <v>1683</v>
      </c>
      <c r="H27" s="107" t="s">
        <v>1683</v>
      </c>
      <c r="I27" s="99">
        <f>SUM(I21:I26)</f>
        <v>0</v>
      </c>
    </row>
    <row r="29" spans="1:9" ht="15.75" customHeight="1">
      <c r="A29" s="628" t="s">
        <v>2565</v>
      </c>
      <c r="B29" s="629"/>
      <c r="C29" s="629"/>
      <c r="D29" s="629"/>
      <c r="E29" s="630"/>
      <c r="F29" s="634">
        <f>I18+I27</f>
        <v>0</v>
      </c>
      <c r="G29" s="635"/>
      <c r="H29" s="635"/>
      <c r="I29" s="636"/>
    </row>
    <row r="33" spans="1:9" ht="15.75" customHeight="1">
      <c r="A33" s="624" t="s">
        <v>2507</v>
      </c>
      <c r="B33" s="624"/>
      <c r="C33" s="624"/>
      <c r="D33" s="624"/>
      <c r="E33" s="624"/>
    </row>
    <row r="34" spans="1:9" ht="15" customHeight="1">
      <c r="A34" s="631" t="s">
        <v>2615</v>
      </c>
      <c r="B34" s="632"/>
      <c r="C34" s="632"/>
      <c r="D34" s="632"/>
      <c r="E34" s="633"/>
      <c r="F34" s="105" t="s">
        <v>2537</v>
      </c>
      <c r="G34" s="105" t="s">
        <v>2149</v>
      </c>
      <c r="H34" s="105" t="s">
        <v>591</v>
      </c>
      <c r="I34" s="105" t="s">
        <v>2537</v>
      </c>
    </row>
    <row r="35" spans="1:9" ht="15" customHeight="1">
      <c r="A35" s="587" t="s">
        <v>740</v>
      </c>
      <c r="B35" s="580"/>
      <c r="C35" s="580"/>
      <c r="D35" s="580"/>
      <c r="E35" s="593"/>
      <c r="F35" s="571"/>
      <c r="G35" s="4" t="s">
        <v>1683</v>
      </c>
      <c r="H35" s="4" t="s">
        <v>1683</v>
      </c>
      <c r="I35" s="88">
        <f>F35</f>
        <v>0</v>
      </c>
    </row>
    <row r="36" spans="1:9" ht="15" customHeight="1">
      <c r="A36" s="587" t="s">
        <v>2306</v>
      </c>
      <c r="B36" s="580"/>
      <c r="C36" s="580"/>
      <c r="D36" s="580"/>
      <c r="E36" s="593"/>
      <c r="F36" s="571"/>
      <c r="G36" s="4" t="s">
        <v>1683</v>
      </c>
      <c r="H36" s="4" t="s">
        <v>1683</v>
      </c>
      <c r="I36" s="88">
        <f t="shared" ref="I36:I44" si="0">F36</f>
        <v>0</v>
      </c>
    </row>
    <row r="37" spans="1:9" ht="15" customHeight="1">
      <c r="A37" s="587" t="s">
        <v>1894</v>
      </c>
      <c r="B37" s="580"/>
      <c r="C37" s="580"/>
      <c r="D37" s="580"/>
      <c r="E37" s="593"/>
      <c r="F37" s="571"/>
      <c r="G37" s="4" t="s">
        <v>1683</v>
      </c>
      <c r="H37" s="4" t="s">
        <v>1683</v>
      </c>
      <c r="I37" s="88">
        <f t="shared" si="0"/>
        <v>0</v>
      </c>
    </row>
    <row r="38" spans="1:9" ht="15" customHeight="1">
      <c r="A38" s="587" t="s">
        <v>731</v>
      </c>
      <c r="B38" s="580"/>
      <c r="C38" s="580"/>
      <c r="D38" s="580"/>
      <c r="E38" s="593"/>
      <c r="F38" s="571"/>
      <c r="G38" s="4" t="s">
        <v>1683</v>
      </c>
      <c r="H38" s="4" t="s">
        <v>1683</v>
      </c>
      <c r="I38" s="88">
        <f t="shared" si="0"/>
        <v>0</v>
      </c>
    </row>
    <row r="39" spans="1:9" ht="15" customHeight="1">
      <c r="A39" s="587" t="s">
        <v>2234</v>
      </c>
      <c r="B39" s="580"/>
      <c r="C39" s="580"/>
      <c r="D39" s="580"/>
      <c r="E39" s="593"/>
      <c r="F39" s="571"/>
      <c r="G39" s="4" t="s">
        <v>1683</v>
      </c>
      <c r="H39" s="4" t="s">
        <v>1683</v>
      </c>
      <c r="I39" s="88">
        <f t="shared" si="0"/>
        <v>0</v>
      </c>
    </row>
    <row r="40" spans="1:9" ht="15" customHeight="1">
      <c r="A40" s="587" t="s">
        <v>1104</v>
      </c>
      <c r="B40" s="580"/>
      <c r="C40" s="580"/>
      <c r="D40" s="580"/>
      <c r="E40" s="593"/>
      <c r="F40" s="571"/>
      <c r="G40" s="4" t="s">
        <v>1683</v>
      </c>
      <c r="H40" s="4" t="s">
        <v>1683</v>
      </c>
      <c r="I40" s="88">
        <f t="shared" si="0"/>
        <v>0</v>
      </c>
    </row>
    <row r="41" spans="1:9" ht="15" customHeight="1">
      <c r="A41" s="587" t="s">
        <v>2266</v>
      </c>
      <c r="B41" s="580"/>
      <c r="C41" s="580"/>
      <c r="D41" s="580"/>
      <c r="E41" s="593"/>
      <c r="F41" s="571"/>
      <c r="G41" s="4" t="s">
        <v>1683</v>
      </c>
      <c r="H41" s="4" t="s">
        <v>1683</v>
      </c>
      <c r="I41" s="88">
        <f t="shared" si="0"/>
        <v>0</v>
      </c>
    </row>
    <row r="42" spans="1:9" ht="15" customHeight="1">
      <c r="A42" s="587" t="s">
        <v>544</v>
      </c>
      <c r="B42" s="580"/>
      <c r="C42" s="580"/>
      <c r="D42" s="580"/>
      <c r="E42" s="593"/>
      <c r="F42" s="571"/>
      <c r="G42" s="4" t="s">
        <v>1683</v>
      </c>
      <c r="H42" s="4" t="s">
        <v>1683</v>
      </c>
      <c r="I42" s="88">
        <f t="shared" si="0"/>
        <v>0</v>
      </c>
    </row>
    <row r="43" spans="1:9" ht="15" customHeight="1">
      <c r="A43" s="587" t="s">
        <v>255</v>
      </c>
      <c r="B43" s="580"/>
      <c r="C43" s="580"/>
      <c r="D43" s="580"/>
      <c r="E43" s="593"/>
      <c r="F43" s="571"/>
      <c r="G43" s="4" t="s">
        <v>1683</v>
      </c>
      <c r="H43" s="4" t="s">
        <v>1683</v>
      </c>
      <c r="I43" s="88">
        <f t="shared" si="0"/>
        <v>0</v>
      </c>
    </row>
    <row r="44" spans="1:9" ht="15" customHeight="1">
      <c r="A44" s="585" t="s">
        <v>1089</v>
      </c>
      <c r="B44" s="579"/>
      <c r="C44" s="579"/>
      <c r="D44" s="579"/>
      <c r="E44" s="590"/>
      <c r="F44" s="572"/>
      <c r="G44" s="8" t="s">
        <v>1683</v>
      </c>
      <c r="H44" s="8" t="s">
        <v>1683</v>
      </c>
      <c r="I44" s="36">
        <f t="shared" si="0"/>
        <v>0</v>
      </c>
    </row>
    <row r="45" spans="1:9" ht="15" customHeight="1">
      <c r="A45" s="625" t="s">
        <v>873</v>
      </c>
      <c r="B45" s="626"/>
      <c r="C45" s="626"/>
      <c r="D45" s="626"/>
      <c r="E45" s="627"/>
      <c r="F45" s="17" t="s">
        <v>1683</v>
      </c>
      <c r="G45" s="107" t="s">
        <v>1683</v>
      </c>
      <c r="H45" s="107" t="s">
        <v>1683</v>
      </c>
      <c r="I45" s="99">
        <f>SUM(I35:I44)</f>
        <v>0</v>
      </c>
    </row>
  </sheetData>
  <mergeCells count="60">
    <mergeCell ref="A44:E44"/>
    <mergeCell ref="A45:E45"/>
    <mergeCell ref="A36:E36"/>
    <mergeCell ref="A37:E37"/>
    <mergeCell ref="A38:E38"/>
    <mergeCell ref="A39:E39"/>
    <mergeCell ref="A40:E40"/>
    <mergeCell ref="A41:E41"/>
    <mergeCell ref="F29:I29"/>
    <mergeCell ref="A33:E33"/>
    <mergeCell ref="A34:E34"/>
    <mergeCell ref="A42:E42"/>
    <mergeCell ref="A43:E43"/>
    <mergeCell ref="A35:E35"/>
    <mergeCell ref="I8:I9"/>
    <mergeCell ref="I10:I11"/>
    <mergeCell ref="A26:E26"/>
    <mergeCell ref="A27:E27"/>
    <mergeCell ref="A29:E29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A13:E13"/>
    <mergeCell ref="C2:D3"/>
    <mergeCell ref="C4:D5"/>
    <mergeCell ref="C6:D7"/>
    <mergeCell ref="C8:D9"/>
    <mergeCell ref="C10:D11"/>
    <mergeCell ref="E10:E11"/>
    <mergeCell ref="A10:B11"/>
    <mergeCell ref="H10:H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E2:E3"/>
    <mergeCell ref="E4:E5"/>
    <mergeCell ref="E6:E7"/>
    <mergeCell ref="E8:E9"/>
    <mergeCell ref="H2:H3"/>
    <mergeCell ref="H4:H5"/>
    <mergeCell ref="H6:H7"/>
    <mergeCell ref="H8:H9"/>
    <mergeCell ref="I2:I3"/>
    <mergeCell ref="I4:I5"/>
    <mergeCell ref="I6:I7"/>
  </mergeCells>
  <pageMargins left="0.39400000000000002" right="0.39400000000000002" top="0.59099999999999997" bottom="0.59099999999999997" header="0" footer="0"/>
  <pageSetup paperSize="9" scale="93" firstPageNumber="0" fitToHeight="0" orientation="landscape" useFirstPageNumber="1" r:id="rId1"/>
  <headerFooter alignWithMargins="0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autoPageBreaks="0" fitToPage="1"/>
  </sheetPr>
  <dimension ref="A1:P27"/>
  <sheetViews>
    <sheetView showOutlineSymbols="0" zoomScaleNormal="100" workbookViewId="0">
      <pane ySplit="11" topLeftCell="A12" activePane="bottomLeft" state="frozenSplit"/>
      <selection activeCell="A27" sqref="A27:L27"/>
      <selection pane="bottomLeft" activeCell="B10" sqref="B10:H10"/>
    </sheetView>
  </sheetViews>
  <sheetFormatPr defaultColWidth="21.25" defaultRowHeight="15" customHeight="1"/>
  <cols>
    <col min="1" max="1" width="13.25"/>
    <col min="2" max="8" width="27.5"/>
    <col min="9" max="12" width="25"/>
    <col min="13" max="16" width="21.25" hidden="1"/>
  </cols>
  <sheetData>
    <row r="1" spans="1:16" ht="54.75" customHeight="1">
      <c r="A1" s="582" t="s">
        <v>2550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</row>
    <row r="2" spans="1:16" ht="15" customHeight="1">
      <c r="A2" s="583" t="s">
        <v>178</v>
      </c>
      <c r="B2" s="584"/>
      <c r="C2" s="584"/>
      <c r="D2" s="595" t="str">
        <f>'Stavební rozpočet'!C2</f>
        <v>Obecní dům Vavřineč</v>
      </c>
      <c r="E2" s="596"/>
      <c r="F2" s="596"/>
      <c r="G2" s="588" t="s">
        <v>16</v>
      </c>
      <c r="H2" s="588" t="str">
        <f>'Stavební rozpočet'!F2</f>
        <v xml:space="preserve"> </v>
      </c>
      <c r="I2" s="588" t="s">
        <v>2059</v>
      </c>
      <c r="J2" s="588" t="str">
        <f>'Stavební rozpočet'!I2</f>
        <v>Obec Malý Újezd</v>
      </c>
      <c r="K2" s="584"/>
      <c r="L2" s="589"/>
    </row>
    <row r="3" spans="1:16" ht="15" customHeight="1">
      <c r="A3" s="585"/>
      <c r="B3" s="579"/>
      <c r="C3" s="579"/>
      <c r="D3" s="597"/>
      <c r="E3" s="597"/>
      <c r="F3" s="597"/>
      <c r="G3" s="579"/>
      <c r="H3" s="579"/>
      <c r="I3" s="579"/>
      <c r="J3" s="579"/>
      <c r="K3" s="579"/>
      <c r="L3" s="590"/>
    </row>
    <row r="4" spans="1:16" ht="15" customHeight="1">
      <c r="A4" s="586" t="s">
        <v>1327</v>
      </c>
      <c r="B4" s="579"/>
      <c r="C4" s="579"/>
      <c r="D4" s="578" t="str">
        <f>'Stavební rozpočet'!C4</f>
        <v>Rekonstrukce a rozšíření objektu</v>
      </c>
      <c r="E4" s="579"/>
      <c r="F4" s="579"/>
      <c r="G4" s="578" t="s">
        <v>2168</v>
      </c>
      <c r="H4" s="578" t="str">
        <f>'Stavební rozpočet'!F4</f>
        <v xml:space="preserve"> </v>
      </c>
      <c r="I4" s="578" t="s">
        <v>1678</v>
      </c>
      <c r="J4" s="578" t="str">
        <f>'Stavební rozpočet'!I4</f>
        <v> </v>
      </c>
      <c r="K4" s="579"/>
      <c r="L4" s="590"/>
    </row>
    <row r="5" spans="1:16" ht="15" customHeight="1">
      <c r="A5" s="585"/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90"/>
    </row>
    <row r="6" spans="1:16" ht="15" customHeight="1">
      <c r="A6" s="586" t="s">
        <v>217</v>
      </c>
      <c r="B6" s="579"/>
      <c r="C6" s="579"/>
      <c r="D6" s="578" t="str">
        <f>'Stavební rozpočet'!C6</f>
        <v>Malý Újezd Vavřineč</v>
      </c>
      <c r="E6" s="579"/>
      <c r="F6" s="579"/>
      <c r="G6" s="578" t="s">
        <v>782</v>
      </c>
      <c r="H6" s="578" t="str">
        <f>'Stavební rozpočet'!F6</f>
        <v xml:space="preserve"> </v>
      </c>
      <c r="I6" s="578" t="s">
        <v>2143</v>
      </c>
      <c r="J6" s="578" t="str">
        <f>'Stavební rozpočet'!I6</f>
        <v>vzejde z výberového řízení</v>
      </c>
      <c r="K6" s="579"/>
      <c r="L6" s="590"/>
    </row>
    <row r="7" spans="1:16" ht="15" customHeight="1">
      <c r="A7" s="585"/>
      <c r="B7" s="579"/>
      <c r="C7" s="579"/>
      <c r="D7" s="579"/>
      <c r="E7" s="579"/>
      <c r="F7" s="579"/>
      <c r="G7" s="579"/>
      <c r="H7" s="579"/>
      <c r="I7" s="579"/>
      <c r="J7" s="579"/>
      <c r="K7" s="579"/>
      <c r="L7" s="590"/>
    </row>
    <row r="8" spans="1:16" ht="15" customHeight="1">
      <c r="A8" s="586" t="s">
        <v>1182</v>
      </c>
      <c r="B8" s="579"/>
      <c r="C8" s="579"/>
      <c r="D8" s="578" t="str">
        <f>'Stavební rozpočet'!C8</f>
        <v>8018912</v>
      </c>
      <c r="E8" s="579"/>
      <c r="F8" s="579"/>
      <c r="G8" s="578" t="s">
        <v>1367</v>
      </c>
      <c r="H8" s="642">
        <f>'Stavební rozpočet'!F8</f>
        <v>45231</v>
      </c>
      <c r="I8" s="578" t="s">
        <v>1608</v>
      </c>
      <c r="J8" s="578" t="str">
        <f>'Stavební rozpočet'!I8</f>
        <v>Ing. Jiří Šír - VISTA</v>
      </c>
      <c r="K8" s="579"/>
      <c r="L8" s="590"/>
    </row>
    <row r="9" spans="1:16" ht="15" customHeight="1">
      <c r="A9" s="585"/>
      <c r="B9" s="579"/>
      <c r="C9" s="579"/>
      <c r="D9" s="579"/>
      <c r="E9" s="579"/>
      <c r="F9" s="579"/>
      <c r="G9" s="579"/>
      <c r="H9" s="579"/>
      <c r="I9" s="579"/>
      <c r="J9" s="579"/>
      <c r="K9" s="579"/>
      <c r="L9" s="590"/>
    </row>
    <row r="10" spans="1:16" ht="15" customHeight="1">
      <c r="A10" s="46" t="s">
        <v>2262</v>
      </c>
      <c r="B10" s="637" t="s">
        <v>2262</v>
      </c>
      <c r="C10" s="637"/>
      <c r="D10" s="637"/>
      <c r="E10" s="637"/>
      <c r="F10" s="637"/>
      <c r="G10" s="637"/>
      <c r="H10" s="637"/>
      <c r="I10" s="639" t="s">
        <v>1554</v>
      </c>
      <c r="J10" s="640"/>
      <c r="K10" s="641"/>
      <c r="L10" s="108" t="s">
        <v>381</v>
      </c>
    </row>
    <row r="11" spans="1:16" ht="15" customHeight="1">
      <c r="A11" s="44" t="s">
        <v>1806</v>
      </c>
      <c r="B11" s="638" t="s">
        <v>2659</v>
      </c>
      <c r="C11" s="638"/>
      <c r="D11" s="638"/>
      <c r="E11" s="638"/>
      <c r="F11" s="638"/>
      <c r="G11" s="638"/>
      <c r="H11" s="638"/>
      <c r="I11" s="53" t="s">
        <v>129</v>
      </c>
      <c r="J11" s="56" t="s">
        <v>457</v>
      </c>
      <c r="K11" s="25" t="s">
        <v>245</v>
      </c>
      <c r="L11" s="25" t="s">
        <v>245</v>
      </c>
    </row>
    <row r="12" spans="1:16" ht="15" customHeight="1">
      <c r="A12" s="21" t="s">
        <v>1859</v>
      </c>
      <c r="B12" s="579" t="s">
        <v>1398</v>
      </c>
      <c r="C12" s="579"/>
      <c r="D12" s="579"/>
      <c r="E12" s="579"/>
      <c r="F12" s="579"/>
      <c r="G12" s="579"/>
      <c r="H12" s="579"/>
      <c r="I12" s="14">
        <f>'Stavební rozpočet'!J12</f>
        <v>0</v>
      </c>
      <c r="J12" s="14">
        <f>'Stavební rozpočet'!K12</f>
        <v>0</v>
      </c>
      <c r="K12" s="14">
        <f>'Stavební rozpočet'!L12</f>
        <v>0</v>
      </c>
      <c r="L12" s="36">
        <f>'Stavební rozpočet'!O12</f>
        <v>693.80982029999996</v>
      </c>
      <c r="M12" s="55" t="s">
        <v>1079</v>
      </c>
      <c r="N12" s="14">
        <f t="shared" ref="N12:N24" si="0">IF(M12="F",0,K12)</f>
        <v>0</v>
      </c>
      <c r="O12" s="37" t="s">
        <v>1859</v>
      </c>
      <c r="P12" s="14">
        <f t="shared" ref="P12:P24" si="1">IF(M12="T",0,K12)</f>
        <v>0</v>
      </c>
    </row>
    <row r="13" spans="1:16" ht="15" customHeight="1">
      <c r="A13" s="21" t="s">
        <v>1696</v>
      </c>
      <c r="B13" s="579" t="s">
        <v>1175</v>
      </c>
      <c r="C13" s="579"/>
      <c r="D13" s="579"/>
      <c r="E13" s="579"/>
      <c r="F13" s="579"/>
      <c r="G13" s="579"/>
      <c r="H13" s="579"/>
      <c r="I13" s="14">
        <f>'Stavební rozpočet'!J106</f>
        <v>0</v>
      </c>
      <c r="J13" s="14">
        <f>'Stavební rozpočet'!K106</f>
        <v>0</v>
      </c>
      <c r="K13" s="14">
        <f>'Stavební rozpočet'!L106</f>
        <v>0</v>
      </c>
      <c r="L13" s="36">
        <f>'Stavební rozpočet'!O106</f>
        <v>27.527867500000003</v>
      </c>
      <c r="M13" s="55" t="s">
        <v>1079</v>
      </c>
      <c r="N13" s="14">
        <f t="shared" si="0"/>
        <v>0</v>
      </c>
      <c r="O13" s="37" t="s">
        <v>1696</v>
      </c>
      <c r="P13" s="14">
        <f t="shared" si="1"/>
        <v>0</v>
      </c>
    </row>
    <row r="14" spans="1:16" ht="15" customHeight="1">
      <c r="A14" s="21" t="s">
        <v>1842</v>
      </c>
      <c r="B14" s="579" t="s">
        <v>1495</v>
      </c>
      <c r="C14" s="579"/>
      <c r="D14" s="579"/>
      <c r="E14" s="579"/>
      <c r="F14" s="579"/>
      <c r="G14" s="579"/>
      <c r="H14" s="579"/>
      <c r="I14" s="14">
        <f>'Stavební rozpočet'!J183</f>
        <v>0</v>
      </c>
      <c r="J14" s="14">
        <f>'Stavební rozpočet'!K183</f>
        <v>0</v>
      </c>
      <c r="K14" s="14">
        <f>'Stavební rozpočet'!L183</f>
        <v>0</v>
      </c>
      <c r="L14" s="36">
        <f>'Stavební rozpočet'!O183</f>
        <v>923.29026540000018</v>
      </c>
      <c r="M14" s="55" t="s">
        <v>1079</v>
      </c>
      <c r="N14" s="14">
        <f t="shared" si="0"/>
        <v>0</v>
      </c>
      <c r="O14" s="37" t="s">
        <v>1842</v>
      </c>
      <c r="P14" s="14">
        <f t="shared" si="1"/>
        <v>0</v>
      </c>
    </row>
    <row r="15" spans="1:16" ht="15" customHeight="1">
      <c r="A15" s="21" t="s">
        <v>557</v>
      </c>
      <c r="B15" s="579" t="s">
        <v>2002</v>
      </c>
      <c r="C15" s="579"/>
      <c r="D15" s="579"/>
      <c r="E15" s="579"/>
      <c r="F15" s="579"/>
      <c r="G15" s="579"/>
      <c r="H15" s="579"/>
      <c r="I15" s="14">
        <f>'Stavební rozpočet'!J741</f>
        <v>0</v>
      </c>
      <c r="J15" s="14">
        <f>'Stavební rozpočet'!K741</f>
        <v>0</v>
      </c>
      <c r="K15" s="14">
        <f>'Stavební rozpočet'!L741</f>
        <v>0</v>
      </c>
      <c r="L15" s="36">
        <f>'Stavební rozpočet'!O741</f>
        <v>275.08404540000004</v>
      </c>
      <c r="M15" s="55" t="s">
        <v>1079</v>
      </c>
      <c r="N15" s="14">
        <f t="shared" si="0"/>
        <v>0</v>
      </c>
      <c r="O15" s="37" t="s">
        <v>557</v>
      </c>
      <c r="P15" s="14">
        <f t="shared" si="1"/>
        <v>0</v>
      </c>
    </row>
    <row r="16" spans="1:16" ht="15" customHeight="1">
      <c r="A16" s="21" t="s">
        <v>991</v>
      </c>
      <c r="B16" s="579" t="s">
        <v>162</v>
      </c>
      <c r="C16" s="579"/>
      <c r="D16" s="579"/>
      <c r="E16" s="579"/>
      <c r="F16" s="579"/>
      <c r="G16" s="579"/>
      <c r="H16" s="579"/>
      <c r="I16" s="14">
        <f>'Stavební rozpočet'!J1109</f>
        <v>0</v>
      </c>
      <c r="J16" s="14">
        <f>'Stavební rozpočet'!K1109</f>
        <v>0</v>
      </c>
      <c r="K16" s="14">
        <f>'Stavební rozpočet'!L1109</f>
        <v>0</v>
      </c>
      <c r="L16" s="36">
        <f>'Stavební rozpočet'!O1109</f>
        <v>0</v>
      </c>
      <c r="M16" s="55" t="s">
        <v>1079</v>
      </c>
      <c r="N16" s="14">
        <f t="shared" si="0"/>
        <v>0</v>
      </c>
      <c r="O16" s="37" t="s">
        <v>991</v>
      </c>
      <c r="P16" s="14">
        <f t="shared" si="1"/>
        <v>0</v>
      </c>
    </row>
    <row r="17" spans="1:16" ht="15" customHeight="1">
      <c r="A17" s="21" t="s">
        <v>12</v>
      </c>
      <c r="B17" s="579" t="s">
        <v>2344</v>
      </c>
      <c r="C17" s="579"/>
      <c r="D17" s="579"/>
      <c r="E17" s="579"/>
      <c r="F17" s="579"/>
      <c r="G17" s="579"/>
      <c r="H17" s="579"/>
      <c r="I17" s="14">
        <f>'Stavební rozpočet'!J1113</f>
        <v>0</v>
      </c>
      <c r="J17" s="14">
        <f>'Stavební rozpočet'!K1113</f>
        <v>0</v>
      </c>
      <c r="K17" s="14">
        <f>'Stavební rozpočet'!L1113</f>
        <v>0</v>
      </c>
      <c r="L17" s="36">
        <f>'Stavební rozpočet'!O1113</f>
        <v>0</v>
      </c>
      <c r="M17" s="55" t="s">
        <v>1079</v>
      </c>
      <c r="N17" s="14">
        <f t="shared" si="0"/>
        <v>0</v>
      </c>
      <c r="O17" s="37" t="s">
        <v>12</v>
      </c>
      <c r="P17" s="14">
        <f t="shared" si="1"/>
        <v>0</v>
      </c>
    </row>
    <row r="18" spans="1:16" ht="15" customHeight="1">
      <c r="A18" s="21" t="s">
        <v>1529</v>
      </c>
      <c r="B18" s="579" t="s">
        <v>2605</v>
      </c>
      <c r="C18" s="579"/>
      <c r="D18" s="579"/>
      <c r="E18" s="579"/>
      <c r="F18" s="579"/>
      <c r="G18" s="579"/>
      <c r="H18" s="579"/>
      <c r="I18" s="14">
        <f>'Stavební rozpočet'!J1117</f>
        <v>0</v>
      </c>
      <c r="J18" s="14">
        <f>'Stavební rozpočet'!K1117</f>
        <v>0</v>
      </c>
      <c r="K18" s="14">
        <f>'Stavební rozpočet'!L1117</f>
        <v>0</v>
      </c>
      <c r="L18" s="36">
        <f>'Stavební rozpočet'!O1117</f>
        <v>0</v>
      </c>
      <c r="M18" s="55" t="s">
        <v>1079</v>
      </c>
      <c r="N18" s="14">
        <f t="shared" si="0"/>
        <v>0</v>
      </c>
      <c r="O18" s="37" t="s">
        <v>1529</v>
      </c>
      <c r="P18" s="14">
        <f t="shared" si="1"/>
        <v>0</v>
      </c>
    </row>
    <row r="19" spans="1:16" ht="15" customHeight="1">
      <c r="A19" s="21" t="s">
        <v>750</v>
      </c>
      <c r="B19" s="579" t="s">
        <v>1618</v>
      </c>
      <c r="C19" s="579"/>
      <c r="D19" s="579"/>
      <c r="E19" s="579"/>
      <c r="F19" s="579"/>
      <c r="G19" s="579"/>
      <c r="H19" s="579"/>
      <c r="I19" s="14">
        <f>'Stavební rozpočet'!J1121</f>
        <v>0</v>
      </c>
      <c r="J19" s="14">
        <f>'Stavební rozpočet'!K1121</f>
        <v>0</v>
      </c>
      <c r="K19" s="14">
        <f>'Stavební rozpočet'!L1121</f>
        <v>0</v>
      </c>
      <c r="L19" s="36">
        <f>'Stavební rozpočet'!O1121</f>
        <v>129.62463810000003</v>
      </c>
      <c r="M19" s="55" t="s">
        <v>1079</v>
      </c>
      <c r="N19" s="14">
        <f t="shared" si="0"/>
        <v>0</v>
      </c>
      <c r="O19" s="37" t="s">
        <v>750</v>
      </c>
      <c r="P19" s="14">
        <f t="shared" si="1"/>
        <v>0</v>
      </c>
    </row>
    <row r="20" spans="1:16" ht="15" customHeight="1">
      <c r="A20" s="21" t="s">
        <v>238</v>
      </c>
      <c r="B20" s="579" t="s">
        <v>1991</v>
      </c>
      <c r="C20" s="579"/>
      <c r="D20" s="579"/>
      <c r="E20" s="579"/>
      <c r="F20" s="579"/>
      <c r="G20" s="579"/>
      <c r="H20" s="579"/>
      <c r="I20" s="14">
        <f>'Stavební rozpočet'!J1365</f>
        <v>0</v>
      </c>
      <c r="J20" s="14">
        <f>'Stavební rozpočet'!K1365</f>
        <v>0</v>
      </c>
      <c r="K20" s="14">
        <f>'Stavební rozpočet'!L1365</f>
        <v>0</v>
      </c>
      <c r="L20" s="36">
        <f>'Stavební rozpočet'!O1365</f>
        <v>0</v>
      </c>
      <c r="M20" s="55" t="s">
        <v>1079</v>
      </c>
      <c r="N20" s="14">
        <f t="shared" si="0"/>
        <v>0</v>
      </c>
      <c r="O20" s="37" t="s">
        <v>238</v>
      </c>
      <c r="P20" s="14">
        <f t="shared" si="1"/>
        <v>0</v>
      </c>
    </row>
    <row r="21" spans="1:16" ht="15" customHeight="1">
      <c r="A21" s="21" t="s">
        <v>1774</v>
      </c>
      <c r="B21" s="579" t="s">
        <v>2086</v>
      </c>
      <c r="C21" s="579"/>
      <c r="D21" s="579"/>
      <c r="E21" s="579"/>
      <c r="F21" s="579"/>
      <c r="G21" s="579"/>
      <c r="H21" s="579"/>
      <c r="I21" s="14">
        <f>'Stavební rozpočet'!J1369</f>
        <v>0</v>
      </c>
      <c r="J21" s="14">
        <f>'Stavební rozpočet'!K1369</f>
        <v>0</v>
      </c>
      <c r="K21" s="14">
        <f>'Stavební rozpočet'!L1369</f>
        <v>0</v>
      </c>
      <c r="L21" s="36">
        <f>'Stavební rozpočet'!O1369</f>
        <v>0</v>
      </c>
      <c r="M21" s="55" t="s">
        <v>1079</v>
      </c>
      <c r="N21" s="14">
        <f t="shared" si="0"/>
        <v>0</v>
      </c>
      <c r="O21" s="37" t="s">
        <v>1774</v>
      </c>
      <c r="P21" s="14">
        <f t="shared" si="1"/>
        <v>0</v>
      </c>
    </row>
    <row r="22" spans="1:16" ht="15" customHeight="1">
      <c r="A22" s="21" t="s">
        <v>951</v>
      </c>
      <c r="B22" s="579" t="s">
        <v>205</v>
      </c>
      <c r="C22" s="579"/>
      <c r="D22" s="579"/>
      <c r="E22" s="579"/>
      <c r="F22" s="579"/>
      <c r="G22" s="579"/>
      <c r="H22" s="579"/>
      <c r="I22" s="14">
        <f>'Stavební rozpočet'!J1373</f>
        <v>0</v>
      </c>
      <c r="J22" s="14">
        <f>'Stavební rozpočet'!K1373</f>
        <v>0</v>
      </c>
      <c r="K22" s="14">
        <f>'Stavební rozpočet'!L1373</f>
        <v>0</v>
      </c>
      <c r="L22" s="36">
        <f>'Stavební rozpočet'!O1373</f>
        <v>88.402851600000005</v>
      </c>
      <c r="M22" s="55" t="s">
        <v>1079</v>
      </c>
      <c r="N22" s="14">
        <f t="shared" si="0"/>
        <v>0</v>
      </c>
      <c r="O22" s="37" t="s">
        <v>951</v>
      </c>
      <c r="P22" s="14">
        <f t="shared" si="1"/>
        <v>0</v>
      </c>
    </row>
    <row r="23" spans="1:16" ht="15" customHeight="1">
      <c r="A23" s="21" t="s">
        <v>128</v>
      </c>
      <c r="B23" s="579" t="s">
        <v>488</v>
      </c>
      <c r="C23" s="579"/>
      <c r="D23" s="579"/>
      <c r="E23" s="579"/>
      <c r="F23" s="579"/>
      <c r="G23" s="579"/>
      <c r="H23" s="579"/>
      <c r="I23" s="14">
        <f>'Stavební rozpočet'!J1471</f>
        <v>0</v>
      </c>
      <c r="J23" s="14">
        <f>'Stavební rozpočet'!K1471</f>
        <v>0</v>
      </c>
      <c r="K23" s="14">
        <f>'Stavební rozpočet'!L1471</f>
        <v>0</v>
      </c>
      <c r="L23" s="36">
        <f>'Stavební rozpočet'!O1471</f>
        <v>40.253705200000006</v>
      </c>
      <c r="M23" s="55" t="s">
        <v>1079</v>
      </c>
      <c r="N23" s="14">
        <f t="shared" si="0"/>
        <v>0</v>
      </c>
      <c r="O23" s="37" t="s">
        <v>128</v>
      </c>
      <c r="P23" s="14">
        <f t="shared" si="1"/>
        <v>0</v>
      </c>
    </row>
    <row r="24" spans="1:16" ht="15" customHeight="1">
      <c r="A24" s="7" t="s">
        <v>279</v>
      </c>
      <c r="B24" s="580" t="s">
        <v>1485</v>
      </c>
      <c r="C24" s="580"/>
      <c r="D24" s="580"/>
      <c r="E24" s="580"/>
      <c r="F24" s="580"/>
      <c r="G24" s="580"/>
      <c r="H24" s="580"/>
      <c r="I24" s="81">
        <f>'Stavební rozpočet'!J1576</f>
        <v>0</v>
      </c>
      <c r="J24" s="81">
        <f>'Stavební rozpočet'!K1576</f>
        <v>0</v>
      </c>
      <c r="K24" s="81">
        <f>'Stavební rozpočet'!L1576</f>
        <v>0</v>
      </c>
      <c r="L24" s="88">
        <f>'Stavební rozpočet'!O1576</f>
        <v>8.2453949999999985</v>
      </c>
      <c r="M24" s="55" t="s">
        <v>1079</v>
      </c>
      <c r="N24" s="14">
        <f t="shared" si="0"/>
        <v>0</v>
      </c>
      <c r="O24" s="37" t="s">
        <v>279</v>
      </c>
      <c r="P24" s="14">
        <f t="shared" si="1"/>
        <v>0</v>
      </c>
    </row>
    <row r="25" spans="1:16" ht="15" customHeight="1">
      <c r="I25" s="597" t="s">
        <v>1926</v>
      </c>
      <c r="J25" s="597"/>
      <c r="K25" s="57">
        <f>SUM(P12:P24)</f>
        <v>0</v>
      </c>
    </row>
    <row r="26" spans="1:16" ht="15" customHeight="1">
      <c r="A26" s="102" t="s">
        <v>212</v>
      </c>
    </row>
    <row r="27" spans="1:16" ht="12.75" customHeight="1">
      <c r="A27" s="578" t="s">
        <v>1683</v>
      </c>
      <c r="B27" s="579"/>
      <c r="C27" s="579"/>
      <c r="D27" s="579"/>
      <c r="E27" s="579"/>
      <c r="F27" s="579"/>
      <c r="G27" s="579"/>
      <c r="H27" s="579"/>
      <c r="I27" s="579"/>
      <c r="J27" s="579"/>
      <c r="K27" s="579"/>
      <c r="L27" s="579"/>
    </row>
  </sheetData>
  <mergeCells count="43">
    <mergeCell ref="A27:L27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I25:J25"/>
    <mergeCell ref="B14:H14"/>
    <mergeCell ref="I2:I3"/>
    <mergeCell ref="I4:I5"/>
    <mergeCell ref="I6:I7"/>
    <mergeCell ref="I8:I9"/>
    <mergeCell ref="B10:H10"/>
    <mergeCell ref="B11:H11"/>
    <mergeCell ref="I10:K10"/>
    <mergeCell ref="B12:H12"/>
    <mergeCell ref="B13:H13"/>
    <mergeCell ref="G8:G9"/>
    <mergeCell ref="H2:H3"/>
    <mergeCell ref="H4:H5"/>
    <mergeCell ref="H6:H7"/>
    <mergeCell ref="H8:H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J2:L3"/>
    <mergeCell ref="J4:L5"/>
    <mergeCell ref="J6:L7"/>
    <mergeCell ref="J8:L9"/>
    <mergeCell ref="G4:G5"/>
    <mergeCell ref="G6:G7"/>
  </mergeCells>
  <pageMargins left="0.39400000000000002" right="0.39400000000000002" top="0.59099999999999997" bottom="0.59099999999999997" header="0" footer="0"/>
  <pageSetup paperSize="9" scale="76" firstPageNumber="0" fitToHeight="0" orientation="landscape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P78"/>
  <sheetViews>
    <sheetView showOutlineSymbols="0" zoomScaleNormal="100" workbookViewId="0">
      <pane ySplit="11" topLeftCell="A12" activePane="bottomLeft" state="frozenSplit"/>
      <selection activeCell="A78" sqref="A78:L78"/>
      <selection pane="bottomLeft" activeCell="R1" sqref="R1"/>
    </sheetView>
  </sheetViews>
  <sheetFormatPr defaultColWidth="21.25" defaultRowHeight="15" customHeight="1"/>
  <cols>
    <col min="1" max="1" width="13.25"/>
    <col min="2" max="2" width="10"/>
    <col min="3" max="8" width="27.5"/>
    <col min="9" max="12" width="25"/>
    <col min="13" max="16" width="21.25" hidden="1"/>
  </cols>
  <sheetData>
    <row r="1" spans="1:16" ht="54.75" customHeight="1">
      <c r="A1" s="582" t="s">
        <v>2054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</row>
    <row r="2" spans="1:16" ht="15" customHeight="1">
      <c r="A2" s="583" t="s">
        <v>178</v>
      </c>
      <c r="B2" s="584"/>
      <c r="C2" s="584"/>
      <c r="D2" s="595" t="str">
        <f>'Stavební rozpočet'!C2</f>
        <v>Obecní dům Vavřineč</v>
      </c>
      <c r="E2" s="596"/>
      <c r="F2" s="596"/>
      <c r="G2" s="588" t="s">
        <v>16</v>
      </c>
      <c r="H2" s="588" t="str">
        <f>'Stavební rozpočet'!F2</f>
        <v xml:space="preserve"> </v>
      </c>
      <c r="I2" s="588" t="s">
        <v>2059</v>
      </c>
      <c r="J2" s="588" t="str">
        <f>'Stavební rozpočet'!I2</f>
        <v>Obec Malý Újezd</v>
      </c>
      <c r="K2" s="584"/>
      <c r="L2" s="589"/>
    </row>
    <row r="3" spans="1:16" ht="15" customHeight="1">
      <c r="A3" s="585"/>
      <c r="B3" s="579"/>
      <c r="C3" s="579"/>
      <c r="D3" s="597"/>
      <c r="E3" s="597"/>
      <c r="F3" s="597"/>
      <c r="G3" s="579"/>
      <c r="H3" s="579"/>
      <c r="I3" s="579"/>
      <c r="J3" s="579"/>
      <c r="K3" s="579"/>
      <c r="L3" s="590"/>
    </row>
    <row r="4" spans="1:16" ht="15" customHeight="1">
      <c r="A4" s="586" t="s">
        <v>1327</v>
      </c>
      <c r="B4" s="579"/>
      <c r="C4" s="579"/>
      <c r="D4" s="578" t="str">
        <f>'Stavební rozpočet'!C4</f>
        <v>Rekonstrukce a rozšíření objektu</v>
      </c>
      <c r="E4" s="579"/>
      <c r="F4" s="579"/>
      <c r="G4" s="578" t="s">
        <v>2168</v>
      </c>
      <c r="H4" s="578" t="str">
        <f>'Stavební rozpočet'!F4</f>
        <v xml:space="preserve"> </v>
      </c>
      <c r="I4" s="578" t="s">
        <v>1678</v>
      </c>
      <c r="J4" s="578" t="str">
        <f>'Stavební rozpočet'!I4</f>
        <v> </v>
      </c>
      <c r="K4" s="579"/>
      <c r="L4" s="590"/>
    </row>
    <row r="5" spans="1:16" ht="15" customHeight="1">
      <c r="A5" s="585"/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90"/>
    </row>
    <row r="6" spans="1:16" ht="15" customHeight="1">
      <c r="A6" s="586" t="s">
        <v>217</v>
      </c>
      <c r="B6" s="579"/>
      <c r="C6" s="579"/>
      <c r="D6" s="578" t="str">
        <f>'Stavební rozpočet'!C6</f>
        <v>Malý Újezd Vavřineč</v>
      </c>
      <c r="E6" s="579"/>
      <c r="F6" s="579"/>
      <c r="G6" s="578" t="s">
        <v>782</v>
      </c>
      <c r="H6" s="578" t="str">
        <f>'Stavební rozpočet'!F6</f>
        <v xml:space="preserve"> </v>
      </c>
      <c r="I6" s="578" t="s">
        <v>2143</v>
      </c>
      <c r="J6" s="578" t="str">
        <f>'Stavební rozpočet'!I6</f>
        <v>vzejde z výberového řízení</v>
      </c>
      <c r="K6" s="579"/>
      <c r="L6" s="590"/>
    </row>
    <row r="7" spans="1:16" ht="15" customHeight="1">
      <c r="A7" s="585"/>
      <c r="B7" s="579"/>
      <c r="C7" s="579"/>
      <c r="D7" s="579"/>
      <c r="E7" s="579"/>
      <c r="F7" s="579"/>
      <c r="G7" s="579"/>
      <c r="H7" s="579"/>
      <c r="I7" s="579"/>
      <c r="J7" s="579"/>
      <c r="K7" s="579"/>
      <c r="L7" s="590"/>
    </row>
    <row r="8" spans="1:16" ht="15" customHeight="1">
      <c r="A8" s="586" t="s">
        <v>1182</v>
      </c>
      <c r="B8" s="579"/>
      <c r="C8" s="579"/>
      <c r="D8" s="578" t="str">
        <f>'Stavební rozpočet'!C8</f>
        <v>8018912</v>
      </c>
      <c r="E8" s="579"/>
      <c r="F8" s="579"/>
      <c r="G8" s="578" t="s">
        <v>1367</v>
      </c>
      <c r="H8" s="642">
        <f>'Stavební rozpočet'!F8</f>
        <v>45231</v>
      </c>
      <c r="I8" s="578" t="s">
        <v>1608</v>
      </c>
      <c r="J8" s="578" t="str">
        <f>'Stavební rozpočet'!I8</f>
        <v>Ing. Jiří Šír - VISTA</v>
      </c>
      <c r="K8" s="579"/>
      <c r="L8" s="590"/>
    </row>
    <row r="9" spans="1:16" ht="15" customHeight="1">
      <c r="A9" s="585"/>
      <c r="B9" s="579"/>
      <c r="C9" s="579"/>
      <c r="D9" s="579"/>
      <c r="E9" s="579"/>
      <c r="F9" s="579"/>
      <c r="G9" s="579"/>
      <c r="H9" s="579"/>
      <c r="I9" s="579"/>
      <c r="J9" s="579"/>
      <c r="K9" s="579"/>
      <c r="L9" s="590"/>
    </row>
    <row r="10" spans="1:16" ht="15" customHeight="1">
      <c r="A10" s="46" t="s">
        <v>2262</v>
      </c>
      <c r="B10" s="91" t="s">
        <v>2262</v>
      </c>
      <c r="C10" s="637" t="s">
        <v>2262</v>
      </c>
      <c r="D10" s="637"/>
      <c r="E10" s="637"/>
      <c r="F10" s="637"/>
      <c r="G10" s="637"/>
      <c r="H10" s="637"/>
      <c r="I10" s="639" t="s">
        <v>1554</v>
      </c>
      <c r="J10" s="640"/>
      <c r="K10" s="641"/>
      <c r="L10" s="108" t="s">
        <v>381</v>
      </c>
    </row>
    <row r="11" spans="1:16" ht="15" customHeight="1">
      <c r="A11" s="44" t="s">
        <v>1806</v>
      </c>
      <c r="B11" s="24" t="s">
        <v>803</v>
      </c>
      <c r="C11" s="638" t="s">
        <v>2659</v>
      </c>
      <c r="D11" s="638"/>
      <c r="E11" s="638"/>
      <c r="F11" s="638"/>
      <c r="G11" s="638"/>
      <c r="H11" s="638"/>
      <c r="I11" s="53" t="s">
        <v>129</v>
      </c>
      <c r="J11" s="56" t="s">
        <v>457</v>
      </c>
      <c r="K11" s="25" t="s">
        <v>245</v>
      </c>
      <c r="L11" s="25" t="s">
        <v>245</v>
      </c>
    </row>
    <row r="12" spans="1:16" ht="15" customHeight="1">
      <c r="A12" s="21" t="s">
        <v>1859</v>
      </c>
      <c r="B12" s="37" t="s">
        <v>1683</v>
      </c>
      <c r="C12" s="579" t="s">
        <v>1398</v>
      </c>
      <c r="D12" s="579"/>
      <c r="E12" s="579"/>
      <c r="F12" s="579"/>
      <c r="G12" s="579"/>
      <c r="H12" s="579"/>
      <c r="I12" s="14">
        <f>'Stavební rozpočet'!J12</f>
        <v>0</v>
      </c>
      <c r="J12" s="14">
        <f>'Stavební rozpočet'!K12</f>
        <v>0</v>
      </c>
      <c r="K12" s="14">
        <f>'Stavební rozpočet'!L12</f>
        <v>0</v>
      </c>
      <c r="L12" s="36">
        <f>'Stavební rozpočet'!O12</f>
        <v>693.80982029999996</v>
      </c>
      <c r="M12" s="55" t="s">
        <v>1079</v>
      </c>
      <c r="N12" s="14">
        <f t="shared" ref="N12:N43" si="0">IF(M12="F",0,K12)</f>
        <v>0</v>
      </c>
      <c r="O12" s="37" t="s">
        <v>1859</v>
      </c>
      <c r="P12" s="14">
        <f t="shared" ref="P12:P43" si="1">IF(M12="T",0,K12)</f>
        <v>0</v>
      </c>
    </row>
    <row r="13" spans="1:16" ht="15" customHeight="1">
      <c r="A13" s="21" t="s">
        <v>1859</v>
      </c>
      <c r="B13" s="37" t="s">
        <v>1619</v>
      </c>
      <c r="C13" s="579" t="s">
        <v>577</v>
      </c>
      <c r="D13" s="579"/>
      <c r="E13" s="579"/>
      <c r="F13" s="579"/>
      <c r="G13" s="579"/>
      <c r="H13" s="579"/>
      <c r="I13" s="14">
        <f>SUMIF('Stavební rozpočet'!AZ13:AZ1589,"SO 01_76_",'Stavební rozpočet'!AW13:AW1589)</f>
        <v>0</v>
      </c>
      <c r="J13" s="14">
        <f>SUMIF('Stavební rozpočet'!AZ13:AZ1589,"SO 01_76_",'Stavební rozpočet'!AX13:AX1589)</f>
        <v>0</v>
      </c>
      <c r="K13" s="14">
        <f>SUMIF('Stavební rozpočet'!AZ13:AZ1589,"SO 01_76_",'Stavební rozpočet'!AV13:AV1589)</f>
        <v>0</v>
      </c>
      <c r="L13" s="36">
        <f>SUMIF('Stavební rozpočet'!AZ13:AZ1589,"SO 01_76_",'Stavební rozpočet'!BF13:BF1589)</f>
        <v>66.253619999999984</v>
      </c>
      <c r="M13" s="55" t="s">
        <v>2366</v>
      </c>
      <c r="N13" s="14">
        <f t="shared" si="0"/>
        <v>0</v>
      </c>
      <c r="O13" s="37" t="s">
        <v>1859</v>
      </c>
      <c r="P13" s="14">
        <f t="shared" si="1"/>
        <v>0</v>
      </c>
    </row>
    <row r="14" spans="1:16" ht="15" customHeight="1">
      <c r="A14" s="21" t="s">
        <v>1859</v>
      </c>
      <c r="B14" s="37" t="s">
        <v>922</v>
      </c>
      <c r="C14" s="579" t="s">
        <v>2314</v>
      </c>
      <c r="D14" s="579"/>
      <c r="E14" s="579"/>
      <c r="F14" s="579"/>
      <c r="G14" s="579"/>
      <c r="H14" s="579"/>
      <c r="I14" s="14">
        <f>SUMIF('Stavební rozpočet'!AZ13:AZ1589,"SO 01_9_",'Stavební rozpočet'!AW13:AW1589)</f>
        <v>0</v>
      </c>
      <c r="J14" s="14">
        <f>SUMIF('Stavební rozpočet'!AZ13:AZ1589,"SO 01_9_",'Stavební rozpočet'!AX13:AX1589)</f>
        <v>0</v>
      </c>
      <c r="K14" s="14">
        <f>SUMIF('Stavební rozpočet'!AZ13:AZ1589,"SO 01_9_",'Stavební rozpočet'!AV13:AV1589)</f>
        <v>0</v>
      </c>
      <c r="L14" s="36">
        <f>SUMIF('Stavební rozpočet'!AZ13:AZ1589,"SO 01_9_",'Stavební rozpočet'!BF13:BF1589)</f>
        <v>627.5562003</v>
      </c>
      <c r="M14" s="55" t="s">
        <v>2366</v>
      </c>
      <c r="N14" s="14">
        <f t="shared" si="0"/>
        <v>0</v>
      </c>
      <c r="O14" s="37" t="s">
        <v>1859</v>
      </c>
      <c r="P14" s="14">
        <f t="shared" si="1"/>
        <v>0</v>
      </c>
    </row>
    <row r="15" spans="1:16" ht="15" customHeight="1">
      <c r="A15" s="21" t="s">
        <v>1696</v>
      </c>
      <c r="B15" s="37" t="s">
        <v>1683</v>
      </c>
      <c r="C15" s="579" t="s">
        <v>1175</v>
      </c>
      <c r="D15" s="579"/>
      <c r="E15" s="579"/>
      <c r="F15" s="579"/>
      <c r="G15" s="579"/>
      <c r="H15" s="579"/>
      <c r="I15" s="14">
        <f>'Stavební rozpočet'!J106</f>
        <v>0</v>
      </c>
      <c r="J15" s="14">
        <f>'Stavební rozpočet'!K106</f>
        <v>0</v>
      </c>
      <c r="K15" s="14">
        <f>'Stavební rozpočet'!L106</f>
        <v>0</v>
      </c>
      <c r="L15" s="36">
        <f>'Stavební rozpočet'!O106</f>
        <v>27.527867500000003</v>
      </c>
      <c r="M15" s="55" t="s">
        <v>1079</v>
      </c>
      <c r="N15" s="14">
        <f t="shared" si="0"/>
        <v>0</v>
      </c>
      <c r="O15" s="37" t="s">
        <v>1696</v>
      </c>
      <c r="P15" s="14">
        <f t="shared" si="1"/>
        <v>0</v>
      </c>
    </row>
    <row r="16" spans="1:16" ht="15" customHeight="1">
      <c r="A16" s="21" t="s">
        <v>1696</v>
      </c>
      <c r="B16" s="37" t="s">
        <v>2422</v>
      </c>
      <c r="C16" s="579" t="s">
        <v>598</v>
      </c>
      <c r="D16" s="579"/>
      <c r="E16" s="579"/>
      <c r="F16" s="579"/>
      <c r="G16" s="579"/>
      <c r="H16" s="579"/>
      <c r="I16" s="14">
        <f>SUMIF('Stavební rozpočet'!AZ13:AZ1589,"SO 02A_1_",'Stavební rozpočet'!AW13:AW1589)</f>
        <v>0</v>
      </c>
      <c r="J16" s="14">
        <f>SUMIF('Stavební rozpočet'!AZ13:AZ1589,"SO 02A_1_",'Stavební rozpočet'!AX13:AX1589)</f>
        <v>0</v>
      </c>
      <c r="K16" s="14">
        <f>SUMIF('Stavební rozpočet'!AZ13:AZ1589,"SO 02A_1_",'Stavební rozpočet'!AV13:AV1589)</f>
        <v>0</v>
      </c>
      <c r="L16" s="36">
        <f>SUMIF('Stavební rozpočet'!AZ13:AZ1589,"SO 02A_1_",'Stavební rozpočet'!BF13:BF1589)</f>
        <v>0</v>
      </c>
      <c r="M16" s="55" t="s">
        <v>2366</v>
      </c>
      <c r="N16" s="14">
        <f t="shared" si="0"/>
        <v>0</v>
      </c>
      <c r="O16" s="37" t="s">
        <v>1696</v>
      </c>
      <c r="P16" s="14">
        <f t="shared" si="1"/>
        <v>0</v>
      </c>
    </row>
    <row r="17" spans="1:16" ht="15" customHeight="1">
      <c r="A17" s="21" t="s">
        <v>1696</v>
      </c>
      <c r="B17" s="37" t="s">
        <v>1676</v>
      </c>
      <c r="C17" s="579" t="s">
        <v>1078</v>
      </c>
      <c r="D17" s="579"/>
      <c r="E17" s="579"/>
      <c r="F17" s="579"/>
      <c r="G17" s="579"/>
      <c r="H17" s="579"/>
      <c r="I17" s="14">
        <f>SUMIF('Stavební rozpočet'!AZ13:AZ1589,"SO 02A_2_",'Stavební rozpočet'!AW13:AW1589)</f>
        <v>0</v>
      </c>
      <c r="J17" s="14">
        <f>SUMIF('Stavební rozpočet'!AZ13:AZ1589,"SO 02A_2_",'Stavební rozpočet'!AX13:AX1589)</f>
        <v>0</v>
      </c>
      <c r="K17" s="14">
        <f>SUMIF('Stavební rozpočet'!AZ13:AZ1589,"SO 02A_2_",'Stavební rozpočet'!AV13:AV1589)</f>
        <v>0</v>
      </c>
      <c r="L17" s="36">
        <f>SUMIF('Stavební rozpočet'!AZ13:AZ1589,"SO 02A_2_",'Stavební rozpočet'!BF13:BF1589)</f>
        <v>0.2666</v>
      </c>
      <c r="M17" s="55" t="s">
        <v>2366</v>
      </c>
      <c r="N17" s="14">
        <f t="shared" si="0"/>
        <v>0</v>
      </c>
      <c r="O17" s="37" t="s">
        <v>1696</v>
      </c>
      <c r="P17" s="14">
        <f t="shared" si="1"/>
        <v>0</v>
      </c>
    </row>
    <row r="18" spans="1:16" ht="15" customHeight="1">
      <c r="A18" s="21" t="s">
        <v>1696</v>
      </c>
      <c r="B18" s="37" t="s">
        <v>272</v>
      </c>
      <c r="C18" s="579" t="s">
        <v>1816</v>
      </c>
      <c r="D18" s="579"/>
      <c r="E18" s="579"/>
      <c r="F18" s="579"/>
      <c r="G18" s="579"/>
      <c r="H18" s="579"/>
      <c r="I18" s="14">
        <f>SUMIF('Stavební rozpočet'!AZ13:AZ1589,"SO 02A_4_",'Stavební rozpočet'!AW13:AW1589)</f>
        <v>0</v>
      </c>
      <c r="J18" s="14">
        <f>SUMIF('Stavební rozpočet'!AZ13:AZ1589,"SO 02A_4_",'Stavební rozpočet'!AX13:AX1589)</f>
        <v>0</v>
      </c>
      <c r="K18" s="14">
        <f>SUMIF('Stavební rozpočet'!AZ13:AZ1589,"SO 02A_4_",'Stavební rozpočet'!AV13:AV1589)</f>
        <v>0</v>
      </c>
      <c r="L18" s="36">
        <f>SUMIF('Stavební rozpočet'!AZ13:AZ1589,"SO 02A_4_",'Stavební rozpočet'!BF13:BF1589)</f>
        <v>11.025</v>
      </c>
      <c r="M18" s="55" t="s">
        <v>2366</v>
      </c>
      <c r="N18" s="14">
        <f t="shared" si="0"/>
        <v>0</v>
      </c>
      <c r="O18" s="37" t="s">
        <v>1696</v>
      </c>
      <c r="P18" s="14">
        <f t="shared" si="1"/>
        <v>0</v>
      </c>
    </row>
    <row r="19" spans="1:16" ht="15" customHeight="1">
      <c r="A19" s="21" t="s">
        <v>1696</v>
      </c>
      <c r="B19" s="37" t="s">
        <v>408</v>
      </c>
      <c r="C19" s="579" t="s">
        <v>1516</v>
      </c>
      <c r="D19" s="579"/>
      <c r="E19" s="579"/>
      <c r="F19" s="579"/>
      <c r="G19" s="579"/>
      <c r="H19" s="579"/>
      <c r="I19" s="14">
        <f>SUMIF('Stavební rozpočet'!AZ13:AZ1589,"SO 02A_6_",'Stavební rozpočet'!AW13:AW1589)</f>
        <v>0</v>
      </c>
      <c r="J19" s="14">
        <f>SUMIF('Stavební rozpočet'!AZ13:AZ1589,"SO 02A_6_",'Stavební rozpočet'!AX13:AX1589)</f>
        <v>0</v>
      </c>
      <c r="K19" s="14">
        <f>SUMIF('Stavební rozpočet'!AZ13:AZ1589,"SO 02A_6_",'Stavební rozpočet'!AV13:AV1589)</f>
        <v>0</v>
      </c>
      <c r="L19" s="36">
        <f>SUMIF('Stavební rozpočet'!AZ13:AZ1589,"SO 02A_6_",'Stavební rozpočet'!BF13:BF1589)</f>
        <v>4.7158799999999994</v>
      </c>
      <c r="M19" s="55" t="s">
        <v>2366</v>
      </c>
      <c r="N19" s="14">
        <f t="shared" si="0"/>
        <v>0</v>
      </c>
      <c r="O19" s="37" t="s">
        <v>1696</v>
      </c>
      <c r="P19" s="14">
        <f t="shared" si="1"/>
        <v>0</v>
      </c>
    </row>
    <row r="20" spans="1:16" ht="15" customHeight="1">
      <c r="A20" s="21" t="s">
        <v>1696</v>
      </c>
      <c r="B20" s="37" t="s">
        <v>224</v>
      </c>
      <c r="C20" s="579" t="s">
        <v>223</v>
      </c>
      <c r="D20" s="579"/>
      <c r="E20" s="579"/>
      <c r="F20" s="579"/>
      <c r="G20" s="579"/>
      <c r="H20" s="579"/>
      <c r="I20" s="14">
        <f>SUMIF('Stavební rozpočet'!AZ13:AZ1589,"SO 02A_71_",'Stavební rozpočet'!AW13:AW1589)</f>
        <v>0</v>
      </c>
      <c r="J20" s="14">
        <f>SUMIF('Stavební rozpočet'!AZ13:AZ1589,"SO 02A_71_",'Stavební rozpočet'!AX13:AX1589)</f>
        <v>0</v>
      </c>
      <c r="K20" s="14">
        <f>SUMIF('Stavební rozpočet'!AZ13:AZ1589,"SO 02A_71_",'Stavební rozpočet'!AV13:AV1589)</f>
        <v>0</v>
      </c>
      <c r="L20" s="36">
        <f>SUMIF('Stavební rozpočet'!AZ13:AZ1589,"SO 02A_71_",'Stavební rozpočet'!BF13:BF1589)</f>
        <v>0.2929175</v>
      </c>
      <c r="M20" s="55" t="s">
        <v>2366</v>
      </c>
      <c r="N20" s="14">
        <f t="shared" si="0"/>
        <v>0</v>
      </c>
      <c r="O20" s="37" t="s">
        <v>1696</v>
      </c>
      <c r="P20" s="14">
        <f t="shared" si="1"/>
        <v>0</v>
      </c>
    </row>
    <row r="21" spans="1:16" ht="15" customHeight="1">
      <c r="A21" s="21" t="s">
        <v>1696</v>
      </c>
      <c r="B21" s="37" t="s">
        <v>1239</v>
      </c>
      <c r="C21" s="579" t="s">
        <v>1724</v>
      </c>
      <c r="D21" s="579"/>
      <c r="E21" s="579"/>
      <c r="F21" s="579"/>
      <c r="G21" s="579"/>
      <c r="H21" s="579"/>
      <c r="I21" s="14">
        <f>SUMIF('Stavební rozpočet'!AZ13:AZ1589,"SO 02A_77_",'Stavební rozpočet'!AW13:AW1589)</f>
        <v>0</v>
      </c>
      <c r="J21" s="14">
        <f>SUMIF('Stavební rozpočet'!AZ13:AZ1589,"SO 02A_77_",'Stavební rozpočet'!AX13:AX1589)</f>
        <v>0</v>
      </c>
      <c r="K21" s="14">
        <f>SUMIF('Stavební rozpočet'!AZ13:AZ1589,"SO 02A_77_",'Stavební rozpočet'!AV13:AV1589)</f>
        <v>0</v>
      </c>
      <c r="L21" s="36">
        <f>SUMIF('Stavební rozpočet'!AZ13:AZ1589,"SO 02A_77_",'Stavební rozpočet'!BF13:BF1589)</f>
        <v>0.99686999999999992</v>
      </c>
      <c r="M21" s="55" t="s">
        <v>2366</v>
      </c>
      <c r="N21" s="14">
        <f t="shared" si="0"/>
        <v>0</v>
      </c>
      <c r="O21" s="37" t="s">
        <v>1696</v>
      </c>
      <c r="P21" s="14">
        <f t="shared" si="1"/>
        <v>0</v>
      </c>
    </row>
    <row r="22" spans="1:16" ht="15" customHeight="1">
      <c r="A22" s="21" t="s">
        <v>1696</v>
      </c>
      <c r="B22" s="37" t="s">
        <v>922</v>
      </c>
      <c r="C22" s="579" t="s">
        <v>2314</v>
      </c>
      <c r="D22" s="579"/>
      <c r="E22" s="579"/>
      <c r="F22" s="579"/>
      <c r="G22" s="579"/>
      <c r="H22" s="579"/>
      <c r="I22" s="14">
        <f>SUMIF('Stavební rozpočet'!AZ13:AZ1589,"SO 02A_9_",'Stavební rozpočet'!AW13:AW1589)</f>
        <v>0</v>
      </c>
      <c r="J22" s="14">
        <f>SUMIF('Stavební rozpočet'!AZ13:AZ1589,"SO 02A_9_",'Stavební rozpočet'!AX13:AX1589)</f>
        <v>0</v>
      </c>
      <c r="K22" s="14">
        <f>SUMIF('Stavební rozpočet'!AZ13:AZ1589,"SO 02A_9_",'Stavební rozpočet'!AV13:AV1589)</f>
        <v>0</v>
      </c>
      <c r="L22" s="36">
        <f>SUMIF('Stavební rozpočet'!AZ13:AZ1589,"SO 02A_9_",'Stavební rozpočet'!BF13:BF1589)</f>
        <v>10.230600000000001</v>
      </c>
      <c r="M22" s="55" t="s">
        <v>2366</v>
      </c>
      <c r="N22" s="14">
        <f t="shared" si="0"/>
        <v>0</v>
      </c>
      <c r="O22" s="37" t="s">
        <v>1696</v>
      </c>
      <c r="P22" s="14">
        <f t="shared" si="1"/>
        <v>0</v>
      </c>
    </row>
    <row r="23" spans="1:16" ht="15" customHeight="1">
      <c r="A23" s="21" t="s">
        <v>1842</v>
      </c>
      <c r="B23" s="37" t="s">
        <v>1683</v>
      </c>
      <c r="C23" s="579" t="s">
        <v>1495</v>
      </c>
      <c r="D23" s="579"/>
      <c r="E23" s="579"/>
      <c r="F23" s="579"/>
      <c r="G23" s="579"/>
      <c r="H23" s="579"/>
      <c r="I23" s="14">
        <f>'Stavební rozpočet'!J183</f>
        <v>0</v>
      </c>
      <c r="J23" s="14">
        <f>'Stavební rozpočet'!K183</f>
        <v>0</v>
      </c>
      <c r="K23" s="14">
        <f>'Stavební rozpočet'!L183</f>
        <v>0</v>
      </c>
      <c r="L23" s="36">
        <f>'Stavební rozpočet'!O183</f>
        <v>923.29026540000018</v>
      </c>
      <c r="M23" s="55" t="s">
        <v>1079</v>
      </c>
      <c r="N23" s="14">
        <f t="shared" si="0"/>
        <v>0</v>
      </c>
      <c r="O23" s="37" t="s">
        <v>1842</v>
      </c>
      <c r="P23" s="14">
        <f t="shared" si="1"/>
        <v>0</v>
      </c>
    </row>
    <row r="24" spans="1:16" ht="15" customHeight="1">
      <c r="A24" s="21" t="s">
        <v>1842</v>
      </c>
      <c r="B24" s="37" t="s">
        <v>2422</v>
      </c>
      <c r="C24" s="579" t="s">
        <v>598</v>
      </c>
      <c r="D24" s="579"/>
      <c r="E24" s="579"/>
      <c r="F24" s="579"/>
      <c r="G24" s="579"/>
      <c r="H24" s="579"/>
      <c r="I24" s="14">
        <f>SUMIF('Stavební rozpočet'!AZ13:AZ1589,"SO 02B_1_",'Stavební rozpočet'!AW13:AW1589)</f>
        <v>0</v>
      </c>
      <c r="J24" s="14">
        <f>SUMIF('Stavební rozpočet'!AZ13:AZ1589,"SO 02B_1_",'Stavební rozpočet'!AX13:AX1589)</f>
        <v>0</v>
      </c>
      <c r="K24" s="14">
        <f>SUMIF('Stavební rozpočet'!AZ13:AZ1589,"SO 02B_1_",'Stavební rozpočet'!AV13:AV1589)</f>
        <v>0</v>
      </c>
      <c r="L24" s="36">
        <f>SUMIF('Stavební rozpočet'!AZ13:AZ1589,"SO 02B_1_",'Stavební rozpočet'!BF13:BF1589)</f>
        <v>164.16</v>
      </c>
      <c r="M24" s="55" t="s">
        <v>2366</v>
      </c>
      <c r="N24" s="14">
        <f t="shared" si="0"/>
        <v>0</v>
      </c>
      <c r="O24" s="37" t="s">
        <v>1842</v>
      </c>
      <c r="P24" s="14">
        <f t="shared" si="1"/>
        <v>0</v>
      </c>
    </row>
    <row r="25" spans="1:16" ht="15" customHeight="1">
      <c r="A25" s="21" t="s">
        <v>1842</v>
      </c>
      <c r="B25" s="37" t="s">
        <v>1676</v>
      </c>
      <c r="C25" s="579" t="s">
        <v>1078</v>
      </c>
      <c r="D25" s="579"/>
      <c r="E25" s="579"/>
      <c r="F25" s="579"/>
      <c r="G25" s="579"/>
      <c r="H25" s="579"/>
      <c r="I25" s="14">
        <f>SUMIF('Stavební rozpočet'!AZ13:AZ1589,"SO 02B_2_",'Stavební rozpočet'!AW13:AW1589)</f>
        <v>0</v>
      </c>
      <c r="J25" s="14">
        <f>SUMIF('Stavební rozpočet'!AZ13:AZ1589,"SO 02B_2_",'Stavební rozpočet'!AX13:AX1589)</f>
        <v>0</v>
      </c>
      <c r="K25" s="14">
        <f>SUMIF('Stavební rozpočet'!AZ13:AZ1589,"SO 02B_2_",'Stavební rozpočet'!AV13:AV1589)</f>
        <v>0</v>
      </c>
      <c r="L25" s="36">
        <f>SUMIF('Stavební rozpočet'!AZ13:AZ1589,"SO 02B_2_",'Stavební rozpočet'!BF13:BF1589)</f>
        <v>172.53939879999999</v>
      </c>
      <c r="M25" s="55" t="s">
        <v>2366</v>
      </c>
      <c r="N25" s="14">
        <f t="shared" si="0"/>
        <v>0</v>
      </c>
      <c r="O25" s="37" t="s">
        <v>1842</v>
      </c>
      <c r="P25" s="14">
        <f t="shared" si="1"/>
        <v>0</v>
      </c>
    </row>
    <row r="26" spans="1:16" ht="15" customHeight="1">
      <c r="A26" s="21" t="s">
        <v>1842</v>
      </c>
      <c r="B26" s="37" t="s">
        <v>2111</v>
      </c>
      <c r="C26" s="579" t="s">
        <v>6</v>
      </c>
      <c r="D26" s="579"/>
      <c r="E26" s="579"/>
      <c r="F26" s="579"/>
      <c r="G26" s="579"/>
      <c r="H26" s="579"/>
      <c r="I26" s="14">
        <f>SUMIF('Stavební rozpočet'!AZ13:AZ1589,"SO 02B_3_",'Stavební rozpočet'!AW13:AW1589)</f>
        <v>0</v>
      </c>
      <c r="J26" s="14">
        <f>SUMIF('Stavební rozpočet'!AZ13:AZ1589,"SO 02B_3_",'Stavební rozpočet'!AX13:AX1589)</f>
        <v>0</v>
      </c>
      <c r="K26" s="14">
        <f>SUMIF('Stavební rozpočet'!AZ13:AZ1589,"SO 02B_3_",'Stavební rozpočet'!AV13:AV1589)</f>
        <v>0</v>
      </c>
      <c r="L26" s="36">
        <f>SUMIF('Stavební rozpočet'!AZ13:AZ1589,"SO 02B_3_",'Stavební rozpočet'!BF13:BF1589)</f>
        <v>108.68588959999998</v>
      </c>
      <c r="M26" s="55" t="s">
        <v>2366</v>
      </c>
      <c r="N26" s="14">
        <f t="shared" si="0"/>
        <v>0</v>
      </c>
      <c r="O26" s="37" t="s">
        <v>1842</v>
      </c>
      <c r="P26" s="14">
        <f t="shared" si="1"/>
        <v>0</v>
      </c>
    </row>
    <row r="27" spans="1:16" ht="15" customHeight="1">
      <c r="A27" s="21" t="s">
        <v>1842</v>
      </c>
      <c r="B27" s="37" t="s">
        <v>272</v>
      </c>
      <c r="C27" s="579" t="s">
        <v>1816</v>
      </c>
      <c r="D27" s="579"/>
      <c r="E27" s="579"/>
      <c r="F27" s="579"/>
      <c r="G27" s="579"/>
      <c r="H27" s="579"/>
      <c r="I27" s="14">
        <f>SUMIF('Stavební rozpočet'!AZ13:AZ1589,"SO 02B_4_",'Stavební rozpočet'!AW13:AW1589)</f>
        <v>0</v>
      </c>
      <c r="J27" s="14">
        <f>SUMIF('Stavební rozpočet'!AZ13:AZ1589,"SO 02B_4_",'Stavební rozpočet'!AX13:AX1589)</f>
        <v>0</v>
      </c>
      <c r="K27" s="14">
        <f>SUMIF('Stavební rozpočet'!AZ13:AZ1589,"SO 02B_4_",'Stavební rozpočet'!AV13:AV1589)</f>
        <v>0</v>
      </c>
      <c r="L27" s="36">
        <f>SUMIF('Stavební rozpočet'!AZ13:AZ1589,"SO 02B_4_",'Stavební rozpočet'!BF13:BF1589)</f>
        <v>304.2322418</v>
      </c>
      <c r="M27" s="55" t="s">
        <v>2366</v>
      </c>
      <c r="N27" s="14">
        <f t="shared" si="0"/>
        <v>0</v>
      </c>
      <c r="O27" s="37" t="s">
        <v>1842</v>
      </c>
      <c r="P27" s="14">
        <f t="shared" si="1"/>
        <v>0</v>
      </c>
    </row>
    <row r="28" spans="1:16" ht="15" customHeight="1">
      <c r="A28" s="21" t="s">
        <v>1842</v>
      </c>
      <c r="B28" s="37" t="s">
        <v>408</v>
      </c>
      <c r="C28" s="579" t="s">
        <v>1516</v>
      </c>
      <c r="D28" s="579"/>
      <c r="E28" s="579"/>
      <c r="F28" s="579"/>
      <c r="G28" s="579"/>
      <c r="H28" s="579"/>
      <c r="I28" s="14">
        <f>SUMIF('Stavební rozpočet'!AZ13:AZ1589,"SO 02B_6_",'Stavební rozpočet'!AW13:AW1589)</f>
        <v>0</v>
      </c>
      <c r="J28" s="14">
        <f>SUMIF('Stavební rozpočet'!AZ13:AZ1589,"SO 02B_6_",'Stavební rozpočet'!AX13:AX1589)</f>
        <v>0</v>
      </c>
      <c r="K28" s="14">
        <f>SUMIF('Stavební rozpočet'!AZ13:AZ1589,"SO 02B_6_",'Stavební rozpočet'!AV13:AV1589)</f>
        <v>0</v>
      </c>
      <c r="L28" s="36">
        <f>SUMIF('Stavební rozpočet'!AZ13:AZ1589,"SO 02B_6_",'Stavební rozpočet'!BF13:BF1589)</f>
        <v>96.657722799999988</v>
      </c>
      <c r="M28" s="55" t="s">
        <v>2366</v>
      </c>
      <c r="N28" s="14">
        <f t="shared" si="0"/>
        <v>0</v>
      </c>
      <c r="O28" s="37" t="s">
        <v>1842</v>
      </c>
      <c r="P28" s="14">
        <f t="shared" si="1"/>
        <v>0</v>
      </c>
    </row>
    <row r="29" spans="1:16" ht="15" customHeight="1">
      <c r="A29" s="21" t="s">
        <v>1842</v>
      </c>
      <c r="B29" s="37" t="s">
        <v>224</v>
      </c>
      <c r="C29" s="579" t="s">
        <v>223</v>
      </c>
      <c r="D29" s="579"/>
      <c r="E29" s="579"/>
      <c r="F29" s="579"/>
      <c r="G29" s="579"/>
      <c r="H29" s="579"/>
      <c r="I29" s="14">
        <f>SUMIF('Stavební rozpočet'!AZ13:AZ1589,"SO 02B_71_",'Stavební rozpočet'!AW13:AW1589)</f>
        <v>0</v>
      </c>
      <c r="J29" s="14">
        <f>SUMIF('Stavební rozpočet'!AZ13:AZ1589,"SO 02B_71_",'Stavební rozpočet'!AX13:AX1589)</f>
        <v>0</v>
      </c>
      <c r="K29" s="14">
        <f>SUMIF('Stavební rozpočet'!AZ13:AZ1589,"SO 02B_71_",'Stavební rozpočet'!AV13:AV1589)</f>
        <v>0</v>
      </c>
      <c r="L29" s="36">
        <f>SUMIF('Stavební rozpočet'!AZ13:AZ1589,"SO 02B_71_",'Stavební rozpočet'!BF13:BF1589)</f>
        <v>6.6110865999999993</v>
      </c>
      <c r="M29" s="55" t="s">
        <v>2366</v>
      </c>
      <c r="N29" s="14">
        <f t="shared" si="0"/>
        <v>0</v>
      </c>
      <c r="O29" s="37" t="s">
        <v>1842</v>
      </c>
      <c r="P29" s="14">
        <f t="shared" si="1"/>
        <v>0</v>
      </c>
    </row>
    <row r="30" spans="1:16" ht="15" customHeight="1">
      <c r="A30" s="21" t="s">
        <v>1842</v>
      </c>
      <c r="B30" s="37" t="s">
        <v>1619</v>
      </c>
      <c r="C30" s="579" t="s">
        <v>577</v>
      </c>
      <c r="D30" s="579"/>
      <c r="E30" s="579"/>
      <c r="F30" s="579"/>
      <c r="G30" s="579"/>
      <c r="H30" s="579"/>
      <c r="I30" s="14">
        <f>SUMIF('Stavební rozpočet'!AZ13:AZ1589,"SO 02B_76_",'Stavební rozpočet'!AW13:AW1589)</f>
        <v>0</v>
      </c>
      <c r="J30" s="14">
        <f>SUMIF('Stavební rozpočet'!AZ13:AZ1589,"SO 02B_76_",'Stavební rozpočet'!AX13:AX1589)</f>
        <v>0</v>
      </c>
      <c r="K30" s="14">
        <f>SUMIF('Stavební rozpočet'!AZ13:AZ1589,"SO 02B_76_",'Stavební rozpočet'!AV13:AV1589)</f>
        <v>0</v>
      </c>
      <c r="L30" s="36">
        <f>SUMIF('Stavební rozpočet'!AZ13:AZ1589,"SO 02B_76_",'Stavební rozpočet'!BF13:BF1589)</f>
        <v>41.0839043</v>
      </c>
      <c r="M30" s="55" t="s">
        <v>2366</v>
      </c>
      <c r="N30" s="14">
        <f t="shared" si="0"/>
        <v>0</v>
      </c>
      <c r="O30" s="37" t="s">
        <v>1842</v>
      </c>
      <c r="P30" s="14">
        <f t="shared" si="1"/>
        <v>0</v>
      </c>
    </row>
    <row r="31" spans="1:16" ht="15" customHeight="1">
      <c r="A31" s="21" t="s">
        <v>1842</v>
      </c>
      <c r="B31" s="37" t="s">
        <v>1239</v>
      </c>
      <c r="C31" s="579" t="s">
        <v>1724</v>
      </c>
      <c r="D31" s="579"/>
      <c r="E31" s="579"/>
      <c r="F31" s="579"/>
      <c r="G31" s="579"/>
      <c r="H31" s="579"/>
      <c r="I31" s="14">
        <f>SUMIF('Stavební rozpočet'!AZ13:AZ1589,"SO 02B_77_",'Stavební rozpočet'!AW13:AW1589)</f>
        <v>0</v>
      </c>
      <c r="J31" s="14">
        <f>SUMIF('Stavební rozpočet'!AZ13:AZ1589,"SO 02B_77_",'Stavební rozpočet'!AX13:AX1589)</f>
        <v>0</v>
      </c>
      <c r="K31" s="14">
        <f>SUMIF('Stavební rozpočet'!AZ13:AZ1589,"SO 02B_77_",'Stavební rozpočet'!AV13:AV1589)</f>
        <v>0</v>
      </c>
      <c r="L31" s="36">
        <f>SUMIF('Stavební rozpočet'!AZ13:AZ1589,"SO 02B_77_",'Stavební rozpočet'!BF13:BF1589)</f>
        <v>12.7871855</v>
      </c>
      <c r="M31" s="55" t="s">
        <v>2366</v>
      </c>
      <c r="N31" s="14">
        <f t="shared" si="0"/>
        <v>0</v>
      </c>
      <c r="O31" s="37" t="s">
        <v>1842</v>
      </c>
      <c r="P31" s="14">
        <f t="shared" si="1"/>
        <v>0</v>
      </c>
    </row>
    <row r="32" spans="1:16" ht="15" customHeight="1">
      <c r="A32" s="21" t="s">
        <v>1842</v>
      </c>
      <c r="B32" s="37" t="s">
        <v>547</v>
      </c>
      <c r="C32" s="579" t="s">
        <v>165</v>
      </c>
      <c r="D32" s="579"/>
      <c r="E32" s="579"/>
      <c r="F32" s="579"/>
      <c r="G32" s="579"/>
      <c r="H32" s="579"/>
      <c r="I32" s="14">
        <f>SUMIF('Stavební rozpočet'!AZ13:AZ1589,"SO 02B_78_",'Stavební rozpočet'!AW13:AW1589)</f>
        <v>0</v>
      </c>
      <c r="J32" s="14">
        <f>SUMIF('Stavební rozpočet'!AZ13:AZ1589,"SO 02B_78_",'Stavební rozpočet'!AX13:AX1589)</f>
        <v>0</v>
      </c>
      <c r="K32" s="14">
        <f>SUMIF('Stavební rozpočet'!AZ13:AZ1589,"SO 02B_78_",'Stavební rozpočet'!AV13:AV1589)</f>
        <v>0</v>
      </c>
      <c r="L32" s="36">
        <f>SUMIF('Stavební rozpočet'!AZ13:AZ1589,"SO 02B_78_",'Stavební rozpočet'!BF13:BF1589)</f>
        <v>2.4859934999999997</v>
      </c>
      <c r="M32" s="55" t="s">
        <v>2366</v>
      </c>
      <c r="N32" s="14">
        <f t="shared" si="0"/>
        <v>0</v>
      </c>
      <c r="O32" s="37" t="s">
        <v>1842</v>
      </c>
      <c r="P32" s="14">
        <f t="shared" si="1"/>
        <v>0</v>
      </c>
    </row>
    <row r="33" spans="1:16" ht="15" customHeight="1">
      <c r="A33" s="21" t="s">
        <v>1842</v>
      </c>
      <c r="B33" s="37" t="s">
        <v>922</v>
      </c>
      <c r="C33" s="579" t="s">
        <v>2314</v>
      </c>
      <c r="D33" s="579"/>
      <c r="E33" s="579"/>
      <c r="F33" s="579"/>
      <c r="G33" s="579"/>
      <c r="H33" s="579"/>
      <c r="I33" s="14">
        <f>SUMIF('Stavební rozpočet'!AZ13:AZ1589,"SO 02B_9_",'Stavební rozpočet'!AW13:AW1589)</f>
        <v>0</v>
      </c>
      <c r="J33" s="14">
        <f>SUMIF('Stavební rozpočet'!AZ13:AZ1589,"SO 02B_9_",'Stavební rozpočet'!AX13:AX1589)</f>
        <v>0</v>
      </c>
      <c r="K33" s="14">
        <f>SUMIF('Stavební rozpočet'!AZ13:AZ1589,"SO 02B_9_",'Stavební rozpočet'!AV13:AV1589)</f>
        <v>0</v>
      </c>
      <c r="L33" s="36">
        <f>SUMIF('Stavební rozpočet'!AZ13:AZ1589,"SO 02B_9_",'Stavební rozpočet'!BF13:BF1589)</f>
        <v>14.046842499999999</v>
      </c>
      <c r="M33" s="55" t="s">
        <v>2366</v>
      </c>
      <c r="N33" s="14">
        <f t="shared" si="0"/>
        <v>0</v>
      </c>
      <c r="O33" s="37" t="s">
        <v>1842</v>
      </c>
      <c r="P33" s="14">
        <f t="shared" si="1"/>
        <v>0</v>
      </c>
    </row>
    <row r="34" spans="1:16" ht="15" customHeight="1">
      <c r="A34" s="21" t="s">
        <v>557</v>
      </c>
      <c r="B34" s="37" t="s">
        <v>1683</v>
      </c>
      <c r="C34" s="579" t="s">
        <v>2002</v>
      </c>
      <c r="D34" s="579"/>
      <c r="E34" s="579"/>
      <c r="F34" s="579"/>
      <c r="G34" s="579"/>
      <c r="H34" s="579"/>
      <c r="I34" s="14">
        <f>'Stavební rozpočet'!J741</f>
        <v>0</v>
      </c>
      <c r="J34" s="14">
        <f>'Stavební rozpočet'!K741</f>
        <v>0</v>
      </c>
      <c r="K34" s="14">
        <f>'Stavební rozpočet'!L741</f>
        <v>0</v>
      </c>
      <c r="L34" s="36">
        <f>'Stavební rozpočet'!O741</f>
        <v>275.08404540000004</v>
      </c>
      <c r="M34" s="55" t="s">
        <v>1079</v>
      </c>
      <c r="N34" s="14">
        <f t="shared" si="0"/>
        <v>0</v>
      </c>
      <c r="O34" s="37" t="s">
        <v>557</v>
      </c>
      <c r="P34" s="14">
        <f t="shared" si="1"/>
        <v>0</v>
      </c>
    </row>
    <row r="35" spans="1:16" ht="15" customHeight="1">
      <c r="A35" s="21" t="s">
        <v>557</v>
      </c>
      <c r="B35" s="37" t="s">
        <v>2422</v>
      </c>
      <c r="C35" s="579" t="s">
        <v>598</v>
      </c>
      <c r="D35" s="579"/>
      <c r="E35" s="579"/>
      <c r="F35" s="579"/>
      <c r="G35" s="579"/>
      <c r="H35" s="579"/>
      <c r="I35" s="14">
        <f>SUMIF('Stavební rozpočet'!AZ13:AZ1589,"SO 02C_1_",'Stavební rozpočet'!AW13:AW1589)</f>
        <v>0</v>
      </c>
      <c r="J35" s="14">
        <f>SUMIF('Stavební rozpočet'!AZ13:AZ1589,"SO 02C_1_",'Stavební rozpočet'!AX13:AX1589)</f>
        <v>0</v>
      </c>
      <c r="K35" s="14">
        <f>SUMIF('Stavební rozpočet'!AZ13:AZ1589,"SO 02C_1_",'Stavební rozpočet'!AV13:AV1589)</f>
        <v>0</v>
      </c>
      <c r="L35" s="36">
        <f>SUMIF('Stavební rozpočet'!AZ13:AZ1589,"SO 02C_1_",'Stavební rozpočet'!BF13:BF1589)</f>
        <v>74.861159999999998</v>
      </c>
      <c r="M35" s="55" t="s">
        <v>2366</v>
      </c>
      <c r="N35" s="14">
        <f t="shared" si="0"/>
        <v>0</v>
      </c>
      <c r="O35" s="37" t="s">
        <v>557</v>
      </c>
      <c r="P35" s="14">
        <f t="shared" si="1"/>
        <v>0</v>
      </c>
    </row>
    <row r="36" spans="1:16" ht="15" customHeight="1">
      <c r="A36" s="21" t="s">
        <v>557</v>
      </c>
      <c r="B36" s="37" t="s">
        <v>2111</v>
      </c>
      <c r="C36" s="579" t="s">
        <v>6</v>
      </c>
      <c r="D36" s="579"/>
      <c r="E36" s="579"/>
      <c r="F36" s="579"/>
      <c r="G36" s="579"/>
      <c r="H36" s="579"/>
      <c r="I36" s="14">
        <f>SUMIF('Stavební rozpočet'!AZ13:AZ1589,"SO 02C_3_",'Stavební rozpočet'!AW13:AW1589)</f>
        <v>0</v>
      </c>
      <c r="J36" s="14">
        <f>SUMIF('Stavební rozpočet'!AZ13:AZ1589,"SO 02C_3_",'Stavební rozpočet'!AX13:AX1589)</f>
        <v>0</v>
      </c>
      <c r="K36" s="14">
        <f>SUMIF('Stavební rozpočet'!AZ13:AZ1589,"SO 02C_3_",'Stavební rozpočet'!AV13:AV1589)</f>
        <v>0</v>
      </c>
      <c r="L36" s="36">
        <f>SUMIF('Stavební rozpočet'!AZ13:AZ1589,"SO 02C_3_",'Stavební rozpočet'!BF13:BF1589)</f>
        <v>66.267502900000011</v>
      </c>
      <c r="M36" s="55" t="s">
        <v>2366</v>
      </c>
      <c r="N36" s="14">
        <f t="shared" si="0"/>
        <v>0</v>
      </c>
      <c r="O36" s="37" t="s">
        <v>557</v>
      </c>
      <c r="P36" s="14">
        <f t="shared" si="1"/>
        <v>0</v>
      </c>
    </row>
    <row r="37" spans="1:16" ht="15" customHeight="1">
      <c r="A37" s="21" t="s">
        <v>557</v>
      </c>
      <c r="B37" s="37" t="s">
        <v>272</v>
      </c>
      <c r="C37" s="579" t="s">
        <v>1816</v>
      </c>
      <c r="D37" s="579"/>
      <c r="E37" s="579"/>
      <c r="F37" s="579"/>
      <c r="G37" s="579"/>
      <c r="H37" s="579"/>
      <c r="I37" s="14">
        <f>SUMIF('Stavební rozpočet'!AZ13:AZ1589,"SO 02C_4_",'Stavební rozpočet'!AW13:AW1589)</f>
        <v>0</v>
      </c>
      <c r="J37" s="14">
        <f>SUMIF('Stavební rozpočet'!AZ13:AZ1589,"SO 02C_4_",'Stavební rozpočet'!AX13:AX1589)</f>
        <v>0</v>
      </c>
      <c r="K37" s="14">
        <f>SUMIF('Stavební rozpočet'!AZ13:AZ1589,"SO 02C_4_",'Stavební rozpočet'!AV13:AV1589)</f>
        <v>0</v>
      </c>
      <c r="L37" s="36">
        <f>SUMIF('Stavební rozpočet'!AZ13:AZ1589,"SO 02C_4_",'Stavební rozpočet'!BF13:BF1589)</f>
        <v>35.263852700000001</v>
      </c>
      <c r="M37" s="55" t="s">
        <v>2366</v>
      </c>
      <c r="N37" s="14">
        <f t="shared" si="0"/>
        <v>0</v>
      </c>
      <c r="O37" s="37" t="s">
        <v>557</v>
      </c>
      <c r="P37" s="14">
        <f t="shared" si="1"/>
        <v>0</v>
      </c>
    </row>
    <row r="38" spans="1:16" ht="15" customHeight="1">
      <c r="A38" s="21" t="s">
        <v>557</v>
      </c>
      <c r="B38" s="37" t="s">
        <v>408</v>
      </c>
      <c r="C38" s="579" t="s">
        <v>1516</v>
      </c>
      <c r="D38" s="579"/>
      <c r="E38" s="579"/>
      <c r="F38" s="579"/>
      <c r="G38" s="579"/>
      <c r="H38" s="579"/>
      <c r="I38" s="14">
        <f>SUMIF('Stavební rozpočet'!AZ13:AZ1589,"SO 02C_6_",'Stavební rozpočet'!AW13:AW1589)</f>
        <v>0</v>
      </c>
      <c r="J38" s="14">
        <f>SUMIF('Stavební rozpočet'!AZ13:AZ1589,"SO 02C_6_",'Stavební rozpočet'!AX13:AX1589)</f>
        <v>0</v>
      </c>
      <c r="K38" s="14">
        <f>SUMIF('Stavební rozpočet'!AZ13:AZ1589,"SO 02C_6_",'Stavební rozpočet'!AV13:AV1589)</f>
        <v>0</v>
      </c>
      <c r="L38" s="36">
        <f>SUMIF('Stavební rozpočet'!AZ13:AZ1589,"SO 02C_6_",'Stavební rozpočet'!BF13:BF1589)</f>
        <v>21.019731000000004</v>
      </c>
      <c r="M38" s="55" t="s">
        <v>2366</v>
      </c>
      <c r="N38" s="14">
        <f t="shared" si="0"/>
        <v>0</v>
      </c>
      <c r="O38" s="37" t="s">
        <v>557</v>
      </c>
      <c r="P38" s="14">
        <f t="shared" si="1"/>
        <v>0</v>
      </c>
    </row>
    <row r="39" spans="1:16" ht="15" customHeight="1">
      <c r="A39" s="21" t="s">
        <v>557</v>
      </c>
      <c r="B39" s="37" t="s">
        <v>224</v>
      </c>
      <c r="C39" s="579" t="s">
        <v>223</v>
      </c>
      <c r="D39" s="579"/>
      <c r="E39" s="579"/>
      <c r="F39" s="579"/>
      <c r="G39" s="579"/>
      <c r="H39" s="579"/>
      <c r="I39" s="14">
        <f>SUMIF('Stavební rozpočet'!AZ13:AZ1589,"SO 02C_71_",'Stavební rozpočet'!AW13:AW1589)</f>
        <v>0</v>
      </c>
      <c r="J39" s="14">
        <f>SUMIF('Stavební rozpočet'!AZ13:AZ1589,"SO 02C_71_",'Stavební rozpočet'!AX13:AX1589)</f>
        <v>0</v>
      </c>
      <c r="K39" s="14">
        <f>SUMIF('Stavební rozpočet'!AZ13:AZ1589,"SO 02C_71_",'Stavební rozpočet'!AV13:AV1589)</f>
        <v>0</v>
      </c>
      <c r="L39" s="36">
        <f>SUMIF('Stavební rozpočet'!AZ13:AZ1589,"SO 02C_71_",'Stavební rozpočet'!BF13:BF1589)</f>
        <v>21.012854999999998</v>
      </c>
      <c r="M39" s="55" t="s">
        <v>2366</v>
      </c>
      <c r="N39" s="14">
        <f t="shared" si="0"/>
        <v>0</v>
      </c>
      <c r="O39" s="37" t="s">
        <v>557</v>
      </c>
      <c r="P39" s="14">
        <f t="shared" si="1"/>
        <v>0</v>
      </c>
    </row>
    <row r="40" spans="1:16" ht="15" customHeight="1">
      <c r="A40" s="21" t="s">
        <v>557</v>
      </c>
      <c r="B40" s="37" t="s">
        <v>1619</v>
      </c>
      <c r="C40" s="579" t="s">
        <v>577</v>
      </c>
      <c r="D40" s="579"/>
      <c r="E40" s="579"/>
      <c r="F40" s="579"/>
      <c r="G40" s="579"/>
      <c r="H40" s="579"/>
      <c r="I40" s="14">
        <f>SUMIF('Stavební rozpočet'!AZ13:AZ1589,"SO 02C_76_",'Stavební rozpočet'!AW13:AW1589)</f>
        <v>0</v>
      </c>
      <c r="J40" s="14">
        <f>SUMIF('Stavební rozpočet'!AZ13:AZ1589,"SO 02C_76_",'Stavební rozpočet'!AX13:AX1589)</f>
        <v>0</v>
      </c>
      <c r="K40" s="14">
        <f>SUMIF('Stavební rozpočet'!AZ13:AZ1589,"SO 02C_76_",'Stavební rozpočet'!AV13:AV1589)</f>
        <v>0</v>
      </c>
      <c r="L40" s="36">
        <f>SUMIF('Stavební rozpočet'!AZ13:AZ1589,"SO 02C_76_",'Stavební rozpočet'!BF13:BF1589)</f>
        <v>54.051973799999999</v>
      </c>
      <c r="M40" s="55" t="s">
        <v>2366</v>
      </c>
      <c r="N40" s="14">
        <f t="shared" si="0"/>
        <v>0</v>
      </c>
      <c r="O40" s="37" t="s">
        <v>557</v>
      </c>
      <c r="P40" s="14">
        <f t="shared" si="1"/>
        <v>0</v>
      </c>
    </row>
    <row r="41" spans="1:16" ht="15" customHeight="1">
      <c r="A41" s="21" t="s">
        <v>557</v>
      </c>
      <c r="B41" s="37" t="s">
        <v>1239</v>
      </c>
      <c r="C41" s="579" t="s">
        <v>1724</v>
      </c>
      <c r="D41" s="579"/>
      <c r="E41" s="579"/>
      <c r="F41" s="579"/>
      <c r="G41" s="579"/>
      <c r="H41" s="579"/>
      <c r="I41" s="14">
        <f>SUMIF('Stavební rozpočet'!AZ13:AZ1589,"SO 02C_77_",'Stavební rozpočet'!AW13:AW1589)</f>
        <v>0</v>
      </c>
      <c r="J41" s="14">
        <f>SUMIF('Stavební rozpočet'!AZ13:AZ1589,"SO 02C_77_",'Stavební rozpočet'!AX13:AX1589)</f>
        <v>0</v>
      </c>
      <c r="K41" s="14">
        <f>SUMIF('Stavební rozpočet'!AZ13:AZ1589,"SO 02C_77_",'Stavební rozpočet'!AV13:AV1589)</f>
        <v>0</v>
      </c>
      <c r="L41" s="36">
        <f>SUMIF('Stavební rozpočet'!AZ13:AZ1589,"SO 02C_77_",'Stavební rozpočet'!BF13:BF1589)</f>
        <v>2.1718700000000002</v>
      </c>
      <c r="M41" s="55" t="s">
        <v>2366</v>
      </c>
      <c r="N41" s="14">
        <f t="shared" si="0"/>
        <v>0</v>
      </c>
      <c r="O41" s="37" t="s">
        <v>557</v>
      </c>
      <c r="P41" s="14">
        <f t="shared" si="1"/>
        <v>0</v>
      </c>
    </row>
    <row r="42" spans="1:16" ht="15" customHeight="1">
      <c r="A42" s="21" t="s">
        <v>557</v>
      </c>
      <c r="B42" s="37" t="s">
        <v>547</v>
      </c>
      <c r="C42" s="579" t="s">
        <v>165</v>
      </c>
      <c r="D42" s="579"/>
      <c r="E42" s="579"/>
      <c r="F42" s="579"/>
      <c r="G42" s="579"/>
      <c r="H42" s="579"/>
      <c r="I42" s="14">
        <f>SUMIF('Stavební rozpočet'!AZ13:AZ1589,"SO 02C_78_",'Stavební rozpočet'!AW13:AW1589)</f>
        <v>0</v>
      </c>
      <c r="J42" s="14">
        <f>SUMIF('Stavební rozpočet'!AZ13:AZ1589,"SO 02C_78_",'Stavební rozpočet'!AX13:AX1589)</f>
        <v>0</v>
      </c>
      <c r="K42" s="14">
        <f>SUMIF('Stavební rozpočet'!AZ13:AZ1589,"SO 02C_78_",'Stavební rozpočet'!AV13:AV1589)</f>
        <v>0</v>
      </c>
      <c r="L42" s="36">
        <f>SUMIF('Stavební rozpočet'!AZ13:AZ1589,"SO 02C_78_",'Stavební rozpočet'!BF13:BF1589)</f>
        <v>0.42530000000000001</v>
      </c>
      <c r="M42" s="55" t="s">
        <v>2366</v>
      </c>
      <c r="N42" s="14">
        <f t="shared" si="0"/>
        <v>0</v>
      </c>
      <c r="O42" s="37" t="s">
        <v>557</v>
      </c>
      <c r="P42" s="14">
        <f t="shared" si="1"/>
        <v>0</v>
      </c>
    </row>
    <row r="43" spans="1:16" ht="15" customHeight="1">
      <c r="A43" s="21" t="s">
        <v>557</v>
      </c>
      <c r="B43" s="37" t="s">
        <v>922</v>
      </c>
      <c r="C43" s="579" t="s">
        <v>2314</v>
      </c>
      <c r="D43" s="579"/>
      <c r="E43" s="579"/>
      <c r="F43" s="579"/>
      <c r="G43" s="579"/>
      <c r="H43" s="579"/>
      <c r="I43" s="14">
        <f>SUMIF('Stavební rozpočet'!AZ13:AZ1589,"SO 02C_9_",'Stavební rozpočet'!AW13:AW1589)</f>
        <v>0</v>
      </c>
      <c r="J43" s="14">
        <f>SUMIF('Stavební rozpočet'!AZ13:AZ1589,"SO 02C_9_",'Stavební rozpočet'!AX13:AX1589)</f>
        <v>0</v>
      </c>
      <c r="K43" s="14">
        <f>SUMIF('Stavební rozpočet'!AZ13:AZ1589,"SO 02C_9_",'Stavební rozpočet'!AV13:AV1589)</f>
        <v>0</v>
      </c>
      <c r="L43" s="36">
        <f>SUMIF('Stavební rozpočet'!AZ13:AZ1589,"SO 02C_9_",'Stavební rozpočet'!BF13:BF1589)</f>
        <v>9.8000000000000014E-3</v>
      </c>
      <c r="M43" s="55" t="s">
        <v>2366</v>
      </c>
      <c r="N43" s="14">
        <f t="shared" si="0"/>
        <v>0</v>
      </c>
      <c r="O43" s="37" t="s">
        <v>557</v>
      </c>
      <c r="P43" s="14">
        <f t="shared" si="1"/>
        <v>0</v>
      </c>
    </row>
    <row r="44" spans="1:16" ht="15" customHeight="1">
      <c r="A44" s="21" t="s">
        <v>991</v>
      </c>
      <c r="B44" s="37" t="s">
        <v>1683</v>
      </c>
      <c r="C44" s="579" t="s">
        <v>162</v>
      </c>
      <c r="D44" s="579"/>
      <c r="E44" s="579"/>
      <c r="F44" s="579"/>
      <c r="G44" s="579"/>
      <c r="H44" s="579"/>
      <c r="I44" s="14">
        <f>'Stavební rozpočet'!J1109</f>
        <v>0</v>
      </c>
      <c r="J44" s="14">
        <f>'Stavební rozpočet'!K1109</f>
        <v>0</v>
      </c>
      <c r="K44" s="14">
        <f>'Stavební rozpočet'!L1109</f>
        <v>0</v>
      </c>
      <c r="L44" s="36">
        <f>'Stavební rozpočet'!O1109</f>
        <v>0</v>
      </c>
      <c r="M44" s="55" t="s">
        <v>1079</v>
      </c>
      <c r="N44" s="14">
        <f t="shared" ref="N44:N75" si="2">IF(M44="F",0,K44)</f>
        <v>0</v>
      </c>
      <c r="O44" s="37" t="s">
        <v>991</v>
      </c>
      <c r="P44" s="14">
        <f t="shared" ref="P44:P75" si="3">IF(M44="T",0,K44)</f>
        <v>0</v>
      </c>
    </row>
    <row r="45" spans="1:16" ht="15" customHeight="1">
      <c r="A45" s="21" t="s">
        <v>991</v>
      </c>
      <c r="B45" s="37" t="s">
        <v>922</v>
      </c>
      <c r="C45" s="579" t="s">
        <v>2314</v>
      </c>
      <c r="D45" s="579"/>
      <c r="E45" s="579"/>
      <c r="F45" s="579"/>
      <c r="G45" s="579"/>
      <c r="H45" s="579"/>
      <c r="I45" s="14">
        <f>SUMIF('Stavební rozpočet'!AZ13:AZ1589,"SO 03a_9_",'Stavební rozpočet'!AW13:AW1589)</f>
        <v>0</v>
      </c>
      <c r="J45" s="14">
        <f>SUMIF('Stavební rozpočet'!AZ13:AZ1589,"SO 03a_9_",'Stavební rozpočet'!AX13:AX1589)</f>
        <v>0</v>
      </c>
      <c r="K45" s="14">
        <f>SUMIF('Stavební rozpočet'!AZ13:AZ1589,"SO 03a_9_",'Stavební rozpočet'!AV13:AV1589)</f>
        <v>0</v>
      </c>
      <c r="L45" s="36">
        <f>SUMIF('Stavební rozpočet'!AZ13:AZ1589,"SO 03a_9_",'Stavební rozpočet'!BF13:BF1589)</f>
        <v>0</v>
      </c>
      <c r="M45" s="55" t="s">
        <v>2366</v>
      </c>
      <c r="N45" s="14">
        <f t="shared" si="2"/>
        <v>0</v>
      </c>
      <c r="O45" s="37" t="s">
        <v>991</v>
      </c>
      <c r="P45" s="14">
        <f t="shared" si="3"/>
        <v>0</v>
      </c>
    </row>
    <row r="46" spans="1:16" ht="15" customHeight="1">
      <c r="A46" s="21" t="s">
        <v>12</v>
      </c>
      <c r="B46" s="37" t="s">
        <v>1683</v>
      </c>
      <c r="C46" s="579" t="s">
        <v>2344</v>
      </c>
      <c r="D46" s="579"/>
      <c r="E46" s="579"/>
      <c r="F46" s="579"/>
      <c r="G46" s="579"/>
      <c r="H46" s="579"/>
      <c r="I46" s="14">
        <f>'Stavební rozpočet'!J1113</f>
        <v>0</v>
      </c>
      <c r="J46" s="14">
        <f>'Stavební rozpočet'!K1113</f>
        <v>0</v>
      </c>
      <c r="K46" s="14">
        <f>'Stavební rozpočet'!L1113</f>
        <v>0</v>
      </c>
      <c r="L46" s="36">
        <f>'Stavební rozpočet'!O1113</f>
        <v>0</v>
      </c>
      <c r="M46" s="55" t="s">
        <v>1079</v>
      </c>
      <c r="N46" s="14">
        <f t="shared" si="2"/>
        <v>0</v>
      </c>
      <c r="O46" s="37" t="s">
        <v>12</v>
      </c>
      <c r="P46" s="14">
        <f t="shared" si="3"/>
        <v>0</v>
      </c>
    </row>
    <row r="47" spans="1:16" ht="15" customHeight="1">
      <c r="A47" s="21" t="s">
        <v>12</v>
      </c>
      <c r="B47" s="37" t="s">
        <v>1507</v>
      </c>
      <c r="C47" s="579" t="s">
        <v>2694</v>
      </c>
      <c r="D47" s="579"/>
      <c r="E47" s="579"/>
      <c r="F47" s="579"/>
      <c r="G47" s="579"/>
      <c r="H47" s="579"/>
      <c r="I47" s="14">
        <f>SUMIF('Stavební rozpočet'!AZ13:AZ1589,"SO 03b_73_",'Stavební rozpočet'!AW13:AW1589)</f>
        <v>0</v>
      </c>
      <c r="J47" s="14">
        <f>SUMIF('Stavební rozpočet'!AZ13:AZ1589,"SO 03b_73_",'Stavební rozpočet'!AX13:AX1589)</f>
        <v>0</v>
      </c>
      <c r="K47" s="14">
        <f>SUMIF('Stavební rozpočet'!AZ13:AZ1589,"SO 03b_73_",'Stavební rozpočet'!AV13:AV1589)</f>
        <v>0</v>
      </c>
      <c r="L47" s="36">
        <f>SUMIF('Stavební rozpočet'!AZ13:AZ1589,"SO 03b_73_",'Stavební rozpočet'!BF13:BF1589)</f>
        <v>0</v>
      </c>
      <c r="M47" s="55" t="s">
        <v>2366</v>
      </c>
      <c r="N47" s="14">
        <f t="shared" si="2"/>
        <v>0</v>
      </c>
      <c r="O47" s="37" t="s">
        <v>12</v>
      </c>
      <c r="P47" s="14">
        <f t="shared" si="3"/>
        <v>0</v>
      </c>
    </row>
    <row r="48" spans="1:16" ht="15" customHeight="1">
      <c r="A48" s="21" t="s">
        <v>1529</v>
      </c>
      <c r="B48" s="37" t="s">
        <v>1683</v>
      </c>
      <c r="C48" s="579" t="s">
        <v>2605</v>
      </c>
      <c r="D48" s="579"/>
      <c r="E48" s="579"/>
      <c r="F48" s="579"/>
      <c r="G48" s="579"/>
      <c r="H48" s="579"/>
      <c r="I48" s="14">
        <f>'Stavební rozpočet'!J1117</f>
        <v>0</v>
      </c>
      <c r="J48" s="14">
        <f>'Stavební rozpočet'!K1117</f>
        <v>0</v>
      </c>
      <c r="K48" s="14">
        <f>'Stavební rozpočet'!L1117</f>
        <v>0</v>
      </c>
      <c r="L48" s="36">
        <f>'Stavební rozpočet'!O1117</f>
        <v>0</v>
      </c>
      <c r="M48" s="55" t="s">
        <v>1079</v>
      </c>
      <c r="N48" s="14">
        <f t="shared" si="2"/>
        <v>0</v>
      </c>
      <c r="O48" s="37" t="s">
        <v>1529</v>
      </c>
      <c r="P48" s="14">
        <f t="shared" si="3"/>
        <v>0</v>
      </c>
    </row>
    <row r="49" spans="1:16" ht="15" customHeight="1">
      <c r="A49" s="21" t="s">
        <v>1529</v>
      </c>
      <c r="B49" s="37" t="s">
        <v>922</v>
      </c>
      <c r="C49" s="579" t="s">
        <v>2314</v>
      </c>
      <c r="D49" s="579"/>
      <c r="E49" s="579"/>
      <c r="F49" s="579"/>
      <c r="G49" s="579"/>
      <c r="H49" s="579"/>
      <c r="I49" s="14">
        <f>SUMIF('Stavební rozpočet'!AZ13:AZ1589,"SO 03c_9_",'Stavební rozpočet'!AW13:AW1589)</f>
        <v>0</v>
      </c>
      <c r="J49" s="14">
        <f>SUMIF('Stavební rozpočet'!AZ13:AZ1589,"SO 03c_9_",'Stavební rozpočet'!AX13:AX1589)</f>
        <v>0</v>
      </c>
      <c r="K49" s="14">
        <f>SUMIF('Stavební rozpočet'!AZ13:AZ1589,"SO 03c_9_",'Stavební rozpočet'!AV13:AV1589)</f>
        <v>0</v>
      </c>
      <c r="L49" s="36">
        <f>SUMIF('Stavební rozpočet'!AZ13:AZ1589,"SO 03c_9_",'Stavební rozpočet'!BF13:BF1589)</f>
        <v>0</v>
      </c>
      <c r="M49" s="55" t="s">
        <v>2366</v>
      </c>
      <c r="N49" s="14">
        <f t="shared" si="2"/>
        <v>0</v>
      </c>
      <c r="O49" s="37" t="s">
        <v>1529</v>
      </c>
      <c r="P49" s="14">
        <f t="shared" si="3"/>
        <v>0</v>
      </c>
    </row>
    <row r="50" spans="1:16" ht="15" customHeight="1">
      <c r="A50" s="21" t="s">
        <v>750</v>
      </c>
      <c r="B50" s="37" t="s">
        <v>1683</v>
      </c>
      <c r="C50" s="579" t="s">
        <v>1618</v>
      </c>
      <c r="D50" s="579"/>
      <c r="E50" s="579"/>
      <c r="F50" s="579"/>
      <c r="G50" s="579"/>
      <c r="H50" s="579"/>
      <c r="I50" s="14">
        <f>'Stavební rozpočet'!J1121</f>
        <v>0</v>
      </c>
      <c r="J50" s="14">
        <f>'Stavební rozpočet'!K1121</f>
        <v>0</v>
      </c>
      <c r="K50" s="14">
        <f>'Stavební rozpočet'!L1121</f>
        <v>0</v>
      </c>
      <c r="L50" s="36">
        <f>'Stavební rozpočet'!O1121</f>
        <v>129.62463810000003</v>
      </c>
      <c r="M50" s="55" t="s">
        <v>1079</v>
      </c>
      <c r="N50" s="14">
        <f t="shared" si="2"/>
        <v>0</v>
      </c>
      <c r="O50" s="37" t="s">
        <v>750</v>
      </c>
      <c r="P50" s="14">
        <f t="shared" si="3"/>
        <v>0</v>
      </c>
    </row>
    <row r="51" spans="1:16" ht="15" customHeight="1">
      <c r="A51" s="21" t="s">
        <v>750</v>
      </c>
      <c r="B51" s="37" t="s">
        <v>2422</v>
      </c>
      <c r="C51" s="579" t="s">
        <v>598</v>
      </c>
      <c r="D51" s="579"/>
      <c r="E51" s="579"/>
      <c r="F51" s="579"/>
      <c r="G51" s="579"/>
      <c r="H51" s="579"/>
      <c r="I51" s="14">
        <f>SUMIF('Stavební rozpočet'!AZ13:AZ1589,"SO 03d_1_",'Stavební rozpočet'!AW13:AW1589)</f>
        <v>0</v>
      </c>
      <c r="J51" s="14">
        <f>SUMIF('Stavební rozpočet'!AZ13:AZ1589,"SO 03d_1_",'Stavební rozpočet'!AX13:AX1589)</f>
        <v>0</v>
      </c>
      <c r="K51" s="14">
        <f>SUMIF('Stavební rozpočet'!AZ13:AZ1589,"SO 03d_1_",'Stavební rozpočet'!AV13:AV1589)</f>
        <v>0</v>
      </c>
      <c r="L51" s="36">
        <f>SUMIF('Stavební rozpočet'!AZ13:AZ1589,"SO 03d_1_",'Stavební rozpočet'!BF13:BF1589)</f>
        <v>71.346959999999996</v>
      </c>
      <c r="M51" s="55" t="s">
        <v>2366</v>
      </c>
      <c r="N51" s="14">
        <f t="shared" si="2"/>
        <v>0</v>
      </c>
      <c r="O51" s="37" t="s">
        <v>750</v>
      </c>
      <c r="P51" s="14">
        <f t="shared" si="3"/>
        <v>0</v>
      </c>
    </row>
    <row r="52" spans="1:16" ht="15" customHeight="1">
      <c r="A52" s="21" t="s">
        <v>750</v>
      </c>
      <c r="B52" s="37" t="s">
        <v>272</v>
      </c>
      <c r="C52" s="579" t="s">
        <v>1816</v>
      </c>
      <c r="D52" s="579"/>
      <c r="E52" s="579"/>
      <c r="F52" s="579"/>
      <c r="G52" s="579"/>
      <c r="H52" s="579"/>
      <c r="I52" s="14">
        <f>SUMIF('Stavební rozpočet'!AZ13:AZ1589,"SO 03d_4_",'Stavební rozpočet'!AW13:AW1589)</f>
        <v>0</v>
      </c>
      <c r="J52" s="14">
        <f>SUMIF('Stavební rozpočet'!AZ13:AZ1589,"SO 03d_4_",'Stavební rozpočet'!AX13:AX1589)</f>
        <v>0</v>
      </c>
      <c r="K52" s="14">
        <f>SUMIF('Stavební rozpočet'!AZ13:AZ1589,"SO 03d_4_",'Stavební rozpočet'!AV13:AV1589)</f>
        <v>0</v>
      </c>
      <c r="L52" s="36">
        <f>SUMIF('Stavební rozpočet'!AZ13:AZ1589,"SO 03d_4_",'Stavební rozpočet'!BF13:BF1589)</f>
        <v>53.943668100000004</v>
      </c>
      <c r="M52" s="55" t="s">
        <v>2366</v>
      </c>
      <c r="N52" s="14">
        <f t="shared" si="2"/>
        <v>0</v>
      </c>
      <c r="O52" s="37" t="s">
        <v>750</v>
      </c>
      <c r="P52" s="14">
        <f t="shared" si="3"/>
        <v>0</v>
      </c>
    </row>
    <row r="53" spans="1:16" ht="15" customHeight="1">
      <c r="A53" s="21" t="s">
        <v>750</v>
      </c>
      <c r="B53" s="37" t="s">
        <v>1896</v>
      </c>
      <c r="C53" s="579" t="s">
        <v>444</v>
      </c>
      <c r="D53" s="579"/>
      <c r="E53" s="579"/>
      <c r="F53" s="579"/>
      <c r="G53" s="579"/>
      <c r="H53" s="579"/>
      <c r="I53" s="14">
        <f>SUMIF('Stavební rozpočet'!AZ13:AZ1589,"SO 03d_72_",'Stavební rozpočet'!AW13:AW1589)</f>
        <v>0</v>
      </c>
      <c r="J53" s="14">
        <f>SUMIF('Stavební rozpočet'!AZ13:AZ1589,"SO 03d_72_",'Stavební rozpočet'!AX13:AX1589)</f>
        <v>0</v>
      </c>
      <c r="K53" s="14">
        <f>SUMIF('Stavební rozpočet'!AZ13:AZ1589,"SO 03d_72_",'Stavební rozpočet'!AV13:AV1589)</f>
        <v>0</v>
      </c>
      <c r="L53" s="36">
        <f>SUMIF('Stavební rozpočet'!AZ13:AZ1589,"SO 03d_72_",'Stavební rozpočet'!BF13:BF1589)</f>
        <v>4.1722599999999996</v>
      </c>
      <c r="M53" s="55" t="s">
        <v>2366</v>
      </c>
      <c r="N53" s="14">
        <f t="shared" si="2"/>
        <v>0</v>
      </c>
      <c r="O53" s="37" t="s">
        <v>750</v>
      </c>
      <c r="P53" s="14">
        <f t="shared" si="3"/>
        <v>0</v>
      </c>
    </row>
    <row r="54" spans="1:16" ht="15" customHeight="1">
      <c r="A54" s="21" t="s">
        <v>750</v>
      </c>
      <c r="B54" s="37" t="s">
        <v>1924</v>
      </c>
      <c r="C54" s="579" t="s">
        <v>1641</v>
      </c>
      <c r="D54" s="579"/>
      <c r="E54" s="579"/>
      <c r="F54" s="579"/>
      <c r="G54" s="579"/>
      <c r="H54" s="579"/>
      <c r="I54" s="14">
        <f>SUMIF('Stavební rozpočet'!AZ13:AZ1589,"SO 03d_8_",'Stavební rozpočet'!AW13:AW1589)</f>
        <v>0</v>
      </c>
      <c r="J54" s="14">
        <f>SUMIF('Stavební rozpočet'!AZ13:AZ1589,"SO 03d_8_",'Stavební rozpočet'!AX13:AX1589)</f>
        <v>0</v>
      </c>
      <c r="K54" s="14">
        <f>SUMIF('Stavební rozpočet'!AZ13:AZ1589,"SO 03d_8_",'Stavební rozpočet'!AV13:AV1589)</f>
        <v>0</v>
      </c>
      <c r="L54" s="36">
        <f>SUMIF('Stavební rozpočet'!AZ13:AZ1589,"SO 03d_8_",'Stavební rozpočet'!BF13:BF1589)</f>
        <v>0.15636</v>
      </c>
      <c r="M54" s="55" t="s">
        <v>2366</v>
      </c>
      <c r="N54" s="14">
        <f t="shared" si="2"/>
        <v>0</v>
      </c>
      <c r="O54" s="37" t="s">
        <v>750</v>
      </c>
      <c r="P54" s="14">
        <f t="shared" si="3"/>
        <v>0</v>
      </c>
    </row>
    <row r="55" spans="1:16" ht="15" customHeight="1">
      <c r="A55" s="21" t="s">
        <v>750</v>
      </c>
      <c r="B55" s="37" t="s">
        <v>922</v>
      </c>
      <c r="C55" s="579" t="s">
        <v>2314</v>
      </c>
      <c r="D55" s="579"/>
      <c r="E55" s="579"/>
      <c r="F55" s="579"/>
      <c r="G55" s="579"/>
      <c r="H55" s="579"/>
      <c r="I55" s="14">
        <f>SUMIF('Stavební rozpočet'!AZ13:AZ1589,"SO 03d_9_",'Stavební rozpočet'!AW13:AW1589)</f>
        <v>0</v>
      </c>
      <c r="J55" s="14">
        <f>SUMIF('Stavební rozpočet'!AZ13:AZ1589,"SO 03d_9_",'Stavební rozpočet'!AX13:AX1589)</f>
        <v>0</v>
      </c>
      <c r="K55" s="14">
        <f>SUMIF('Stavební rozpočet'!AZ13:AZ1589,"SO 03d_9_",'Stavební rozpočet'!AV13:AV1589)</f>
        <v>0</v>
      </c>
      <c r="L55" s="36">
        <f>SUMIF('Stavební rozpočet'!AZ13:AZ1589,"SO 03d_9_",'Stavební rozpočet'!BF13:BF1589)</f>
        <v>0</v>
      </c>
      <c r="M55" s="55" t="s">
        <v>2366</v>
      </c>
      <c r="N55" s="14">
        <f t="shared" si="2"/>
        <v>0</v>
      </c>
      <c r="O55" s="37" t="s">
        <v>750</v>
      </c>
      <c r="P55" s="14">
        <f t="shared" si="3"/>
        <v>0</v>
      </c>
    </row>
    <row r="56" spans="1:16" ht="15" customHeight="1">
      <c r="A56" s="21" t="s">
        <v>750</v>
      </c>
      <c r="B56" s="37" t="s">
        <v>1683</v>
      </c>
      <c r="C56" s="579" t="s">
        <v>180</v>
      </c>
      <c r="D56" s="579"/>
      <c r="E56" s="579"/>
      <c r="F56" s="579"/>
      <c r="G56" s="579"/>
      <c r="H56" s="579"/>
      <c r="I56" s="14">
        <f>SUMIF('Stavební rozpočet'!AZ13:AZ1589,"SO 03d_Z_",'Stavební rozpočet'!AW13:AW1589)</f>
        <v>0</v>
      </c>
      <c r="J56" s="14">
        <f>SUMIF('Stavební rozpočet'!AZ13:AZ1589,"SO 03d_Z_",'Stavební rozpočet'!AX13:AX1589)</f>
        <v>0</v>
      </c>
      <c r="K56" s="14">
        <f>SUMIF('Stavební rozpočet'!AZ13:AZ1589,"SO 03d_Z_",'Stavební rozpočet'!AV13:AV1589)</f>
        <v>0</v>
      </c>
      <c r="L56" s="36">
        <f>SUMIF('Stavební rozpočet'!AZ13:AZ1589,"SO 03d_Z_",'Stavební rozpočet'!BF13:BF1589)</f>
        <v>5.3899999999999998E-3</v>
      </c>
      <c r="M56" s="55" t="s">
        <v>2366</v>
      </c>
      <c r="N56" s="14">
        <f t="shared" si="2"/>
        <v>0</v>
      </c>
      <c r="O56" s="37" t="s">
        <v>750</v>
      </c>
      <c r="P56" s="14">
        <f t="shared" si="3"/>
        <v>0</v>
      </c>
    </row>
    <row r="57" spans="1:16" ht="15" customHeight="1">
      <c r="A57" s="21" t="s">
        <v>238</v>
      </c>
      <c r="B57" s="37" t="s">
        <v>1683</v>
      </c>
      <c r="C57" s="579" t="s">
        <v>1991</v>
      </c>
      <c r="D57" s="579"/>
      <c r="E57" s="579"/>
      <c r="F57" s="579"/>
      <c r="G57" s="579"/>
      <c r="H57" s="579"/>
      <c r="I57" s="14">
        <f>'Stavební rozpočet'!J1365</f>
        <v>0</v>
      </c>
      <c r="J57" s="14">
        <f>'Stavební rozpočet'!K1365</f>
        <v>0</v>
      </c>
      <c r="K57" s="14">
        <f>'Stavební rozpočet'!L1365</f>
        <v>0</v>
      </c>
      <c r="L57" s="36">
        <f>'Stavební rozpočet'!O1365</f>
        <v>0</v>
      </c>
      <c r="M57" s="55" t="s">
        <v>1079</v>
      </c>
      <c r="N57" s="14">
        <f t="shared" si="2"/>
        <v>0</v>
      </c>
      <c r="O57" s="37" t="s">
        <v>238</v>
      </c>
      <c r="P57" s="14">
        <f t="shared" si="3"/>
        <v>0</v>
      </c>
    </row>
    <row r="58" spans="1:16" ht="15" customHeight="1">
      <c r="A58" s="21" t="s">
        <v>238</v>
      </c>
      <c r="B58" s="37" t="s">
        <v>922</v>
      </c>
      <c r="C58" s="579" t="s">
        <v>2314</v>
      </c>
      <c r="D58" s="579"/>
      <c r="E58" s="579"/>
      <c r="F58" s="579"/>
      <c r="G58" s="579"/>
      <c r="H58" s="579"/>
      <c r="I58" s="14">
        <f>SUMIF('Stavební rozpočet'!AZ13:AZ1589,"SO 03e_9_",'Stavební rozpočet'!AW13:AW1589)</f>
        <v>0</v>
      </c>
      <c r="J58" s="14">
        <f>SUMIF('Stavební rozpočet'!AZ13:AZ1589,"SO 03e_9_",'Stavební rozpočet'!AX13:AX1589)</f>
        <v>0</v>
      </c>
      <c r="K58" s="14">
        <f>SUMIF('Stavební rozpočet'!AZ13:AZ1589,"SO 03e_9_",'Stavební rozpočet'!AV13:AV1589)</f>
        <v>0</v>
      </c>
      <c r="L58" s="36">
        <f>SUMIF('Stavební rozpočet'!AZ13:AZ1589,"SO 03e_9_",'Stavební rozpočet'!BF13:BF1589)</f>
        <v>0</v>
      </c>
      <c r="M58" s="55" t="s">
        <v>2366</v>
      </c>
      <c r="N58" s="14">
        <f t="shared" si="2"/>
        <v>0</v>
      </c>
      <c r="O58" s="37" t="s">
        <v>238</v>
      </c>
      <c r="P58" s="14">
        <f t="shared" si="3"/>
        <v>0</v>
      </c>
    </row>
    <row r="59" spans="1:16" ht="15" customHeight="1">
      <c r="A59" s="21" t="s">
        <v>1774</v>
      </c>
      <c r="B59" s="37" t="s">
        <v>1683</v>
      </c>
      <c r="C59" s="579" t="s">
        <v>2086</v>
      </c>
      <c r="D59" s="579"/>
      <c r="E59" s="579"/>
      <c r="F59" s="579"/>
      <c r="G59" s="579"/>
      <c r="H59" s="579"/>
      <c r="I59" s="14">
        <f>'Stavební rozpočet'!J1369</f>
        <v>0</v>
      </c>
      <c r="J59" s="14">
        <f>'Stavební rozpočet'!K1369</f>
        <v>0</v>
      </c>
      <c r="K59" s="14">
        <f>'Stavební rozpočet'!L1369</f>
        <v>0</v>
      </c>
      <c r="L59" s="36">
        <f>'Stavební rozpočet'!O1369</f>
        <v>0</v>
      </c>
      <c r="M59" s="55" t="s">
        <v>1079</v>
      </c>
      <c r="N59" s="14">
        <f t="shared" si="2"/>
        <v>0</v>
      </c>
      <c r="O59" s="37" t="s">
        <v>1774</v>
      </c>
      <c r="P59" s="14">
        <f t="shared" si="3"/>
        <v>0</v>
      </c>
    </row>
    <row r="60" spans="1:16" ht="15" customHeight="1">
      <c r="A60" s="21" t="s">
        <v>1774</v>
      </c>
      <c r="B60" s="37" t="s">
        <v>922</v>
      </c>
      <c r="C60" s="579" t="s">
        <v>2314</v>
      </c>
      <c r="D60" s="579"/>
      <c r="E60" s="579"/>
      <c r="F60" s="579"/>
      <c r="G60" s="579"/>
      <c r="H60" s="579"/>
      <c r="I60" s="14">
        <f>SUMIF('Stavební rozpočet'!AZ13:AZ1589,"SO 03f_9_",'Stavební rozpočet'!AW13:AW1589)</f>
        <v>0</v>
      </c>
      <c r="J60" s="14">
        <f>SUMIF('Stavební rozpočet'!AZ13:AZ1589,"SO 03f_9_",'Stavební rozpočet'!AX13:AX1589)</f>
        <v>0</v>
      </c>
      <c r="K60" s="14">
        <f>SUMIF('Stavební rozpočet'!AZ13:AZ1589,"SO 03f_9_",'Stavební rozpočet'!AV13:AV1589)</f>
        <v>0</v>
      </c>
      <c r="L60" s="36">
        <f>SUMIF('Stavební rozpočet'!AZ13:AZ1589,"SO 03f_9_",'Stavební rozpočet'!BF13:BF1589)</f>
        <v>0</v>
      </c>
      <c r="M60" s="55" t="s">
        <v>2366</v>
      </c>
      <c r="N60" s="14">
        <f t="shared" si="2"/>
        <v>0</v>
      </c>
      <c r="O60" s="37" t="s">
        <v>1774</v>
      </c>
      <c r="P60" s="14">
        <f t="shared" si="3"/>
        <v>0</v>
      </c>
    </row>
    <row r="61" spans="1:16" ht="15" customHeight="1">
      <c r="A61" s="21" t="s">
        <v>951</v>
      </c>
      <c r="B61" s="37" t="s">
        <v>1683</v>
      </c>
      <c r="C61" s="579" t="s">
        <v>205</v>
      </c>
      <c r="D61" s="579"/>
      <c r="E61" s="579"/>
      <c r="F61" s="579"/>
      <c r="G61" s="579"/>
      <c r="H61" s="579"/>
      <c r="I61" s="14">
        <f>'Stavební rozpočet'!J1373</f>
        <v>0</v>
      </c>
      <c r="J61" s="14">
        <f>'Stavební rozpočet'!K1373</f>
        <v>0</v>
      </c>
      <c r="K61" s="14">
        <f>'Stavební rozpočet'!L1373</f>
        <v>0</v>
      </c>
      <c r="L61" s="36">
        <f>'Stavební rozpočet'!O1373</f>
        <v>88.402851600000005</v>
      </c>
      <c r="M61" s="55" t="s">
        <v>1079</v>
      </c>
      <c r="N61" s="14">
        <f t="shared" si="2"/>
        <v>0</v>
      </c>
      <c r="O61" s="37" t="s">
        <v>951</v>
      </c>
      <c r="P61" s="14">
        <f t="shared" si="3"/>
        <v>0</v>
      </c>
    </row>
    <row r="62" spans="1:16" ht="15" customHeight="1">
      <c r="A62" s="21" t="s">
        <v>951</v>
      </c>
      <c r="B62" s="37" t="s">
        <v>2422</v>
      </c>
      <c r="C62" s="579" t="s">
        <v>598</v>
      </c>
      <c r="D62" s="579"/>
      <c r="E62" s="579"/>
      <c r="F62" s="579"/>
      <c r="G62" s="579"/>
      <c r="H62" s="579"/>
      <c r="I62" s="14">
        <f>SUMIF('Stavební rozpočet'!AZ13:AZ1589,"SO 04_1_",'Stavební rozpočet'!AW13:AW1589)</f>
        <v>0</v>
      </c>
      <c r="J62" s="14">
        <f>SUMIF('Stavební rozpočet'!AZ13:AZ1589,"SO 04_1_",'Stavební rozpočet'!AX13:AX1589)</f>
        <v>0</v>
      </c>
      <c r="K62" s="14">
        <f>SUMIF('Stavební rozpočet'!AZ13:AZ1589,"SO 04_1_",'Stavební rozpočet'!AV13:AV1589)</f>
        <v>0</v>
      </c>
      <c r="L62" s="36">
        <f>SUMIF('Stavební rozpočet'!AZ13:AZ1589,"SO 04_1_",'Stavební rozpočet'!BF13:BF1589)</f>
        <v>58.774805600000001</v>
      </c>
      <c r="M62" s="55" t="s">
        <v>2366</v>
      </c>
      <c r="N62" s="14">
        <f t="shared" si="2"/>
        <v>0</v>
      </c>
      <c r="O62" s="37" t="s">
        <v>951</v>
      </c>
      <c r="P62" s="14">
        <f t="shared" si="3"/>
        <v>0</v>
      </c>
    </row>
    <row r="63" spans="1:16" ht="15" customHeight="1">
      <c r="A63" s="21" t="s">
        <v>951</v>
      </c>
      <c r="B63" s="37" t="s">
        <v>272</v>
      </c>
      <c r="C63" s="579" t="s">
        <v>1816</v>
      </c>
      <c r="D63" s="579"/>
      <c r="E63" s="579"/>
      <c r="F63" s="579"/>
      <c r="G63" s="579"/>
      <c r="H63" s="579"/>
      <c r="I63" s="14">
        <f>SUMIF('Stavební rozpočet'!AZ13:AZ1589,"SO 04_4_",'Stavební rozpočet'!AW13:AW1589)</f>
        <v>0</v>
      </c>
      <c r="J63" s="14">
        <f>SUMIF('Stavební rozpočet'!AZ13:AZ1589,"SO 04_4_",'Stavební rozpočet'!AX13:AX1589)</f>
        <v>0</v>
      </c>
      <c r="K63" s="14">
        <f>SUMIF('Stavební rozpočet'!AZ13:AZ1589,"SO 04_4_",'Stavební rozpočet'!AV13:AV1589)</f>
        <v>0</v>
      </c>
      <c r="L63" s="36">
        <f>SUMIF('Stavební rozpočet'!AZ13:AZ1589,"SO 04_4_",'Stavební rozpočet'!BF13:BF1589)</f>
        <v>25.2290402</v>
      </c>
      <c r="M63" s="55" t="s">
        <v>2366</v>
      </c>
      <c r="N63" s="14">
        <f t="shared" si="2"/>
        <v>0</v>
      </c>
      <c r="O63" s="37" t="s">
        <v>951</v>
      </c>
      <c r="P63" s="14">
        <f t="shared" si="3"/>
        <v>0</v>
      </c>
    </row>
    <row r="64" spans="1:16" ht="15" customHeight="1">
      <c r="A64" s="21" t="s">
        <v>951</v>
      </c>
      <c r="B64" s="37" t="s">
        <v>1896</v>
      </c>
      <c r="C64" s="579" t="s">
        <v>444</v>
      </c>
      <c r="D64" s="579"/>
      <c r="E64" s="579"/>
      <c r="F64" s="579"/>
      <c r="G64" s="579"/>
      <c r="H64" s="579"/>
      <c r="I64" s="14">
        <f>SUMIF('Stavební rozpočet'!AZ13:AZ1589,"SO 04_72_",'Stavební rozpočet'!AW13:AW1589)</f>
        <v>0</v>
      </c>
      <c r="J64" s="14">
        <f>SUMIF('Stavební rozpočet'!AZ13:AZ1589,"SO 04_72_",'Stavební rozpočet'!AX13:AX1589)</f>
        <v>0</v>
      </c>
      <c r="K64" s="14">
        <f>SUMIF('Stavební rozpočet'!AZ13:AZ1589,"SO 04_72_",'Stavební rozpočet'!AV13:AV1589)</f>
        <v>0</v>
      </c>
      <c r="L64" s="36">
        <f>SUMIF('Stavební rozpočet'!AZ13:AZ1589,"SO 04_72_",'Stavební rozpočet'!BF13:BF1589)</f>
        <v>0.78064</v>
      </c>
      <c r="M64" s="55" t="s">
        <v>2366</v>
      </c>
      <c r="N64" s="14">
        <f t="shared" si="2"/>
        <v>0</v>
      </c>
      <c r="O64" s="37" t="s">
        <v>951</v>
      </c>
      <c r="P64" s="14">
        <f t="shared" si="3"/>
        <v>0</v>
      </c>
    </row>
    <row r="65" spans="1:16" ht="15" customHeight="1">
      <c r="A65" s="21" t="s">
        <v>951</v>
      </c>
      <c r="B65" s="37" t="s">
        <v>1924</v>
      </c>
      <c r="C65" s="579" t="s">
        <v>1641</v>
      </c>
      <c r="D65" s="579"/>
      <c r="E65" s="579"/>
      <c r="F65" s="579"/>
      <c r="G65" s="579"/>
      <c r="H65" s="579"/>
      <c r="I65" s="14">
        <f>SUMIF('Stavební rozpočet'!AZ13:AZ1589,"SO 04_8_",'Stavební rozpočet'!AW13:AW1589)</f>
        <v>0</v>
      </c>
      <c r="J65" s="14">
        <f>SUMIF('Stavební rozpočet'!AZ13:AZ1589,"SO 04_8_",'Stavební rozpočet'!AX13:AX1589)</f>
        <v>0</v>
      </c>
      <c r="K65" s="14">
        <f>SUMIF('Stavební rozpočet'!AZ13:AZ1589,"SO 04_8_",'Stavební rozpočet'!AV13:AV1589)</f>
        <v>0</v>
      </c>
      <c r="L65" s="36">
        <f>SUMIF('Stavební rozpočet'!AZ13:AZ1589,"SO 04_8_",'Stavební rozpočet'!BF13:BF1589)</f>
        <v>3.6183658000000003</v>
      </c>
      <c r="M65" s="55" t="s">
        <v>2366</v>
      </c>
      <c r="N65" s="14">
        <f t="shared" si="2"/>
        <v>0</v>
      </c>
      <c r="O65" s="37" t="s">
        <v>951</v>
      </c>
      <c r="P65" s="14">
        <f t="shared" si="3"/>
        <v>0</v>
      </c>
    </row>
    <row r="66" spans="1:16" ht="15" customHeight="1">
      <c r="A66" s="21" t="s">
        <v>951</v>
      </c>
      <c r="B66" s="37" t="s">
        <v>922</v>
      </c>
      <c r="C66" s="579" t="s">
        <v>2314</v>
      </c>
      <c r="D66" s="579"/>
      <c r="E66" s="579"/>
      <c r="F66" s="579"/>
      <c r="G66" s="579"/>
      <c r="H66" s="579"/>
      <c r="I66" s="14">
        <f>SUMIF('Stavební rozpočet'!AZ13:AZ1589,"SO 04_9_",'Stavební rozpočet'!AW13:AW1589)</f>
        <v>0</v>
      </c>
      <c r="J66" s="14">
        <f>SUMIF('Stavební rozpočet'!AZ13:AZ1589,"SO 04_9_",'Stavební rozpočet'!AX13:AX1589)</f>
        <v>0</v>
      </c>
      <c r="K66" s="14">
        <f>SUMIF('Stavební rozpočet'!AZ13:AZ1589,"SO 04_9_",'Stavební rozpočet'!AV13:AV1589)</f>
        <v>0</v>
      </c>
      <c r="L66" s="36">
        <f>SUMIF('Stavební rozpočet'!AZ13:AZ1589,"SO 04_9_",'Stavební rozpočet'!BF13:BF1589)</f>
        <v>0</v>
      </c>
      <c r="M66" s="55" t="s">
        <v>2366</v>
      </c>
      <c r="N66" s="14">
        <f t="shared" si="2"/>
        <v>0</v>
      </c>
      <c r="O66" s="37" t="s">
        <v>951</v>
      </c>
      <c r="P66" s="14">
        <f t="shared" si="3"/>
        <v>0</v>
      </c>
    </row>
    <row r="67" spans="1:16" ht="15" customHeight="1">
      <c r="A67" s="21" t="s">
        <v>128</v>
      </c>
      <c r="B67" s="37" t="s">
        <v>1683</v>
      </c>
      <c r="C67" s="579" t="s">
        <v>488</v>
      </c>
      <c r="D67" s="579"/>
      <c r="E67" s="579"/>
      <c r="F67" s="579"/>
      <c r="G67" s="579"/>
      <c r="H67" s="579"/>
      <c r="I67" s="14">
        <f>'Stavební rozpočet'!J1471</f>
        <v>0</v>
      </c>
      <c r="J67" s="14">
        <f>'Stavební rozpočet'!K1471</f>
        <v>0</v>
      </c>
      <c r="K67" s="14">
        <f>'Stavební rozpočet'!L1471</f>
        <v>0</v>
      </c>
      <c r="L67" s="36">
        <f>'Stavební rozpočet'!O1471</f>
        <v>40.253705200000006</v>
      </c>
      <c r="M67" s="55" t="s">
        <v>1079</v>
      </c>
      <c r="N67" s="14">
        <f t="shared" si="2"/>
        <v>0</v>
      </c>
      <c r="O67" s="37" t="s">
        <v>128</v>
      </c>
      <c r="P67" s="14">
        <f t="shared" si="3"/>
        <v>0</v>
      </c>
    </row>
    <row r="68" spans="1:16" ht="15" customHeight="1">
      <c r="A68" s="21" t="s">
        <v>128</v>
      </c>
      <c r="B68" s="37" t="s">
        <v>2422</v>
      </c>
      <c r="C68" s="579" t="s">
        <v>598</v>
      </c>
      <c r="D68" s="579"/>
      <c r="E68" s="579"/>
      <c r="F68" s="579"/>
      <c r="G68" s="579"/>
      <c r="H68" s="579"/>
      <c r="I68" s="14">
        <f>SUMIF('Stavební rozpočet'!AZ13:AZ1589,"SO 05_1_",'Stavební rozpočet'!AW13:AW1589)</f>
        <v>0</v>
      </c>
      <c r="J68" s="14">
        <f>SUMIF('Stavební rozpočet'!AZ13:AZ1589,"SO 05_1_",'Stavební rozpočet'!AX13:AX1589)</f>
        <v>0</v>
      </c>
      <c r="K68" s="14">
        <f>SUMIF('Stavební rozpočet'!AZ13:AZ1589,"SO 05_1_",'Stavební rozpočet'!AV13:AV1589)</f>
        <v>0</v>
      </c>
      <c r="L68" s="36">
        <f>SUMIF('Stavební rozpočet'!AZ13:AZ1589,"SO 05_1_",'Stavební rozpočet'!BF13:BF1589)</f>
        <v>16.593814000000002</v>
      </c>
      <c r="M68" s="55" t="s">
        <v>2366</v>
      </c>
      <c r="N68" s="14">
        <f t="shared" si="2"/>
        <v>0</v>
      </c>
      <c r="O68" s="37" t="s">
        <v>128</v>
      </c>
      <c r="P68" s="14">
        <f t="shared" si="3"/>
        <v>0</v>
      </c>
    </row>
    <row r="69" spans="1:16" ht="15" customHeight="1">
      <c r="A69" s="21" t="s">
        <v>128</v>
      </c>
      <c r="B69" s="37" t="s">
        <v>272</v>
      </c>
      <c r="C69" s="579" t="s">
        <v>1816</v>
      </c>
      <c r="D69" s="579"/>
      <c r="E69" s="579"/>
      <c r="F69" s="579"/>
      <c r="G69" s="579"/>
      <c r="H69" s="579"/>
      <c r="I69" s="14">
        <f>SUMIF('Stavební rozpočet'!AZ13:AZ1589,"SO 05_4_",'Stavební rozpočet'!AW13:AW1589)</f>
        <v>0</v>
      </c>
      <c r="J69" s="14">
        <f>SUMIF('Stavební rozpočet'!AZ13:AZ1589,"SO 05_4_",'Stavební rozpočet'!AX13:AX1589)</f>
        <v>0</v>
      </c>
      <c r="K69" s="14">
        <f>SUMIF('Stavební rozpočet'!AZ13:AZ1589,"SO 05_4_",'Stavební rozpočet'!AV13:AV1589)</f>
        <v>0</v>
      </c>
      <c r="L69" s="36">
        <f>SUMIF('Stavební rozpočet'!AZ13:AZ1589,"SO 05_4_",'Stavební rozpočet'!BF13:BF1589)</f>
        <v>4.0840632000000001</v>
      </c>
      <c r="M69" s="55" t="s">
        <v>2366</v>
      </c>
      <c r="N69" s="14">
        <f t="shared" si="2"/>
        <v>0</v>
      </c>
      <c r="O69" s="37" t="s">
        <v>128</v>
      </c>
      <c r="P69" s="14">
        <f t="shared" si="3"/>
        <v>0</v>
      </c>
    </row>
    <row r="70" spans="1:16" ht="15" customHeight="1">
      <c r="A70" s="21" t="s">
        <v>128</v>
      </c>
      <c r="B70" s="37" t="s">
        <v>1287</v>
      </c>
      <c r="C70" s="579" t="s">
        <v>629</v>
      </c>
      <c r="D70" s="579"/>
      <c r="E70" s="579"/>
      <c r="F70" s="579"/>
      <c r="G70" s="579"/>
      <c r="H70" s="579"/>
      <c r="I70" s="14">
        <f>SUMIF('Stavební rozpočet'!AZ13:AZ1589,"SO 05_5_",'Stavební rozpočet'!AW13:AW1589)</f>
        <v>0</v>
      </c>
      <c r="J70" s="14">
        <f>SUMIF('Stavební rozpočet'!AZ13:AZ1589,"SO 05_5_",'Stavební rozpočet'!AX13:AX1589)</f>
        <v>0</v>
      </c>
      <c r="K70" s="14">
        <f>SUMIF('Stavební rozpočet'!AZ13:AZ1589,"SO 05_5_",'Stavební rozpočet'!AV13:AV1589)</f>
        <v>0</v>
      </c>
      <c r="L70" s="36">
        <f>SUMIF('Stavební rozpočet'!AZ13:AZ1589,"SO 05_5_",'Stavební rozpočet'!BF13:BF1589)</f>
        <v>13.4772</v>
      </c>
      <c r="M70" s="55" t="s">
        <v>2366</v>
      </c>
      <c r="N70" s="14">
        <f t="shared" si="2"/>
        <v>0</v>
      </c>
      <c r="O70" s="37" t="s">
        <v>128</v>
      </c>
      <c r="P70" s="14">
        <f t="shared" si="3"/>
        <v>0</v>
      </c>
    </row>
    <row r="71" spans="1:16" ht="15" customHeight="1">
      <c r="A71" s="21" t="s">
        <v>128</v>
      </c>
      <c r="B71" s="37" t="s">
        <v>1896</v>
      </c>
      <c r="C71" s="579" t="s">
        <v>444</v>
      </c>
      <c r="D71" s="579"/>
      <c r="E71" s="579"/>
      <c r="F71" s="579"/>
      <c r="G71" s="579"/>
      <c r="H71" s="579"/>
      <c r="I71" s="14">
        <f>SUMIF('Stavební rozpočet'!AZ13:AZ1589,"SO 05_72_",'Stavební rozpočet'!AW13:AW1589)</f>
        <v>0</v>
      </c>
      <c r="J71" s="14">
        <f>SUMIF('Stavební rozpočet'!AZ13:AZ1589,"SO 05_72_",'Stavební rozpočet'!AX13:AX1589)</f>
        <v>0</v>
      </c>
      <c r="K71" s="14">
        <f>SUMIF('Stavební rozpočet'!AZ13:AZ1589,"SO 05_72_",'Stavební rozpočet'!AV13:AV1589)</f>
        <v>0</v>
      </c>
      <c r="L71" s="36">
        <f>SUMIF('Stavební rozpočet'!AZ13:AZ1589,"SO 05_72_",'Stavební rozpočet'!BF13:BF1589)</f>
        <v>1.711E-2</v>
      </c>
      <c r="M71" s="55" t="s">
        <v>2366</v>
      </c>
      <c r="N71" s="14">
        <f t="shared" si="2"/>
        <v>0</v>
      </c>
      <c r="O71" s="37" t="s">
        <v>128</v>
      </c>
      <c r="P71" s="14">
        <f t="shared" si="3"/>
        <v>0</v>
      </c>
    </row>
    <row r="72" spans="1:16" ht="15" customHeight="1">
      <c r="A72" s="21" t="s">
        <v>128</v>
      </c>
      <c r="B72" s="37" t="s">
        <v>1924</v>
      </c>
      <c r="C72" s="579" t="s">
        <v>1641</v>
      </c>
      <c r="D72" s="579"/>
      <c r="E72" s="579"/>
      <c r="F72" s="579"/>
      <c r="G72" s="579"/>
      <c r="H72" s="579"/>
      <c r="I72" s="14">
        <f>SUMIF('Stavební rozpočet'!AZ13:AZ1589,"SO 05_8_",'Stavební rozpočet'!AW13:AW1589)</f>
        <v>0</v>
      </c>
      <c r="J72" s="14">
        <f>SUMIF('Stavební rozpočet'!AZ13:AZ1589,"SO 05_8_",'Stavební rozpočet'!AX13:AX1589)</f>
        <v>0</v>
      </c>
      <c r="K72" s="14">
        <f>SUMIF('Stavební rozpočet'!AZ13:AZ1589,"SO 05_8_",'Stavební rozpočet'!AV13:AV1589)</f>
        <v>0</v>
      </c>
      <c r="L72" s="36">
        <f>SUMIF('Stavební rozpočet'!AZ13:AZ1589,"SO 05_8_",'Stavební rozpočet'!BF13:BF1589)</f>
        <v>6.0799180000000002</v>
      </c>
      <c r="M72" s="55" t="s">
        <v>2366</v>
      </c>
      <c r="N72" s="14">
        <f t="shared" si="2"/>
        <v>0</v>
      </c>
      <c r="O72" s="37" t="s">
        <v>128</v>
      </c>
      <c r="P72" s="14">
        <f t="shared" si="3"/>
        <v>0</v>
      </c>
    </row>
    <row r="73" spans="1:16" ht="15" customHeight="1">
      <c r="A73" s="21" t="s">
        <v>128</v>
      </c>
      <c r="B73" s="37" t="s">
        <v>922</v>
      </c>
      <c r="C73" s="579" t="s">
        <v>2314</v>
      </c>
      <c r="D73" s="579"/>
      <c r="E73" s="579"/>
      <c r="F73" s="579"/>
      <c r="G73" s="579"/>
      <c r="H73" s="579"/>
      <c r="I73" s="14">
        <f>SUMIF('Stavební rozpočet'!AZ13:AZ1589,"SO 05_9_",'Stavební rozpočet'!AW13:AW1589)</f>
        <v>0</v>
      </c>
      <c r="J73" s="14">
        <f>SUMIF('Stavební rozpočet'!AZ13:AZ1589,"SO 05_9_",'Stavební rozpočet'!AX13:AX1589)</f>
        <v>0</v>
      </c>
      <c r="K73" s="14">
        <f>SUMIF('Stavební rozpočet'!AZ13:AZ1589,"SO 05_9_",'Stavební rozpočet'!AV13:AV1589)</f>
        <v>0</v>
      </c>
      <c r="L73" s="36">
        <f>SUMIF('Stavební rozpočet'!AZ13:AZ1589,"SO 05_9_",'Stavební rozpočet'!BF13:BF1589)</f>
        <v>1.6000000000000001E-3</v>
      </c>
      <c r="M73" s="55" t="s">
        <v>2366</v>
      </c>
      <c r="N73" s="14">
        <f t="shared" si="2"/>
        <v>0</v>
      </c>
      <c r="O73" s="37" t="s">
        <v>128</v>
      </c>
      <c r="P73" s="14">
        <f t="shared" si="3"/>
        <v>0</v>
      </c>
    </row>
    <row r="74" spans="1:16" ht="15" customHeight="1">
      <c r="A74" s="21" t="s">
        <v>279</v>
      </c>
      <c r="B74" s="37" t="s">
        <v>1683</v>
      </c>
      <c r="C74" s="579" t="s">
        <v>1485</v>
      </c>
      <c r="D74" s="579"/>
      <c r="E74" s="579"/>
      <c r="F74" s="579"/>
      <c r="G74" s="579"/>
      <c r="H74" s="579"/>
      <c r="I74" s="14">
        <f>'Stavební rozpočet'!J1576</f>
        <v>0</v>
      </c>
      <c r="J74" s="14">
        <f>'Stavební rozpočet'!K1576</f>
        <v>0</v>
      </c>
      <c r="K74" s="14">
        <f>'Stavební rozpočet'!L1576</f>
        <v>0</v>
      </c>
      <c r="L74" s="36">
        <f>'Stavební rozpočet'!O1576</f>
        <v>8.2453949999999985</v>
      </c>
      <c r="M74" s="55" t="s">
        <v>1079</v>
      </c>
      <c r="N74" s="14">
        <f t="shared" si="2"/>
        <v>0</v>
      </c>
      <c r="O74" s="37" t="s">
        <v>279</v>
      </c>
      <c r="P74" s="14">
        <f t="shared" si="3"/>
        <v>0</v>
      </c>
    </row>
    <row r="75" spans="1:16" ht="15" customHeight="1">
      <c r="A75" s="7" t="s">
        <v>279</v>
      </c>
      <c r="B75" s="51" t="s">
        <v>1619</v>
      </c>
      <c r="C75" s="580" t="s">
        <v>577</v>
      </c>
      <c r="D75" s="580"/>
      <c r="E75" s="580"/>
      <c r="F75" s="580"/>
      <c r="G75" s="580"/>
      <c r="H75" s="580"/>
      <c r="I75" s="81">
        <f>SUMIF('Stavební rozpočet'!AZ13:AZ1589,"SO 06_76_",'Stavební rozpočet'!AW13:AW1589)</f>
        <v>0</v>
      </c>
      <c r="J75" s="81">
        <f>SUMIF('Stavební rozpočet'!AZ13:AZ1589,"SO 06_76_",'Stavební rozpočet'!AX13:AX1589)</f>
        <v>0</v>
      </c>
      <c r="K75" s="81">
        <f>SUMIF('Stavební rozpočet'!AZ13:AZ1589,"SO 06_76_",'Stavební rozpočet'!AV13:AV1589)</f>
        <v>0</v>
      </c>
      <c r="L75" s="88">
        <f>SUMIF('Stavební rozpočet'!AZ13:AZ1589,"SO 06_76_",'Stavební rozpočet'!BF13:BF1589)</f>
        <v>8.2453949999999985</v>
      </c>
      <c r="M75" s="55" t="s">
        <v>2366</v>
      </c>
      <c r="N75" s="14">
        <f t="shared" si="2"/>
        <v>0</v>
      </c>
      <c r="O75" s="37" t="s">
        <v>279</v>
      </c>
      <c r="P75" s="14">
        <f t="shared" si="3"/>
        <v>0</v>
      </c>
    </row>
    <row r="76" spans="1:16" ht="15" customHeight="1">
      <c r="I76" s="597" t="s">
        <v>1926</v>
      </c>
      <c r="J76" s="597"/>
      <c r="K76" s="57">
        <f>SUM(N12:N75)</f>
        <v>0</v>
      </c>
    </row>
    <row r="77" spans="1:16" ht="15" customHeight="1">
      <c r="A77" s="102" t="s">
        <v>212</v>
      </c>
    </row>
    <row r="78" spans="1:16" ht="12.75" customHeight="1">
      <c r="A78" s="578" t="s">
        <v>1683</v>
      </c>
      <c r="B78" s="579"/>
      <c r="C78" s="579"/>
      <c r="D78" s="579"/>
      <c r="E78" s="579"/>
      <c r="F78" s="579"/>
      <c r="G78" s="579"/>
      <c r="H78" s="579"/>
      <c r="I78" s="579"/>
      <c r="J78" s="579"/>
      <c r="K78" s="579"/>
      <c r="L78" s="579"/>
    </row>
  </sheetData>
  <mergeCells count="94">
    <mergeCell ref="C75:H75"/>
    <mergeCell ref="I76:J76"/>
    <mergeCell ref="A78:L78"/>
    <mergeCell ref="C69:H69"/>
    <mergeCell ref="C70:H70"/>
    <mergeCell ref="C71:H71"/>
    <mergeCell ref="C72:H72"/>
    <mergeCell ref="C73:H73"/>
    <mergeCell ref="C74:H74"/>
    <mergeCell ref="C68:H68"/>
    <mergeCell ref="C57:H57"/>
    <mergeCell ref="C58:H58"/>
    <mergeCell ref="C59:H59"/>
    <mergeCell ref="C60:H60"/>
    <mergeCell ref="C61:H61"/>
    <mergeCell ref="C62:H62"/>
    <mergeCell ref="C63:H63"/>
    <mergeCell ref="C64:H64"/>
    <mergeCell ref="C65:H65"/>
    <mergeCell ref="C66:H66"/>
    <mergeCell ref="C67:H67"/>
    <mergeCell ref="C56:H56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44:H44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J2:L3"/>
    <mergeCell ref="J4:L5"/>
    <mergeCell ref="J6:L7"/>
    <mergeCell ref="J8:L9"/>
    <mergeCell ref="C20:H20"/>
    <mergeCell ref="C10:H10"/>
    <mergeCell ref="C11:H11"/>
    <mergeCell ref="I10:K10"/>
    <mergeCell ref="C12:H12"/>
    <mergeCell ref="C13:H13"/>
    <mergeCell ref="C14:H14"/>
    <mergeCell ref="C15:H15"/>
    <mergeCell ref="C16:H16"/>
    <mergeCell ref="C17:H17"/>
    <mergeCell ref="C18:H18"/>
    <mergeCell ref="C19:H19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400000000000002" right="0.39400000000000002" top="0.59099999999999997" bottom="0.59099999999999997" header="0" footer="0"/>
  <pageSetup paperSize="9" scale="80" firstPageNumber="0" fitToHeight="0" orientation="landscape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autoPageBreaks="0"/>
  </sheetPr>
  <dimension ref="A1:BW1592"/>
  <sheetViews>
    <sheetView showOutlineSymbols="0" topLeftCell="B1" zoomScaleNormal="100" workbookViewId="0">
      <pane ySplit="11" topLeftCell="A12" activePane="bottomLeft" state="frozenSplit"/>
      <selection activeCell="A1588" sqref="A1588:P1588"/>
      <selection pane="bottomLeft" activeCell="I2" sqref="I2:P3"/>
    </sheetView>
  </sheetViews>
  <sheetFormatPr defaultColWidth="21.25" defaultRowHeight="15" customHeight="1"/>
  <cols>
    <col min="1" max="1" width="7"/>
    <col min="2" max="2" width="19.25"/>
    <col min="3" max="3" width="28.5" customWidth="1"/>
    <col min="4" max="4" width="108.5" customWidth="1"/>
    <col min="5" max="5" width="62.25" customWidth="1"/>
    <col min="6" max="6" width="18.5" customWidth="1"/>
    <col min="7" max="7" width="22.5"/>
    <col min="8" max="8" width="21"/>
    <col min="9" max="9" width="19.5"/>
    <col min="10" max="13" width="27.5"/>
    <col min="14" max="15" width="20.5"/>
    <col min="16" max="16" width="23.75" customWidth="1"/>
    <col min="26" max="40" width="0" hidden="1" customWidth="1"/>
    <col min="41" max="42" width="0" style="544" hidden="1" customWidth="1"/>
    <col min="43" max="64" width="0" hidden="1" customWidth="1"/>
  </cols>
  <sheetData>
    <row r="1" spans="1:75" ht="54.75" customHeight="1">
      <c r="A1" s="582" t="s">
        <v>1321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AS1" s="2">
        <f>SUM(AJ1:AJ2)</f>
        <v>0</v>
      </c>
      <c r="AT1" s="2">
        <f>SUM(AK1:AK2)</f>
        <v>0</v>
      </c>
      <c r="AU1" s="2">
        <f>SUM(AL1:AL2)</f>
        <v>0</v>
      </c>
    </row>
    <row r="2" spans="1:75" ht="15" customHeight="1">
      <c r="A2" s="583" t="s">
        <v>178</v>
      </c>
      <c r="B2" s="584"/>
      <c r="C2" s="595" t="s">
        <v>936</v>
      </c>
      <c r="D2" s="596"/>
      <c r="E2" s="584" t="s">
        <v>16</v>
      </c>
      <c r="F2" s="584" t="s">
        <v>2262</v>
      </c>
      <c r="G2" s="588" t="s">
        <v>2059</v>
      </c>
      <c r="H2" s="584"/>
      <c r="I2" s="588" t="s">
        <v>1227</v>
      </c>
      <c r="J2" s="584"/>
      <c r="K2" s="584"/>
      <c r="L2" s="584"/>
      <c r="M2" s="584"/>
      <c r="N2" s="584"/>
      <c r="O2" s="584"/>
      <c r="P2" s="589"/>
    </row>
    <row r="3" spans="1:75" ht="15" customHeight="1">
      <c r="A3" s="585"/>
      <c r="B3" s="579"/>
      <c r="C3" s="597"/>
      <c r="D3" s="597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90"/>
    </row>
    <row r="4" spans="1:75" ht="15" customHeight="1">
      <c r="A4" s="586" t="s">
        <v>1327</v>
      </c>
      <c r="B4" s="579"/>
      <c r="C4" s="578" t="s">
        <v>315</v>
      </c>
      <c r="D4" s="579"/>
      <c r="E4" s="579" t="s">
        <v>2168</v>
      </c>
      <c r="F4" s="579" t="s">
        <v>2262</v>
      </c>
      <c r="G4" s="578" t="s">
        <v>1678</v>
      </c>
      <c r="H4" s="579"/>
      <c r="I4" s="579" t="s">
        <v>1141</v>
      </c>
      <c r="J4" s="579"/>
      <c r="K4" s="579"/>
      <c r="L4" s="579"/>
      <c r="M4" s="579"/>
      <c r="N4" s="579"/>
      <c r="O4" s="579"/>
      <c r="P4" s="590"/>
    </row>
    <row r="5" spans="1:75" ht="15" customHeight="1">
      <c r="A5" s="585"/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90"/>
    </row>
    <row r="6" spans="1:75" ht="15" customHeight="1">
      <c r="A6" s="586" t="s">
        <v>217</v>
      </c>
      <c r="B6" s="579"/>
      <c r="C6" s="578" t="s">
        <v>1288</v>
      </c>
      <c r="D6" s="579"/>
      <c r="E6" s="579" t="s">
        <v>782</v>
      </c>
      <c r="F6" s="579" t="s">
        <v>2262</v>
      </c>
      <c r="G6" s="578" t="s">
        <v>2143</v>
      </c>
      <c r="H6" s="579"/>
      <c r="I6" s="578" t="s">
        <v>465</v>
      </c>
      <c r="J6" s="579"/>
      <c r="K6" s="579"/>
      <c r="L6" s="579"/>
      <c r="M6" s="579"/>
      <c r="N6" s="579"/>
      <c r="O6" s="579"/>
      <c r="P6" s="590"/>
    </row>
    <row r="7" spans="1:75" ht="15" customHeight="1">
      <c r="A7" s="585"/>
      <c r="B7" s="579"/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90"/>
    </row>
    <row r="8" spans="1:75" ht="15" customHeight="1">
      <c r="A8" s="586" t="s">
        <v>1182</v>
      </c>
      <c r="B8" s="579"/>
      <c r="C8" s="578" t="s">
        <v>2081</v>
      </c>
      <c r="D8" s="579"/>
      <c r="E8" s="579" t="s">
        <v>1367</v>
      </c>
      <c r="F8" s="645">
        <v>45231</v>
      </c>
      <c r="G8" s="578" t="s">
        <v>1608</v>
      </c>
      <c r="H8" s="579"/>
      <c r="I8" s="578" t="s">
        <v>541</v>
      </c>
      <c r="J8" s="579"/>
      <c r="K8" s="579"/>
      <c r="L8" s="579"/>
      <c r="M8" s="579"/>
      <c r="N8" s="579"/>
      <c r="O8" s="579"/>
      <c r="P8" s="590"/>
    </row>
    <row r="9" spans="1:75" ht="15" customHeight="1">
      <c r="A9" s="585"/>
      <c r="B9" s="579"/>
      <c r="C9" s="579"/>
      <c r="D9" s="579"/>
      <c r="E9" s="579"/>
      <c r="F9" s="579"/>
      <c r="G9" s="579"/>
      <c r="H9" s="579"/>
      <c r="I9" s="579"/>
      <c r="J9" s="579"/>
      <c r="K9" s="579"/>
      <c r="L9" s="579"/>
      <c r="M9" s="579"/>
      <c r="N9" s="579"/>
      <c r="O9" s="579"/>
      <c r="P9" s="590"/>
    </row>
    <row r="10" spans="1:75" ht="15" customHeight="1">
      <c r="A10" s="97" t="s">
        <v>192</v>
      </c>
      <c r="B10" s="9" t="s">
        <v>1806</v>
      </c>
      <c r="C10" s="9" t="s">
        <v>803</v>
      </c>
      <c r="D10" s="651" t="s">
        <v>2659</v>
      </c>
      <c r="E10" s="652"/>
      <c r="F10" s="9" t="s">
        <v>859</v>
      </c>
      <c r="G10" s="66" t="s">
        <v>1463</v>
      </c>
      <c r="H10" s="68" t="s">
        <v>777</v>
      </c>
      <c r="I10" s="71" t="s">
        <v>310</v>
      </c>
      <c r="J10" s="639" t="s">
        <v>1554</v>
      </c>
      <c r="K10" s="640"/>
      <c r="L10" s="641"/>
      <c r="M10" s="108" t="s">
        <v>1554</v>
      </c>
      <c r="N10" s="640" t="s">
        <v>381</v>
      </c>
      <c r="O10" s="640"/>
      <c r="P10" s="54" t="s">
        <v>653</v>
      </c>
      <c r="BK10" s="15" t="s">
        <v>972</v>
      </c>
      <c r="BL10" s="86" t="s">
        <v>1273</v>
      </c>
      <c r="BW10" s="86" t="s">
        <v>2708</v>
      </c>
    </row>
    <row r="11" spans="1:75" ht="15" customHeight="1">
      <c r="A11" s="34" t="s">
        <v>2262</v>
      </c>
      <c r="B11" s="77" t="s">
        <v>2262</v>
      </c>
      <c r="C11" s="77" t="s">
        <v>2262</v>
      </c>
      <c r="D11" s="638" t="s">
        <v>2440</v>
      </c>
      <c r="E11" s="646"/>
      <c r="F11" s="77" t="s">
        <v>2262</v>
      </c>
      <c r="G11" s="77" t="s">
        <v>2262</v>
      </c>
      <c r="H11" s="50" t="s">
        <v>2318</v>
      </c>
      <c r="I11" s="103" t="s">
        <v>2262</v>
      </c>
      <c r="J11" s="53" t="s">
        <v>129</v>
      </c>
      <c r="K11" s="56" t="s">
        <v>457</v>
      </c>
      <c r="L11" s="25" t="s">
        <v>245</v>
      </c>
      <c r="M11" s="25" t="s">
        <v>1921</v>
      </c>
      <c r="N11" s="56" t="s">
        <v>806</v>
      </c>
      <c r="O11" s="50" t="s">
        <v>245</v>
      </c>
      <c r="P11" s="53" t="s">
        <v>620</v>
      </c>
      <c r="Z11" s="15" t="s">
        <v>1905</v>
      </c>
      <c r="AA11" s="15" t="s">
        <v>1506</v>
      </c>
      <c r="AB11" s="15" t="s">
        <v>2536</v>
      </c>
      <c r="AC11" s="15" t="s">
        <v>679</v>
      </c>
      <c r="AD11" s="15" t="s">
        <v>2083</v>
      </c>
      <c r="AE11" s="15" t="s">
        <v>901</v>
      </c>
      <c r="AF11" s="15" t="s">
        <v>2199</v>
      </c>
      <c r="AG11" s="15" t="s">
        <v>1046</v>
      </c>
      <c r="AH11" s="15" t="s">
        <v>636</v>
      </c>
      <c r="BH11" s="15" t="s">
        <v>1908</v>
      </c>
      <c r="BI11" s="15" t="s">
        <v>2468</v>
      </c>
      <c r="BJ11" s="15" t="s">
        <v>2685</v>
      </c>
    </row>
    <row r="12" spans="1:75" ht="15" customHeight="1">
      <c r="A12" s="70" t="s">
        <v>1683</v>
      </c>
      <c r="B12" s="40" t="s">
        <v>1859</v>
      </c>
      <c r="C12" s="40" t="s">
        <v>1683</v>
      </c>
      <c r="D12" s="647" t="s">
        <v>1398</v>
      </c>
      <c r="E12" s="648"/>
      <c r="F12" s="22" t="s">
        <v>2262</v>
      </c>
      <c r="G12" s="22" t="s">
        <v>2262</v>
      </c>
      <c r="H12" s="22" t="s">
        <v>2262</v>
      </c>
      <c r="I12" s="22" t="s">
        <v>2262</v>
      </c>
      <c r="J12" s="89">
        <f>J13+J35+J40+J43+J48+J85+J91</f>
        <v>0</v>
      </c>
      <c r="K12" s="89">
        <f>K13+K35+K40+K43+K48+K85+K91</f>
        <v>0</v>
      </c>
      <c r="L12" s="89">
        <f>L13+L35+L40+L43+L48+L85+L91</f>
        <v>0</v>
      </c>
      <c r="M12" s="89">
        <f>M13+M35+M40+M43+M48+M85+M91</f>
        <v>0</v>
      </c>
      <c r="N12" s="61" t="s">
        <v>1683</v>
      </c>
      <c r="O12" s="89">
        <f>O13+O35+O40+O43+O48+O85+O91</f>
        <v>693.80982029999996</v>
      </c>
      <c r="P12" s="1" t="s">
        <v>1683</v>
      </c>
    </row>
    <row r="13" spans="1:75" ht="15" customHeight="1">
      <c r="A13" s="65" t="s">
        <v>1683</v>
      </c>
      <c r="B13" s="26" t="s">
        <v>1859</v>
      </c>
      <c r="C13" s="26" t="s">
        <v>1512</v>
      </c>
      <c r="D13" s="649" t="s">
        <v>2590</v>
      </c>
      <c r="E13" s="650"/>
      <c r="F13" s="74" t="s">
        <v>2262</v>
      </c>
      <c r="G13" s="74" t="s">
        <v>2262</v>
      </c>
      <c r="H13" s="74" t="s">
        <v>2262</v>
      </c>
      <c r="I13" s="74" t="s">
        <v>2262</v>
      </c>
      <c r="J13" s="2">
        <f>SUM(J14:J33)</f>
        <v>0</v>
      </c>
      <c r="K13" s="2">
        <f>SUM(K14:K33)</f>
        <v>0</v>
      </c>
      <c r="L13" s="2">
        <f>SUM(L14:L33)</f>
        <v>0</v>
      </c>
      <c r="M13" s="2">
        <f>SUM(M14:M33)</f>
        <v>0</v>
      </c>
      <c r="N13" s="15" t="s">
        <v>1683</v>
      </c>
      <c r="O13" s="2">
        <f>SUM(O14:O33)</f>
        <v>47.051719999999996</v>
      </c>
      <c r="P13" s="47" t="s">
        <v>1683</v>
      </c>
      <c r="AI13" s="15" t="s">
        <v>1859</v>
      </c>
      <c r="AS13" s="2">
        <f>SUM(AJ14:AJ33)</f>
        <v>0</v>
      </c>
      <c r="AT13" s="2">
        <f>SUM(AK14:AK33)</f>
        <v>0</v>
      </c>
      <c r="AU13" s="2">
        <f>SUM(AL14:AL33)</f>
        <v>0</v>
      </c>
    </row>
    <row r="14" spans="1:75" ht="13.5" customHeight="1">
      <c r="A14" s="21" t="s">
        <v>2422</v>
      </c>
      <c r="B14" s="37" t="s">
        <v>1859</v>
      </c>
      <c r="C14" s="37" t="s">
        <v>949</v>
      </c>
      <c r="D14" s="578" t="s">
        <v>1395</v>
      </c>
      <c r="E14" s="579"/>
      <c r="F14" s="37" t="s">
        <v>2019</v>
      </c>
      <c r="G14" s="14">
        <v>377</v>
      </c>
      <c r="H14" s="569"/>
      <c r="I14" s="55" t="s">
        <v>1720</v>
      </c>
      <c r="J14" s="14">
        <f>G14*AO14</f>
        <v>0</v>
      </c>
      <c r="K14" s="14">
        <f>G14*AP14</f>
        <v>0</v>
      </c>
      <c r="L14" s="14">
        <f>G14*H14</f>
        <v>0</v>
      </c>
      <c r="M14" s="14">
        <f>L14*(1+BW14/100)</f>
        <v>0</v>
      </c>
      <c r="N14" s="14">
        <v>1.0160000000000001E-2</v>
      </c>
      <c r="O14" s="14">
        <f>G14*N14</f>
        <v>3.8303200000000004</v>
      </c>
      <c r="P14" s="72" t="s">
        <v>1664</v>
      </c>
      <c r="Z14" s="14">
        <f>IF(AQ14="5",BJ14,0)</f>
        <v>0</v>
      </c>
      <c r="AB14" s="14">
        <f>IF(AQ14="1",BH14,0)</f>
        <v>0</v>
      </c>
      <c r="AC14" s="14">
        <f>IF(AQ14="1",BI14,0)</f>
        <v>0</v>
      </c>
      <c r="AD14" s="14">
        <f>IF(AQ14="7",BH14,0)</f>
        <v>0</v>
      </c>
      <c r="AE14" s="14">
        <f>IF(AQ14="7",BI14,0)</f>
        <v>0</v>
      </c>
      <c r="AF14" s="14">
        <f>IF(AQ14="2",BH14,0)</f>
        <v>0</v>
      </c>
      <c r="AG14" s="14">
        <f>IF(AQ14="2",BI14,0)</f>
        <v>0</v>
      </c>
      <c r="AH14" s="14">
        <f>IF(AQ14="0",BJ14,0)</f>
        <v>0</v>
      </c>
      <c r="AI14" s="15" t="s">
        <v>1859</v>
      </c>
      <c r="AJ14" s="14">
        <f>IF(AN14=0,L14,0)</f>
        <v>0</v>
      </c>
      <c r="AK14" s="14">
        <f>IF(AN14=15,L14,0)</f>
        <v>0</v>
      </c>
      <c r="AL14" s="14">
        <f>IF(AN14=21,L14,0)</f>
        <v>0</v>
      </c>
      <c r="AN14" s="14">
        <v>21</v>
      </c>
      <c r="AO14" s="92">
        <f>H14*0.0716463414634146</f>
        <v>0</v>
      </c>
      <c r="AP14" s="92">
        <f>H14*(1-0.0716463414634146)</f>
        <v>0</v>
      </c>
      <c r="AQ14" s="55" t="s">
        <v>2435</v>
      </c>
      <c r="AV14" s="14">
        <f>AW14+AX14</f>
        <v>0</v>
      </c>
      <c r="AW14" s="14">
        <f>G14*AO14</f>
        <v>0</v>
      </c>
      <c r="AX14" s="14">
        <f>G14*AP14</f>
        <v>0</v>
      </c>
      <c r="AY14" s="55" t="s">
        <v>1526</v>
      </c>
      <c r="AZ14" s="55" t="s">
        <v>384</v>
      </c>
      <c r="BA14" s="15" t="s">
        <v>2202</v>
      </c>
      <c r="BC14" s="14">
        <f>AW14+AX14</f>
        <v>0</v>
      </c>
      <c r="BD14" s="14">
        <f>H14/(100-BE14)*100</f>
        <v>0</v>
      </c>
      <c r="BE14" s="14">
        <v>0</v>
      </c>
      <c r="BF14" s="14">
        <f>O14</f>
        <v>3.8303200000000004</v>
      </c>
      <c r="BH14" s="14">
        <f>G14*AO14</f>
        <v>0</v>
      </c>
      <c r="BI14" s="14">
        <f>G14*AP14</f>
        <v>0</v>
      </c>
      <c r="BJ14" s="14">
        <f>G14*H14</f>
        <v>0</v>
      </c>
      <c r="BK14" s="14"/>
      <c r="BL14" s="14">
        <v>762</v>
      </c>
      <c r="BW14" s="14" t="str">
        <f>I14</f>
        <v>21</v>
      </c>
    </row>
    <row r="15" spans="1:75" ht="15" customHeight="1">
      <c r="A15" s="32"/>
      <c r="D15" s="3" t="s">
        <v>539</v>
      </c>
      <c r="E15" s="28" t="s">
        <v>2672</v>
      </c>
      <c r="G15" s="27">
        <v>50.000000000000007</v>
      </c>
      <c r="P15" s="33"/>
    </row>
    <row r="16" spans="1:75" ht="15" customHeight="1">
      <c r="A16" s="32"/>
      <c r="D16" s="3" t="s">
        <v>2147</v>
      </c>
      <c r="E16" s="28" t="s">
        <v>2126</v>
      </c>
      <c r="G16" s="27">
        <v>25.000000000000004</v>
      </c>
      <c r="P16" s="33"/>
    </row>
    <row r="17" spans="1:75" ht="15" customHeight="1">
      <c r="A17" s="32"/>
      <c r="D17" s="3" t="s">
        <v>539</v>
      </c>
      <c r="E17" s="28" t="s">
        <v>2106</v>
      </c>
      <c r="G17" s="27">
        <v>50.000000000000007</v>
      </c>
      <c r="P17" s="33"/>
    </row>
    <row r="18" spans="1:75" ht="15" customHeight="1">
      <c r="A18" s="32"/>
      <c r="D18" s="3" t="s">
        <v>101</v>
      </c>
      <c r="E18" s="28" t="s">
        <v>2417</v>
      </c>
      <c r="G18" s="27">
        <v>133</v>
      </c>
      <c r="P18" s="33"/>
    </row>
    <row r="19" spans="1:75" ht="15" customHeight="1">
      <c r="A19" s="32"/>
      <c r="D19" s="3" t="s">
        <v>1949</v>
      </c>
      <c r="E19" s="28" t="s">
        <v>1110</v>
      </c>
      <c r="G19" s="27">
        <v>84</v>
      </c>
      <c r="P19" s="33"/>
    </row>
    <row r="20" spans="1:75" ht="15" customHeight="1">
      <c r="A20" s="32"/>
      <c r="D20" s="3" t="s">
        <v>1137</v>
      </c>
      <c r="E20" s="28" t="s">
        <v>428</v>
      </c>
      <c r="G20" s="27">
        <v>35</v>
      </c>
      <c r="P20" s="33"/>
    </row>
    <row r="21" spans="1:75" ht="13.5" customHeight="1">
      <c r="A21" s="21" t="s">
        <v>1676</v>
      </c>
      <c r="B21" s="37" t="s">
        <v>1859</v>
      </c>
      <c r="C21" s="37" t="s">
        <v>1445</v>
      </c>
      <c r="D21" s="578" t="s">
        <v>1074</v>
      </c>
      <c r="E21" s="579"/>
      <c r="F21" s="37" t="s">
        <v>2019</v>
      </c>
      <c r="G21" s="14">
        <v>400</v>
      </c>
      <c r="H21" s="569"/>
      <c r="I21" s="55" t="s">
        <v>1720</v>
      </c>
      <c r="J21" s="14">
        <f>G21*AO21</f>
        <v>0</v>
      </c>
      <c r="K21" s="14">
        <f>G21*AP21</f>
        <v>0</v>
      </c>
      <c r="L21" s="14">
        <f>G21*H21</f>
        <v>0</v>
      </c>
      <c r="M21" s="14">
        <f>L21*(1+BW21/100)</f>
        <v>0</v>
      </c>
      <c r="N21" s="14">
        <v>1.4E-2</v>
      </c>
      <c r="O21" s="14">
        <f>G21*N21</f>
        <v>5.6000000000000005</v>
      </c>
      <c r="P21" s="72" t="s">
        <v>1664</v>
      </c>
      <c r="Z21" s="14">
        <f>IF(AQ21="5",BJ21,0)</f>
        <v>0</v>
      </c>
      <c r="AB21" s="14">
        <f>IF(AQ21="1",BH21,0)</f>
        <v>0</v>
      </c>
      <c r="AC21" s="14">
        <f>IF(AQ21="1",BI21,0)</f>
        <v>0</v>
      </c>
      <c r="AD21" s="14">
        <f>IF(AQ21="7",BH21,0)</f>
        <v>0</v>
      </c>
      <c r="AE21" s="14">
        <f>IF(AQ21="7",BI21,0)</f>
        <v>0</v>
      </c>
      <c r="AF21" s="14">
        <f>IF(AQ21="2",BH21,0)</f>
        <v>0</v>
      </c>
      <c r="AG21" s="14">
        <f>IF(AQ21="2",BI21,0)</f>
        <v>0</v>
      </c>
      <c r="AH21" s="14">
        <f>IF(AQ21="0",BJ21,0)</f>
        <v>0</v>
      </c>
      <c r="AI21" s="15" t="s">
        <v>1859</v>
      </c>
      <c r="AJ21" s="14">
        <f>IF(AN21=0,L21,0)</f>
        <v>0</v>
      </c>
      <c r="AK21" s="14">
        <f>IF(AN21=15,L21,0)</f>
        <v>0</v>
      </c>
      <c r="AL21" s="14">
        <f>IF(AN21=21,L21,0)</f>
        <v>0</v>
      </c>
      <c r="AN21" s="14">
        <v>21</v>
      </c>
      <c r="AO21" s="92">
        <f>H21*0</f>
        <v>0</v>
      </c>
      <c r="AP21" s="92">
        <f>H21*(1-0)</f>
        <v>0</v>
      </c>
      <c r="AQ21" s="55" t="s">
        <v>2435</v>
      </c>
      <c r="AV21" s="14">
        <f>AW21+AX21</f>
        <v>0</v>
      </c>
      <c r="AW21" s="14">
        <f>G21*AO21</f>
        <v>0</v>
      </c>
      <c r="AX21" s="14">
        <f>G21*AP21</f>
        <v>0</v>
      </c>
      <c r="AY21" s="55" t="s">
        <v>1526</v>
      </c>
      <c r="AZ21" s="55" t="s">
        <v>384</v>
      </c>
      <c r="BA21" s="15" t="s">
        <v>2202</v>
      </c>
      <c r="BC21" s="14">
        <f>AW21+AX21</f>
        <v>0</v>
      </c>
      <c r="BD21" s="14">
        <f>H21/(100-BE21)*100</f>
        <v>0</v>
      </c>
      <c r="BE21" s="14">
        <v>0</v>
      </c>
      <c r="BF21" s="14">
        <f>O21</f>
        <v>5.6000000000000005</v>
      </c>
      <c r="BH21" s="14">
        <f>G21*AO21</f>
        <v>0</v>
      </c>
      <c r="BI21" s="14">
        <f>G21*AP21</f>
        <v>0</v>
      </c>
      <c r="BJ21" s="14">
        <f>G21*H21</f>
        <v>0</v>
      </c>
      <c r="BK21" s="14"/>
      <c r="BL21" s="14">
        <v>762</v>
      </c>
      <c r="BW21" s="14" t="str">
        <f>I21</f>
        <v>21</v>
      </c>
    </row>
    <row r="22" spans="1:75" ht="15" customHeight="1">
      <c r="A22" s="32"/>
      <c r="D22" s="3" t="s">
        <v>2161</v>
      </c>
      <c r="E22" s="28" t="s">
        <v>417</v>
      </c>
      <c r="G22" s="27">
        <v>400.00000000000006</v>
      </c>
      <c r="P22" s="33"/>
    </row>
    <row r="23" spans="1:75" ht="13.5" customHeight="1">
      <c r="A23" s="21" t="s">
        <v>2111</v>
      </c>
      <c r="B23" s="37" t="s">
        <v>1859</v>
      </c>
      <c r="C23" s="37" t="s">
        <v>1223</v>
      </c>
      <c r="D23" s="578" t="s">
        <v>1682</v>
      </c>
      <c r="E23" s="579"/>
      <c r="F23" s="37" t="s">
        <v>2398</v>
      </c>
      <c r="G23" s="14">
        <v>395</v>
      </c>
      <c r="H23" s="569"/>
      <c r="I23" s="55" t="s">
        <v>1720</v>
      </c>
      <c r="J23" s="14">
        <f>G23*AO23</f>
        <v>0</v>
      </c>
      <c r="K23" s="14">
        <f>G23*AP23</f>
        <v>0</v>
      </c>
      <c r="L23" s="14">
        <f>G23*H23</f>
        <v>0</v>
      </c>
      <c r="M23" s="14">
        <f>L23*(1+BW23/100)</f>
        <v>0</v>
      </c>
      <c r="N23" s="14">
        <v>7.0000000000000001E-3</v>
      </c>
      <c r="O23" s="14">
        <f>G23*N23</f>
        <v>2.7650000000000001</v>
      </c>
      <c r="P23" s="72" t="s">
        <v>1664</v>
      </c>
      <c r="Z23" s="14">
        <f>IF(AQ23="5",BJ23,0)</f>
        <v>0</v>
      </c>
      <c r="AB23" s="14">
        <f>IF(AQ23="1",BH23,0)</f>
        <v>0</v>
      </c>
      <c r="AC23" s="14">
        <f>IF(AQ23="1",BI23,0)</f>
        <v>0</v>
      </c>
      <c r="AD23" s="14">
        <f>IF(AQ23="7",BH23,0)</f>
        <v>0</v>
      </c>
      <c r="AE23" s="14">
        <f>IF(AQ23="7",BI23,0)</f>
        <v>0</v>
      </c>
      <c r="AF23" s="14">
        <f>IF(AQ23="2",BH23,0)</f>
        <v>0</v>
      </c>
      <c r="AG23" s="14">
        <f>IF(AQ23="2",BI23,0)</f>
        <v>0</v>
      </c>
      <c r="AH23" s="14">
        <f>IF(AQ23="0",BJ23,0)</f>
        <v>0</v>
      </c>
      <c r="AI23" s="15" t="s">
        <v>1859</v>
      </c>
      <c r="AJ23" s="14">
        <f>IF(AN23=0,L23,0)</f>
        <v>0</v>
      </c>
      <c r="AK23" s="14">
        <f>IF(AN23=15,L23,0)</f>
        <v>0</v>
      </c>
      <c r="AL23" s="14">
        <f>IF(AN23=21,L23,0)</f>
        <v>0</v>
      </c>
      <c r="AN23" s="14">
        <v>21</v>
      </c>
      <c r="AO23" s="92">
        <f>H23*0</f>
        <v>0</v>
      </c>
      <c r="AP23" s="92">
        <f>H23*(1-0)</f>
        <v>0</v>
      </c>
      <c r="AQ23" s="55" t="s">
        <v>2435</v>
      </c>
      <c r="AV23" s="14">
        <f>AW23+AX23</f>
        <v>0</v>
      </c>
      <c r="AW23" s="14">
        <f>G23*AO23</f>
        <v>0</v>
      </c>
      <c r="AX23" s="14">
        <f>G23*AP23</f>
        <v>0</v>
      </c>
      <c r="AY23" s="55" t="s">
        <v>1526</v>
      </c>
      <c r="AZ23" s="55" t="s">
        <v>384</v>
      </c>
      <c r="BA23" s="15" t="s">
        <v>2202</v>
      </c>
      <c r="BC23" s="14">
        <f>AW23+AX23</f>
        <v>0</v>
      </c>
      <c r="BD23" s="14">
        <f>H23/(100-BE23)*100</f>
        <v>0</v>
      </c>
      <c r="BE23" s="14">
        <v>0</v>
      </c>
      <c r="BF23" s="14">
        <f>O23</f>
        <v>2.7650000000000001</v>
      </c>
      <c r="BH23" s="14">
        <f>G23*AO23</f>
        <v>0</v>
      </c>
      <c r="BI23" s="14">
        <f>G23*AP23</f>
        <v>0</v>
      </c>
      <c r="BJ23" s="14">
        <f>G23*H23</f>
        <v>0</v>
      </c>
      <c r="BK23" s="14"/>
      <c r="BL23" s="14">
        <v>762</v>
      </c>
      <c r="BW23" s="14" t="str">
        <f>I23</f>
        <v>21</v>
      </c>
    </row>
    <row r="24" spans="1:75" ht="15" customHeight="1">
      <c r="A24" s="32"/>
      <c r="D24" s="3" t="s">
        <v>19</v>
      </c>
      <c r="E24" s="28" t="s">
        <v>1683</v>
      </c>
      <c r="G24" s="27">
        <v>395.00000000000006</v>
      </c>
      <c r="P24" s="33"/>
    </row>
    <row r="25" spans="1:75" ht="13.5" customHeight="1">
      <c r="A25" s="21" t="s">
        <v>272</v>
      </c>
      <c r="B25" s="37" t="s">
        <v>1859</v>
      </c>
      <c r="C25" s="37" t="s">
        <v>154</v>
      </c>
      <c r="D25" s="578" t="s">
        <v>332</v>
      </c>
      <c r="E25" s="579"/>
      <c r="F25" s="37" t="s">
        <v>2398</v>
      </c>
      <c r="G25" s="14">
        <v>250</v>
      </c>
      <c r="H25" s="569"/>
      <c r="I25" s="55" t="s">
        <v>1720</v>
      </c>
      <c r="J25" s="14">
        <f>G25*AO25</f>
        <v>0</v>
      </c>
      <c r="K25" s="14">
        <f>G25*AP25</f>
        <v>0</v>
      </c>
      <c r="L25" s="14">
        <f>G25*H25</f>
        <v>0</v>
      </c>
      <c r="M25" s="14">
        <f>L25*(1+BW25/100)</f>
        <v>0</v>
      </c>
      <c r="N25" s="14">
        <v>1.4999999999999999E-2</v>
      </c>
      <c r="O25" s="14">
        <f>G25*N25</f>
        <v>3.75</v>
      </c>
      <c r="P25" s="72" t="s">
        <v>1664</v>
      </c>
      <c r="Z25" s="14">
        <f>IF(AQ25="5",BJ25,0)</f>
        <v>0</v>
      </c>
      <c r="AB25" s="14">
        <f>IF(AQ25="1",BH25,0)</f>
        <v>0</v>
      </c>
      <c r="AC25" s="14">
        <f>IF(AQ25="1",BI25,0)</f>
        <v>0</v>
      </c>
      <c r="AD25" s="14">
        <f>IF(AQ25="7",BH25,0)</f>
        <v>0</v>
      </c>
      <c r="AE25" s="14">
        <f>IF(AQ25="7",BI25,0)</f>
        <v>0</v>
      </c>
      <c r="AF25" s="14">
        <f>IF(AQ25="2",BH25,0)</f>
        <v>0</v>
      </c>
      <c r="AG25" s="14">
        <f>IF(AQ25="2",BI25,0)</f>
        <v>0</v>
      </c>
      <c r="AH25" s="14">
        <f>IF(AQ25="0",BJ25,0)</f>
        <v>0</v>
      </c>
      <c r="AI25" s="15" t="s">
        <v>1859</v>
      </c>
      <c r="AJ25" s="14">
        <f>IF(AN25=0,L25,0)</f>
        <v>0</v>
      </c>
      <c r="AK25" s="14">
        <f>IF(AN25=15,L25,0)</f>
        <v>0</v>
      </c>
      <c r="AL25" s="14">
        <f>IF(AN25=21,L25,0)</f>
        <v>0</v>
      </c>
      <c r="AN25" s="14">
        <v>21</v>
      </c>
      <c r="AO25" s="92">
        <f>H25*0</f>
        <v>0</v>
      </c>
      <c r="AP25" s="92">
        <f>H25*(1-0)</f>
        <v>0</v>
      </c>
      <c r="AQ25" s="55" t="s">
        <v>2435</v>
      </c>
      <c r="AV25" s="14">
        <f>AW25+AX25</f>
        <v>0</v>
      </c>
      <c r="AW25" s="14">
        <f>G25*AO25</f>
        <v>0</v>
      </c>
      <c r="AX25" s="14">
        <f>G25*AP25</f>
        <v>0</v>
      </c>
      <c r="AY25" s="55" t="s">
        <v>1526</v>
      </c>
      <c r="AZ25" s="55" t="s">
        <v>384</v>
      </c>
      <c r="BA25" s="15" t="s">
        <v>2202</v>
      </c>
      <c r="BC25" s="14">
        <f>AW25+AX25</f>
        <v>0</v>
      </c>
      <c r="BD25" s="14">
        <f>H25/(100-BE25)*100</f>
        <v>0</v>
      </c>
      <c r="BE25" s="14">
        <v>0</v>
      </c>
      <c r="BF25" s="14">
        <f>O25</f>
        <v>3.75</v>
      </c>
      <c r="BH25" s="14">
        <f>G25*AO25</f>
        <v>0</v>
      </c>
      <c r="BI25" s="14">
        <f>G25*AP25</f>
        <v>0</v>
      </c>
      <c r="BJ25" s="14">
        <f>G25*H25</f>
        <v>0</v>
      </c>
      <c r="BK25" s="14"/>
      <c r="BL25" s="14">
        <v>762</v>
      </c>
      <c r="BW25" s="14" t="str">
        <f>I25</f>
        <v>21</v>
      </c>
    </row>
    <row r="26" spans="1:75" ht="15" customHeight="1">
      <c r="A26" s="32"/>
      <c r="D26" s="3" t="s">
        <v>1115</v>
      </c>
      <c r="E26" s="28" t="s">
        <v>2117</v>
      </c>
      <c r="G26" s="27">
        <v>250.00000000000003</v>
      </c>
      <c r="P26" s="33"/>
    </row>
    <row r="27" spans="1:75" ht="13.5" customHeight="1">
      <c r="A27" s="21" t="s">
        <v>1287</v>
      </c>
      <c r="B27" s="37" t="s">
        <v>1859</v>
      </c>
      <c r="C27" s="37" t="s">
        <v>371</v>
      </c>
      <c r="D27" s="578" t="s">
        <v>2091</v>
      </c>
      <c r="E27" s="579"/>
      <c r="F27" s="37" t="s">
        <v>2398</v>
      </c>
      <c r="G27" s="14">
        <v>280</v>
      </c>
      <c r="H27" s="569"/>
      <c r="I27" s="55" t="s">
        <v>1720</v>
      </c>
      <c r="J27" s="14">
        <f>G27*AO27</f>
        <v>0</v>
      </c>
      <c r="K27" s="14">
        <f>G27*AP27</f>
        <v>0</v>
      </c>
      <c r="L27" s="14">
        <f>G27*H27</f>
        <v>0</v>
      </c>
      <c r="M27" s="14">
        <f>L27*(1+BW27/100)</f>
        <v>0</v>
      </c>
      <c r="N27" s="14">
        <v>1.7999999999999999E-2</v>
      </c>
      <c r="O27" s="14">
        <f>G27*N27</f>
        <v>5.04</v>
      </c>
      <c r="P27" s="72" t="s">
        <v>1664</v>
      </c>
      <c r="Z27" s="14">
        <f>IF(AQ27="5",BJ27,0)</f>
        <v>0</v>
      </c>
      <c r="AB27" s="14">
        <f>IF(AQ27="1",BH27,0)</f>
        <v>0</v>
      </c>
      <c r="AC27" s="14">
        <f>IF(AQ27="1",BI27,0)</f>
        <v>0</v>
      </c>
      <c r="AD27" s="14">
        <f>IF(AQ27="7",BH27,0)</f>
        <v>0</v>
      </c>
      <c r="AE27" s="14">
        <f>IF(AQ27="7",BI27,0)</f>
        <v>0</v>
      </c>
      <c r="AF27" s="14">
        <f>IF(AQ27="2",BH27,0)</f>
        <v>0</v>
      </c>
      <c r="AG27" s="14">
        <f>IF(AQ27="2",BI27,0)</f>
        <v>0</v>
      </c>
      <c r="AH27" s="14">
        <f>IF(AQ27="0",BJ27,0)</f>
        <v>0</v>
      </c>
      <c r="AI27" s="15" t="s">
        <v>1859</v>
      </c>
      <c r="AJ27" s="14">
        <f>IF(AN27=0,L27,0)</f>
        <v>0</v>
      </c>
      <c r="AK27" s="14">
        <f>IF(AN27=15,L27,0)</f>
        <v>0</v>
      </c>
      <c r="AL27" s="14">
        <f>IF(AN27=21,L27,0)</f>
        <v>0</v>
      </c>
      <c r="AN27" s="14">
        <v>21</v>
      </c>
      <c r="AO27" s="92">
        <f>H27*0</f>
        <v>0</v>
      </c>
      <c r="AP27" s="92">
        <f>H27*(1-0)</f>
        <v>0</v>
      </c>
      <c r="AQ27" s="55" t="s">
        <v>2435</v>
      </c>
      <c r="AV27" s="14">
        <f>AW27+AX27</f>
        <v>0</v>
      </c>
      <c r="AW27" s="14">
        <f>G27*AO27</f>
        <v>0</v>
      </c>
      <c r="AX27" s="14">
        <f>G27*AP27</f>
        <v>0</v>
      </c>
      <c r="AY27" s="55" t="s">
        <v>1526</v>
      </c>
      <c r="AZ27" s="55" t="s">
        <v>384</v>
      </c>
      <c r="BA27" s="15" t="s">
        <v>2202</v>
      </c>
      <c r="BC27" s="14">
        <f>AW27+AX27</f>
        <v>0</v>
      </c>
      <c r="BD27" s="14">
        <f>H27/(100-BE27)*100</f>
        <v>0</v>
      </c>
      <c r="BE27" s="14">
        <v>0</v>
      </c>
      <c r="BF27" s="14">
        <f>O27</f>
        <v>5.04</v>
      </c>
      <c r="BH27" s="14">
        <f>G27*AO27</f>
        <v>0</v>
      </c>
      <c r="BI27" s="14">
        <f>G27*AP27</f>
        <v>0</v>
      </c>
      <c r="BJ27" s="14">
        <f>G27*H27</f>
        <v>0</v>
      </c>
      <c r="BK27" s="14"/>
      <c r="BL27" s="14">
        <v>762</v>
      </c>
      <c r="BW27" s="14" t="str">
        <f>I27</f>
        <v>21</v>
      </c>
    </row>
    <row r="28" spans="1:75" ht="15" customHeight="1">
      <c r="A28" s="32"/>
      <c r="D28" s="3" t="s">
        <v>2087</v>
      </c>
      <c r="E28" s="28" t="s">
        <v>93</v>
      </c>
      <c r="G28" s="27">
        <v>280</v>
      </c>
      <c r="P28" s="33"/>
    </row>
    <row r="29" spans="1:75" ht="13.5" customHeight="1">
      <c r="A29" s="21" t="s">
        <v>408</v>
      </c>
      <c r="B29" s="37" t="s">
        <v>1859</v>
      </c>
      <c r="C29" s="37" t="s">
        <v>2548</v>
      </c>
      <c r="D29" s="578" t="s">
        <v>778</v>
      </c>
      <c r="E29" s="579"/>
      <c r="F29" s="37" t="s">
        <v>2019</v>
      </c>
      <c r="G29" s="14">
        <v>220</v>
      </c>
      <c r="H29" s="569"/>
      <c r="I29" s="55" t="s">
        <v>1720</v>
      </c>
      <c r="J29" s="14">
        <f>G29*AO29</f>
        <v>0</v>
      </c>
      <c r="K29" s="14">
        <f>G29*AP29</f>
        <v>0</v>
      </c>
      <c r="L29" s="14">
        <f>G29*H29</f>
        <v>0</v>
      </c>
      <c r="M29" s="14">
        <f>L29*(1+BW29/100)</f>
        <v>0</v>
      </c>
      <c r="N29" s="14">
        <v>2.5159999999999998E-2</v>
      </c>
      <c r="O29" s="14">
        <f>G29*N29</f>
        <v>5.5351999999999997</v>
      </c>
      <c r="P29" s="72" t="s">
        <v>1664</v>
      </c>
      <c r="Z29" s="14">
        <f>IF(AQ29="5",BJ29,0)</f>
        <v>0</v>
      </c>
      <c r="AB29" s="14">
        <f>IF(AQ29="1",BH29,0)</f>
        <v>0</v>
      </c>
      <c r="AC29" s="14">
        <f>IF(AQ29="1",BI29,0)</f>
        <v>0</v>
      </c>
      <c r="AD29" s="14">
        <f>IF(AQ29="7",BH29,0)</f>
        <v>0</v>
      </c>
      <c r="AE29" s="14">
        <f>IF(AQ29="7",BI29,0)</f>
        <v>0</v>
      </c>
      <c r="AF29" s="14">
        <f>IF(AQ29="2",BH29,0)</f>
        <v>0</v>
      </c>
      <c r="AG29" s="14">
        <f>IF(AQ29="2",BI29,0)</f>
        <v>0</v>
      </c>
      <c r="AH29" s="14">
        <f>IF(AQ29="0",BJ29,0)</f>
        <v>0</v>
      </c>
      <c r="AI29" s="15" t="s">
        <v>1859</v>
      </c>
      <c r="AJ29" s="14">
        <f>IF(AN29=0,L29,0)</f>
        <v>0</v>
      </c>
      <c r="AK29" s="14">
        <f>IF(AN29=15,L29,0)</f>
        <v>0</v>
      </c>
      <c r="AL29" s="14">
        <f>IF(AN29=21,L29,0)</f>
        <v>0</v>
      </c>
      <c r="AN29" s="14">
        <v>21</v>
      </c>
      <c r="AO29" s="92">
        <f>H29*0.0542099192618224</f>
        <v>0</v>
      </c>
      <c r="AP29" s="92">
        <f>H29*(1-0.0542099192618224)</f>
        <v>0</v>
      </c>
      <c r="AQ29" s="55" t="s">
        <v>2435</v>
      </c>
      <c r="AV29" s="14">
        <f>AW29+AX29</f>
        <v>0</v>
      </c>
      <c r="AW29" s="14">
        <f>G29*AO29</f>
        <v>0</v>
      </c>
      <c r="AX29" s="14">
        <f>G29*AP29</f>
        <v>0</v>
      </c>
      <c r="AY29" s="55" t="s">
        <v>1526</v>
      </c>
      <c r="AZ29" s="55" t="s">
        <v>384</v>
      </c>
      <c r="BA29" s="15" t="s">
        <v>2202</v>
      </c>
      <c r="BC29" s="14">
        <f>AW29+AX29</f>
        <v>0</v>
      </c>
      <c r="BD29" s="14">
        <f>H29/(100-BE29)*100</f>
        <v>0</v>
      </c>
      <c r="BE29" s="14">
        <v>0</v>
      </c>
      <c r="BF29" s="14">
        <f>O29</f>
        <v>5.5351999999999997</v>
      </c>
      <c r="BH29" s="14">
        <f>G29*AO29</f>
        <v>0</v>
      </c>
      <c r="BI29" s="14">
        <f>G29*AP29</f>
        <v>0</v>
      </c>
      <c r="BJ29" s="14">
        <f>G29*H29</f>
        <v>0</v>
      </c>
      <c r="BK29" s="14"/>
      <c r="BL29" s="14">
        <v>762</v>
      </c>
      <c r="BW29" s="14" t="str">
        <f>I29</f>
        <v>21</v>
      </c>
    </row>
    <row r="30" spans="1:75" ht="15" customHeight="1">
      <c r="A30" s="32"/>
      <c r="D30" s="3" t="s">
        <v>1534</v>
      </c>
      <c r="E30" s="28" t="s">
        <v>849</v>
      </c>
      <c r="G30" s="27">
        <v>220.00000000000003</v>
      </c>
      <c r="P30" s="33"/>
    </row>
    <row r="31" spans="1:75" ht="13.5" customHeight="1">
      <c r="A31" s="21" t="s">
        <v>2435</v>
      </c>
      <c r="B31" s="37" t="s">
        <v>1859</v>
      </c>
      <c r="C31" s="37" t="s">
        <v>2286</v>
      </c>
      <c r="D31" s="578" t="s">
        <v>1525</v>
      </c>
      <c r="E31" s="579"/>
      <c r="F31" s="37" t="s">
        <v>2398</v>
      </c>
      <c r="G31" s="14">
        <v>110</v>
      </c>
      <c r="H31" s="569"/>
      <c r="I31" s="55" t="s">
        <v>1720</v>
      </c>
      <c r="J31" s="14">
        <f>G31*AO31</f>
        <v>0</v>
      </c>
      <c r="K31" s="14">
        <f>G31*AP31</f>
        <v>0</v>
      </c>
      <c r="L31" s="14">
        <f>G31*H31</f>
        <v>0</v>
      </c>
      <c r="M31" s="14">
        <f>L31*(1+BW31/100)</f>
        <v>0</v>
      </c>
      <c r="N31" s="14">
        <v>6.4159999999999995E-2</v>
      </c>
      <c r="O31" s="14">
        <f>G31*N31</f>
        <v>7.057599999999999</v>
      </c>
      <c r="P31" s="72" t="s">
        <v>1664</v>
      </c>
      <c r="Z31" s="14">
        <f>IF(AQ31="5",BJ31,0)</f>
        <v>0</v>
      </c>
      <c r="AB31" s="14">
        <f>IF(AQ31="1",BH31,0)</f>
        <v>0</v>
      </c>
      <c r="AC31" s="14">
        <f>IF(AQ31="1",BI31,0)</f>
        <v>0</v>
      </c>
      <c r="AD31" s="14">
        <f>IF(AQ31="7",BH31,0)</f>
        <v>0</v>
      </c>
      <c r="AE31" s="14">
        <f>IF(AQ31="7",BI31,0)</f>
        <v>0</v>
      </c>
      <c r="AF31" s="14">
        <f>IF(AQ31="2",BH31,0)</f>
        <v>0</v>
      </c>
      <c r="AG31" s="14">
        <f>IF(AQ31="2",BI31,0)</f>
        <v>0</v>
      </c>
      <c r="AH31" s="14">
        <f>IF(AQ31="0",BJ31,0)</f>
        <v>0</v>
      </c>
      <c r="AI31" s="15" t="s">
        <v>1859</v>
      </c>
      <c r="AJ31" s="14">
        <f>IF(AN31=0,L31,0)</f>
        <v>0</v>
      </c>
      <c r="AK31" s="14">
        <f>IF(AN31=15,L31,0)</f>
        <v>0</v>
      </c>
      <c r="AL31" s="14">
        <f>IF(AN31=21,L31,0)</f>
        <v>0</v>
      </c>
      <c r="AN31" s="14">
        <v>21</v>
      </c>
      <c r="AO31" s="92">
        <f>H31*0.0324120736300462</f>
        <v>0</v>
      </c>
      <c r="AP31" s="92">
        <f>H31*(1-0.0324120736300462)</f>
        <v>0</v>
      </c>
      <c r="AQ31" s="55" t="s">
        <v>2435</v>
      </c>
      <c r="AV31" s="14">
        <f>AW31+AX31</f>
        <v>0</v>
      </c>
      <c r="AW31" s="14">
        <f>G31*AO31</f>
        <v>0</v>
      </c>
      <c r="AX31" s="14">
        <f>G31*AP31</f>
        <v>0</v>
      </c>
      <c r="AY31" s="55" t="s">
        <v>1526</v>
      </c>
      <c r="AZ31" s="55" t="s">
        <v>384</v>
      </c>
      <c r="BA31" s="15" t="s">
        <v>2202</v>
      </c>
      <c r="BC31" s="14">
        <f>AW31+AX31</f>
        <v>0</v>
      </c>
      <c r="BD31" s="14">
        <f>H31/(100-BE31)*100</f>
        <v>0</v>
      </c>
      <c r="BE31" s="14">
        <v>0</v>
      </c>
      <c r="BF31" s="14">
        <f>O31</f>
        <v>7.057599999999999</v>
      </c>
      <c r="BH31" s="14">
        <f>G31*AO31</f>
        <v>0</v>
      </c>
      <c r="BI31" s="14">
        <f>G31*AP31</f>
        <v>0</v>
      </c>
      <c r="BJ31" s="14">
        <f>G31*H31</f>
        <v>0</v>
      </c>
      <c r="BK31" s="14"/>
      <c r="BL31" s="14">
        <v>762</v>
      </c>
      <c r="BW31" s="14" t="str">
        <f>I31</f>
        <v>21</v>
      </c>
    </row>
    <row r="32" spans="1:75" ht="15" customHeight="1">
      <c r="A32" s="32"/>
      <c r="D32" s="3" t="s">
        <v>1558</v>
      </c>
      <c r="E32" s="28" t="s">
        <v>2375</v>
      </c>
      <c r="G32" s="27">
        <v>110.00000000000001</v>
      </c>
      <c r="P32" s="33"/>
    </row>
    <row r="33" spans="1:75" ht="13.5" customHeight="1">
      <c r="A33" s="21" t="s">
        <v>1924</v>
      </c>
      <c r="B33" s="37" t="s">
        <v>1859</v>
      </c>
      <c r="C33" s="37" t="s">
        <v>2286</v>
      </c>
      <c r="D33" s="578" t="s">
        <v>1525</v>
      </c>
      <c r="E33" s="579"/>
      <c r="F33" s="37" t="s">
        <v>2398</v>
      </c>
      <c r="G33" s="14">
        <v>210</v>
      </c>
      <c r="H33" s="569"/>
      <c r="I33" s="55" t="s">
        <v>1720</v>
      </c>
      <c r="J33" s="14">
        <f>G33*AO33</f>
        <v>0</v>
      </c>
      <c r="K33" s="14">
        <f>G33*AP33</f>
        <v>0</v>
      </c>
      <c r="L33" s="14">
        <f>G33*H33</f>
        <v>0</v>
      </c>
      <c r="M33" s="14">
        <f>L33*(1+BW33/100)</f>
        <v>0</v>
      </c>
      <c r="N33" s="14">
        <v>6.4159999999999995E-2</v>
      </c>
      <c r="O33" s="14">
        <f>G33*N33</f>
        <v>13.473599999999999</v>
      </c>
      <c r="P33" s="72" t="s">
        <v>1664</v>
      </c>
      <c r="Z33" s="14">
        <f>IF(AQ33="5",BJ33,0)</f>
        <v>0</v>
      </c>
      <c r="AB33" s="14">
        <f>IF(AQ33="1",BH33,0)</f>
        <v>0</v>
      </c>
      <c r="AC33" s="14">
        <f>IF(AQ33="1",BI33,0)</f>
        <v>0</v>
      </c>
      <c r="AD33" s="14">
        <f>IF(AQ33="7",BH33,0)</f>
        <v>0</v>
      </c>
      <c r="AE33" s="14">
        <f>IF(AQ33="7",BI33,0)</f>
        <v>0</v>
      </c>
      <c r="AF33" s="14">
        <f>IF(AQ33="2",BH33,0)</f>
        <v>0</v>
      </c>
      <c r="AG33" s="14">
        <f>IF(AQ33="2",BI33,0)</f>
        <v>0</v>
      </c>
      <c r="AH33" s="14">
        <f>IF(AQ33="0",BJ33,0)</f>
        <v>0</v>
      </c>
      <c r="AI33" s="15" t="s">
        <v>1859</v>
      </c>
      <c r="AJ33" s="14">
        <f>IF(AN33=0,L33,0)</f>
        <v>0</v>
      </c>
      <c r="AK33" s="14">
        <f>IF(AN33=15,L33,0)</f>
        <v>0</v>
      </c>
      <c r="AL33" s="14">
        <f>IF(AN33=21,L33,0)</f>
        <v>0</v>
      </c>
      <c r="AN33" s="14">
        <v>21</v>
      </c>
      <c r="AO33" s="92">
        <f>H33*0.0324115578235984</f>
        <v>0</v>
      </c>
      <c r="AP33" s="92">
        <f>H33*(1-0.0324115578235984)</f>
        <v>0</v>
      </c>
      <c r="AQ33" s="55" t="s">
        <v>2435</v>
      </c>
      <c r="AV33" s="14">
        <f>AW33+AX33</f>
        <v>0</v>
      </c>
      <c r="AW33" s="14">
        <f>G33*AO33</f>
        <v>0</v>
      </c>
      <c r="AX33" s="14">
        <f>G33*AP33</f>
        <v>0</v>
      </c>
      <c r="AY33" s="55" t="s">
        <v>1526</v>
      </c>
      <c r="AZ33" s="55" t="s">
        <v>384</v>
      </c>
      <c r="BA33" s="15" t="s">
        <v>2202</v>
      </c>
      <c r="BC33" s="14">
        <f>AW33+AX33</f>
        <v>0</v>
      </c>
      <c r="BD33" s="14">
        <f>H33/(100-BE33)*100</f>
        <v>0</v>
      </c>
      <c r="BE33" s="14">
        <v>0</v>
      </c>
      <c r="BF33" s="14">
        <f>O33</f>
        <v>13.473599999999999</v>
      </c>
      <c r="BH33" s="14">
        <f>G33*AO33</f>
        <v>0</v>
      </c>
      <c r="BI33" s="14">
        <f>G33*AP33</f>
        <v>0</v>
      </c>
      <c r="BJ33" s="14">
        <f>G33*H33</f>
        <v>0</v>
      </c>
      <c r="BK33" s="14"/>
      <c r="BL33" s="14">
        <v>762</v>
      </c>
      <c r="BW33" s="14" t="str">
        <f>I33</f>
        <v>21</v>
      </c>
    </row>
    <row r="34" spans="1:75" ht="15" customHeight="1">
      <c r="A34" s="32"/>
      <c r="D34" s="3" t="s">
        <v>2602</v>
      </c>
      <c r="E34" s="28" t="s">
        <v>1196</v>
      </c>
      <c r="G34" s="27">
        <v>210.00000000000003</v>
      </c>
      <c r="P34" s="33"/>
    </row>
    <row r="35" spans="1:75" ht="15" customHeight="1">
      <c r="A35" s="65" t="s">
        <v>1683</v>
      </c>
      <c r="B35" s="26" t="s">
        <v>1859</v>
      </c>
      <c r="C35" s="26" t="s">
        <v>199</v>
      </c>
      <c r="D35" s="649" t="s">
        <v>322</v>
      </c>
      <c r="E35" s="650"/>
      <c r="F35" s="74" t="s">
        <v>2262</v>
      </c>
      <c r="G35" s="74" t="s">
        <v>2262</v>
      </c>
      <c r="H35" s="74" t="s">
        <v>2262</v>
      </c>
      <c r="I35" s="74" t="s">
        <v>2262</v>
      </c>
      <c r="J35" s="2">
        <f>SUM(J36:J38)</f>
        <v>0</v>
      </c>
      <c r="K35" s="2">
        <f>SUM(K36:K38)</f>
        <v>0</v>
      </c>
      <c r="L35" s="2">
        <f>SUM(L36:L38)</f>
        <v>0</v>
      </c>
      <c r="M35" s="2">
        <f>SUM(M36:M38)</f>
        <v>0</v>
      </c>
      <c r="N35" s="15" t="s">
        <v>1683</v>
      </c>
      <c r="O35" s="2">
        <f>SUM(O36:O38)</f>
        <v>1.9444000000000001</v>
      </c>
      <c r="P35" s="47" t="s">
        <v>1683</v>
      </c>
      <c r="AI35" s="15" t="s">
        <v>1859</v>
      </c>
      <c r="AS35" s="2">
        <f>SUM(AJ36:AJ38)</f>
        <v>0</v>
      </c>
      <c r="AT35" s="2">
        <f>SUM(AK36:AK38)</f>
        <v>0</v>
      </c>
      <c r="AU35" s="2">
        <f>SUM(AL36:AL38)</f>
        <v>0</v>
      </c>
    </row>
    <row r="36" spans="1:75" ht="13.5" customHeight="1">
      <c r="A36" s="21" t="s">
        <v>922</v>
      </c>
      <c r="B36" s="37" t="s">
        <v>1859</v>
      </c>
      <c r="C36" s="37" t="s">
        <v>1942</v>
      </c>
      <c r="D36" s="578" t="s">
        <v>1978</v>
      </c>
      <c r="E36" s="579"/>
      <c r="F36" s="37" t="s">
        <v>2398</v>
      </c>
      <c r="G36" s="14">
        <v>250</v>
      </c>
      <c r="H36" s="569"/>
      <c r="I36" s="55" t="s">
        <v>1720</v>
      </c>
      <c r="J36" s="14">
        <f>G36*AO36</f>
        <v>0</v>
      </c>
      <c r="K36" s="14">
        <f>G36*AP36</f>
        <v>0</v>
      </c>
      <c r="L36" s="14">
        <f>G36*H36</f>
        <v>0</v>
      </c>
      <c r="M36" s="14">
        <f>L36*(1+BW36/100)</f>
        <v>0</v>
      </c>
      <c r="N36" s="14">
        <v>7.3200000000000001E-3</v>
      </c>
      <c r="O36" s="14">
        <f>G36*N36</f>
        <v>1.83</v>
      </c>
      <c r="P36" s="72" t="s">
        <v>1664</v>
      </c>
      <c r="Z36" s="14">
        <f>IF(AQ36="5",BJ36,0)</f>
        <v>0</v>
      </c>
      <c r="AB36" s="14">
        <f>IF(AQ36="1",BH36,0)</f>
        <v>0</v>
      </c>
      <c r="AC36" s="14">
        <f>IF(AQ36="1",BI36,0)</f>
        <v>0</v>
      </c>
      <c r="AD36" s="14">
        <f>IF(AQ36="7",BH36,0)</f>
        <v>0</v>
      </c>
      <c r="AE36" s="14">
        <f>IF(AQ36="7",BI36,0)</f>
        <v>0</v>
      </c>
      <c r="AF36" s="14">
        <f>IF(AQ36="2",BH36,0)</f>
        <v>0</v>
      </c>
      <c r="AG36" s="14">
        <f>IF(AQ36="2",BI36,0)</f>
        <v>0</v>
      </c>
      <c r="AH36" s="14">
        <f>IF(AQ36="0",BJ36,0)</f>
        <v>0</v>
      </c>
      <c r="AI36" s="15" t="s">
        <v>1859</v>
      </c>
      <c r="AJ36" s="14">
        <f>IF(AN36=0,L36,0)</f>
        <v>0</v>
      </c>
      <c r="AK36" s="14">
        <f>IF(AN36=15,L36,0)</f>
        <v>0</v>
      </c>
      <c r="AL36" s="14">
        <f>IF(AN36=21,L36,0)</f>
        <v>0</v>
      </c>
      <c r="AN36" s="14">
        <v>21</v>
      </c>
      <c r="AO36" s="92">
        <f>H36*0</f>
        <v>0</v>
      </c>
      <c r="AP36" s="92">
        <f>H36*(1-0)</f>
        <v>0</v>
      </c>
      <c r="AQ36" s="55" t="s">
        <v>2435</v>
      </c>
      <c r="AV36" s="14">
        <f>AW36+AX36</f>
        <v>0</v>
      </c>
      <c r="AW36" s="14">
        <f>G36*AO36</f>
        <v>0</v>
      </c>
      <c r="AX36" s="14">
        <f>G36*AP36</f>
        <v>0</v>
      </c>
      <c r="AY36" s="55" t="s">
        <v>1951</v>
      </c>
      <c r="AZ36" s="55" t="s">
        <v>384</v>
      </c>
      <c r="BA36" s="15" t="s">
        <v>2202</v>
      </c>
      <c r="BC36" s="14">
        <f>AW36+AX36</f>
        <v>0</v>
      </c>
      <c r="BD36" s="14">
        <f>H36/(100-BE36)*100</f>
        <v>0</v>
      </c>
      <c r="BE36" s="14">
        <v>0</v>
      </c>
      <c r="BF36" s="14">
        <f>O36</f>
        <v>1.83</v>
      </c>
      <c r="BH36" s="14">
        <f>G36*AO36</f>
        <v>0</v>
      </c>
      <c r="BI36" s="14">
        <f>G36*AP36</f>
        <v>0</v>
      </c>
      <c r="BJ36" s="14">
        <f>G36*H36</f>
        <v>0</v>
      </c>
      <c r="BK36" s="14"/>
      <c r="BL36" s="14">
        <v>764</v>
      </c>
      <c r="BW36" s="14" t="str">
        <f>I36</f>
        <v>21</v>
      </c>
    </row>
    <row r="37" spans="1:75" ht="15" customHeight="1">
      <c r="A37" s="32"/>
      <c r="D37" s="3" t="s">
        <v>1115</v>
      </c>
      <c r="E37" s="28" t="s">
        <v>2428</v>
      </c>
      <c r="G37" s="27">
        <v>250.00000000000003</v>
      </c>
      <c r="P37" s="33"/>
    </row>
    <row r="38" spans="1:75" ht="13.5" customHeight="1">
      <c r="A38" s="21" t="s">
        <v>1416</v>
      </c>
      <c r="B38" s="37" t="s">
        <v>1859</v>
      </c>
      <c r="C38" s="37" t="s">
        <v>1779</v>
      </c>
      <c r="D38" s="578" t="s">
        <v>1625</v>
      </c>
      <c r="E38" s="579"/>
      <c r="F38" s="37" t="s">
        <v>2019</v>
      </c>
      <c r="G38" s="14">
        <v>40</v>
      </c>
      <c r="H38" s="569"/>
      <c r="I38" s="55" t="s">
        <v>1720</v>
      </c>
      <c r="J38" s="14">
        <f>G38*AO38</f>
        <v>0</v>
      </c>
      <c r="K38" s="14">
        <f>G38*AP38</f>
        <v>0</v>
      </c>
      <c r="L38" s="14">
        <f>G38*H38</f>
        <v>0</v>
      </c>
      <c r="M38" s="14">
        <f>L38*(1+BW38/100)</f>
        <v>0</v>
      </c>
      <c r="N38" s="14">
        <v>2.8600000000000001E-3</v>
      </c>
      <c r="O38" s="14">
        <f>G38*N38</f>
        <v>0.1144</v>
      </c>
      <c r="P38" s="72" t="s">
        <v>1664</v>
      </c>
      <c r="Z38" s="14">
        <f>IF(AQ38="5",BJ38,0)</f>
        <v>0</v>
      </c>
      <c r="AB38" s="14">
        <f>IF(AQ38="1",BH38,0)</f>
        <v>0</v>
      </c>
      <c r="AC38" s="14">
        <f>IF(AQ38="1",BI38,0)</f>
        <v>0</v>
      </c>
      <c r="AD38" s="14">
        <f>IF(AQ38="7",BH38,0)</f>
        <v>0</v>
      </c>
      <c r="AE38" s="14">
        <f>IF(AQ38="7",BI38,0)</f>
        <v>0</v>
      </c>
      <c r="AF38" s="14">
        <f>IF(AQ38="2",BH38,0)</f>
        <v>0</v>
      </c>
      <c r="AG38" s="14">
        <f>IF(AQ38="2",BI38,0)</f>
        <v>0</v>
      </c>
      <c r="AH38" s="14">
        <f>IF(AQ38="0",BJ38,0)</f>
        <v>0</v>
      </c>
      <c r="AI38" s="15" t="s">
        <v>1859</v>
      </c>
      <c r="AJ38" s="14">
        <f>IF(AN38=0,L38,0)</f>
        <v>0</v>
      </c>
      <c r="AK38" s="14">
        <f>IF(AN38=15,L38,0)</f>
        <v>0</v>
      </c>
      <c r="AL38" s="14">
        <f>IF(AN38=21,L38,0)</f>
        <v>0</v>
      </c>
      <c r="AN38" s="14">
        <v>21</v>
      </c>
      <c r="AO38" s="92">
        <f>H38*0</f>
        <v>0</v>
      </c>
      <c r="AP38" s="92">
        <f>H38*(1-0)</f>
        <v>0</v>
      </c>
      <c r="AQ38" s="55" t="s">
        <v>2435</v>
      </c>
      <c r="AV38" s="14">
        <f>AW38+AX38</f>
        <v>0</v>
      </c>
      <c r="AW38" s="14">
        <f>G38*AO38</f>
        <v>0</v>
      </c>
      <c r="AX38" s="14">
        <f>G38*AP38</f>
        <v>0</v>
      </c>
      <c r="AY38" s="55" t="s">
        <v>1951</v>
      </c>
      <c r="AZ38" s="55" t="s">
        <v>384</v>
      </c>
      <c r="BA38" s="15" t="s">
        <v>2202</v>
      </c>
      <c r="BC38" s="14">
        <f>AW38+AX38</f>
        <v>0</v>
      </c>
      <c r="BD38" s="14">
        <f>H38/(100-BE38)*100</f>
        <v>0</v>
      </c>
      <c r="BE38" s="14">
        <v>0</v>
      </c>
      <c r="BF38" s="14">
        <f>O38</f>
        <v>0.1144</v>
      </c>
      <c r="BH38" s="14">
        <f>G38*AO38</f>
        <v>0</v>
      </c>
      <c r="BI38" s="14">
        <f>G38*AP38</f>
        <v>0</v>
      </c>
      <c r="BJ38" s="14">
        <f>G38*H38</f>
        <v>0</v>
      </c>
      <c r="BK38" s="14"/>
      <c r="BL38" s="14">
        <v>764</v>
      </c>
      <c r="BW38" s="14" t="str">
        <f>I38</f>
        <v>21</v>
      </c>
    </row>
    <row r="39" spans="1:75" ht="15" customHeight="1">
      <c r="A39" s="32"/>
      <c r="D39" s="3" t="s">
        <v>867</v>
      </c>
      <c r="E39" s="28" t="s">
        <v>1683</v>
      </c>
      <c r="G39" s="27">
        <v>40</v>
      </c>
      <c r="P39" s="33"/>
    </row>
    <row r="40" spans="1:75" ht="15" customHeight="1">
      <c r="A40" s="65" t="s">
        <v>1683</v>
      </c>
      <c r="B40" s="26" t="s">
        <v>1859</v>
      </c>
      <c r="C40" s="26" t="s">
        <v>668</v>
      </c>
      <c r="D40" s="649" t="s">
        <v>2108</v>
      </c>
      <c r="E40" s="650"/>
      <c r="F40" s="74" t="s">
        <v>2262</v>
      </c>
      <c r="G40" s="74" t="s">
        <v>2262</v>
      </c>
      <c r="H40" s="74" t="s">
        <v>2262</v>
      </c>
      <c r="I40" s="74" t="s">
        <v>2262</v>
      </c>
      <c r="J40" s="2">
        <f>SUM(J41:J41)</f>
        <v>0</v>
      </c>
      <c r="K40" s="2">
        <f>SUM(K41:K41)</f>
        <v>0</v>
      </c>
      <c r="L40" s="2">
        <f>SUM(L41:L41)</f>
        <v>0</v>
      </c>
      <c r="M40" s="2">
        <f>SUM(M41:M41)</f>
        <v>0</v>
      </c>
      <c r="N40" s="15" t="s">
        <v>1683</v>
      </c>
      <c r="O40" s="2">
        <f>SUM(O41:O41)</f>
        <v>16.59</v>
      </c>
      <c r="P40" s="47" t="s">
        <v>1683</v>
      </c>
      <c r="AI40" s="15" t="s">
        <v>1859</v>
      </c>
      <c r="AS40" s="2">
        <f>SUM(AJ41:AJ41)</f>
        <v>0</v>
      </c>
      <c r="AT40" s="2">
        <f>SUM(AK41:AK41)</f>
        <v>0</v>
      </c>
      <c r="AU40" s="2">
        <f>SUM(AL41:AL41)</f>
        <v>0</v>
      </c>
    </row>
    <row r="41" spans="1:75" ht="13.5" customHeight="1">
      <c r="A41" s="21" t="s">
        <v>2037</v>
      </c>
      <c r="B41" s="37" t="s">
        <v>1859</v>
      </c>
      <c r="C41" s="37" t="s">
        <v>450</v>
      </c>
      <c r="D41" s="578" t="s">
        <v>1994</v>
      </c>
      <c r="E41" s="579"/>
      <c r="F41" s="37" t="s">
        <v>2398</v>
      </c>
      <c r="G41" s="14">
        <v>395</v>
      </c>
      <c r="H41" s="569"/>
      <c r="I41" s="55" t="s">
        <v>1720</v>
      </c>
      <c r="J41" s="14">
        <f>G41*AO41</f>
        <v>0</v>
      </c>
      <c r="K41" s="14">
        <f>G41*AP41</f>
        <v>0</v>
      </c>
      <c r="L41" s="14">
        <f>G41*H41</f>
        <v>0</v>
      </c>
      <c r="M41" s="14">
        <f>L41*(1+BW41/100)</f>
        <v>0</v>
      </c>
      <c r="N41" s="14">
        <v>4.2000000000000003E-2</v>
      </c>
      <c r="O41" s="14">
        <f>G41*N41</f>
        <v>16.59</v>
      </c>
      <c r="P41" s="72" t="s">
        <v>1664</v>
      </c>
      <c r="Z41" s="14">
        <f>IF(AQ41="5",BJ41,0)</f>
        <v>0</v>
      </c>
      <c r="AB41" s="14">
        <f>IF(AQ41="1",BH41,0)</f>
        <v>0</v>
      </c>
      <c r="AC41" s="14">
        <f>IF(AQ41="1",BI41,0)</f>
        <v>0</v>
      </c>
      <c r="AD41" s="14">
        <f>IF(AQ41="7",BH41,0)</f>
        <v>0</v>
      </c>
      <c r="AE41" s="14">
        <f>IF(AQ41="7",BI41,0)</f>
        <v>0</v>
      </c>
      <c r="AF41" s="14">
        <f>IF(AQ41="2",BH41,0)</f>
        <v>0</v>
      </c>
      <c r="AG41" s="14">
        <f>IF(AQ41="2",BI41,0)</f>
        <v>0</v>
      </c>
      <c r="AH41" s="14">
        <f>IF(AQ41="0",BJ41,0)</f>
        <v>0</v>
      </c>
      <c r="AI41" s="15" t="s">
        <v>1859</v>
      </c>
      <c r="AJ41" s="14">
        <f>IF(AN41=0,L41,0)</f>
        <v>0</v>
      </c>
      <c r="AK41" s="14">
        <f>IF(AN41=15,L41,0)</f>
        <v>0</v>
      </c>
      <c r="AL41" s="14">
        <f>IF(AN41=21,L41,0)</f>
        <v>0</v>
      </c>
      <c r="AN41" s="14">
        <v>21</v>
      </c>
      <c r="AO41" s="92">
        <f>H41*0</f>
        <v>0</v>
      </c>
      <c r="AP41" s="92">
        <f>H41*(1-0)</f>
        <v>0</v>
      </c>
      <c r="AQ41" s="55" t="s">
        <v>2435</v>
      </c>
      <c r="AV41" s="14">
        <f>AW41+AX41</f>
        <v>0</v>
      </c>
      <c r="AW41" s="14">
        <f>G41*AO41</f>
        <v>0</v>
      </c>
      <c r="AX41" s="14">
        <f>G41*AP41</f>
        <v>0</v>
      </c>
      <c r="AY41" s="55" t="s">
        <v>497</v>
      </c>
      <c r="AZ41" s="55" t="s">
        <v>384</v>
      </c>
      <c r="BA41" s="15" t="s">
        <v>2202</v>
      </c>
      <c r="BC41" s="14">
        <f>AW41+AX41</f>
        <v>0</v>
      </c>
      <c r="BD41" s="14">
        <f>H41/(100-BE41)*100</f>
        <v>0</v>
      </c>
      <c r="BE41" s="14">
        <v>0</v>
      </c>
      <c r="BF41" s="14">
        <f>O41</f>
        <v>16.59</v>
      </c>
      <c r="BH41" s="14">
        <f>G41*AO41</f>
        <v>0</v>
      </c>
      <c r="BI41" s="14">
        <f>G41*AP41</f>
        <v>0</v>
      </c>
      <c r="BJ41" s="14">
        <f>G41*H41</f>
        <v>0</v>
      </c>
      <c r="BK41" s="14"/>
      <c r="BL41" s="14">
        <v>765</v>
      </c>
      <c r="BW41" s="14" t="str">
        <f>I41</f>
        <v>21</v>
      </c>
    </row>
    <row r="42" spans="1:75" ht="15" customHeight="1">
      <c r="A42" s="32"/>
      <c r="D42" s="3" t="s">
        <v>2179</v>
      </c>
      <c r="E42" s="28" t="s">
        <v>1683</v>
      </c>
      <c r="G42" s="27">
        <v>395.00000000000006</v>
      </c>
      <c r="P42" s="33"/>
    </row>
    <row r="43" spans="1:75" ht="15" customHeight="1">
      <c r="A43" s="65" t="s">
        <v>1683</v>
      </c>
      <c r="B43" s="26" t="s">
        <v>1859</v>
      </c>
      <c r="C43" s="26" t="s">
        <v>1096</v>
      </c>
      <c r="D43" s="649" t="s">
        <v>738</v>
      </c>
      <c r="E43" s="650"/>
      <c r="F43" s="74" t="s">
        <v>2262</v>
      </c>
      <c r="G43" s="74" t="s">
        <v>2262</v>
      </c>
      <c r="H43" s="74" t="s">
        <v>2262</v>
      </c>
      <c r="I43" s="74" t="s">
        <v>2262</v>
      </c>
      <c r="J43" s="2">
        <f>SUM(J44:J46)</f>
        <v>0</v>
      </c>
      <c r="K43" s="2">
        <f>SUM(K44:K46)</f>
        <v>0</v>
      </c>
      <c r="L43" s="2">
        <f>SUM(L44:L46)</f>
        <v>0</v>
      </c>
      <c r="M43" s="2">
        <f>SUM(M44:M46)</f>
        <v>0</v>
      </c>
      <c r="N43" s="15" t="s">
        <v>1683</v>
      </c>
      <c r="O43" s="2">
        <f>SUM(O44:O46)</f>
        <v>0.66749999999999998</v>
      </c>
      <c r="P43" s="47" t="s">
        <v>1683</v>
      </c>
      <c r="AI43" s="15" t="s">
        <v>1859</v>
      </c>
      <c r="AS43" s="2">
        <f>SUM(AJ44:AJ46)</f>
        <v>0</v>
      </c>
      <c r="AT43" s="2">
        <f>SUM(AK44:AK46)</f>
        <v>0</v>
      </c>
      <c r="AU43" s="2">
        <f>SUM(AL44:AL46)</f>
        <v>0</v>
      </c>
    </row>
    <row r="44" spans="1:75" ht="13.5" customHeight="1">
      <c r="A44" s="21" t="s">
        <v>1790</v>
      </c>
      <c r="B44" s="37" t="s">
        <v>1859</v>
      </c>
      <c r="C44" s="37" t="s">
        <v>1317</v>
      </c>
      <c r="D44" s="578" t="s">
        <v>1910</v>
      </c>
      <c r="E44" s="579"/>
      <c r="F44" s="37" t="s">
        <v>2398</v>
      </c>
      <c r="G44" s="14">
        <v>15</v>
      </c>
      <c r="H44" s="569"/>
      <c r="I44" s="55" t="s">
        <v>1720</v>
      </c>
      <c r="J44" s="14">
        <f>G44*AO44</f>
        <v>0</v>
      </c>
      <c r="K44" s="14">
        <f>G44*AP44</f>
        <v>0</v>
      </c>
      <c r="L44" s="14">
        <f>G44*H44</f>
        <v>0</v>
      </c>
      <c r="M44" s="14">
        <f>L44*(1+BW44/100)</f>
        <v>0</v>
      </c>
      <c r="N44" s="14">
        <v>1.7999999999999999E-2</v>
      </c>
      <c r="O44" s="14">
        <f>G44*N44</f>
        <v>0.26999999999999996</v>
      </c>
      <c r="P44" s="72" t="s">
        <v>1664</v>
      </c>
      <c r="Z44" s="14">
        <f>IF(AQ44="5",BJ44,0)</f>
        <v>0</v>
      </c>
      <c r="AB44" s="14">
        <f>IF(AQ44="1",BH44,0)</f>
        <v>0</v>
      </c>
      <c r="AC44" s="14">
        <f>IF(AQ44="1",BI44,0)</f>
        <v>0</v>
      </c>
      <c r="AD44" s="14">
        <f>IF(AQ44="7",BH44,0)</f>
        <v>0</v>
      </c>
      <c r="AE44" s="14">
        <f>IF(AQ44="7",BI44,0)</f>
        <v>0</v>
      </c>
      <c r="AF44" s="14">
        <f>IF(AQ44="2",BH44,0)</f>
        <v>0</v>
      </c>
      <c r="AG44" s="14">
        <f>IF(AQ44="2",BI44,0)</f>
        <v>0</v>
      </c>
      <c r="AH44" s="14">
        <f>IF(AQ44="0",BJ44,0)</f>
        <v>0</v>
      </c>
      <c r="AI44" s="15" t="s">
        <v>1859</v>
      </c>
      <c r="AJ44" s="14">
        <f>IF(AN44=0,L44,0)</f>
        <v>0</v>
      </c>
      <c r="AK44" s="14">
        <f>IF(AN44=15,L44,0)</f>
        <v>0</v>
      </c>
      <c r="AL44" s="14">
        <f>IF(AN44=21,L44,0)</f>
        <v>0</v>
      </c>
      <c r="AN44" s="14">
        <v>21</v>
      </c>
      <c r="AO44" s="92">
        <f>H44*0</f>
        <v>0</v>
      </c>
      <c r="AP44" s="92">
        <f>H44*(1-0)</f>
        <v>0</v>
      </c>
      <c r="AQ44" s="55" t="s">
        <v>2435</v>
      </c>
      <c r="AV44" s="14">
        <f>AW44+AX44</f>
        <v>0</v>
      </c>
      <c r="AW44" s="14">
        <f>G44*AO44</f>
        <v>0</v>
      </c>
      <c r="AX44" s="14">
        <f>G44*AP44</f>
        <v>0</v>
      </c>
      <c r="AY44" s="55" t="s">
        <v>681</v>
      </c>
      <c r="AZ44" s="55" t="s">
        <v>384</v>
      </c>
      <c r="BA44" s="15" t="s">
        <v>2202</v>
      </c>
      <c r="BC44" s="14">
        <f>AW44+AX44</f>
        <v>0</v>
      </c>
      <c r="BD44" s="14">
        <f>H44/(100-BE44)*100</f>
        <v>0</v>
      </c>
      <c r="BE44" s="14">
        <v>0</v>
      </c>
      <c r="BF44" s="14">
        <f>O44</f>
        <v>0.26999999999999996</v>
      </c>
      <c r="BH44" s="14">
        <f>G44*AO44</f>
        <v>0</v>
      </c>
      <c r="BI44" s="14">
        <f>G44*AP44</f>
        <v>0</v>
      </c>
      <c r="BJ44" s="14">
        <f>G44*H44</f>
        <v>0</v>
      </c>
      <c r="BK44" s="14"/>
      <c r="BL44" s="14">
        <v>767</v>
      </c>
      <c r="BW44" s="14" t="str">
        <f>I44</f>
        <v>21</v>
      </c>
    </row>
    <row r="45" spans="1:75" ht="15" customHeight="1">
      <c r="A45" s="32"/>
      <c r="D45" s="3" t="s">
        <v>957</v>
      </c>
      <c r="E45" s="28" t="s">
        <v>1683</v>
      </c>
      <c r="G45" s="27">
        <v>15.000000000000002</v>
      </c>
      <c r="P45" s="33"/>
    </row>
    <row r="46" spans="1:75" ht="13.5" customHeight="1">
      <c r="A46" s="21" t="s">
        <v>705</v>
      </c>
      <c r="B46" s="37" t="s">
        <v>1859</v>
      </c>
      <c r="C46" s="37" t="s">
        <v>712</v>
      </c>
      <c r="D46" s="578" t="s">
        <v>1173</v>
      </c>
      <c r="E46" s="579"/>
      <c r="F46" s="37" t="s">
        <v>2302</v>
      </c>
      <c r="G46" s="14">
        <v>375</v>
      </c>
      <c r="H46" s="569"/>
      <c r="I46" s="55" t="s">
        <v>1720</v>
      </c>
      <c r="J46" s="14">
        <f>G46*AO46</f>
        <v>0</v>
      </c>
      <c r="K46" s="14">
        <f>G46*AP46</f>
        <v>0</v>
      </c>
      <c r="L46" s="14">
        <f>G46*H46</f>
        <v>0</v>
      </c>
      <c r="M46" s="14">
        <f>L46*(1+BW46/100)</f>
        <v>0</v>
      </c>
      <c r="N46" s="14">
        <v>1.06E-3</v>
      </c>
      <c r="O46" s="14">
        <f>G46*N46</f>
        <v>0.39749999999999996</v>
      </c>
      <c r="P46" s="72" t="s">
        <v>1664</v>
      </c>
      <c r="Z46" s="14">
        <f>IF(AQ46="5",BJ46,0)</f>
        <v>0</v>
      </c>
      <c r="AB46" s="14">
        <f>IF(AQ46="1",BH46,0)</f>
        <v>0</v>
      </c>
      <c r="AC46" s="14">
        <f>IF(AQ46="1",BI46,0)</f>
        <v>0</v>
      </c>
      <c r="AD46" s="14">
        <f>IF(AQ46="7",BH46,0)</f>
        <v>0</v>
      </c>
      <c r="AE46" s="14">
        <f>IF(AQ46="7",BI46,0)</f>
        <v>0</v>
      </c>
      <c r="AF46" s="14">
        <f>IF(AQ46="2",BH46,0)</f>
        <v>0</v>
      </c>
      <c r="AG46" s="14">
        <f>IF(AQ46="2",BI46,0)</f>
        <v>0</v>
      </c>
      <c r="AH46" s="14">
        <f>IF(AQ46="0",BJ46,0)</f>
        <v>0</v>
      </c>
      <c r="AI46" s="15" t="s">
        <v>1859</v>
      </c>
      <c r="AJ46" s="14">
        <f>IF(AN46=0,L46,0)</f>
        <v>0</v>
      </c>
      <c r="AK46" s="14">
        <f>IF(AN46=15,L46,0)</f>
        <v>0</v>
      </c>
      <c r="AL46" s="14">
        <f>IF(AN46=21,L46,0)</f>
        <v>0</v>
      </c>
      <c r="AN46" s="14">
        <v>21</v>
      </c>
      <c r="AO46" s="92">
        <f>H46*0.340227272727273</f>
        <v>0</v>
      </c>
      <c r="AP46" s="92">
        <f>H46*(1-0.340227272727273)</f>
        <v>0</v>
      </c>
      <c r="AQ46" s="55" t="s">
        <v>2435</v>
      </c>
      <c r="AV46" s="14">
        <f>AW46+AX46</f>
        <v>0</v>
      </c>
      <c r="AW46" s="14">
        <f>G46*AO46</f>
        <v>0</v>
      </c>
      <c r="AX46" s="14">
        <f>G46*AP46</f>
        <v>0</v>
      </c>
      <c r="AY46" s="55" t="s">
        <v>681</v>
      </c>
      <c r="AZ46" s="55" t="s">
        <v>384</v>
      </c>
      <c r="BA46" s="15" t="s">
        <v>2202</v>
      </c>
      <c r="BC46" s="14">
        <f>AW46+AX46</f>
        <v>0</v>
      </c>
      <c r="BD46" s="14">
        <f>H46/(100-BE46)*100</f>
        <v>0</v>
      </c>
      <c r="BE46" s="14">
        <v>0</v>
      </c>
      <c r="BF46" s="14">
        <f>O46</f>
        <v>0.39749999999999996</v>
      </c>
      <c r="BH46" s="14">
        <f>G46*AO46</f>
        <v>0</v>
      </c>
      <c r="BI46" s="14">
        <f>G46*AP46</f>
        <v>0</v>
      </c>
      <c r="BJ46" s="14">
        <f>G46*H46</f>
        <v>0</v>
      </c>
      <c r="BK46" s="14"/>
      <c r="BL46" s="14">
        <v>767</v>
      </c>
      <c r="BW46" s="14" t="str">
        <f>I46</f>
        <v>21</v>
      </c>
    </row>
    <row r="47" spans="1:75" ht="15" customHeight="1">
      <c r="A47" s="32"/>
      <c r="D47" s="3" t="s">
        <v>1603</v>
      </c>
      <c r="E47" s="28" t="s">
        <v>914</v>
      </c>
      <c r="G47" s="27">
        <v>375.00000000000006</v>
      </c>
      <c r="P47" s="33"/>
    </row>
    <row r="48" spans="1:75" ht="15" customHeight="1">
      <c r="A48" s="65" t="s">
        <v>1683</v>
      </c>
      <c r="B48" s="26" t="s">
        <v>1859</v>
      </c>
      <c r="C48" s="26" t="s">
        <v>1351</v>
      </c>
      <c r="D48" s="649" t="s">
        <v>1814</v>
      </c>
      <c r="E48" s="650"/>
      <c r="F48" s="74" t="s">
        <v>2262</v>
      </c>
      <c r="G48" s="74" t="s">
        <v>2262</v>
      </c>
      <c r="H48" s="74" t="s">
        <v>2262</v>
      </c>
      <c r="I48" s="74" t="s">
        <v>2262</v>
      </c>
      <c r="J48" s="2">
        <f>SUM(J49:J82)</f>
        <v>0</v>
      </c>
      <c r="K48" s="2">
        <f>SUM(K49:K82)</f>
        <v>0</v>
      </c>
      <c r="L48" s="2">
        <f>SUM(L49:L82)</f>
        <v>0</v>
      </c>
      <c r="M48" s="2">
        <f>SUM(M49:M82)</f>
        <v>0</v>
      </c>
      <c r="N48" s="15" t="s">
        <v>1683</v>
      </c>
      <c r="O48" s="2">
        <f>SUM(O49:O82)</f>
        <v>601.24261030000002</v>
      </c>
      <c r="P48" s="47" t="s">
        <v>1683</v>
      </c>
      <c r="AI48" s="15" t="s">
        <v>1859</v>
      </c>
      <c r="AS48" s="2">
        <f>SUM(AJ49:AJ82)</f>
        <v>0</v>
      </c>
      <c r="AT48" s="2">
        <f>SUM(AK49:AK82)</f>
        <v>0</v>
      </c>
      <c r="AU48" s="2">
        <f>SUM(AL49:AL82)</f>
        <v>0</v>
      </c>
    </row>
    <row r="49" spans="1:75" ht="13.5" customHeight="1">
      <c r="A49" s="21" t="s">
        <v>1446</v>
      </c>
      <c r="B49" s="37" t="s">
        <v>1859</v>
      </c>
      <c r="C49" s="37" t="s">
        <v>83</v>
      </c>
      <c r="D49" s="578" t="s">
        <v>2039</v>
      </c>
      <c r="E49" s="579"/>
      <c r="F49" s="37" t="s">
        <v>2359</v>
      </c>
      <c r="G49" s="14">
        <v>1.67</v>
      </c>
      <c r="H49" s="569"/>
      <c r="I49" s="55" t="s">
        <v>1720</v>
      </c>
      <c r="J49" s="14">
        <f>G49*AO49</f>
        <v>0</v>
      </c>
      <c r="K49" s="14">
        <f>G49*AP49</f>
        <v>0</v>
      </c>
      <c r="L49" s="14">
        <f>G49*H49</f>
        <v>0</v>
      </c>
      <c r="M49" s="14">
        <f>L49*(1+BW49/100)</f>
        <v>0</v>
      </c>
      <c r="N49" s="14">
        <v>1.8124899999999999</v>
      </c>
      <c r="O49" s="14">
        <f>G49*N49</f>
        <v>3.0268582999999998</v>
      </c>
      <c r="P49" s="72" t="s">
        <v>1664</v>
      </c>
      <c r="Z49" s="14">
        <f>IF(AQ49="5",BJ49,0)</f>
        <v>0</v>
      </c>
      <c r="AB49" s="14">
        <f>IF(AQ49="1",BH49,0)</f>
        <v>0</v>
      </c>
      <c r="AC49" s="14">
        <f>IF(AQ49="1",BI49,0)</f>
        <v>0</v>
      </c>
      <c r="AD49" s="14">
        <f>IF(AQ49="7",BH49,0)</f>
        <v>0</v>
      </c>
      <c r="AE49" s="14">
        <f>IF(AQ49="7",BI49,0)</f>
        <v>0</v>
      </c>
      <c r="AF49" s="14">
        <f>IF(AQ49="2",BH49,0)</f>
        <v>0</v>
      </c>
      <c r="AG49" s="14">
        <f>IF(AQ49="2",BI49,0)</f>
        <v>0</v>
      </c>
      <c r="AH49" s="14">
        <f>IF(AQ49="0",BJ49,0)</f>
        <v>0</v>
      </c>
      <c r="AI49" s="15" t="s">
        <v>1859</v>
      </c>
      <c r="AJ49" s="14">
        <f>IF(AN49=0,L49,0)</f>
        <v>0</v>
      </c>
      <c r="AK49" s="14">
        <f>IF(AN49=15,L49,0)</f>
        <v>0</v>
      </c>
      <c r="AL49" s="14">
        <f>IF(AN49=21,L49,0)</f>
        <v>0</v>
      </c>
      <c r="AN49" s="14">
        <v>21</v>
      </c>
      <c r="AO49" s="92">
        <f>H49*0.1875566857646</f>
        <v>0</v>
      </c>
      <c r="AP49" s="92">
        <f>H49*(1-0.1875566857646)</f>
        <v>0</v>
      </c>
      <c r="AQ49" s="55" t="s">
        <v>2422</v>
      </c>
      <c r="AV49" s="14">
        <f>AW49+AX49</f>
        <v>0</v>
      </c>
      <c r="AW49" s="14">
        <f>G49*AO49</f>
        <v>0</v>
      </c>
      <c r="AX49" s="14">
        <f>G49*AP49</f>
        <v>0</v>
      </c>
      <c r="AY49" s="55" t="s">
        <v>2157</v>
      </c>
      <c r="AZ49" s="55" t="s">
        <v>2652</v>
      </c>
      <c r="BA49" s="15" t="s">
        <v>2202</v>
      </c>
      <c r="BC49" s="14">
        <f>AW49+AX49</f>
        <v>0</v>
      </c>
      <c r="BD49" s="14">
        <f>H49/(100-BE49)*100</f>
        <v>0</v>
      </c>
      <c r="BE49" s="14">
        <v>0</v>
      </c>
      <c r="BF49" s="14">
        <f>O49</f>
        <v>3.0268582999999998</v>
      </c>
      <c r="BH49" s="14">
        <f>G49*AO49</f>
        <v>0</v>
      </c>
      <c r="BI49" s="14">
        <f>G49*AP49</f>
        <v>0</v>
      </c>
      <c r="BJ49" s="14">
        <f>G49*H49</f>
        <v>0</v>
      </c>
      <c r="BK49" s="14"/>
      <c r="BL49" s="14">
        <v>96</v>
      </c>
      <c r="BW49" s="14" t="str">
        <f>I49</f>
        <v>21</v>
      </c>
    </row>
    <row r="50" spans="1:75" ht="15" customHeight="1">
      <c r="A50" s="32"/>
      <c r="D50" s="3" t="s">
        <v>1431</v>
      </c>
      <c r="E50" s="28" t="s">
        <v>367</v>
      </c>
      <c r="G50" s="27">
        <v>0.9900000000000001</v>
      </c>
      <c r="P50" s="33"/>
    </row>
    <row r="51" spans="1:75" ht="15" customHeight="1">
      <c r="A51" s="32"/>
      <c r="D51" s="3" t="s">
        <v>770</v>
      </c>
      <c r="E51" s="28" t="s">
        <v>576</v>
      </c>
      <c r="G51" s="27">
        <v>0.68</v>
      </c>
      <c r="P51" s="33"/>
    </row>
    <row r="52" spans="1:75" ht="13.5" customHeight="1">
      <c r="A52" s="21" t="s">
        <v>957</v>
      </c>
      <c r="B52" s="37" t="s">
        <v>1859</v>
      </c>
      <c r="C52" s="37" t="s">
        <v>2534</v>
      </c>
      <c r="D52" s="578" t="s">
        <v>2664</v>
      </c>
      <c r="E52" s="579"/>
      <c r="F52" s="37" t="s">
        <v>2359</v>
      </c>
      <c r="G52" s="14">
        <v>147.63</v>
      </c>
      <c r="H52" s="569"/>
      <c r="I52" s="55" t="s">
        <v>1720</v>
      </c>
      <c r="J52" s="14">
        <f>G52*AO52</f>
        <v>0</v>
      </c>
      <c r="K52" s="14">
        <f>G52*AP52</f>
        <v>0</v>
      </c>
      <c r="L52" s="14">
        <f>G52*H52</f>
        <v>0</v>
      </c>
      <c r="M52" s="14">
        <f>L52*(1+BW52/100)</f>
        <v>0</v>
      </c>
      <c r="N52" s="14">
        <v>1.9512799999999999</v>
      </c>
      <c r="O52" s="14">
        <f>G52*N52</f>
        <v>288.0674664</v>
      </c>
      <c r="P52" s="72" t="s">
        <v>1664</v>
      </c>
      <c r="Z52" s="14">
        <f>IF(AQ52="5",BJ52,0)</f>
        <v>0</v>
      </c>
      <c r="AB52" s="14">
        <f>IF(AQ52="1",BH52,0)</f>
        <v>0</v>
      </c>
      <c r="AC52" s="14">
        <f>IF(AQ52="1",BI52,0)</f>
        <v>0</v>
      </c>
      <c r="AD52" s="14">
        <f>IF(AQ52="7",BH52,0)</f>
        <v>0</v>
      </c>
      <c r="AE52" s="14">
        <f>IF(AQ52="7",BI52,0)</f>
        <v>0</v>
      </c>
      <c r="AF52" s="14">
        <f>IF(AQ52="2",BH52,0)</f>
        <v>0</v>
      </c>
      <c r="AG52" s="14">
        <f>IF(AQ52="2",BI52,0)</f>
        <v>0</v>
      </c>
      <c r="AH52" s="14">
        <f>IF(AQ52="0",BJ52,0)</f>
        <v>0</v>
      </c>
      <c r="AI52" s="15" t="s">
        <v>1859</v>
      </c>
      <c r="AJ52" s="14">
        <f>IF(AN52=0,L52,0)</f>
        <v>0</v>
      </c>
      <c r="AK52" s="14">
        <f>IF(AN52=15,L52,0)</f>
        <v>0</v>
      </c>
      <c r="AL52" s="14">
        <f>IF(AN52=21,L52,0)</f>
        <v>0</v>
      </c>
      <c r="AN52" s="14">
        <v>21</v>
      </c>
      <c r="AO52" s="92">
        <f>H52*0.0358256805707221</f>
        <v>0</v>
      </c>
      <c r="AP52" s="92">
        <f>H52*(1-0.0358256805707221)</f>
        <v>0</v>
      </c>
      <c r="AQ52" s="55" t="s">
        <v>2422</v>
      </c>
      <c r="AV52" s="14">
        <f>AW52+AX52</f>
        <v>0</v>
      </c>
      <c r="AW52" s="14">
        <f>G52*AO52</f>
        <v>0</v>
      </c>
      <c r="AX52" s="14">
        <f>G52*AP52</f>
        <v>0</v>
      </c>
      <c r="AY52" s="55" t="s">
        <v>2157</v>
      </c>
      <c r="AZ52" s="55" t="s">
        <v>2652</v>
      </c>
      <c r="BA52" s="15" t="s">
        <v>2202</v>
      </c>
      <c r="BC52" s="14">
        <f>AW52+AX52</f>
        <v>0</v>
      </c>
      <c r="BD52" s="14">
        <f>H52/(100-BE52)*100</f>
        <v>0</v>
      </c>
      <c r="BE52" s="14">
        <v>0</v>
      </c>
      <c r="BF52" s="14">
        <f>O52</f>
        <v>288.0674664</v>
      </c>
      <c r="BH52" s="14">
        <f>G52*AO52</f>
        <v>0</v>
      </c>
      <c r="BI52" s="14">
        <f>G52*AP52</f>
        <v>0</v>
      </c>
      <c r="BJ52" s="14">
        <f>G52*H52</f>
        <v>0</v>
      </c>
      <c r="BK52" s="14"/>
      <c r="BL52" s="14">
        <v>96</v>
      </c>
      <c r="BW52" s="14" t="str">
        <f>I52</f>
        <v>21</v>
      </c>
    </row>
    <row r="53" spans="1:75" ht="15" customHeight="1">
      <c r="A53" s="32"/>
      <c r="D53" s="3" t="s">
        <v>1736</v>
      </c>
      <c r="E53" s="28" t="s">
        <v>2355</v>
      </c>
      <c r="G53" s="27">
        <v>24.01</v>
      </c>
      <c r="P53" s="33"/>
    </row>
    <row r="54" spans="1:75" ht="15" customHeight="1">
      <c r="A54" s="32"/>
      <c r="D54" s="3" t="s">
        <v>1346</v>
      </c>
      <c r="E54" s="28" t="s">
        <v>631</v>
      </c>
      <c r="G54" s="27">
        <v>-6.3100000000000005</v>
      </c>
      <c r="P54" s="33"/>
    </row>
    <row r="55" spans="1:75" ht="15" customHeight="1">
      <c r="A55" s="32"/>
      <c r="D55" s="3" t="s">
        <v>1930</v>
      </c>
      <c r="E55" s="28" t="s">
        <v>631</v>
      </c>
      <c r="G55" s="27">
        <v>-16</v>
      </c>
      <c r="P55" s="33"/>
    </row>
    <row r="56" spans="1:75" ht="15" customHeight="1">
      <c r="A56" s="32"/>
      <c r="D56" s="3" t="s">
        <v>916</v>
      </c>
      <c r="E56" s="28" t="s">
        <v>2346</v>
      </c>
      <c r="G56" s="27">
        <v>13.110000000000001</v>
      </c>
      <c r="P56" s="33"/>
    </row>
    <row r="57" spans="1:75" ht="15" customHeight="1">
      <c r="A57" s="32"/>
      <c r="D57" s="3" t="s">
        <v>2606</v>
      </c>
      <c r="E57" s="28" t="s">
        <v>2175</v>
      </c>
      <c r="G57" s="27">
        <v>39.6</v>
      </c>
      <c r="P57" s="33"/>
    </row>
    <row r="58" spans="1:75" ht="15" customHeight="1">
      <c r="A58" s="32"/>
      <c r="D58" s="3" t="s">
        <v>829</v>
      </c>
      <c r="E58" s="28" t="s">
        <v>749</v>
      </c>
      <c r="G58" s="27">
        <v>89.210000000000008</v>
      </c>
      <c r="P58" s="33"/>
    </row>
    <row r="59" spans="1:75" ht="15" customHeight="1">
      <c r="A59" s="32"/>
      <c r="D59" s="3" t="s">
        <v>2700</v>
      </c>
      <c r="E59" s="28" t="s">
        <v>355</v>
      </c>
      <c r="G59" s="27">
        <v>4.0100000000000007</v>
      </c>
      <c r="P59" s="33"/>
    </row>
    <row r="60" spans="1:75" ht="13.5" customHeight="1">
      <c r="A60" s="21" t="s">
        <v>226</v>
      </c>
      <c r="B60" s="37" t="s">
        <v>1859</v>
      </c>
      <c r="C60" s="37" t="s">
        <v>2546</v>
      </c>
      <c r="D60" s="578" t="s">
        <v>649</v>
      </c>
      <c r="E60" s="579"/>
      <c r="F60" s="37" t="s">
        <v>2359</v>
      </c>
      <c r="G60" s="14">
        <v>1.57</v>
      </c>
      <c r="H60" s="569"/>
      <c r="I60" s="55" t="s">
        <v>1720</v>
      </c>
      <c r="J60" s="14">
        <f>G60*AO60</f>
        <v>0</v>
      </c>
      <c r="K60" s="14">
        <f>G60*AP60</f>
        <v>0</v>
      </c>
      <c r="L60" s="14">
        <f>G60*H60</f>
        <v>0</v>
      </c>
      <c r="M60" s="14">
        <f>L60*(1+BW60/100)</f>
        <v>0</v>
      </c>
      <c r="N60" s="14">
        <v>1.1760999999999999</v>
      </c>
      <c r="O60" s="14">
        <f>G60*N60</f>
        <v>1.8464769999999999</v>
      </c>
      <c r="P60" s="72" t="s">
        <v>1664</v>
      </c>
      <c r="Z60" s="14">
        <f>IF(AQ60="5",BJ60,0)</f>
        <v>0</v>
      </c>
      <c r="AB60" s="14">
        <f>IF(AQ60="1",BH60,0)</f>
        <v>0</v>
      </c>
      <c r="AC60" s="14">
        <f>IF(AQ60="1",BI60,0)</f>
        <v>0</v>
      </c>
      <c r="AD60" s="14">
        <f>IF(AQ60="7",BH60,0)</f>
        <v>0</v>
      </c>
      <c r="AE60" s="14">
        <f>IF(AQ60="7",BI60,0)</f>
        <v>0</v>
      </c>
      <c r="AF60" s="14">
        <f>IF(AQ60="2",BH60,0)</f>
        <v>0</v>
      </c>
      <c r="AG60" s="14">
        <f>IF(AQ60="2",BI60,0)</f>
        <v>0</v>
      </c>
      <c r="AH60" s="14">
        <f>IF(AQ60="0",BJ60,0)</f>
        <v>0</v>
      </c>
      <c r="AI60" s="15" t="s">
        <v>1859</v>
      </c>
      <c r="AJ60" s="14">
        <f>IF(AN60=0,L60,0)</f>
        <v>0</v>
      </c>
      <c r="AK60" s="14">
        <f>IF(AN60=15,L60,0)</f>
        <v>0</v>
      </c>
      <c r="AL60" s="14">
        <f>IF(AN60=21,L60,0)</f>
        <v>0</v>
      </c>
      <c r="AN60" s="14">
        <v>21</v>
      </c>
      <c r="AO60" s="92">
        <f>H60*0.0409130441811216</f>
        <v>0</v>
      </c>
      <c r="AP60" s="92">
        <f>H60*(1-0.0409130441811216)</f>
        <v>0</v>
      </c>
      <c r="AQ60" s="55" t="s">
        <v>2422</v>
      </c>
      <c r="AV60" s="14">
        <f>AW60+AX60</f>
        <v>0</v>
      </c>
      <c r="AW60" s="14">
        <f>G60*AO60</f>
        <v>0</v>
      </c>
      <c r="AX60" s="14">
        <f>G60*AP60</f>
        <v>0</v>
      </c>
      <c r="AY60" s="55" t="s">
        <v>2157</v>
      </c>
      <c r="AZ60" s="55" t="s">
        <v>2652</v>
      </c>
      <c r="BA60" s="15" t="s">
        <v>2202</v>
      </c>
      <c r="BC60" s="14">
        <f>AW60+AX60</f>
        <v>0</v>
      </c>
      <c r="BD60" s="14">
        <f>H60/(100-BE60)*100</f>
        <v>0</v>
      </c>
      <c r="BE60" s="14">
        <v>0</v>
      </c>
      <c r="BF60" s="14">
        <f>O60</f>
        <v>1.8464769999999999</v>
      </c>
      <c r="BH60" s="14">
        <f>G60*AO60</f>
        <v>0</v>
      </c>
      <c r="BI60" s="14">
        <f>G60*AP60</f>
        <v>0</v>
      </c>
      <c r="BJ60" s="14">
        <f>G60*H60</f>
        <v>0</v>
      </c>
      <c r="BK60" s="14"/>
      <c r="BL60" s="14">
        <v>96</v>
      </c>
      <c r="BW60" s="14" t="str">
        <f>I60</f>
        <v>21</v>
      </c>
    </row>
    <row r="61" spans="1:75" ht="15" customHeight="1">
      <c r="A61" s="32"/>
      <c r="D61" s="3" t="s">
        <v>672</v>
      </c>
      <c r="E61" s="28" t="s">
        <v>82</v>
      </c>
      <c r="G61" s="27">
        <v>1.57</v>
      </c>
      <c r="P61" s="33"/>
    </row>
    <row r="62" spans="1:75" ht="13.5" customHeight="1">
      <c r="A62" s="21" t="s">
        <v>1691</v>
      </c>
      <c r="B62" s="37" t="s">
        <v>1859</v>
      </c>
      <c r="C62" s="37" t="s">
        <v>2668</v>
      </c>
      <c r="D62" s="578" t="s">
        <v>1410</v>
      </c>
      <c r="E62" s="579"/>
      <c r="F62" s="37" t="s">
        <v>2359</v>
      </c>
      <c r="G62" s="14">
        <v>6.6</v>
      </c>
      <c r="H62" s="569"/>
      <c r="I62" s="55" t="s">
        <v>1720</v>
      </c>
      <c r="J62" s="14">
        <f>G62*AO62</f>
        <v>0</v>
      </c>
      <c r="K62" s="14">
        <f>G62*AP62</f>
        <v>0</v>
      </c>
      <c r="L62" s="14">
        <f>G62*H62</f>
        <v>0</v>
      </c>
      <c r="M62" s="14">
        <f>L62*(1+BW62/100)</f>
        <v>0</v>
      </c>
      <c r="N62" s="14">
        <v>1.80128</v>
      </c>
      <c r="O62" s="14">
        <f>G62*N62</f>
        <v>11.888447999999999</v>
      </c>
      <c r="P62" s="72" t="s">
        <v>1664</v>
      </c>
      <c r="Z62" s="14">
        <f>IF(AQ62="5",BJ62,0)</f>
        <v>0</v>
      </c>
      <c r="AB62" s="14">
        <f>IF(AQ62="1",BH62,0)</f>
        <v>0</v>
      </c>
      <c r="AC62" s="14">
        <f>IF(AQ62="1",BI62,0)</f>
        <v>0</v>
      </c>
      <c r="AD62" s="14">
        <f>IF(AQ62="7",BH62,0)</f>
        <v>0</v>
      </c>
      <c r="AE62" s="14">
        <f>IF(AQ62="7",BI62,0)</f>
        <v>0</v>
      </c>
      <c r="AF62" s="14">
        <f>IF(AQ62="2",BH62,0)</f>
        <v>0</v>
      </c>
      <c r="AG62" s="14">
        <f>IF(AQ62="2",BI62,0)</f>
        <v>0</v>
      </c>
      <c r="AH62" s="14">
        <f>IF(AQ62="0",BJ62,0)</f>
        <v>0</v>
      </c>
      <c r="AI62" s="15" t="s">
        <v>1859</v>
      </c>
      <c r="AJ62" s="14">
        <f>IF(AN62=0,L62,0)</f>
        <v>0</v>
      </c>
      <c r="AK62" s="14">
        <f>IF(AN62=15,L62,0)</f>
        <v>0</v>
      </c>
      <c r="AL62" s="14">
        <f>IF(AN62=21,L62,0)</f>
        <v>0</v>
      </c>
      <c r="AN62" s="14">
        <v>21</v>
      </c>
      <c r="AO62" s="92">
        <f>H62*0.0400102632890918</f>
        <v>0</v>
      </c>
      <c r="AP62" s="92">
        <f>H62*(1-0.0400102632890918)</f>
        <v>0</v>
      </c>
      <c r="AQ62" s="55" t="s">
        <v>2422</v>
      </c>
      <c r="AV62" s="14">
        <f>AW62+AX62</f>
        <v>0</v>
      </c>
      <c r="AW62" s="14">
        <f>G62*AO62</f>
        <v>0</v>
      </c>
      <c r="AX62" s="14">
        <f>G62*AP62</f>
        <v>0</v>
      </c>
      <c r="AY62" s="55" t="s">
        <v>2157</v>
      </c>
      <c r="AZ62" s="55" t="s">
        <v>2652</v>
      </c>
      <c r="BA62" s="15" t="s">
        <v>2202</v>
      </c>
      <c r="BC62" s="14">
        <f>AW62+AX62</f>
        <v>0</v>
      </c>
      <c r="BD62" s="14">
        <f>H62/(100-BE62)*100</f>
        <v>0</v>
      </c>
      <c r="BE62" s="14">
        <v>0</v>
      </c>
      <c r="BF62" s="14">
        <f>O62</f>
        <v>11.888447999999999</v>
      </c>
      <c r="BH62" s="14">
        <f>G62*AO62</f>
        <v>0</v>
      </c>
      <c r="BI62" s="14">
        <f>G62*AP62</f>
        <v>0</v>
      </c>
      <c r="BJ62" s="14">
        <f>G62*H62</f>
        <v>0</v>
      </c>
      <c r="BK62" s="14"/>
      <c r="BL62" s="14">
        <v>96</v>
      </c>
      <c r="BW62" s="14" t="str">
        <f>I62</f>
        <v>21</v>
      </c>
    </row>
    <row r="63" spans="1:75" ht="15" customHeight="1">
      <c r="A63" s="32"/>
      <c r="D63" s="3" t="s">
        <v>1023</v>
      </c>
      <c r="E63" s="28" t="s">
        <v>2493</v>
      </c>
      <c r="G63" s="27">
        <v>3.6</v>
      </c>
      <c r="P63" s="33"/>
    </row>
    <row r="64" spans="1:75" ht="15" customHeight="1">
      <c r="A64" s="32"/>
      <c r="D64" s="3" t="s">
        <v>1372</v>
      </c>
      <c r="E64" s="28" t="s">
        <v>961</v>
      </c>
      <c r="G64" s="27">
        <v>3.0000000000000004</v>
      </c>
      <c r="P64" s="33"/>
    </row>
    <row r="65" spans="1:75" ht="13.5" customHeight="1">
      <c r="A65" s="21" t="s">
        <v>1940</v>
      </c>
      <c r="B65" s="37" t="s">
        <v>1859</v>
      </c>
      <c r="C65" s="37" t="s">
        <v>109</v>
      </c>
      <c r="D65" s="578" t="s">
        <v>2613</v>
      </c>
      <c r="E65" s="579"/>
      <c r="F65" s="37" t="s">
        <v>2398</v>
      </c>
      <c r="G65" s="14">
        <v>42.88</v>
      </c>
      <c r="H65" s="569"/>
      <c r="I65" s="55" t="s">
        <v>1720</v>
      </c>
      <c r="J65" s="14">
        <f>G65*AO65</f>
        <v>0</v>
      </c>
      <c r="K65" s="14">
        <f>G65*AP65</f>
        <v>0</v>
      </c>
      <c r="L65" s="14">
        <f>G65*H65</f>
        <v>0</v>
      </c>
      <c r="M65" s="14">
        <f>L65*(1+BW65/100)</f>
        <v>0</v>
      </c>
      <c r="N65" s="14">
        <v>3.2000000000000001E-2</v>
      </c>
      <c r="O65" s="14">
        <f>G65*N65</f>
        <v>1.37216</v>
      </c>
      <c r="P65" s="72" t="s">
        <v>1664</v>
      </c>
      <c r="Z65" s="14">
        <f>IF(AQ65="5",BJ65,0)</f>
        <v>0</v>
      </c>
      <c r="AB65" s="14">
        <f>IF(AQ65="1",BH65,0)</f>
        <v>0</v>
      </c>
      <c r="AC65" s="14">
        <f>IF(AQ65="1",BI65,0)</f>
        <v>0</v>
      </c>
      <c r="AD65" s="14">
        <f>IF(AQ65="7",BH65,0)</f>
        <v>0</v>
      </c>
      <c r="AE65" s="14">
        <f>IF(AQ65="7",BI65,0)</f>
        <v>0</v>
      </c>
      <c r="AF65" s="14">
        <f>IF(AQ65="2",BH65,0)</f>
        <v>0</v>
      </c>
      <c r="AG65" s="14">
        <f>IF(AQ65="2",BI65,0)</f>
        <v>0</v>
      </c>
      <c r="AH65" s="14">
        <f>IF(AQ65="0",BJ65,0)</f>
        <v>0</v>
      </c>
      <c r="AI65" s="15" t="s">
        <v>1859</v>
      </c>
      <c r="AJ65" s="14">
        <f>IF(AN65=0,L65,0)</f>
        <v>0</v>
      </c>
      <c r="AK65" s="14">
        <f>IF(AN65=15,L65,0)</f>
        <v>0</v>
      </c>
      <c r="AL65" s="14">
        <f>IF(AN65=21,L65,0)</f>
        <v>0</v>
      </c>
      <c r="AN65" s="14">
        <v>21</v>
      </c>
      <c r="AO65" s="92">
        <f>H65*0.166079545454545</f>
        <v>0</v>
      </c>
      <c r="AP65" s="92">
        <f>H65*(1-0.166079545454545)</f>
        <v>0</v>
      </c>
      <c r="AQ65" s="55" t="s">
        <v>2422</v>
      </c>
      <c r="AV65" s="14">
        <f>AW65+AX65</f>
        <v>0</v>
      </c>
      <c r="AW65" s="14">
        <f>G65*AO65</f>
        <v>0</v>
      </c>
      <c r="AX65" s="14">
        <f>G65*AP65</f>
        <v>0</v>
      </c>
      <c r="AY65" s="55" t="s">
        <v>2157</v>
      </c>
      <c r="AZ65" s="55" t="s">
        <v>2652</v>
      </c>
      <c r="BA65" s="15" t="s">
        <v>2202</v>
      </c>
      <c r="BC65" s="14">
        <f>AW65+AX65</f>
        <v>0</v>
      </c>
      <c r="BD65" s="14">
        <f>H65/(100-BE65)*100</f>
        <v>0</v>
      </c>
      <c r="BE65" s="14">
        <v>0</v>
      </c>
      <c r="BF65" s="14">
        <f>O65</f>
        <v>1.37216</v>
      </c>
      <c r="BH65" s="14">
        <f>G65*AO65</f>
        <v>0</v>
      </c>
      <c r="BI65" s="14">
        <f>G65*AP65</f>
        <v>0</v>
      </c>
      <c r="BJ65" s="14">
        <f>G65*H65</f>
        <v>0</v>
      </c>
      <c r="BK65" s="14"/>
      <c r="BL65" s="14">
        <v>96</v>
      </c>
      <c r="BW65" s="14" t="str">
        <f>I65</f>
        <v>21</v>
      </c>
    </row>
    <row r="66" spans="1:75" ht="15" customHeight="1">
      <c r="A66" s="32"/>
      <c r="D66" s="3" t="s">
        <v>928</v>
      </c>
      <c r="E66" s="28" t="s">
        <v>1683</v>
      </c>
      <c r="G66" s="27">
        <v>42.88</v>
      </c>
      <c r="P66" s="33"/>
    </row>
    <row r="67" spans="1:75" ht="13.5" customHeight="1">
      <c r="A67" s="21" t="s">
        <v>1545</v>
      </c>
      <c r="B67" s="37" t="s">
        <v>1859</v>
      </c>
      <c r="C67" s="37" t="s">
        <v>475</v>
      </c>
      <c r="D67" s="578" t="s">
        <v>1360</v>
      </c>
      <c r="E67" s="579"/>
      <c r="F67" s="37" t="s">
        <v>2398</v>
      </c>
      <c r="G67" s="14">
        <v>50.82</v>
      </c>
      <c r="H67" s="569"/>
      <c r="I67" s="55" t="s">
        <v>1720</v>
      </c>
      <c r="J67" s="14">
        <f>G67*AO67</f>
        <v>0</v>
      </c>
      <c r="K67" s="14">
        <f>G67*AP67</f>
        <v>0</v>
      </c>
      <c r="L67" s="14">
        <f>G67*H67</f>
        <v>0</v>
      </c>
      <c r="M67" s="14">
        <f>L67*(1+BW67/100)</f>
        <v>0</v>
      </c>
      <c r="N67" s="14">
        <v>7.7170000000000002E-2</v>
      </c>
      <c r="O67" s="14">
        <f>G67*N67</f>
        <v>3.9217794000000001</v>
      </c>
      <c r="P67" s="72" t="s">
        <v>1664</v>
      </c>
      <c r="Z67" s="14">
        <f>IF(AQ67="5",BJ67,0)</f>
        <v>0</v>
      </c>
      <c r="AB67" s="14">
        <f>IF(AQ67="1",BH67,0)</f>
        <v>0</v>
      </c>
      <c r="AC67" s="14">
        <f>IF(AQ67="1",BI67,0)</f>
        <v>0</v>
      </c>
      <c r="AD67" s="14">
        <f>IF(AQ67="7",BH67,0)</f>
        <v>0</v>
      </c>
      <c r="AE67" s="14">
        <f>IF(AQ67="7",BI67,0)</f>
        <v>0</v>
      </c>
      <c r="AF67" s="14">
        <f>IF(AQ67="2",BH67,0)</f>
        <v>0</v>
      </c>
      <c r="AG67" s="14">
        <f>IF(AQ67="2",BI67,0)</f>
        <v>0</v>
      </c>
      <c r="AH67" s="14">
        <f>IF(AQ67="0",BJ67,0)</f>
        <v>0</v>
      </c>
      <c r="AI67" s="15" t="s">
        <v>1859</v>
      </c>
      <c r="AJ67" s="14">
        <f>IF(AN67=0,L67,0)</f>
        <v>0</v>
      </c>
      <c r="AK67" s="14">
        <f>IF(AN67=15,L67,0)</f>
        <v>0</v>
      </c>
      <c r="AL67" s="14">
        <f>IF(AN67=21,L67,0)</f>
        <v>0</v>
      </c>
      <c r="AN67" s="14">
        <v>21</v>
      </c>
      <c r="AO67" s="92">
        <f>H67*0.0772009029345373</f>
        <v>0</v>
      </c>
      <c r="AP67" s="92">
        <f>H67*(1-0.0772009029345373)</f>
        <v>0</v>
      </c>
      <c r="AQ67" s="55" t="s">
        <v>2422</v>
      </c>
      <c r="AV67" s="14">
        <f>AW67+AX67</f>
        <v>0</v>
      </c>
      <c r="AW67" s="14">
        <f>G67*AO67</f>
        <v>0</v>
      </c>
      <c r="AX67" s="14">
        <f>G67*AP67</f>
        <v>0</v>
      </c>
      <c r="AY67" s="55" t="s">
        <v>2157</v>
      </c>
      <c r="AZ67" s="55" t="s">
        <v>2652</v>
      </c>
      <c r="BA67" s="15" t="s">
        <v>2202</v>
      </c>
      <c r="BC67" s="14">
        <f>AW67+AX67</f>
        <v>0</v>
      </c>
      <c r="BD67" s="14">
        <f>H67/(100-BE67)*100</f>
        <v>0</v>
      </c>
      <c r="BE67" s="14">
        <v>0</v>
      </c>
      <c r="BF67" s="14">
        <f>O67</f>
        <v>3.9217794000000001</v>
      </c>
      <c r="BH67" s="14">
        <f>G67*AO67</f>
        <v>0</v>
      </c>
      <c r="BI67" s="14">
        <f>G67*AP67</f>
        <v>0</v>
      </c>
      <c r="BJ67" s="14">
        <f>G67*H67</f>
        <v>0</v>
      </c>
      <c r="BK67" s="14"/>
      <c r="BL67" s="14">
        <v>96</v>
      </c>
      <c r="BW67" s="14" t="str">
        <f>I67</f>
        <v>21</v>
      </c>
    </row>
    <row r="68" spans="1:75" ht="15" customHeight="1">
      <c r="A68" s="32"/>
      <c r="D68" s="3" t="s">
        <v>2517</v>
      </c>
      <c r="E68" s="28" t="s">
        <v>1683</v>
      </c>
      <c r="G68" s="27">
        <v>50.820000000000007</v>
      </c>
      <c r="P68" s="33"/>
    </row>
    <row r="69" spans="1:75" ht="13.5" customHeight="1">
      <c r="A69" s="21" t="s">
        <v>118</v>
      </c>
      <c r="B69" s="37" t="s">
        <v>1859</v>
      </c>
      <c r="C69" s="37" t="s">
        <v>2210</v>
      </c>
      <c r="D69" s="578" t="s">
        <v>377</v>
      </c>
      <c r="E69" s="579"/>
      <c r="F69" s="37" t="s">
        <v>2359</v>
      </c>
      <c r="G69" s="14">
        <v>2.06</v>
      </c>
      <c r="H69" s="569"/>
      <c r="I69" s="55" t="s">
        <v>1720</v>
      </c>
      <c r="J69" s="14">
        <f>G69*AO69</f>
        <v>0</v>
      </c>
      <c r="K69" s="14">
        <f>G69*AP69</f>
        <v>0</v>
      </c>
      <c r="L69" s="14">
        <f>G69*H69</f>
        <v>0</v>
      </c>
      <c r="M69" s="14">
        <f>L69*(1+BW69/100)</f>
        <v>0</v>
      </c>
      <c r="N69" s="14">
        <v>0.56999999999999995</v>
      </c>
      <c r="O69" s="14">
        <f>G69*N69</f>
        <v>1.1741999999999999</v>
      </c>
      <c r="P69" s="72" t="s">
        <v>1664</v>
      </c>
      <c r="Z69" s="14">
        <f>IF(AQ69="5",BJ69,0)</f>
        <v>0</v>
      </c>
      <c r="AB69" s="14">
        <f>IF(AQ69="1",BH69,0)</f>
        <v>0</v>
      </c>
      <c r="AC69" s="14">
        <f>IF(AQ69="1",BI69,0)</f>
        <v>0</v>
      </c>
      <c r="AD69" s="14">
        <f>IF(AQ69="7",BH69,0)</f>
        <v>0</v>
      </c>
      <c r="AE69" s="14">
        <f>IF(AQ69="7",BI69,0)</f>
        <v>0</v>
      </c>
      <c r="AF69" s="14">
        <f>IF(AQ69="2",BH69,0)</f>
        <v>0</v>
      </c>
      <c r="AG69" s="14">
        <f>IF(AQ69="2",BI69,0)</f>
        <v>0</v>
      </c>
      <c r="AH69" s="14">
        <f>IF(AQ69="0",BJ69,0)</f>
        <v>0</v>
      </c>
      <c r="AI69" s="15" t="s">
        <v>1859</v>
      </c>
      <c r="AJ69" s="14">
        <f>IF(AN69=0,L69,0)</f>
        <v>0</v>
      </c>
      <c r="AK69" s="14">
        <f>IF(AN69=15,L69,0)</f>
        <v>0</v>
      </c>
      <c r="AL69" s="14">
        <f>IF(AN69=21,L69,0)</f>
        <v>0</v>
      </c>
      <c r="AN69" s="14">
        <v>21</v>
      </c>
      <c r="AO69" s="92">
        <f>H69*0</f>
        <v>0</v>
      </c>
      <c r="AP69" s="92">
        <f>H69*(1-0)</f>
        <v>0</v>
      </c>
      <c r="AQ69" s="55" t="s">
        <v>2422</v>
      </c>
      <c r="AV69" s="14">
        <f>AW69+AX69</f>
        <v>0</v>
      </c>
      <c r="AW69" s="14">
        <f>G69*AO69</f>
        <v>0</v>
      </c>
      <c r="AX69" s="14">
        <f>G69*AP69</f>
        <v>0</v>
      </c>
      <c r="AY69" s="55" t="s">
        <v>2157</v>
      </c>
      <c r="AZ69" s="55" t="s">
        <v>2652</v>
      </c>
      <c r="BA69" s="15" t="s">
        <v>2202</v>
      </c>
      <c r="BC69" s="14">
        <f>AW69+AX69</f>
        <v>0</v>
      </c>
      <c r="BD69" s="14">
        <f>H69/(100-BE69)*100</f>
        <v>0</v>
      </c>
      <c r="BE69" s="14">
        <v>0</v>
      </c>
      <c r="BF69" s="14">
        <f>O69</f>
        <v>1.1741999999999999</v>
      </c>
      <c r="BH69" s="14">
        <f>G69*AO69</f>
        <v>0</v>
      </c>
      <c r="BI69" s="14">
        <f>G69*AP69</f>
        <v>0</v>
      </c>
      <c r="BJ69" s="14">
        <f>G69*H69</f>
        <v>0</v>
      </c>
      <c r="BK69" s="14"/>
      <c r="BL69" s="14">
        <v>96</v>
      </c>
      <c r="BW69" s="14" t="str">
        <f>I69</f>
        <v>21</v>
      </c>
    </row>
    <row r="70" spans="1:75" ht="15" customHeight="1">
      <c r="A70" s="32"/>
      <c r="D70" s="3" t="s">
        <v>1943</v>
      </c>
      <c r="E70" s="28" t="s">
        <v>2722</v>
      </c>
      <c r="G70" s="27">
        <v>2.06</v>
      </c>
      <c r="P70" s="33"/>
    </row>
    <row r="71" spans="1:75" ht="13.5" customHeight="1">
      <c r="A71" s="21" t="s">
        <v>1720</v>
      </c>
      <c r="B71" s="37" t="s">
        <v>1859</v>
      </c>
      <c r="C71" s="37" t="s">
        <v>340</v>
      </c>
      <c r="D71" s="578" t="s">
        <v>628</v>
      </c>
      <c r="E71" s="579"/>
      <c r="F71" s="37" t="s">
        <v>2359</v>
      </c>
      <c r="G71" s="14">
        <v>72</v>
      </c>
      <c r="H71" s="569"/>
      <c r="I71" s="55" t="s">
        <v>1720</v>
      </c>
      <c r="J71" s="14">
        <f>G71*AO71</f>
        <v>0</v>
      </c>
      <c r="K71" s="14">
        <f>G71*AP71</f>
        <v>0</v>
      </c>
      <c r="L71" s="14">
        <f>G71*H71</f>
        <v>0</v>
      </c>
      <c r="M71" s="14">
        <f>L71*(1+BW71/100)</f>
        <v>0</v>
      </c>
      <c r="N71" s="14">
        <v>2.2000000000000002</v>
      </c>
      <c r="O71" s="14">
        <f>G71*N71</f>
        <v>158.4</v>
      </c>
      <c r="P71" s="72" t="s">
        <v>1664</v>
      </c>
      <c r="Z71" s="14">
        <f>IF(AQ71="5",BJ71,0)</f>
        <v>0</v>
      </c>
      <c r="AB71" s="14">
        <f>IF(AQ71="1",BH71,0)</f>
        <v>0</v>
      </c>
      <c r="AC71" s="14">
        <f>IF(AQ71="1",BI71,0)</f>
        <v>0</v>
      </c>
      <c r="AD71" s="14">
        <f>IF(AQ71="7",BH71,0)</f>
        <v>0</v>
      </c>
      <c r="AE71" s="14">
        <f>IF(AQ71="7",BI71,0)</f>
        <v>0</v>
      </c>
      <c r="AF71" s="14">
        <f>IF(AQ71="2",BH71,0)</f>
        <v>0</v>
      </c>
      <c r="AG71" s="14">
        <f>IF(AQ71="2",BI71,0)</f>
        <v>0</v>
      </c>
      <c r="AH71" s="14">
        <f>IF(AQ71="0",BJ71,0)</f>
        <v>0</v>
      </c>
      <c r="AI71" s="15" t="s">
        <v>1859</v>
      </c>
      <c r="AJ71" s="14">
        <f>IF(AN71=0,L71,0)</f>
        <v>0</v>
      </c>
      <c r="AK71" s="14">
        <f>IF(AN71=15,L71,0)</f>
        <v>0</v>
      </c>
      <c r="AL71" s="14">
        <f>IF(AN71=21,L71,0)</f>
        <v>0</v>
      </c>
      <c r="AN71" s="14">
        <v>21</v>
      </c>
      <c r="AO71" s="92">
        <f>H71*0</f>
        <v>0</v>
      </c>
      <c r="AP71" s="92">
        <f>H71*(1-0)</f>
        <v>0</v>
      </c>
      <c r="AQ71" s="55" t="s">
        <v>2422</v>
      </c>
      <c r="AV71" s="14">
        <f>AW71+AX71</f>
        <v>0</v>
      </c>
      <c r="AW71" s="14">
        <f>G71*AO71</f>
        <v>0</v>
      </c>
      <c r="AX71" s="14">
        <f>G71*AP71</f>
        <v>0</v>
      </c>
      <c r="AY71" s="55" t="s">
        <v>2157</v>
      </c>
      <c r="AZ71" s="55" t="s">
        <v>2652</v>
      </c>
      <c r="BA71" s="15" t="s">
        <v>2202</v>
      </c>
      <c r="BC71" s="14">
        <f>AW71+AX71</f>
        <v>0</v>
      </c>
      <c r="BD71" s="14">
        <f>H71/(100-BE71)*100</f>
        <v>0</v>
      </c>
      <c r="BE71" s="14">
        <v>0</v>
      </c>
      <c r="BF71" s="14">
        <f>O71</f>
        <v>158.4</v>
      </c>
      <c r="BH71" s="14">
        <f>G71*AO71</f>
        <v>0</v>
      </c>
      <c r="BI71" s="14">
        <f>G71*AP71</f>
        <v>0</v>
      </c>
      <c r="BJ71" s="14">
        <f>G71*H71</f>
        <v>0</v>
      </c>
      <c r="BK71" s="14"/>
      <c r="BL71" s="14">
        <v>96</v>
      </c>
      <c r="BW71" s="14" t="str">
        <f>I71</f>
        <v>21</v>
      </c>
    </row>
    <row r="72" spans="1:75" ht="15" customHeight="1">
      <c r="A72" s="32"/>
      <c r="D72" s="3" t="s">
        <v>412</v>
      </c>
      <c r="E72" s="28" t="s">
        <v>533</v>
      </c>
      <c r="G72" s="27">
        <v>72</v>
      </c>
      <c r="P72" s="33"/>
    </row>
    <row r="73" spans="1:75" ht="13.5" customHeight="1">
      <c r="A73" s="21" t="s">
        <v>2334</v>
      </c>
      <c r="B73" s="37" t="s">
        <v>1859</v>
      </c>
      <c r="C73" s="37" t="s">
        <v>1411</v>
      </c>
      <c r="D73" s="578" t="s">
        <v>67</v>
      </c>
      <c r="E73" s="579"/>
      <c r="F73" s="37" t="s">
        <v>2359</v>
      </c>
      <c r="G73" s="14">
        <v>25</v>
      </c>
      <c r="H73" s="569"/>
      <c r="I73" s="55" t="s">
        <v>1720</v>
      </c>
      <c r="J73" s="14">
        <f>G73*AO73</f>
        <v>0</v>
      </c>
      <c r="K73" s="14">
        <f>G73*AP73</f>
        <v>0</v>
      </c>
      <c r="L73" s="14">
        <f>G73*H73</f>
        <v>0</v>
      </c>
      <c r="M73" s="14">
        <f>L73*(1+BW73/100)</f>
        <v>0</v>
      </c>
      <c r="N73" s="14">
        <v>1.7026600000000001</v>
      </c>
      <c r="O73" s="14">
        <f>G73*N73</f>
        <v>42.566500000000005</v>
      </c>
      <c r="P73" s="72" t="s">
        <v>1664</v>
      </c>
      <c r="Z73" s="14">
        <f>IF(AQ73="5",BJ73,0)</f>
        <v>0</v>
      </c>
      <c r="AB73" s="14">
        <f>IF(AQ73="1",BH73,0)</f>
        <v>0</v>
      </c>
      <c r="AC73" s="14">
        <f>IF(AQ73="1",BI73,0)</f>
        <v>0</v>
      </c>
      <c r="AD73" s="14">
        <f>IF(AQ73="7",BH73,0)</f>
        <v>0</v>
      </c>
      <c r="AE73" s="14">
        <f>IF(AQ73="7",BI73,0)</f>
        <v>0</v>
      </c>
      <c r="AF73" s="14">
        <f>IF(AQ73="2",BH73,0)</f>
        <v>0</v>
      </c>
      <c r="AG73" s="14">
        <f>IF(AQ73="2",BI73,0)</f>
        <v>0</v>
      </c>
      <c r="AH73" s="14">
        <f>IF(AQ73="0",BJ73,0)</f>
        <v>0</v>
      </c>
      <c r="AI73" s="15" t="s">
        <v>1859</v>
      </c>
      <c r="AJ73" s="14">
        <f>IF(AN73=0,L73,0)</f>
        <v>0</v>
      </c>
      <c r="AK73" s="14">
        <f>IF(AN73=15,L73,0)</f>
        <v>0</v>
      </c>
      <c r="AL73" s="14">
        <f>IF(AN73=21,L73,0)</f>
        <v>0</v>
      </c>
      <c r="AN73" s="14">
        <v>21</v>
      </c>
      <c r="AO73" s="92">
        <f>H73*0.0210072913853632</f>
        <v>0</v>
      </c>
      <c r="AP73" s="92">
        <f>H73*(1-0.0210072913853632)</f>
        <v>0</v>
      </c>
      <c r="AQ73" s="55" t="s">
        <v>2422</v>
      </c>
      <c r="AV73" s="14">
        <f>AW73+AX73</f>
        <v>0</v>
      </c>
      <c r="AW73" s="14">
        <f>G73*AO73</f>
        <v>0</v>
      </c>
      <c r="AX73" s="14">
        <f>G73*AP73</f>
        <v>0</v>
      </c>
      <c r="AY73" s="55" t="s">
        <v>2157</v>
      </c>
      <c r="AZ73" s="55" t="s">
        <v>2652</v>
      </c>
      <c r="BA73" s="15" t="s">
        <v>2202</v>
      </c>
      <c r="BC73" s="14">
        <f>AW73+AX73</f>
        <v>0</v>
      </c>
      <c r="BD73" s="14">
        <f>H73/(100-BE73)*100</f>
        <v>0</v>
      </c>
      <c r="BE73" s="14">
        <v>0</v>
      </c>
      <c r="BF73" s="14">
        <f>O73</f>
        <v>42.566500000000005</v>
      </c>
      <c r="BH73" s="14">
        <f>G73*AO73</f>
        <v>0</v>
      </c>
      <c r="BI73" s="14">
        <f>G73*AP73</f>
        <v>0</v>
      </c>
      <c r="BJ73" s="14">
        <f>G73*H73</f>
        <v>0</v>
      </c>
      <c r="BK73" s="14"/>
      <c r="BL73" s="14">
        <v>96</v>
      </c>
      <c r="BW73" s="14" t="str">
        <f>I73</f>
        <v>21</v>
      </c>
    </row>
    <row r="74" spans="1:75" ht="15" customHeight="1">
      <c r="A74" s="32"/>
      <c r="D74" s="3" t="s">
        <v>382</v>
      </c>
      <c r="E74" s="28" t="s">
        <v>1457</v>
      </c>
      <c r="G74" s="27">
        <v>25.000000000000004</v>
      </c>
      <c r="P74" s="33"/>
    </row>
    <row r="75" spans="1:75" ht="13.5" customHeight="1">
      <c r="A75" s="21" t="s">
        <v>1086</v>
      </c>
      <c r="B75" s="37" t="s">
        <v>1859</v>
      </c>
      <c r="C75" s="37" t="s">
        <v>2597</v>
      </c>
      <c r="D75" s="578" t="s">
        <v>812</v>
      </c>
      <c r="E75" s="579"/>
      <c r="F75" s="37" t="s">
        <v>1130</v>
      </c>
      <c r="G75" s="14">
        <v>2.72</v>
      </c>
      <c r="H75" s="569"/>
      <c r="I75" s="55" t="s">
        <v>1720</v>
      </c>
      <c r="J75" s="14">
        <f>G75*AO75</f>
        <v>0</v>
      </c>
      <c r="K75" s="14">
        <f>G75*AP75</f>
        <v>0</v>
      </c>
      <c r="L75" s="14">
        <f>G75*H75</f>
        <v>0</v>
      </c>
      <c r="M75" s="14">
        <f>L75*(1+BW75/100)</f>
        <v>0</v>
      </c>
      <c r="N75" s="14">
        <v>1.2954600000000001</v>
      </c>
      <c r="O75" s="14">
        <f>G75*N75</f>
        <v>3.5236512000000002</v>
      </c>
      <c r="P75" s="72" t="s">
        <v>1664</v>
      </c>
      <c r="Z75" s="14">
        <f>IF(AQ75="5",BJ75,0)</f>
        <v>0</v>
      </c>
      <c r="AB75" s="14">
        <f>IF(AQ75="1",BH75,0)</f>
        <v>0</v>
      </c>
      <c r="AC75" s="14">
        <f>IF(AQ75="1",BI75,0)</f>
        <v>0</v>
      </c>
      <c r="AD75" s="14">
        <f>IF(AQ75="7",BH75,0)</f>
        <v>0</v>
      </c>
      <c r="AE75" s="14">
        <f>IF(AQ75="7",BI75,0)</f>
        <v>0</v>
      </c>
      <c r="AF75" s="14">
        <f>IF(AQ75="2",BH75,0)</f>
        <v>0</v>
      </c>
      <c r="AG75" s="14">
        <f>IF(AQ75="2",BI75,0)</f>
        <v>0</v>
      </c>
      <c r="AH75" s="14">
        <f>IF(AQ75="0",BJ75,0)</f>
        <v>0</v>
      </c>
      <c r="AI75" s="15" t="s">
        <v>1859</v>
      </c>
      <c r="AJ75" s="14">
        <f>IF(AN75=0,L75,0)</f>
        <v>0</v>
      </c>
      <c r="AK75" s="14">
        <f>IF(AN75=15,L75,0)</f>
        <v>0</v>
      </c>
      <c r="AL75" s="14">
        <f>IF(AN75=21,L75,0)</f>
        <v>0</v>
      </c>
      <c r="AN75" s="14">
        <v>21</v>
      </c>
      <c r="AO75" s="92">
        <f>H75*0.103870845204179</f>
        <v>0</v>
      </c>
      <c r="AP75" s="92">
        <f>H75*(1-0.103870845204179)</f>
        <v>0</v>
      </c>
      <c r="AQ75" s="55" t="s">
        <v>2422</v>
      </c>
      <c r="AV75" s="14">
        <f>AW75+AX75</f>
        <v>0</v>
      </c>
      <c r="AW75" s="14">
        <f>G75*AO75</f>
        <v>0</v>
      </c>
      <c r="AX75" s="14">
        <f>G75*AP75</f>
        <v>0</v>
      </c>
      <c r="AY75" s="55" t="s">
        <v>2157</v>
      </c>
      <c r="AZ75" s="55" t="s">
        <v>2652</v>
      </c>
      <c r="BA75" s="15" t="s">
        <v>2202</v>
      </c>
      <c r="BC75" s="14">
        <f>AW75+AX75</f>
        <v>0</v>
      </c>
      <c r="BD75" s="14">
        <f>H75/(100-BE75)*100</f>
        <v>0</v>
      </c>
      <c r="BE75" s="14">
        <v>0</v>
      </c>
      <c r="BF75" s="14">
        <f>O75</f>
        <v>3.5236512000000002</v>
      </c>
      <c r="BH75" s="14">
        <f>G75*AO75</f>
        <v>0</v>
      </c>
      <c r="BI75" s="14">
        <f>G75*AP75</f>
        <v>0</v>
      </c>
      <c r="BJ75" s="14">
        <f>G75*H75</f>
        <v>0</v>
      </c>
      <c r="BK75" s="14"/>
      <c r="BL75" s="14">
        <v>96</v>
      </c>
      <c r="BW75" s="14" t="str">
        <f>I75</f>
        <v>21</v>
      </c>
    </row>
    <row r="76" spans="1:75" ht="15" customHeight="1">
      <c r="A76" s="32"/>
      <c r="D76" s="3" t="s">
        <v>1032</v>
      </c>
      <c r="E76" s="28" t="s">
        <v>1459</v>
      </c>
      <c r="G76" s="27">
        <v>2.72</v>
      </c>
      <c r="P76" s="33"/>
    </row>
    <row r="77" spans="1:75" ht="13.5" customHeight="1">
      <c r="A77" s="21" t="s">
        <v>235</v>
      </c>
      <c r="B77" s="37" t="s">
        <v>1859</v>
      </c>
      <c r="C77" s="37" t="s">
        <v>244</v>
      </c>
      <c r="D77" s="578" t="s">
        <v>8</v>
      </c>
      <c r="E77" s="579"/>
      <c r="F77" s="37" t="s">
        <v>2359</v>
      </c>
      <c r="G77" s="14">
        <v>37.61</v>
      </c>
      <c r="H77" s="569"/>
      <c r="I77" s="55" t="s">
        <v>1720</v>
      </c>
      <c r="J77" s="14">
        <f>G77*AO77</f>
        <v>0</v>
      </c>
      <c r="K77" s="14">
        <f>G77*AP77</f>
        <v>0</v>
      </c>
      <c r="L77" s="14">
        <f>G77*H77</f>
        <v>0</v>
      </c>
      <c r="M77" s="14">
        <f>L77*(1+BW77/100)</f>
        <v>0</v>
      </c>
      <c r="N77" s="14">
        <v>2</v>
      </c>
      <c r="O77" s="14">
        <f>G77*N77</f>
        <v>75.22</v>
      </c>
      <c r="P77" s="72" t="s">
        <v>1664</v>
      </c>
      <c r="Z77" s="14">
        <f>IF(AQ77="5",BJ77,0)</f>
        <v>0</v>
      </c>
      <c r="AB77" s="14">
        <f>IF(AQ77="1",BH77,0)</f>
        <v>0</v>
      </c>
      <c r="AC77" s="14">
        <f>IF(AQ77="1",BI77,0)</f>
        <v>0</v>
      </c>
      <c r="AD77" s="14">
        <f>IF(AQ77="7",BH77,0)</f>
        <v>0</v>
      </c>
      <c r="AE77" s="14">
        <f>IF(AQ77="7",BI77,0)</f>
        <v>0</v>
      </c>
      <c r="AF77" s="14">
        <f>IF(AQ77="2",BH77,0)</f>
        <v>0</v>
      </c>
      <c r="AG77" s="14">
        <f>IF(AQ77="2",BI77,0)</f>
        <v>0</v>
      </c>
      <c r="AH77" s="14">
        <f>IF(AQ77="0",BJ77,0)</f>
        <v>0</v>
      </c>
      <c r="AI77" s="15" t="s">
        <v>1859</v>
      </c>
      <c r="AJ77" s="14">
        <f>IF(AN77=0,L77,0)</f>
        <v>0</v>
      </c>
      <c r="AK77" s="14">
        <f>IF(AN77=15,L77,0)</f>
        <v>0</v>
      </c>
      <c r="AL77" s="14">
        <f>IF(AN77=21,L77,0)</f>
        <v>0</v>
      </c>
      <c r="AN77" s="14">
        <v>21</v>
      </c>
      <c r="AO77" s="92">
        <f>H77*0</f>
        <v>0</v>
      </c>
      <c r="AP77" s="92">
        <f>H77*(1-0)</f>
        <v>0</v>
      </c>
      <c r="AQ77" s="55" t="s">
        <v>2422</v>
      </c>
      <c r="AV77" s="14">
        <f>AW77+AX77</f>
        <v>0</v>
      </c>
      <c r="AW77" s="14">
        <f>G77*AO77</f>
        <v>0</v>
      </c>
      <c r="AX77" s="14">
        <f>G77*AP77</f>
        <v>0</v>
      </c>
      <c r="AY77" s="55" t="s">
        <v>2157</v>
      </c>
      <c r="AZ77" s="55" t="s">
        <v>2652</v>
      </c>
      <c r="BA77" s="15" t="s">
        <v>2202</v>
      </c>
      <c r="BC77" s="14">
        <f>AW77+AX77</f>
        <v>0</v>
      </c>
      <c r="BD77" s="14">
        <f>H77/(100-BE77)*100</f>
        <v>0</v>
      </c>
      <c r="BE77" s="14">
        <v>0</v>
      </c>
      <c r="BF77" s="14">
        <f>O77</f>
        <v>75.22</v>
      </c>
      <c r="BH77" s="14">
        <f>G77*AO77</f>
        <v>0</v>
      </c>
      <c r="BI77" s="14">
        <f>G77*AP77</f>
        <v>0</v>
      </c>
      <c r="BJ77" s="14">
        <f>G77*H77</f>
        <v>0</v>
      </c>
      <c r="BK77" s="14"/>
      <c r="BL77" s="14">
        <v>96</v>
      </c>
      <c r="BW77" s="14" t="str">
        <f>I77</f>
        <v>21</v>
      </c>
    </row>
    <row r="78" spans="1:75" ht="15" customHeight="1">
      <c r="A78" s="32"/>
      <c r="D78" s="3" t="s">
        <v>1394</v>
      </c>
      <c r="E78" s="28" t="s">
        <v>414</v>
      </c>
      <c r="G78" s="27">
        <v>32.300000000000004</v>
      </c>
      <c r="P78" s="33"/>
    </row>
    <row r="79" spans="1:75" ht="15" customHeight="1">
      <c r="A79" s="32"/>
      <c r="D79" s="3" t="s">
        <v>468</v>
      </c>
      <c r="E79" s="28" t="s">
        <v>460</v>
      </c>
      <c r="G79" s="27">
        <v>5.3100000000000005</v>
      </c>
      <c r="P79" s="33"/>
    </row>
    <row r="80" spans="1:75" ht="13.5" customHeight="1">
      <c r="A80" s="21" t="s">
        <v>593</v>
      </c>
      <c r="B80" s="37" t="s">
        <v>1859</v>
      </c>
      <c r="C80" s="37" t="s">
        <v>2210</v>
      </c>
      <c r="D80" s="578" t="s">
        <v>377</v>
      </c>
      <c r="E80" s="579"/>
      <c r="F80" s="37" t="s">
        <v>2359</v>
      </c>
      <c r="G80" s="14">
        <v>2.8</v>
      </c>
      <c r="H80" s="569"/>
      <c r="I80" s="55" t="s">
        <v>1720</v>
      </c>
      <c r="J80" s="14">
        <f>G80*AO80</f>
        <v>0</v>
      </c>
      <c r="K80" s="14">
        <f>G80*AP80</f>
        <v>0</v>
      </c>
      <c r="L80" s="14">
        <f>G80*H80</f>
        <v>0</v>
      </c>
      <c r="M80" s="14">
        <f>L80*(1+BW80/100)</f>
        <v>0</v>
      </c>
      <c r="N80" s="14">
        <v>0.56999999999999995</v>
      </c>
      <c r="O80" s="14">
        <f>G80*N80</f>
        <v>1.5959999999999999</v>
      </c>
      <c r="P80" s="72" t="s">
        <v>1664</v>
      </c>
      <c r="Z80" s="14">
        <f>IF(AQ80="5",BJ80,0)</f>
        <v>0</v>
      </c>
      <c r="AB80" s="14">
        <f>IF(AQ80="1",BH80,0)</f>
        <v>0</v>
      </c>
      <c r="AC80" s="14">
        <f>IF(AQ80="1",BI80,0)</f>
        <v>0</v>
      </c>
      <c r="AD80" s="14">
        <f>IF(AQ80="7",BH80,0)</f>
        <v>0</v>
      </c>
      <c r="AE80" s="14">
        <f>IF(AQ80="7",BI80,0)</f>
        <v>0</v>
      </c>
      <c r="AF80" s="14">
        <f>IF(AQ80="2",BH80,0)</f>
        <v>0</v>
      </c>
      <c r="AG80" s="14">
        <f>IF(AQ80="2",BI80,0)</f>
        <v>0</v>
      </c>
      <c r="AH80" s="14">
        <f>IF(AQ80="0",BJ80,0)</f>
        <v>0</v>
      </c>
      <c r="AI80" s="15" t="s">
        <v>1859</v>
      </c>
      <c r="AJ80" s="14">
        <f>IF(AN80=0,L80,0)</f>
        <v>0</v>
      </c>
      <c r="AK80" s="14">
        <f>IF(AN80=15,L80,0)</f>
        <v>0</v>
      </c>
      <c r="AL80" s="14">
        <f>IF(AN80=21,L80,0)</f>
        <v>0</v>
      </c>
      <c r="AN80" s="14">
        <v>21</v>
      </c>
      <c r="AO80" s="92">
        <f>H80*0</f>
        <v>0</v>
      </c>
      <c r="AP80" s="92">
        <f>H80*(1-0)</f>
        <v>0</v>
      </c>
      <c r="AQ80" s="55" t="s">
        <v>2422</v>
      </c>
      <c r="AV80" s="14">
        <f>AW80+AX80</f>
        <v>0</v>
      </c>
      <c r="AW80" s="14">
        <f>G80*AO80</f>
        <v>0</v>
      </c>
      <c r="AX80" s="14">
        <f>G80*AP80</f>
        <v>0</v>
      </c>
      <c r="AY80" s="55" t="s">
        <v>2157</v>
      </c>
      <c r="AZ80" s="55" t="s">
        <v>2652</v>
      </c>
      <c r="BA80" s="15" t="s">
        <v>2202</v>
      </c>
      <c r="BC80" s="14">
        <f>AW80+AX80</f>
        <v>0</v>
      </c>
      <c r="BD80" s="14">
        <f>H80/(100-BE80)*100</f>
        <v>0</v>
      </c>
      <c r="BE80" s="14">
        <v>0</v>
      </c>
      <c r="BF80" s="14">
        <f>O80</f>
        <v>1.5959999999999999</v>
      </c>
      <c r="BH80" s="14">
        <f>G80*AO80</f>
        <v>0</v>
      </c>
      <c r="BI80" s="14">
        <f>G80*AP80</f>
        <v>0</v>
      </c>
      <c r="BJ80" s="14">
        <f>G80*H80</f>
        <v>0</v>
      </c>
      <c r="BK80" s="14"/>
      <c r="BL80" s="14">
        <v>96</v>
      </c>
      <c r="BW80" s="14" t="str">
        <f>I80</f>
        <v>21</v>
      </c>
    </row>
    <row r="81" spans="1:75" ht="15" customHeight="1">
      <c r="A81" s="32"/>
      <c r="D81" s="3" t="s">
        <v>2319</v>
      </c>
      <c r="E81" s="28" t="s">
        <v>2353</v>
      </c>
      <c r="G81" s="27">
        <v>2.8000000000000003</v>
      </c>
      <c r="P81" s="33"/>
    </row>
    <row r="82" spans="1:75" ht="13.5" customHeight="1">
      <c r="A82" s="21" t="s">
        <v>296</v>
      </c>
      <c r="B82" s="37" t="s">
        <v>1859</v>
      </c>
      <c r="C82" s="37" t="s">
        <v>411</v>
      </c>
      <c r="D82" s="578" t="s">
        <v>1174</v>
      </c>
      <c r="E82" s="579"/>
      <c r="F82" s="37" t="s">
        <v>2359</v>
      </c>
      <c r="G82" s="14">
        <v>5.17</v>
      </c>
      <c r="H82" s="569"/>
      <c r="I82" s="55" t="s">
        <v>1720</v>
      </c>
      <c r="J82" s="14">
        <f>G82*AO82</f>
        <v>0</v>
      </c>
      <c r="K82" s="14">
        <f>G82*AP82</f>
        <v>0</v>
      </c>
      <c r="L82" s="14">
        <f>G82*H82</f>
        <v>0</v>
      </c>
      <c r="M82" s="14">
        <f>L82*(1+BW82/100)</f>
        <v>0</v>
      </c>
      <c r="N82" s="14">
        <v>1.671</v>
      </c>
      <c r="O82" s="14">
        <f>G82*N82</f>
        <v>8.6390700000000002</v>
      </c>
      <c r="P82" s="72" t="s">
        <v>1664</v>
      </c>
      <c r="Z82" s="14">
        <f>IF(AQ82="5",BJ82,0)</f>
        <v>0</v>
      </c>
      <c r="AB82" s="14">
        <f>IF(AQ82="1",BH82,0)</f>
        <v>0</v>
      </c>
      <c r="AC82" s="14">
        <f>IF(AQ82="1",BI82,0)</f>
        <v>0</v>
      </c>
      <c r="AD82" s="14">
        <f>IF(AQ82="7",BH82,0)</f>
        <v>0</v>
      </c>
      <c r="AE82" s="14">
        <f>IF(AQ82="7",BI82,0)</f>
        <v>0</v>
      </c>
      <c r="AF82" s="14">
        <f>IF(AQ82="2",BH82,0)</f>
        <v>0</v>
      </c>
      <c r="AG82" s="14">
        <f>IF(AQ82="2",BI82,0)</f>
        <v>0</v>
      </c>
      <c r="AH82" s="14">
        <f>IF(AQ82="0",BJ82,0)</f>
        <v>0</v>
      </c>
      <c r="AI82" s="15" t="s">
        <v>1859</v>
      </c>
      <c r="AJ82" s="14">
        <f>IF(AN82=0,L82,0)</f>
        <v>0</v>
      </c>
      <c r="AK82" s="14">
        <f>IF(AN82=15,L82,0)</f>
        <v>0</v>
      </c>
      <c r="AL82" s="14">
        <f>IF(AN82=21,L82,0)</f>
        <v>0</v>
      </c>
      <c r="AN82" s="14">
        <v>21</v>
      </c>
      <c r="AO82" s="92">
        <f>H82*0</f>
        <v>0</v>
      </c>
      <c r="AP82" s="92">
        <f>H82*(1-0)</f>
        <v>0</v>
      </c>
      <c r="AQ82" s="55" t="s">
        <v>2422</v>
      </c>
      <c r="AV82" s="14">
        <f>AW82+AX82</f>
        <v>0</v>
      </c>
      <c r="AW82" s="14">
        <f>G82*AO82</f>
        <v>0</v>
      </c>
      <c r="AX82" s="14">
        <f>G82*AP82</f>
        <v>0</v>
      </c>
      <c r="AY82" s="55" t="s">
        <v>2157</v>
      </c>
      <c r="AZ82" s="55" t="s">
        <v>2652</v>
      </c>
      <c r="BA82" s="15" t="s">
        <v>2202</v>
      </c>
      <c r="BC82" s="14">
        <f>AW82+AX82</f>
        <v>0</v>
      </c>
      <c r="BD82" s="14">
        <f>H82/(100-BE82)*100</f>
        <v>0</v>
      </c>
      <c r="BE82" s="14">
        <v>0</v>
      </c>
      <c r="BF82" s="14">
        <f>O82</f>
        <v>8.6390700000000002</v>
      </c>
      <c r="BH82" s="14">
        <f>G82*AO82</f>
        <v>0</v>
      </c>
      <c r="BI82" s="14">
        <f>G82*AP82</f>
        <v>0</v>
      </c>
      <c r="BJ82" s="14">
        <f>G82*H82</f>
        <v>0</v>
      </c>
      <c r="BK82" s="14"/>
      <c r="BL82" s="14">
        <v>96</v>
      </c>
      <c r="BW82" s="14" t="str">
        <f>I82</f>
        <v>21</v>
      </c>
    </row>
    <row r="83" spans="1:75" ht="15" customHeight="1">
      <c r="A83" s="32"/>
      <c r="D83" s="3" t="s">
        <v>2655</v>
      </c>
      <c r="E83" s="28" t="s">
        <v>1708</v>
      </c>
      <c r="G83" s="27">
        <v>3.7700000000000005</v>
      </c>
      <c r="P83" s="33"/>
    </row>
    <row r="84" spans="1:75" ht="15" customHeight="1">
      <c r="A84" s="32"/>
      <c r="D84" s="3" t="s">
        <v>2038</v>
      </c>
      <c r="E84" s="28" t="s">
        <v>2745</v>
      </c>
      <c r="G84" s="27">
        <v>1.4000000000000001</v>
      </c>
      <c r="P84" s="33"/>
    </row>
    <row r="85" spans="1:75" ht="15" customHeight="1">
      <c r="A85" s="65" t="s">
        <v>1683</v>
      </c>
      <c r="B85" s="26" t="s">
        <v>1859</v>
      </c>
      <c r="C85" s="26" t="s">
        <v>273</v>
      </c>
      <c r="D85" s="649" t="s">
        <v>2711</v>
      </c>
      <c r="E85" s="650"/>
      <c r="F85" s="74" t="s">
        <v>2262</v>
      </c>
      <c r="G85" s="74" t="s">
        <v>2262</v>
      </c>
      <c r="H85" s="74" t="s">
        <v>2262</v>
      </c>
      <c r="I85" s="74" t="s">
        <v>2262</v>
      </c>
      <c r="J85" s="2">
        <f>SUM(J86:J88)</f>
        <v>0</v>
      </c>
      <c r="K85" s="2">
        <f>SUM(K86:K88)</f>
        <v>0</v>
      </c>
      <c r="L85" s="2">
        <f>SUM(L86:L88)</f>
        <v>0</v>
      </c>
      <c r="M85" s="2">
        <f>SUM(M86:M88)</f>
        <v>0</v>
      </c>
      <c r="N85" s="15" t="s">
        <v>1683</v>
      </c>
      <c r="O85" s="2">
        <f>SUM(O86:O88)</f>
        <v>26.313589999999998</v>
      </c>
      <c r="P85" s="47" t="s">
        <v>1683</v>
      </c>
      <c r="AI85" s="15" t="s">
        <v>1859</v>
      </c>
      <c r="AS85" s="2">
        <f>SUM(AJ86:AJ88)</f>
        <v>0</v>
      </c>
      <c r="AT85" s="2">
        <f>SUM(AK86:AK88)</f>
        <v>0</v>
      </c>
      <c r="AU85" s="2">
        <f>SUM(AL86:AL88)</f>
        <v>0</v>
      </c>
    </row>
    <row r="86" spans="1:75" ht="13.5" customHeight="1">
      <c r="A86" s="21" t="s">
        <v>2390</v>
      </c>
      <c r="B86" s="37" t="s">
        <v>1859</v>
      </c>
      <c r="C86" s="37" t="s">
        <v>1913</v>
      </c>
      <c r="D86" s="578" t="s">
        <v>181</v>
      </c>
      <c r="E86" s="579"/>
      <c r="F86" s="37" t="s">
        <v>2398</v>
      </c>
      <c r="G86" s="14">
        <v>286</v>
      </c>
      <c r="H86" s="569"/>
      <c r="I86" s="55" t="s">
        <v>1720</v>
      </c>
      <c r="J86" s="14">
        <f>G86*AO86</f>
        <v>0</v>
      </c>
      <c r="K86" s="14">
        <f>G86*AP86</f>
        <v>0</v>
      </c>
      <c r="L86" s="14">
        <f>G86*H86</f>
        <v>0</v>
      </c>
      <c r="M86" s="14">
        <f>L86*(1+BW86/100)</f>
        <v>0</v>
      </c>
      <c r="N86" s="14">
        <v>4.5999999999999999E-2</v>
      </c>
      <c r="O86" s="14">
        <f>G86*N86</f>
        <v>13.156000000000001</v>
      </c>
      <c r="P86" s="72" t="s">
        <v>1664</v>
      </c>
      <c r="Z86" s="14">
        <f>IF(AQ86="5",BJ86,0)</f>
        <v>0</v>
      </c>
      <c r="AB86" s="14">
        <f>IF(AQ86="1",BH86,0)</f>
        <v>0</v>
      </c>
      <c r="AC86" s="14">
        <f>IF(AQ86="1",BI86,0)</f>
        <v>0</v>
      </c>
      <c r="AD86" s="14">
        <f>IF(AQ86="7",BH86,0)</f>
        <v>0</v>
      </c>
      <c r="AE86" s="14">
        <f>IF(AQ86="7",BI86,0)</f>
        <v>0</v>
      </c>
      <c r="AF86" s="14">
        <f>IF(AQ86="2",BH86,0)</f>
        <v>0</v>
      </c>
      <c r="AG86" s="14">
        <f>IF(AQ86="2",BI86,0)</f>
        <v>0</v>
      </c>
      <c r="AH86" s="14">
        <f>IF(AQ86="0",BJ86,0)</f>
        <v>0</v>
      </c>
      <c r="AI86" s="15" t="s">
        <v>1859</v>
      </c>
      <c r="AJ86" s="14">
        <f>IF(AN86=0,L86,0)</f>
        <v>0</v>
      </c>
      <c r="AK86" s="14">
        <f>IF(AN86=15,L86,0)</f>
        <v>0</v>
      </c>
      <c r="AL86" s="14">
        <f>IF(AN86=21,L86,0)</f>
        <v>0</v>
      </c>
      <c r="AN86" s="14">
        <v>21</v>
      </c>
      <c r="AO86" s="92">
        <f>H86*0</f>
        <v>0</v>
      </c>
      <c r="AP86" s="92">
        <f>H86*(1-0)</f>
        <v>0</v>
      </c>
      <c r="AQ86" s="55" t="s">
        <v>2422</v>
      </c>
      <c r="AV86" s="14">
        <f>AW86+AX86</f>
        <v>0</v>
      </c>
      <c r="AW86" s="14">
        <f>G86*AO86</f>
        <v>0</v>
      </c>
      <c r="AX86" s="14">
        <f>G86*AP86</f>
        <v>0</v>
      </c>
      <c r="AY86" s="55" t="s">
        <v>761</v>
      </c>
      <c r="AZ86" s="55" t="s">
        <v>2652</v>
      </c>
      <c r="BA86" s="15" t="s">
        <v>2202</v>
      </c>
      <c r="BC86" s="14">
        <f>AW86+AX86</f>
        <v>0</v>
      </c>
      <c r="BD86" s="14">
        <f>H86/(100-BE86)*100</f>
        <v>0</v>
      </c>
      <c r="BE86" s="14">
        <v>0</v>
      </c>
      <c r="BF86" s="14">
        <f>O86</f>
        <v>13.156000000000001</v>
      </c>
      <c r="BH86" s="14">
        <f>G86*AO86</f>
        <v>0</v>
      </c>
      <c r="BI86" s="14">
        <f>G86*AP86</f>
        <v>0</v>
      </c>
      <c r="BJ86" s="14">
        <f>G86*H86</f>
        <v>0</v>
      </c>
      <c r="BK86" s="14"/>
      <c r="BL86" s="14">
        <v>97</v>
      </c>
      <c r="BW86" s="14" t="str">
        <f>I86</f>
        <v>21</v>
      </c>
    </row>
    <row r="87" spans="1:75" ht="15" customHeight="1">
      <c r="A87" s="32"/>
      <c r="D87" s="3" t="s">
        <v>1262</v>
      </c>
      <c r="E87" s="28" t="s">
        <v>2551</v>
      </c>
      <c r="G87" s="27">
        <v>286</v>
      </c>
      <c r="P87" s="33"/>
    </row>
    <row r="88" spans="1:75" ht="13.5" customHeight="1">
      <c r="A88" s="21" t="s">
        <v>2665</v>
      </c>
      <c r="B88" s="37" t="s">
        <v>1859</v>
      </c>
      <c r="C88" s="37" t="s">
        <v>2547</v>
      </c>
      <c r="D88" s="578" t="s">
        <v>1246</v>
      </c>
      <c r="E88" s="579"/>
      <c r="F88" s="37" t="s">
        <v>2398</v>
      </c>
      <c r="G88" s="14">
        <v>223.01</v>
      </c>
      <c r="H88" s="569"/>
      <c r="I88" s="55" t="s">
        <v>1720</v>
      </c>
      <c r="J88" s="14">
        <f>G88*AO88</f>
        <v>0</v>
      </c>
      <c r="K88" s="14">
        <f>G88*AP88</f>
        <v>0</v>
      </c>
      <c r="L88" s="14">
        <f>G88*H88</f>
        <v>0</v>
      </c>
      <c r="M88" s="14">
        <f>L88*(1+BW88/100)</f>
        <v>0</v>
      </c>
      <c r="N88" s="14">
        <v>5.8999999999999997E-2</v>
      </c>
      <c r="O88" s="14">
        <f>G88*N88</f>
        <v>13.157589999999999</v>
      </c>
      <c r="P88" s="72" t="s">
        <v>1664</v>
      </c>
      <c r="Z88" s="14">
        <f>IF(AQ88="5",BJ88,0)</f>
        <v>0</v>
      </c>
      <c r="AB88" s="14">
        <f>IF(AQ88="1",BH88,0)</f>
        <v>0</v>
      </c>
      <c r="AC88" s="14">
        <f>IF(AQ88="1",BI88,0)</f>
        <v>0</v>
      </c>
      <c r="AD88" s="14">
        <f>IF(AQ88="7",BH88,0)</f>
        <v>0</v>
      </c>
      <c r="AE88" s="14">
        <f>IF(AQ88="7",BI88,0)</f>
        <v>0</v>
      </c>
      <c r="AF88" s="14">
        <f>IF(AQ88="2",BH88,0)</f>
        <v>0</v>
      </c>
      <c r="AG88" s="14">
        <f>IF(AQ88="2",BI88,0)</f>
        <v>0</v>
      </c>
      <c r="AH88" s="14">
        <f>IF(AQ88="0",BJ88,0)</f>
        <v>0</v>
      </c>
      <c r="AI88" s="15" t="s">
        <v>1859</v>
      </c>
      <c r="AJ88" s="14">
        <f>IF(AN88=0,L88,0)</f>
        <v>0</v>
      </c>
      <c r="AK88" s="14">
        <f>IF(AN88=15,L88,0)</f>
        <v>0</v>
      </c>
      <c r="AL88" s="14">
        <f>IF(AN88=21,L88,0)</f>
        <v>0</v>
      </c>
      <c r="AN88" s="14">
        <v>21</v>
      </c>
      <c r="AO88" s="92">
        <f>H88*0</f>
        <v>0</v>
      </c>
      <c r="AP88" s="92">
        <f>H88*(1-0)</f>
        <v>0</v>
      </c>
      <c r="AQ88" s="55" t="s">
        <v>2422</v>
      </c>
      <c r="AV88" s="14">
        <f>AW88+AX88</f>
        <v>0</v>
      </c>
      <c r="AW88" s="14">
        <f>G88*AO88</f>
        <v>0</v>
      </c>
      <c r="AX88" s="14">
        <f>G88*AP88</f>
        <v>0</v>
      </c>
      <c r="AY88" s="55" t="s">
        <v>761</v>
      </c>
      <c r="AZ88" s="55" t="s">
        <v>2652</v>
      </c>
      <c r="BA88" s="15" t="s">
        <v>2202</v>
      </c>
      <c r="BC88" s="14">
        <f>AW88+AX88</f>
        <v>0</v>
      </c>
      <c r="BD88" s="14">
        <f>H88/(100-BE88)*100</f>
        <v>0</v>
      </c>
      <c r="BE88" s="14">
        <v>0</v>
      </c>
      <c r="BF88" s="14">
        <f>O88</f>
        <v>13.157589999999999</v>
      </c>
      <c r="BH88" s="14">
        <f>G88*AO88</f>
        <v>0</v>
      </c>
      <c r="BI88" s="14">
        <f>G88*AP88</f>
        <v>0</v>
      </c>
      <c r="BJ88" s="14">
        <f>G88*H88</f>
        <v>0</v>
      </c>
      <c r="BK88" s="14"/>
      <c r="BL88" s="14">
        <v>97</v>
      </c>
      <c r="BW88" s="14" t="str">
        <f>I88</f>
        <v>21</v>
      </c>
    </row>
    <row r="89" spans="1:75" ht="15" customHeight="1">
      <c r="A89" s="32"/>
      <c r="D89" s="3" t="s">
        <v>1801</v>
      </c>
      <c r="E89" s="28" t="s">
        <v>49</v>
      </c>
      <c r="G89" s="27">
        <v>259</v>
      </c>
      <c r="P89" s="33"/>
    </row>
    <row r="90" spans="1:75" ht="15" customHeight="1">
      <c r="A90" s="32"/>
      <c r="D90" s="3" t="s">
        <v>2423</v>
      </c>
      <c r="E90" s="28" t="s">
        <v>631</v>
      </c>
      <c r="G90" s="27">
        <v>-35.99</v>
      </c>
      <c r="P90" s="33"/>
    </row>
    <row r="91" spans="1:75" ht="15" customHeight="1">
      <c r="A91" s="65" t="s">
        <v>1683</v>
      </c>
      <c r="B91" s="26" t="s">
        <v>1859</v>
      </c>
      <c r="C91" s="26" t="s">
        <v>804</v>
      </c>
      <c r="D91" s="649" t="s">
        <v>1036</v>
      </c>
      <c r="E91" s="650"/>
      <c r="F91" s="74" t="s">
        <v>2262</v>
      </c>
      <c r="G91" s="74" t="s">
        <v>2262</v>
      </c>
      <c r="H91" s="74" t="s">
        <v>2262</v>
      </c>
      <c r="I91" s="74" t="s">
        <v>2262</v>
      </c>
      <c r="J91" s="2">
        <f>SUM(J92:J104)</f>
        <v>0</v>
      </c>
      <c r="K91" s="2">
        <f>SUM(K92:K104)</f>
        <v>0</v>
      </c>
      <c r="L91" s="2">
        <f>SUM(L92:L104)</f>
        <v>0</v>
      </c>
      <c r="M91" s="2">
        <f>SUM(M92:M104)</f>
        <v>0</v>
      </c>
      <c r="N91" s="15" t="s">
        <v>1683</v>
      </c>
      <c r="O91" s="2">
        <f>SUM(O92:O104)</f>
        <v>0</v>
      </c>
      <c r="P91" s="47" t="s">
        <v>1683</v>
      </c>
      <c r="AI91" s="15" t="s">
        <v>1859</v>
      </c>
      <c r="AS91" s="2">
        <f>SUM(AJ92:AJ104)</f>
        <v>0</v>
      </c>
      <c r="AT91" s="2">
        <f>SUM(AK92:AK104)</f>
        <v>0</v>
      </c>
      <c r="AU91" s="2">
        <f>SUM(AL92:AL104)</f>
        <v>0</v>
      </c>
    </row>
    <row r="92" spans="1:75" ht="13.5" customHeight="1">
      <c r="A92" s="21" t="s">
        <v>188</v>
      </c>
      <c r="B92" s="37" t="s">
        <v>1859</v>
      </c>
      <c r="C92" s="37" t="s">
        <v>393</v>
      </c>
      <c r="D92" s="578" t="s">
        <v>269</v>
      </c>
      <c r="E92" s="579"/>
      <c r="F92" s="37" t="s">
        <v>1130</v>
      </c>
      <c r="G92" s="14">
        <v>28.45</v>
      </c>
      <c r="H92" s="569"/>
      <c r="I92" s="55" t="s">
        <v>1720</v>
      </c>
      <c r="J92" s="14">
        <f>G92*AO92</f>
        <v>0</v>
      </c>
      <c r="K92" s="14">
        <f>G92*AP92</f>
        <v>0</v>
      </c>
      <c r="L92" s="14">
        <f>G92*H92</f>
        <v>0</v>
      </c>
      <c r="M92" s="14">
        <f>L92*(1+BW92/100)</f>
        <v>0</v>
      </c>
      <c r="N92" s="14">
        <v>0</v>
      </c>
      <c r="O92" s="14">
        <f>G92*N92</f>
        <v>0</v>
      </c>
      <c r="P92" s="72" t="s">
        <v>1664</v>
      </c>
      <c r="Z92" s="14">
        <f>IF(AQ92="5",BJ92,0)</f>
        <v>0</v>
      </c>
      <c r="AB92" s="14">
        <f>IF(AQ92="1",BH92,0)</f>
        <v>0</v>
      </c>
      <c r="AC92" s="14">
        <f>IF(AQ92="1",BI92,0)</f>
        <v>0</v>
      </c>
      <c r="AD92" s="14">
        <f>IF(AQ92="7",BH92,0)</f>
        <v>0</v>
      </c>
      <c r="AE92" s="14">
        <f>IF(AQ92="7",BI92,0)</f>
        <v>0</v>
      </c>
      <c r="AF92" s="14">
        <f>IF(AQ92="2",BH92,0)</f>
        <v>0</v>
      </c>
      <c r="AG92" s="14">
        <f>IF(AQ92="2",BI92,0)</f>
        <v>0</v>
      </c>
      <c r="AH92" s="14">
        <f>IF(AQ92="0",BJ92,0)</f>
        <v>0</v>
      </c>
      <c r="AI92" s="15" t="s">
        <v>1859</v>
      </c>
      <c r="AJ92" s="14">
        <f>IF(AN92=0,L92,0)</f>
        <v>0</v>
      </c>
      <c r="AK92" s="14">
        <f>IF(AN92=15,L92,0)</f>
        <v>0</v>
      </c>
      <c r="AL92" s="14">
        <f>IF(AN92=21,L92,0)</f>
        <v>0</v>
      </c>
      <c r="AN92" s="14">
        <v>21</v>
      </c>
      <c r="AO92" s="92">
        <f>H92*0</f>
        <v>0</v>
      </c>
      <c r="AP92" s="92">
        <f>H92*(1-0)</f>
        <v>0</v>
      </c>
      <c r="AQ92" s="55" t="s">
        <v>1287</v>
      </c>
      <c r="AV92" s="14">
        <f>AW92+AX92</f>
        <v>0</v>
      </c>
      <c r="AW92" s="14">
        <f>G92*AO92</f>
        <v>0</v>
      </c>
      <c r="AX92" s="14">
        <f>G92*AP92</f>
        <v>0</v>
      </c>
      <c r="AY92" s="55" t="s">
        <v>992</v>
      </c>
      <c r="AZ92" s="55" t="s">
        <v>2652</v>
      </c>
      <c r="BA92" s="15" t="s">
        <v>2202</v>
      </c>
      <c r="BC92" s="14">
        <f>AW92+AX92</f>
        <v>0</v>
      </c>
      <c r="BD92" s="14">
        <f>H92/(100-BE92)*100</f>
        <v>0</v>
      </c>
      <c r="BE92" s="14">
        <v>0</v>
      </c>
      <c r="BF92" s="14">
        <f>O92</f>
        <v>0</v>
      </c>
      <c r="BH92" s="14">
        <f>G92*AO92</f>
        <v>0</v>
      </c>
      <c r="BI92" s="14">
        <f>G92*AP92</f>
        <v>0</v>
      </c>
      <c r="BJ92" s="14">
        <f>G92*H92</f>
        <v>0</v>
      </c>
      <c r="BK92" s="14"/>
      <c r="BL92" s="14"/>
      <c r="BW92" s="14" t="str">
        <f>I92</f>
        <v>21</v>
      </c>
    </row>
    <row r="93" spans="1:75" ht="15" customHeight="1">
      <c r="A93" s="32"/>
      <c r="D93" s="3" t="s">
        <v>1639</v>
      </c>
      <c r="E93" s="28" t="s">
        <v>1240</v>
      </c>
      <c r="G93" s="27">
        <v>28.450000000000003</v>
      </c>
      <c r="P93" s="33"/>
    </row>
    <row r="94" spans="1:75" ht="13.5" customHeight="1">
      <c r="A94" s="21" t="s">
        <v>1565</v>
      </c>
      <c r="B94" s="37" t="s">
        <v>1859</v>
      </c>
      <c r="C94" s="37" t="s">
        <v>2477</v>
      </c>
      <c r="D94" s="578" t="s">
        <v>1160</v>
      </c>
      <c r="E94" s="579"/>
      <c r="F94" s="37" t="s">
        <v>1130</v>
      </c>
      <c r="G94" s="14">
        <v>15.9</v>
      </c>
      <c r="H94" s="569"/>
      <c r="I94" s="55" t="s">
        <v>1720</v>
      </c>
      <c r="J94" s="14">
        <f>G94*AO94</f>
        <v>0</v>
      </c>
      <c r="K94" s="14">
        <f>G94*AP94</f>
        <v>0</v>
      </c>
      <c r="L94" s="14">
        <f>G94*H94</f>
        <v>0</v>
      </c>
      <c r="M94" s="14">
        <f>L94*(1+BW94/100)</f>
        <v>0</v>
      </c>
      <c r="N94" s="14">
        <v>0</v>
      </c>
      <c r="O94" s="14">
        <f>G94*N94</f>
        <v>0</v>
      </c>
      <c r="P94" s="72" t="s">
        <v>1664</v>
      </c>
      <c r="Z94" s="14">
        <f>IF(AQ94="5",BJ94,0)</f>
        <v>0</v>
      </c>
      <c r="AB94" s="14">
        <f>IF(AQ94="1",BH94,0)</f>
        <v>0</v>
      </c>
      <c r="AC94" s="14">
        <f>IF(AQ94="1",BI94,0)</f>
        <v>0</v>
      </c>
      <c r="AD94" s="14">
        <f>IF(AQ94="7",BH94,0)</f>
        <v>0</v>
      </c>
      <c r="AE94" s="14">
        <f>IF(AQ94="7",BI94,0)</f>
        <v>0</v>
      </c>
      <c r="AF94" s="14">
        <f>IF(AQ94="2",BH94,0)</f>
        <v>0</v>
      </c>
      <c r="AG94" s="14">
        <f>IF(AQ94="2",BI94,0)</f>
        <v>0</v>
      </c>
      <c r="AH94" s="14">
        <f>IF(AQ94="0",BJ94,0)</f>
        <v>0</v>
      </c>
      <c r="AI94" s="15" t="s">
        <v>1859</v>
      </c>
      <c r="AJ94" s="14">
        <f>IF(AN94=0,L94,0)</f>
        <v>0</v>
      </c>
      <c r="AK94" s="14">
        <f>IF(AN94=15,L94,0)</f>
        <v>0</v>
      </c>
      <c r="AL94" s="14">
        <f>IF(AN94=21,L94,0)</f>
        <v>0</v>
      </c>
      <c r="AN94" s="14">
        <v>21</v>
      </c>
      <c r="AO94" s="92">
        <f>H94*0</f>
        <v>0</v>
      </c>
      <c r="AP94" s="92">
        <f>H94*(1-0)</f>
        <v>0</v>
      </c>
      <c r="AQ94" s="55" t="s">
        <v>1287</v>
      </c>
      <c r="AV94" s="14">
        <f>AW94+AX94</f>
        <v>0</v>
      </c>
      <c r="AW94" s="14">
        <f>G94*AO94</f>
        <v>0</v>
      </c>
      <c r="AX94" s="14">
        <f>G94*AP94</f>
        <v>0</v>
      </c>
      <c r="AY94" s="55" t="s">
        <v>992</v>
      </c>
      <c r="AZ94" s="55" t="s">
        <v>2652</v>
      </c>
      <c r="BA94" s="15" t="s">
        <v>2202</v>
      </c>
      <c r="BC94" s="14">
        <f>AW94+AX94</f>
        <v>0</v>
      </c>
      <c r="BD94" s="14">
        <f>H94/(100-BE94)*100</f>
        <v>0</v>
      </c>
      <c r="BE94" s="14">
        <v>0</v>
      </c>
      <c r="BF94" s="14">
        <f>O94</f>
        <v>0</v>
      </c>
      <c r="BH94" s="14">
        <f>G94*AO94</f>
        <v>0</v>
      </c>
      <c r="BI94" s="14">
        <f>G94*AP94</f>
        <v>0</v>
      </c>
      <c r="BJ94" s="14">
        <f>G94*H94</f>
        <v>0</v>
      </c>
      <c r="BK94" s="14"/>
      <c r="BL94" s="14"/>
      <c r="BW94" s="14" t="str">
        <f>I94</f>
        <v>21</v>
      </c>
    </row>
    <row r="95" spans="1:75" ht="15" customHeight="1">
      <c r="A95" s="32"/>
      <c r="D95" s="3" t="s">
        <v>1085</v>
      </c>
      <c r="E95" s="28" t="s">
        <v>184</v>
      </c>
      <c r="G95" s="27">
        <v>15.900000000000002</v>
      </c>
      <c r="P95" s="33"/>
    </row>
    <row r="96" spans="1:75" ht="13.5" customHeight="1">
      <c r="A96" s="21" t="s">
        <v>1448</v>
      </c>
      <c r="B96" s="37" t="s">
        <v>1859</v>
      </c>
      <c r="C96" s="37" t="s">
        <v>662</v>
      </c>
      <c r="D96" s="578" t="s">
        <v>1805</v>
      </c>
      <c r="E96" s="579"/>
      <c r="F96" s="37" t="s">
        <v>1130</v>
      </c>
      <c r="G96" s="14">
        <v>627.30999999999995</v>
      </c>
      <c r="H96" s="569"/>
      <c r="I96" s="55" t="s">
        <v>1720</v>
      </c>
      <c r="J96" s="14">
        <f>G96*AO96</f>
        <v>0</v>
      </c>
      <c r="K96" s="14">
        <f>G96*AP96</f>
        <v>0</v>
      </c>
      <c r="L96" s="14">
        <f>G96*H96</f>
        <v>0</v>
      </c>
      <c r="M96" s="14">
        <f>L96*(1+BW96/100)</f>
        <v>0</v>
      </c>
      <c r="N96" s="14">
        <v>0</v>
      </c>
      <c r="O96" s="14">
        <f>G96*N96</f>
        <v>0</v>
      </c>
      <c r="P96" s="72" t="s">
        <v>1664</v>
      </c>
      <c r="Z96" s="14">
        <f>IF(AQ96="5",BJ96,0)</f>
        <v>0</v>
      </c>
      <c r="AB96" s="14">
        <f>IF(AQ96="1",BH96,0)</f>
        <v>0</v>
      </c>
      <c r="AC96" s="14">
        <f>IF(AQ96="1",BI96,0)</f>
        <v>0</v>
      </c>
      <c r="AD96" s="14">
        <f>IF(AQ96="7",BH96,0)</f>
        <v>0</v>
      </c>
      <c r="AE96" s="14">
        <f>IF(AQ96="7",BI96,0)</f>
        <v>0</v>
      </c>
      <c r="AF96" s="14">
        <f>IF(AQ96="2",BH96,0)</f>
        <v>0</v>
      </c>
      <c r="AG96" s="14">
        <f>IF(AQ96="2",BI96,0)</f>
        <v>0</v>
      </c>
      <c r="AH96" s="14">
        <f>IF(AQ96="0",BJ96,0)</f>
        <v>0</v>
      </c>
      <c r="AI96" s="15" t="s">
        <v>1859</v>
      </c>
      <c r="AJ96" s="14">
        <f>IF(AN96=0,L96,0)</f>
        <v>0</v>
      </c>
      <c r="AK96" s="14">
        <f>IF(AN96=15,L96,0)</f>
        <v>0</v>
      </c>
      <c r="AL96" s="14">
        <f>IF(AN96=21,L96,0)</f>
        <v>0</v>
      </c>
      <c r="AN96" s="14">
        <v>21</v>
      </c>
      <c r="AO96" s="92">
        <f>H96*0</f>
        <v>0</v>
      </c>
      <c r="AP96" s="92">
        <f>H96*(1-0)</f>
        <v>0</v>
      </c>
      <c r="AQ96" s="55" t="s">
        <v>1287</v>
      </c>
      <c r="AV96" s="14">
        <f>AW96+AX96</f>
        <v>0</v>
      </c>
      <c r="AW96" s="14">
        <f>G96*AO96</f>
        <v>0</v>
      </c>
      <c r="AX96" s="14">
        <f>G96*AP96</f>
        <v>0</v>
      </c>
      <c r="AY96" s="55" t="s">
        <v>992</v>
      </c>
      <c r="AZ96" s="55" t="s">
        <v>2652</v>
      </c>
      <c r="BA96" s="15" t="s">
        <v>2202</v>
      </c>
      <c r="BC96" s="14">
        <f>AW96+AX96</f>
        <v>0</v>
      </c>
      <c r="BD96" s="14">
        <f>H96/(100-BE96)*100</f>
        <v>0</v>
      </c>
      <c r="BE96" s="14">
        <v>0</v>
      </c>
      <c r="BF96" s="14">
        <f>O96</f>
        <v>0</v>
      </c>
      <c r="BH96" s="14">
        <f>G96*AO96</f>
        <v>0</v>
      </c>
      <c r="BI96" s="14">
        <f>G96*AP96</f>
        <v>0</v>
      </c>
      <c r="BJ96" s="14">
        <f>G96*H96</f>
        <v>0</v>
      </c>
      <c r="BK96" s="14"/>
      <c r="BL96" s="14"/>
      <c r="BW96" s="14" t="str">
        <f>I96</f>
        <v>21</v>
      </c>
    </row>
    <row r="97" spans="1:75" ht="15" customHeight="1">
      <c r="A97" s="32"/>
      <c r="D97" s="3" t="s">
        <v>1670</v>
      </c>
      <c r="E97" s="28" t="s">
        <v>1240</v>
      </c>
      <c r="G97" s="27">
        <v>627.31000000000006</v>
      </c>
      <c r="P97" s="33"/>
    </row>
    <row r="98" spans="1:75" ht="13.5" customHeight="1">
      <c r="A98" s="21" t="s">
        <v>2053</v>
      </c>
      <c r="B98" s="37" t="s">
        <v>1859</v>
      </c>
      <c r="C98" s="37" t="s">
        <v>359</v>
      </c>
      <c r="D98" s="578" t="s">
        <v>1070</v>
      </c>
      <c r="E98" s="579"/>
      <c r="F98" s="37" t="s">
        <v>1130</v>
      </c>
      <c r="G98" s="14">
        <v>9409.65</v>
      </c>
      <c r="H98" s="569"/>
      <c r="I98" s="55" t="s">
        <v>1720</v>
      </c>
      <c r="J98" s="14">
        <f>G98*AO98</f>
        <v>0</v>
      </c>
      <c r="K98" s="14">
        <f>G98*AP98</f>
        <v>0</v>
      </c>
      <c r="L98" s="14">
        <f>G98*H98</f>
        <v>0</v>
      </c>
      <c r="M98" s="14">
        <f>L98*(1+BW98/100)</f>
        <v>0</v>
      </c>
      <c r="N98" s="14">
        <v>0</v>
      </c>
      <c r="O98" s="14">
        <f>G98*N98</f>
        <v>0</v>
      </c>
      <c r="P98" s="72" t="s">
        <v>1664</v>
      </c>
      <c r="Z98" s="14">
        <f>IF(AQ98="5",BJ98,0)</f>
        <v>0</v>
      </c>
      <c r="AB98" s="14">
        <f>IF(AQ98="1",BH98,0)</f>
        <v>0</v>
      </c>
      <c r="AC98" s="14">
        <f>IF(AQ98="1",BI98,0)</f>
        <v>0</v>
      </c>
      <c r="AD98" s="14">
        <f>IF(AQ98="7",BH98,0)</f>
        <v>0</v>
      </c>
      <c r="AE98" s="14">
        <f>IF(AQ98="7",BI98,0)</f>
        <v>0</v>
      </c>
      <c r="AF98" s="14">
        <f>IF(AQ98="2",BH98,0)</f>
        <v>0</v>
      </c>
      <c r="AG98" s="14">
        <f>IF(AQ98="2",BI98,0)</f>
        <v>0</v>
      </c>
      <c r="AH98" s="14">
        <f>IF(AQ98="0",BJ98,0)</f>
        <v>0</v>
      </c>
      <c r="AI98" s="15" t="s">
        <v>1859</v>
      </c>
      <c r="AJ98" s="14">
        <f>IF(AN98=0,L98,0)</f>
        <v>0</v>
      </c>
      <c r="AK98" s="14">
        <f>IF(AN98=15,L98,0)</f>
        <v>0</v>
      </c>
      <c r="AL98" s="14">
        <f>IF(AN98=21,L98,0)</f>
        <v>0</v>
      </c>
      <c r="AN98" s="14">
        <v>21</v>
      </c>
      <c r="AO98" s="92">
        <f>H98*0</f>
        <v>0</v>
      </c>
      <c r="AP98" s="92">
        <f>H98*(1-0)</f>
        <v>0</v>
      </c>
      <c r="AQ98" s="55" t="s">
        <v>1287</v>
      </c>
      <c r="AV98" s="14">
        <f>AW98+AX98</f>
        <v>0</v>
      </c>
      <c r="AW98" s="14">
        <f>G98*AO98</f>
        <v>0</v>
      </c>
      <c r="AX98" s="14">
        <f>G98*AP98</f>
        <v>0</v>
      </c>
      <c r="AY98" s="55" t="s">
        <v>992</v>
      </c>
      <c r="AZ98" s="55" t="s">
        <v>2652</v>
      </c>
      <c r="BA98" s="15" t="s">
        <v>2202</v>
      </c>
      <c r="BC98" s="14">
        <f>AW98+AX98</f>
        <v>0</v>
      </c>
      <c r="BD98" s="14">
        <f>H98/(100-BE98)*100</f>
        <v>0</v>
      </c>
      <c r="BE98" s="14">
        <v>0</v>
      </c>
      <c r="BF98" s="14">
        <f>O98</f>
        <v>0</v>
      </c>
      <c r="BH98" s="14">
        <f>G98*AO98</f>
        <v>0</v>
      </c>
      <c r="BI98" s="14">
        <f>G98*AP98</f>
        <v>0</v>
      </c>
      <c r="BJ98" s="14">
        <f>G98*H98</f>
        <v>0</v>
      </c>
      <c r="BK98" s="14"/>
      <c r="BL98" s="14"/>
      <c r="BW98" s="14" t="str">
        <f>I98</f>
        <v>21</v>
      </c>
    </row>
    <row r="99" spans="1:75" ht="15" customHeight="1">
      <c r="A99" s="32"/>
      <c r="D99" s="3" t="s">
        <v>74</v>
      </c>
      <c r="E99" s="28" t="s">
        <v>1683</v>
      </c>
      <c r="G99" s="27">
        <v>9409.6500000000015</v>
      </c>
      <c r="P99" s="33"/>
    </row>
    <row r="100" spans="1:75" ht="13.5" customHeight="1">
      <c r="A100" s="21" t="s">
        <v>525</v>
      </c>
      <c r="B100" s="37" t="s">
        <v>1859</v>
      </c>
      <c r="C100" s="37" t="s">
        <v>943</v>
      </c>
      <c r="D100" s="578" t="s">
        <v>2418</v>
      </c>
      <c r="E100" s="579"/>
      <c r="F100" s="37" t="s">
        <v>1130</v>
      </c>
      <c r="G100" s="14">
        <v>47.05</v>
      </c>
      <c r="H100" s="569"/>
      <c r="I100" s="55" t="s">
        <v>1720</v>
      </c>
      <c r="J100" s="14">
        <f>G100*AO100</f>
        <v>0</v>
      </c>
      <c r="K100" s="14">
        <f>G100*AP100</f>
        <v>0</v>
      </c>
      <c r="L100" s="14">
        <f>G100*H100</f>
        <v>0</v>
      </c>
      <c r="M100" s="14">
        <f>L100*(1+BW100/100)</f>
        <v>0</v>
      </c>
      <c r="N100" s="14">
        <v>0</v>
      </c>
      <c r="O100" s="14">
        <f>G100*N100</f>
        <v>0</v>
      </c>
      <c r="P100" s="72" t="s">
        <v>1664</v>
      </c>
      <c r="Z100" s="14">
        <f>IF(AQ100="5",BJ100,0)</f>
        <v>0</v>
      </c>
      <c r="AB100" s="14">
        <f>IF(AQ100="1",BH100,0)</f>
        <v>0</v>
      </c>
      <c r="AC100" s="14">
        <f>IF(AQ100="1",BI100,0)</f>
        <v>0</v>
      </c>
      <c r="AD100" s="14">
        <f>IF(AQ100="7",BH100,0)</f>
        <v>0</v>
      </c>
      <c r="AE100" s="14">
        <f>IF(AQ100="7",BI100,0)</f>
        <v>0</v>
      </c>
      <c r="AF100" s="14">
        <f>IF(AQ100="2",BH100,0)</f>
        <v>0</v>
      </c>
      <c r="AG100" s="14">
        <f>IF(AQ100="2",BI100,0)</f>
        <v>0</v>
      </c>
      <c r="AH100" s="14">
        <f>IF(AQ100="0",BJ100,0)</f>
        <v>0</v>
      </c>
      <c r="AI100" s="15" t="s">
        <v>1859</v>
      </c>
      <c r="AJ100" s="14">
        <f>IF(AN100=0,L100,0)</f>
        <v>0</v>
      </c>
      <c r="AK100" s="14">
        <f>IF(AN100=15,L100,0)</f>
        <v>0</v>
      </c>
      <c r="AL100" s="14">
        <f>IF(AN100=21,L100,0)</f>
        <v>0</v>
      </c>
      <c r="AN100" s="14">
        <v>21</v>
      </c>
      <c r="AO100" s="92">
        <f>H100*0</f>
        <v>0</v>
      </c>
      <c r="AP100" s="92">
        <f>H100*(1-0)</f>
        <v>0</v>
      </c>
      <c r="AQ100" s="55" t="s">
        <v>1287</v>
      </c>
      <c r="AV100" s="14">
        <f>AW100+AX100</f>
        <v>0</v>
      </c>
      <c r="AW100" s="14">
        <f>G100*AO100</f>
        <v>0</v>
      </c>
      <c r="AX100" s="14">
        <f>G100*AP100</f>
        <v>0</v>
      </c>
      <c r="AY100" s="55" t="s">
        <v>992</v>
      </c>
      <c r="AZ100" s="55" t="s">
        <v>2652</v>
      </c>
      <c r="BA100" s="15" t="s">
        <v>2202</v>
      </c>
      <c r="BC100" s="14">
        <f>AW100+AX100</f>
        <v>0</v>
      </c>
      <c r="BD100" s="14">
        <f>H100/(100-BE100)*100</f>
        <v>0</v>
      </c>
      <c r="BE100" s="14">
        <v>0</v>
      </c>
      <c r="BF100" s="14">
        <f>O100</f>
        <v>0</v>
      </c>
      <c r="BH100" s="14">
        <f>G100*AO100</f>
        <v>0</v>
      </c>
      <c r="BI100" s="14">
        <f>G100*AP100</f>
        <v>0</v>
      </c>
      <c r="BJ100" s="14">
        <f>G100*H100</f>
        <v>0</v>
      </c>
      <c r="BK100" s="14"/>
      <c r="BL100" s="14"/>
      <c r="BW100" s="14" t="str">
        <f>I100</f>
        <v>21</v>
      </c>
    </row>
    <row r="101" spans="1:75" ht="15" customHeight="1">
      <c r="A101" s="32"/>
      <c r="D101" s="3" t="s">
        <v>2102</v>
      </c>
      <c r="E101" s="28" t="s">
        <v>184</v>
      </c>
      <c r="G101" s="27">
        <v>47.050000000000004</v>
      </c>
      <c r="P101" s="33"/>
    </row>
    <row r="102" spans="1:75" ht="13.5" customHeight="1">
      <c r="A102" s="21" t="s">
        <v>2723</v>
      </c>
      <c r="B102" s="37" t="s">
        <v>1859</v>
      </c>
      <c r="C102" s="37" t="s">
        <v>825</v>
      </c>
      <c r="D102" s="578" t="s">
        <v>1172</v>
      </c>
      <c r="E102" s="579"/>
      <c r="F102" s="37" t="s">
        <v>1130</v>
      </c>
      <c r="G102" s="14">
        <v>627</v>
      </c>
      <c r="H102" s="569"/>
      <c r="I102" s="55" t="s">
        <v>1720</v>
      </c>
      <c r="J102" s="14">
        <f>G102*AO102</f>
        <v>0</v>
      </c>
      <c r="K102" s="14">
        <f>G102*AP102</f>
        <v>0</v>
      </c>
      <c r="L102" s="14">
        <f>G102*H102</f>
        <v>0</v>
      </c>
      <c r="M102" s="14">
        <f>L102*(1+BW102/100)</f>
        <v>0</v>
      </c>
      <c r="N102" s="14">
        <v>0</v>
      </c>
      <c r="O102" s="14">
        <f>G102*N102</f>
        <v>0</v>
      </c>
      <c r="P102" s="72" t="s">
        <v>1664</v>
      </c>
      <c r="Z102" s="14">
        <f>IF(AQ102="5",BJ102,0)</f>
        <v>0</v>
      </c>
      <c r="AB102" s="14">
        <f>IF(AQ102="1",BH102,0)</f>
        <v>0</v>
      </c>
      <c r="AC102" s="14">
        <f>IF(AQ102="1",BI102,0)</f>
        <v>0</v>
      </c>
      <c r="AD102" s="14">
        <f>IF(AQ102="7",BH102,0)</f>
        <v>0</v>
      </c>
      <c r="AE102" s="14">
        <f>IF(AQ102="7",BI102,0)</f>
        <v>0</v>
      </c>
      <c r="AF102" s="14">
        <f>IF(AQ102="2",BH102,0)</f>
        <v>0</v>
      </c>
      <c r="AG102" s="14">
        <f>IF(AQ102="2",BI102,0)</f>
        <v>0</v>
      </c>
      <c r="AH102" s="14">
        <f>IF(AQ102="0",BJ102,0)</f>
        <v>0</v>
      </c>
      <c r="AI102" s="15" t="s">
        <v>1859</v>
      </c>
      <c r="AJ102" s="14">
        <f>IF(AN102=0,L102,0)</f>
        <v>0</v>
      </c>
      <c r="AK102" s="14">
        <f>IF(AN102=15,L102,0)</f>
        <v>0</v>
      </c>
      <c r="AL102" s="14">
        <f>IF(AN102=21,L102,0)</f>
        <v>0</v>
      </c>
      <c r="AN102" s="14">
        <v>21</v>
      </c>
      <c r="AO102" s="92">
        <f>H102*0</f>
        <v>0</v>
      </c>
      <c r="AP102" s="92">
        <f>H102*(1-0)</f>
        <v>0</v>
      </c>
      <c r="AQ102" s="55" t="s">
        <v>1287</v>
      </c>
      <c r="AV102" s="14">
        <f>AW102+AX102</f>
        <v>0</v>
      </c>
      <c r="AW102" s="14">
        <f>G102*AO102</f>
        <v>0</v>
      </c>
      <c r="AX102" s="14">
        <f>G102*AP102</f>
        <v>0</v>
      </c>
      <c r="AY102" s="55" t="s">
        <v>992</v>
      </c>
      <c r="AZ102" s="55" t="s">
        <v>2652</v>
      </c>
      <c r="BA102" s="15" t="s">
        <v>2202</v>
      </c>
      <c r="BC102" s="14">
        <f>AW102+AX102</f>
        <v>0</v>
      </c>
      <c r="BD102" s="14">
        <f>H102/(100-BE102)*100</f>
        <v>0</v>
      </c>
      <c r="BE102" s="14">
        <v>0</v>
      </c>
      <c r="BF102" s="14">
        <f>O102</f>
        <v>0</v>
      </c>
      <c r="BH102" s="14">
        <f>G102*AO102</f>
        <v>0</v>
      </c>
      <c r="BI102" s="14">
        <f>G102*AP102</f>
        <v>0</v>
      </c>
      <c r="BJ102" s="14">
        <f>G102*H102</f>
        <v>0</v>
      </c>
      <c r="BK102" s="14"/>
      <c r="BL102" s="14"/>
      <c r="BW102" s="14" t="str">
        <f>I102</f>
        <v>21</v>
      </c>
    </row>
    <row r="103" spans="1:75" ht="15" customHeight="1">
      <c r="A103" s="32"/>
      <c r="D103" s="3" t="s">
        <v>2036</v>
      </c>
      <c r="E103" s="28" t="s">
        <v>2689</v>
      </c>
      <c r="G103" s="27">
        <v>627</v>
      </c>
      <c r="P103" s="33"/>
    </row>
    <row r="104" spans="1:75" ht="13.5" customHeight="1">
      <c r="A104" s="21" t="s">
        <v>2166</v>
      </c>
      <c r="B104" s="37" t="s">
        <v>1859</v>
      </c>
      <c r="C104" s="37" t="s">
        <v>905</v>
      </c>
      <c r="D104" s="578" t="s">
        <v>948</v>
      </c>
      <c r="E104" s="579"/>
      <c r="F104" s="37" t="s">
        <v>1130</v>
      </c>
      <c r="G104" s="14">
        <v>47.05</v>
      </c>
      <c r="H104" s="569"/>
      <c r="I104" s="55" t="s">
        <v>1720</v>
      </c>
      <c r="J104" s="14">
        <f>G104*AO104</f>
        <v>0</v>
      </c>
      <c r="K104" s="14">
        <f>G104*AP104</f>
        <v>0</v>
      </c>
      <c r="L104" s="14">
        <f>G104*H104</f>
        <v>0</v>
      </c>
      <c r="M104" s="14">
        <f>L104*(1+BW104/100)</f>
        <v>0</v>
      </c>
      <c r="N104" s="14">
        <v>0</v>
      </c>
      <c r="O104" s="14">
        <f>G104*N104</f>
        <v>0</v>
      </c>
      <c r="P104" s="72" t="s">
        <v>1664</v>
      </c>
      <c r="Z104" s="14">
        <f>IF(AQ104="5",BJ104,0)</f>
        <v>0</v>
      </c>
      <c r="AB104" s="14">
        <f>IF(AQ104="1",BH104,0)</f>
        <v>0</v>
      </c>
      <c r="AC104" s="14">
        <f>IF(AQ104="1",BI104,0)</f>
        <v>0</v>
      </c>
      <c r="AD104" s="14">
        <f>IF(AQ104="7",BH104,0)</f>
        <v>0</v>
      </c>
      <c r="AE104" s="14">
        <f>IF(AQ104="7",BI104,0)</f>
        <v>0</v>
      </c>
      <c r="AF104" s="14">
        <f>IF(AQ104="2",BH104,0)</f>
        <v>0</v>
      </c>
      <c r="AG104" s="14">
        <f>IF(AQ104="2",BI104,0)</f>
        <v>0</v>
      </c>
      <c r="AH104" s="14">
        <f>IF(AQ104="0",BJ104,0)</f>
        <v>0</v>
      </c>
      <c r="AI104" s="15" t="s">
        <v>1859</v>
      </c>
      <c r="AJ104" s="14">
        <f>IF(AN104=0,L104,0)</f>
        <v>0</v>
      </c>
      <c r="AK104" s="14">
        <f>IF(AN104=15,L104,0)</f>
        <v>0</v>
      </c>
      <c r="AL104" s="14">
        <f>IF(AN104=21,L104,0)</f>
        <v>0</v>
      </c>
      <c r="AN104" s="14">
        <v>21</v>
      </c>
      <c r="AO104" s="92">
        <f>H104*0</f>
        <v>0</v>
      </c>
      <c r="AP104" s="92">
        <f>H104*(1-0)</f>
        <v>0</v>
      </c>
      <c r="AQ104" s="55" t="s">
        <v>1287</v>
      </c>
      <c r="AV104" s="14">
        <f>AW104+AX104</f>
        <v>0</v>
      </c>
      <c r="AW104" s="14">
        <f>G104*AO104</f>
        <v>0</v>
      </c>
      <c r="AX104" s="14">
        <f>G104*AP104</f>
        <v>0</v>
      </c>
      <c r="AY104" s="55" t="s">
        <v>992</v>
      </c>
      <c r="AZ104" s="55" t="s">
        <v>2652</v>
      </c>
      <c r="BA104" s="15" t="s">
        <v>2202</v>
      </c>
      <c r="BC104" s="14">
        <f>AW104+AX104</f>
        <v>0</v>
      </c>
      <c r="BD104" s="14">
        <f>H104/(100-BE104)*100</f>
        <v>0</v>
      </c>
      <c r="BE104" s="14">
        <v>0</v>
      </c>
      <c r="BF104" s="14">
        <f>O104</f>
        <v>0</v>
      </c>
      <c r="BH104" s="14">
        <f>G104*AO104</f>
        <v>0</v>
      </c>
      <c r="BI104" s="14">
        <f>G104*AP104</f>
        <v>0</v>
      </c>
      <c r="BJ104" s="14">
        <f>G104*H104</f>
        <v>0</v>
      </c>
      <c r="BK104" s="14"/>
      <c r="BL104" s="14"/>
      <c r="BW104" s="14" t="str">
        <f>I104</f>
        <v>21</v>
      </c>
    </row>
    <row r="105" spans="1:75" ht="15" customHeight="1">
      <c r="A105" s="32"/>
      <c r="D105" s="3" t="s">
        <v>2102</v>
      </c>
      <c r="E105" s="28" t="s">
        <v>1683</v>
      </c>
      <c r="G105" s="27">
        <v>47.050000000000004</v>
      </c>
      <c r="P105" s="33"/>
    </row>
    <row r="106" spans="1:75" ht="15" customHeight="1">
      <c r="A106" s="70" t="s">
        <v>1683</v>
      </c>
      <c r="B106" s="40" t="s">
        <v>1696</v>
      </c>
      <c r="C106" s="40" t="s">
        <v>1683</v>
      </c>
      <c r="D106" s="647" t="s">
        <v>1175</v>
      </c>
      <c r="E106" s="648"/>
      <c r="F106" s="22" t="s">
        <v>2262</v>
      </c>
      <c r="G106" s="22" t="s">
        <v>2262</v>
      </c>
      <c r="H106" s="22" t="s">
        <v>2262</v>
      </c>
      <c r="I106" s="22" t="s">
        <v>2262</v>
      </c>
      <c r="J106" s="89">
        <f>J107+J110+J115+J119+J124+J132+J142+J153+J159+J162+J167+J171+J174</f>
        <v>0</v>
      </c>
      <c r="K106" s="89">
        <f>K107+K110+K115+K119+K124+K132+K142+K153+K159+K162+K167+K171+K174</f>
        <v>0</v>
      </c>
      <c r="L106" s="89">
        <f>L107+L110+L115+L119+L124+L132+L142+L153+L159+L162+L167+L171+L174</f>
        <v>0</v>
      </c>
      <c r="M106" s="89">
        <f>M107+M110+M115+M119+M124+M132+M142+M153+M159+M162+M167+M171+M174</f>
        <v>0</v>
      </c>
      <c r="N106" s="61" t="s">
        <v>1683</v>
      </c>
      <c r="O106" s="89">
        <f>O107+O110+O115+O119+O124+O132+O142+O153+O159+O162+O167+O171+O174</f>
        <v>27.527867500000003</v>
      </c>
      <c r="P106" s="1" t="s">
        <v>1683</v>
      </c>
    </row>
    <row r="107" spans="1:75" ht="15" customHeight="1">
      <c r="A107" s="65" t="s">
        <v>1683</v>
      </c>
      <c r="B107" s="26" t="s">
        <v>1696</v>
      </c>
      <c r="C107" s="26" t="s">
        <v>705</v>
      </c>
      <c r="D107" s="649" t="s">
        <v>17</v>
      </c>
      <c r="E107" s="650"/>
      <c r="F107" s="74" t="s">
        <v>2262</v>
      </c>
      <c r="G107" s="74" t="s">
        <v>2262</v>
      </c>
      <c r="H107" s="74" t="s">
        <v>2262</v>
      </c>
      <c r="I107" s="74" t="s">
        <v>2262</v>
      </c>
      <c r="J107" s="2">
        <f>SUM(J108:J108)</f>
        <v>0</v>
      </c>
      <c r="K107" s="2">
        <f>SUM(K108:K108)</f>
        <v>0</v>
      </c>
      <c r="L107" s="2">
        <f>SUM(L108:L108)</f>
        <v>0</v>
      </c>
      <c r="M107" s="2">
        <f>SUM(M108:M108)</f>
        <v>0</v>
      </c>
      <c r="N107" s="15" t="s">
        <v>1683</v>
      </c>
      <c r="O107" s="2">
        <f>SUM(O108:O108)</f>
        <v>0</v>
      </c>
      <c r="P107" s="47" t="s">
        <v>1683</v>
      </c>
      <c r="AI107" s="15" t="s">
        <v>1696</v>
      </c>
      <c r="AS107" s="2">
        <f>SUM(AJ108:AJ108)</f>
        <v>0</v>
      </c>
      <c r="AT107" s="2">
        <f>SUM(AK108:AK108)</f>
        <v>0</v>
      </c>
      <c r="AU107" s="2">
        <f>SUM(AL108:AL108)</f>
        <v>0</v>
      </c>
    </row>
    <row r="108" spans="1:75" ht="13.5" customHeight="1">
      <c r="A108" s="21" t="s">
        <v>1435</v>
      </c>
      <c r="B108" s="37" t="s">
        <v>1696</v>
      </c>
      <c r="C108" s="37" t="s">
        <v>1284</v>
      </c>
      <c r="D108" s="578" t="s">
        <v>294</v>
      </c>
      <c r="E108" s="579"/>
      <c r="F108" s="37" t="s">
        <v>2359</v>
      </c>
      <c r="G108" s="14">
        <v>5.25</v>
      </c>
      <c r="H108" s="569"/>
      <c r="I108" s="55" t="s">
        <v>1720</v>
      </c>
      <c r="J108" s="14">
        <f>G108*AO108</f>
        <v>0</v>
      </c>
      <c r="K108" s="14">
        <f>G108*AP108</f>
        <v>0</v>
      </c>
      <c r="L108" s="14">
        <f>G108*H108</f>
        <v>0</v>
      </c>
      <c r="M108" s="14">
        <f>L108*(1+BW108/100)</f>
        <v>0</v>
      </c>
      <c r="N108" s="14">
        <v>0</v>
      </c>
      <c r="O108" s="14">
        <f>G108*N108</f>
        <v>0</v>
      </c>
      <c r="P108" s="72" t="s">
        <v>921</v>
      </c>
      <c r="Z108" s="14">
        <f>IF(AQ108="5",BJ108,0)</f>
        <v>0</v>
      </c>
      <c r="AB108" s="14">
        <f>IF(AQ108="1",BH108,0)</f>
        <v>0</v>
      </c>
      <c r="AC108" s="14">
        <f>IF(AQ108="1",BI108,0)</f>
        <v>0</v>
      </c>
      <c r="AD108" s="14">
        <f>IF(AQ108="7",BH108,0)</f>
        <v>0</v>
      </c>
      <c r="AE108" s="14">
        <f>IF(AQ108="7",BI108,0)</f>
        <v>0</v>
      </c>
      <c r="AF108" s="14">
        <f>IF(AQ108="2",BH108,0)</f>
        <v>0</v>
      </c>
      <c r="AG108" s="14">
        <f>IF(AQ108="2",BI108,0)</f>
        <v>0</v>
      </c>
      <c r="AH108" s="14">
        <f>IF(AQ108="0",BJ108,0)</f>
        <v>0</v>
      </c>
      <c r="AI108" s="15" t="s">
        <v>1696</v>
      </c>
      <c r="AJ108" s="14">
        <f>IF(AN108=0,L108,0)</f>
        <v>0</v>
      </c>
      <c r="AK108" s="14">
        <f>IF(AN108=15,L108,0)</f>
        <v>0</v>
      </c>
      <c r="AL108" s="14">
        <f>IF(AN108=21,L108,0)</f>
        <v>0</v>
      </c>
      <c r="AN108" s="14">
        <v>21</v>
      </c>
      <c r="AO108" s="92">
        <f>H108*0</f>
        <v>0</v>
      </c>
      <c r="AP108" s="92">
        <f>H108*(1-0)</f>
        <v>0</v>
      </c>
      <c r="AQ108" s="55" t="s">
        <v>2422</v>
      </c>
      <c r="AV108" s="14">
        <f>AW108+AX108</f>
        <v>0</v>
      </c>
      <c r="AW108" s="14">
        <f>G108*AO108</f>
        <v>0</v>
      </c>
      <c r="AX108" s="14">
        <f>G108*AP108</f>
        <v>0</v>
      </c>
      <c r="AY108" s="55" t="s">
        <v>2203</v>
      </c>
      <c r="AZ108" s="55" t="s">
        <v>2141</v>
      </c>
      <c r="BA108" s="15" t="s">
        <v>2017</v>
      </c>
      <c r="BC108" s="14">
        <f>AW108+AX108</f>
        <v>0</v>
      </c>
      <c r="BD108" s="14">
        <f>H108/(100-BE108)*100</f>
        <v>0</v>
      </c>
      <c r="BE108" s="14">
        <v>0</v>
      </c>
      <c r="BF108" s="14">
        <f>O108</f>
        <v>0</v>
      </c>
      <c r="BH108" s="14">
        <f>G108*AO108</f>
        <v>0</v>
      </c>
      <c r="BI108" s="14">
        <f>G108*AP108</f>
        <v>0</v>
      </c>
      <c r="BJ108" s="14">
        <f>G108*H108</f>
        <v>0</v>
      </c>
      <c r="BK108" s="14"/>
      <c r="BL108" s="14">
        <v>13</v>
      </c>
      <c r="BW108" s="14" t="str">
        <f>I108</f>
        <v>21</v>
      </c>
    </row>
    <row r="109" spans="1:75" ht="15" customHeight="1">
      <c r="A109" s="32"/>
      <c r="D109" s="3" t="s">
        <v>341</v>
      </c>
      <c r="E109" s="28" t="s">
        <v>2727</v>
      </c>
      <c r="G109" s="27">
        <v>5.25</v>
      </c>
      <c r="P109" s="33"/>
    </row>
    <row r="110" spans="1:75" ht="15" customHeight="1">
      <c r="A110" s="65" t="s">
        <v>1683</v>
      </c>
      <c r="B110" s="26" t="s">
        <v>1696</v>
      </c>
      <c r="C110" s="26" t="s">
        <v>2665</v>
      </c>
      <c r="D110" s="649" t="s">
        <v>1341</v>
      </c>
      <c r="E110" s="650"/>
      <c r="F110" s="74" t="s">
        <v>2262</v>
      </c>
      <c r="G110" s="74" t="s">
        <v>2262</v>
      </c>
      <c r="H110" s="74" t="s">
        <v>2262</v>
      </c>
      <c r="I110" s="74" t="s">
        <v>2262</v>
      </c>
      <c r="J110" s="2">
        <f>SUM(J111:J113)</f>
        <v>0</v>
      </c>
      <c r="K110" s="2">
        <f>SUM(K111:K113)</f>
        <v>0</v>
      </c>
      <c r="L110" s="2">
        <f>SUM(L111:L113)</f>
        <v>0</v>
      </c>
      <c r="M110" s="2">
        <f>SUM(M111:M113)</f>
        <v>0</v>
      </c>
      <c r="N110" s="15" t="s">
        <v>1683</v>
      </c>
      <c r="O110" s="2">
        <f>SUM(O111:O113)</f>
        <v>0.2666</v>
      </c>
      <c r="P110" s="47" t="s">
        <v>1683</v>
      </c>
      <c r="AI110" s="15" t="s">
        <v>1696</v>
      </c>
      <c r="AS110" s="2">
        <f>SUM(AJ111:AJ113)</f>
        <v>0</v>
      </c>
      <c r="AT110" s="2">
        <f>SUM(AK111:AK113)</f>
        <v>0</v>
      </c>
      <c r="AU110" s="2">
        <f>SUM(AL111:AL113)</f>
        <v>0</v>
      </c>
    </row>
    <row r="111" spans="1:75" ht="13.5" customHeight="1">
      <c r="A111" s="21" t="s">
        <v>2394</v>
      </c>
      <c r="B111" s="37" t="s">
        <v>1696</v>
      </c>
      <c r="C111" s="37" t="s">
        <v>1997</v>
      </c>
      <c r="D111" s="578" t="s">
        <v>1399</v>
      </c>
      <c r="E111" s="579"/>
      <c r="F111" s="37" t="s">
        <v>2019</v>
      </c>
      <c r="G111" s="14">
        <v>20</v>
      </c>
      <c r="H111" s="569"/>
      <c r="I111" s="55" t="s">
        <v>1720</v>
      </c>
      <c r="J111" s="14">
        <f>G111*AO111</f>
        <v>0</v>
      </c>
      <c r="K111" s="14">
        <f>G111*AP111</f>
        <v>0</v>
      </c>
      <c r="L111" s="14">
        <f>G111*H111</f>
        <v>0</v>
      </c>
      <c r="M111" s="14">
        <f>L111*(1+BW111/100)</f>
        <v>0</v>
      </c>
      <c r="N111" s="14">
        <v>1.33E-3</v>
      </c>
      <c r="O111" s="14">
        <f>G111*N111</f>
        <v>2.6599999999999999E-2</v>
      </c>
      <c r="P111" s="72" t="s">
        <v>921</v>
      </c>
      <c r="Z111" s="14">
        <f>IF(AQ111="5",BJ111,0)</f>
        <v>0</v>
      </c>
      <c r="AB111" s="14">
        <f>IF(AQ111="1",BH111,0)</f>
        <v>0</v>
      </c>
      <c r="AC111" s="14">
        <f>IF(AQ111="1",BI111,0)</f>
        <v>0</v>
      </c>
      <c r="AD111" s="14">
        <f>IF(AQ111="7",BH111,0)</f>
        <v>0</v>
      </c>
      <c r="AE111" s="14">
        <f>IF(AQ111="7",BI111,0)</f>
        <v>0</v>
      </c>
      <c r="AF111" s="14">
        <f>IF(AQ111="2",BH111,0)</f>
        <v>0</v>
      </c>
      <c r="AG111" s="14">
        <f>IF(AQ111="2",BI111,0)</f>
        <v>0</v>
      </c>
      <c r="AH111" s="14">
        <f>IF(AQ111="0",BJ111,0)</f>
        <v>0</v>
      </c>
      <c r="AI111" s="15" t="s">
        <v>1696</v>
      </c>
      <c r="AJ111" s="14">
        <f>IF(AN111=0,L111,0)</f>
        <v>0</v>
      </c>
      <c r="AK111" s="14">
        <f>IF(AN111=15,L111,0)</f>
        <v>0</v>
      </c>
      <c r="AL111" s="14">
        <f>IF(AN111=21,L111,0)</f>
        <v>0</v>
      </c>
      <c r="AN111" s="14">
        <v>21</v>
      </c>
      <c r="AO111" s="92">
        <f>H111*0.751391328737397</f>
        <v>0</v>
      </c>
      <c r="AP111" s="92">
        <f>H111*(1-0.751391328737397)</f>
        <v>0</v>
      </c>
      <c r="AQ111" s="55" t="s">
        <v>2422</v>
      </c>
      <c r="AV111" s="14">
        <f>AW111+AX111</f>
        <v>0</v>
      </c>
      <c r="AW111" s="14">
        <f>G111*AO111</f>
        <v>0</v>
      </c>
      <c r="AX111" s="14">
        <f>G111*AP111</f>
        <v>0</v>
      </c>
      <c r="AY111" s="55" t="s">
        <v>1116</v>
      </c>
      <c r="AZ111" s="55" t="s">
        <v>1053</v>
      </c>
      <c r="BA111" s="15" t="s">
        <v>2017</v>
      </c>
      <c r="BC111" s="14">
        <f>AW111+AX111</f>
        <v>0</v>
      </c>
      <c r="BD111" s="14">
        <f>H111/(100-BE111)*100</f>
        <v>0</v>
      </c>
      <c r="BE111" s="14">
        <v>0</v>
      </c>
      <c r="BF111" s="14">
        <f>O111</f>
        <v>2.6599999999999999E-2</v>
      </c>
      <c r="BH111" s="14">
        <f>G111*AO111</f>
        <v>0</v>
      </c>
      <c r="BI111" s="14">
        <f>G111*AP111</f>
        <v>0</v>
      </c>
      <c r="BJ111" s="14">
        <f>G111*H111</f>
        <v>0</v>
      </c>
      <c r="BK111" s="14"/>
      <c r="BL111" s="14">
        <v>28</v>
      </c>
      <c r="BW111" s="14" t="str">
        <f>I111</f>
        <v>21</v>
      </c>
    </row>
    <row r="112" spans="1:75" ht="15" customHeight="1">
      <c r="A112" s="32"/>
      <c r="D112" s="3" t="s">
        <v>118</v>
      </c>
      <c r="E112" s="28" t="s">
        <v>2747</v>
      </c>
      <c r="G112" s="27">
        <v>20</v>
      </c>
      <c r="P112" s="33"/>
    </row>
    <row r="113" spans="1:75" ht="13.5" customHeight="1">
      <c r="A113" s="20" t="s">
        <v>1470</v>
      </c>
      <c r="B113" s="84" t="s">
        <v>1696</v>
      </c>
      <c r="C113" s="84" t="s">
        <v>590</v>
      </c>
      <c r="D113" s="653" t="s">
        <v>2097</v>
      </c>
      <c r="E113" s="654"/>
      <c r="F113" s="84" t="s">
        <v>2302</v>
      </c>
      <c r="G113" s="6">
        <v>240</v>
      </c>
      <c r="H113" s="570"/>
      <c r="I113" s="18" t="s">
        <v>1720</v>
      </c>
      <c r="J113" s="6">
        <f>G113*AO113</f>
        <v>0</v>
      </c>
      <c r="K113" s="6">
        <f>G113*AP113</f>
        <v>0</v>
      </c>
      <c r="L113" s="6">
        <f>G113*H113</f>
        <v>0</v>
      </c>
      <c r="M113" s="6">
        <f>L113*(1+BW113/100)</f>
        <v>0</v>
      </c>
      <c r="N113" s="6">
        <v>1E-3</v>
      </c>
      <c r="O113" s="6">
        <f>G113*N113</f>
        <v>0.24</v>
      </c>
      <c r="P113" s="109" t="s">
        <v>1664</v>
      </c>
      <c r="Z113" s="14">
        <f>IF(AQ113="5",BJ113,0)</f>
        <v>0</v>
      </c>
      <c r="AB113" s="14">
        <f>IF(AQ113="1",BH113,0)</f>
        <v>0</v>
      </c>
      <c r="AC113" s="14">
        <f>IF(AQ113="1",BI113,0)</f>
        <v>0</v>
      </c>
      <c r="AD113" s="14">
        <f>IF(AQ113="7",BH113,0)</f>
        <v>0</v>
      </c>
      <c r="AE113" s="14">
        <f>IF(AQ113="7",BI113,0)</f>
        <v>0</v>
      </c>
      <c r="AF113" s="14">
        <f>IF(AQ113="2",BH113,0)</f>
        <v>0</v>
      </c>
      <c r="AG113" s="14">
        <f>IF(AQ113="2",BI113,0)</f>
        <v>0</v>
      </c>
      <c r="AH113" s="14">
        <f>IF(AQ113="0",BJ113,0)</f>
        <v>0</v>
      </c>
      <c r="AI113" s="15" t="s">
        <v>1696</v>
      </c>
      <c r="AJ113" s="6">
        <f>IF(AN113=0,L113,0)</f>
        <v>0</v>
      </c>
      <c r="AK113" s="6">
        <f>IF(AN113=15,L113,0)</f>
        <v>0</v>
      </c>
      <c r="AL113" s="6">
        <f>IF(AN113=21,L113,0)</f>
        <v>0</v>
      </c>
      <c r="AN113" s="14">
        <v>21</v>
      </c>
      <c r="AO113" s="92">
        <f>H113*1</f>
        <v>0</v>
      </c>
      <c r="AP113" s="92">
        <f>H113*(1-1)</f>
        <v>0</v>
      </c>
      <c r="AQ113" s="18" t="s">
        <v>2422</v>
      </c>
      <c r="AV113" s="14">
        <f>AW113+AX113</f>
        <v>0</v>
      </c>
      <c r="AW113" s="14">
        <f>G113*AO113</f>
        <v>0</v>
      </c>
      <c r="AX113" s="14">
        <f>G113*AP113</f>
        <v>0</v>
      </c>
      <c r="AY113" s="55" t="s">
        <v>1116</v>
      </c>
      <c r="AZ113" s="55" t="s">
        <v>1053</v>
      </c>
      <c r="BA113" s="15" t="s">
        <v>2017</v>
      </c>
      <c r="BC113" s="14">
        <f>AW113+AX113</f>
        <v>0</v>
      </c>
      <c r="BD113" s="14">
        <f>H113/(100-BE113)*100</f>
        <v>0</v>
      </c>
      <c r="BE113" s="14">
        <v>0</v>
      </c>
      <c r="BF113" s="14">
        <f>O113</f>
        <v>0.24</v>
      </c>
      <c r="BH113" s="6">
        <f>G113*AO113</f>
        <v>0</v>
      </c>
      <c r="BI113" s="6">
        <f>G113*AP113</f>
        <v>0</v>
      </c>
      <c r="BJ113" s="6">
        <f>G113*H113</f>
        <v>0</v>
      </c>
      <c r="BK113" s="6"/>
      <c r="BL113" s="14">
        <v>28</v>
      </c>
      <c r="BW113" s="14" t="str">
        <f>I113</f>
        <v>21</v>
      </c>
    </row>
    <row r="114" spans="1:75" ht="15" customHeight="1">
      <c r="A114" s="32"/>
      <c r="D114" s="3" t="s">
        <v>573</v>
      </c>
      <c r="E114" s="28" t="s">
        <v>257</v>
      </c>
      <c r="G114" s="27">
        <v>240.00000000000003</v>
      </c>
      <c r="P114" s="33"/>
    </row>
    <row r="115" spans="1:75" ht="15" customHeight="1">
      <c r="A115" s="65" t="s">
        <v>1683</v>
      </c>
      <c r="B115" s="26" t="s">
        <v>1696</v>
      </c>
      <c r="C115" s="26" t="s">
        <v>865</v>
      </c>
      <c r="D115" s="649" t="s">
        <v>1889</v>
      </c>
      <c r="E115" s="650"/>
      <c r="F115" s="74" t="s">
        <v>2262</v>
      </c>
      <c r="G115" s="74" t="s">
        <v>2262</v>
      </c>
      <c r="H115" s="74" t="s">
        <v>2262</v>
      </c>
      <c r="I115" s="74" t="s">
        <v>2262</v>
      </c>
      <c r="J115" s="2">
        <f>SUM(J116:J116)</f>
        <v>0</v>
      </c>
      <c r="K115" s="2">
        <f>SUM(K116:K116)</f>
        <v>0</v>
      </c>
      <c r="L115" s="2">
        <f>SUM(L116:L116)</f>
        <v>0</v>
      </c>
      <c r="M115" s="2">
        <f>SUM(M116:M116)</f>
        <v>0</v>
      </c>
      <c r="N115" s="15" t="s">
        <v>1683</v>
      </c>
      <c r="O115" s="2">
        <f>SUM(O116:O116)</f>
        <v>11.025</v>
      </c>
      <c r="P115" s="47" t="s">
        <v>1683</v>
      </c>
      <c r="AI115" s="15" t="s">
        <v>1696</v>
      </c>
      <c r="AS115" s="2">
        <f>SUM(AJ116:AJ116)</f>
        <v>0</v>
      </c>
      <c r="AT115" s="2">
        <f>SUM(AK116:AK116)</f>
        <v>0</v>
      </c>
      <c r="AU115" s="2">
        <f>SUM(AL116:AL116)</f>
        <v>0</v>
      </c>
    </row>
    <row r="116" spans="1:75" ht="13.5" customHeight="1">
      <c r="A116" s="21" t="s">
        <v>1563</v>
      </c>
      <c r="B116" s="37" t="s">
        <v>1696</v>
      </c>
      <c r="C116" s="37" t="s">
        <v>2327</v>
      </c>
      <c r="D116" s="578" t="s">
        <v>166</v>
      </c>
      <c r="E116" s="579"/>
      <c r="F116" s="37" t="s">
        <v>2398</v>
      </c>
      <c r="G116" s="14">
        <v>42</v>
      </c>
      <c r="H116" s="569"/>
      <c r="I116" s="55" t="s">
        <v>1720</v>
      </c>
      <c r="J116" s="14">
        <f>G116*AO116</f>
        <v>0</v>
      </c>
      <c r="K116" s="14">
        <f>G116*AP116</f>
        <v>0</v>
      </c>
      <c r="L116" s="14">
        <f>G116*H116</f>
        <v>0</v>
      </c>
      <c r="M116" s="14">
        <f>L116*(1+BW116/100)</f>
        <v>0</v>
      </c>
      <c r="N116" s="14">
        <v>0.26250000000000001</v>
      </c>
      <c r="O116" s="14">
        <f>G116*N116</f>
        <v>11.025</v>
      </c>
      <c r="P116" s="72" t="s">
        <v>1664</v>
      </c>
      <c r="Z116" s="14">
        <f>IF(AQ116="5",BJ116,0)</f>
        <v>0</v>
      </c>
      <c r="AB116" s="14">
        <f>IF(AQ116="1",BH116,0)</f>
        <v>0</v>
      </c>
      <c r="AC116" s="14">
        <f>IF(AQ116="1",BI116,0)</f>
        <v>0</v>
      </c>
      <c r="AD116" s="14">
        <f>IF(AQ116="7",BH116,0)</f>
        <v>0</v>
      </c>
      <c r="AE116" s="14">
        <f>IF(AQ116="7",BI116,0)</f>
        <v>0</v>
      </c>
      <c r="AF116" s="14">
        <f>IF(AQ116="2",BH116,0)</f>
        <v>0</v>
      </c>
      <c r="AG116" s="14">
        <f>IF(AQ116="2",BI116,0)</f>
        <v>0</v>
      </c>
      <c r="AH116" s="14">
        <f>IF(AQ116="0",BJ116,0)</f>
        <v>0</v>
      </c>
      <c r="AI116" s="15" t="s">
        <v>1696</v>
      </c>
      <c r="AJ116" s="14">
        <f>IF(AN116=0,L116,0)</f>
        <v>0</v>
      </c>
      <c r="AK116" s="14">
        <f>IF(AN116=15,L116,0)</f>
        <v>0</v>
      </c>
      <c r="AL116" s="14">
        <f>IF(AN116=21,L116,0)</f>
        <v>0</v>
      </c>
      <c r="AN116" s="14">
        <v>21</v>
      </c>
      <c r="AO116" s="92">
        <f>H116*0.771756245446641</f>
        <v>0</v>
      </c>
      <c r="AP116" s="92">
        <f>H116*(1-0.771756245446641)</f>
        <v>0</v>
      </c>
      <c r="AQ116" s="55" t="s">
        <v>2422</v>
      </c>
      <c r="AV116" s="14">
        <f>AW116+AX116</f>
        <v>0</v>
      </c>
      <c r="AW116" s="14">
        <f>G116*AO116</f>
        <v>0</v>
      </c>
      <c r="AX116" s="14">
        <f>G116*AP116</f>
        <v>0</v>
      </c>
      <c r="AY116" s="55" t="s">
        <v>1186</v>
      </c>
      <c r="AZ116" s="55" t="s">
        <v>1263</v>
      </c>
      <c r="BA116" s="15" t="s">
        <v>2017</v>
      </c>
      <c r="BC116" s="14">
        <f>AW116+AX116</f>
        <v>0</v>
      </c>
      <c r="BD116" s="14">
        <f>H116/(100-BE116)*100</f>
        <v>0</v>
      </c>
      <c r="BE116" s="14">
        <v>0</v>
      </c>
      <c r="BF116" s="14">
        <f>O116</f>
        <v>11.025</v>
      </c>
      <c r="BH116" s="14">
        <f>G116*AO116</f>
        <v>0</v>
      </c>
      <c r="BI116" s="14">
        <f>G116*AP116</f>
        <v>0</v>
      </c>
      <c r="BJ116" s="14">
        <f>G116*H116</f>
        <v>0</v>
      </c>
      <c r="BK116" s="14"/>
      <c r="BL116" s="14">
        <v>45</v>
      </c>
      <c r="BW116" s="14" t="str">
        <f>I116</f>
        <v>21</v>
      </c>
    </row>
    <row r="117" spans="1:75" ht="15" customHeight="1">
      <c r="A117" s="32"/>
      <c r="D117" s="3" t="s">
        <v>1720</v>
      </c>
      <c r="E117" s="28" t="s">
        <v>2556</v>
      </c>
      <c r="G117" s="27">
        <v>21</v>
      </c>
      <c r="P117" s="33"/>
    </row>
    <row r="118" spans="1:75" ht="15" customHeight="1">
      <c r="A118" s="32"/>
      <c r="D118" s="3" t="s">
        <v>1720</v>
      </c>
      <c r="E118" s="28" t="s">
        <v>2267</v>
      </c>
      <c r="G118" s="27">
        <v>21</v>
      </c>
      <c r="P118" s="33"/>
    </row>
    <row r="119" spans="1:75" ht="15" customHeight="1">
      <c r="A119" s="65" t="s">
        <v>1683</v>
      </c>
      <c r="B119" s="26" t="s">
        <v>1696</v>
      </c>
      <c r="C119" s="26" t="s">
        <v>1769</v>
      </c>
      <c r="D119" s="649" t="s">
        <v>1752</v>
      </c>
      <c r="E119" s="650"/>
      <c r="F119" s="74" t="s">
        <v>2262</v>
      </c>
      <c r="G119" s="74" t="s">
        <v>2262</v>
      </c>
      <c r="H119" s="74" t="s">
        <v>2262</v>
      </c>
      <c r="I119" s="74" t="s">
        <v>2262</v>
      </c>
      <c r="J119" s="2">
        <f>SUM(J120:J122)</f>
        <v>0</v>
      </c>
      <c r="K119" s="2">
        <f>SUM(K120:K122)</f>
        <v>0</v>
      </c>
      <c r="L119" s="2">
        <f>SUM(L120:L122)</f>
        <v>0</v>
      </c>
      <c r="M119" s="2">
        <f>SUM(M120:M122)</f>
        <v>0</v>
      </c>
      <c r="N119" s="15" t="s">
        <v>1683</v>
      </c>
      <c r="O119" s="2">
        <f>SUM(O120:O122)</f>
        <v>3.7903799999999999</v>
      </c>
      <c r="P119" s="47" t="s">
        <v>1683</v>
      </c>
      <c r="AI119" s="15" t="s">
        <v>1696</v>
      </c>
      <c r="AS119" s="2">
        <f>SUM(AJ120:AJ122)</f>
        <v>0</v>
      </c>
      <c r="AT119" s="2">
        <f>SUM(AK120:AK122)</f>
        <v>0</v>
      </c>
      <c r="AU119" s="2">
        <f>SUM(AL120:AL122)</f>
        <v>0</v>
      </c>
    </row>
    <row r="120" spans="1:75" ht="13.5" customHeight="1">
      <c r="A120" s="21" t="s">
        <v>867</v>
      </c>
      <c r="B120" s="37" t="s">
        <v>1696</v>
      </c>
      <c r="C120" s="37" t="s">
        <v>2647</v>
      </c>
      <c r="D120" s="578" t="s">
        <v>490</v>
      </c>
      <c r="E120" s="579"/>
      <c r="F120" s="37" t="s">
        <v>2398</v>
      </c>
      <c r="G120" s="14">
        <v>66</v>
      </c>
      <c r="H120" s="569"/>
      <c r="I120" s="55" t="s">
        <v>1720</v>
      </c>
      <c r="J120" s="14">
        <f>G120*AO120</f>
        <v>0</v>
      </c>
      <c r="K120" s="14">
        <f>G120*AP120</f>
        <v>0</v>
      </c>
      <c r="L120" s="14">
        <f>G120*H120</f>
        <v>0</v>
      </c>
      <c r="M120" s="14">
        <f>L120*(1+BW120/100)</f>
        <v>0</v>
      </c>
      <c r="N120" s="14">
        <v>1.329E-2</v>
      </c>
      <c r="O120" s="14">
        <f>G120*N120</f>
        <v>0.87714000000000003</v>
      </c>
      <c r="P120" s="72" t="s">
        <v>1664</v>
      </c>
      <c r="Z120" s="14">
        <f>IF(AQ120="5",BJ120,0)</f>
        <v>0</v>
      </c>
      <c r="AB120" s="14">
        <f>IF(AQ120="1",BH120,0)</f>
        <v>0</v>
      </c>
      <c r="AC120" s="14">
        <f>IF(AQ120="1",BI120,0)</f>
        <v>0</v>
      </c>
      <c r="AD120" s="14">
        <f>IF(AQ120="7",BH120,0)</f>
        <v>0</v>
      </c>
      <c r="AE120" s="14">
        <f>IF(AQ120="7",BI120,0)</f>
        <v>0</v>
      </c>
      <c r="AF120" s="14">
        <f>IF(AQ120="2",BH120,0)</f>
        <v>0</v>
      </c>
      <c r="AG120" s="14">
        <f>IF(AQ120="2",BI120,0)</f>
        <v>0</v>
      </c>
      <c r="AH120" s="14">
        <f>IF(AQ120="0",BJ120,0)</f>
        <v>0</v>
      </c>
      <c r="AI120" s="15" t="s">
        <v>1696</v>
      </c>
      <c r="AJ120" s="14">
        <f>IF(AN120=0,L120,0)</f>
        <v>0</v>
      </c>
      <c r="AK120" s="14">
        <f>IF(AN120=15,L120,0)</f>
        <v>0</v>
      </c>
      <c r="AL120" s="14">
        <f>IF(AN120=21,L120,0)</f>
        <v>0</v>
      </c>
      <c r="AN120" s="14">
        <v>21</v>
      </c>
      <c r="AO120" s="92">
        <f>H120*0.584234391349843</f>
        <v>0</v>
      </c>
      <c r="AP120" s="92">
        <f>H120*(1-0.584234391349843)</f>
        <v>0</v>
      </c>
      <c r="AQ120" s="55" t="s">
        <v>2422</v>
      </c>
      <c r="AV120" s="14">
        <f>AW120+AX120</f>
        <v>0</v>
      </c>
      <c r="AW120" s="14">
        <f>G120*AO120</f>
        <v>0</v>
      </c>
      <c r="AX120" s="14">
        <f>G120*AP120</f>
        <v>0</v>
      </c>
      <c r="AY120" s="55" t="s">
        <v>1536</v>
      </c>
      <c r="AZ120" s="55" t="s">
        <v>1026</v>
      </c>
      <c r="BA120" s="15" t="s">
        <v>2017</v>
      </c>
      <c r="BC120" s="14">
        <f>AW120+AX120</f>
        <v>0</v>
      </c>
      <c r="BD120" s="14">
        <f>H120/(100-BE120)*100</f>
        <v>0</v>
      </c>
      <c r="BE120" s="14">
        <v>0</v>
      </c>
      <c r="BF120" s="14">
        <f>O120</f>
        <v>0.87714000000000003</v>
      </c>
      <c r="BH120" s="14">
        <f>G120*AO120</f>
        <v>0</v>
      </c>
      <c r="BI120" s="14">
        <f>G120*AP120</f>
        <v>0</v>
      </c>
      <c r="BJ120" s="14">
        <f>G120*H120</f>
        <v>0</v>
      </c>
      <c r="BK120" s="14"/>
      <c r="BL120" s="14">
        <v>61</v>
      </c>
      <c r="BW120" s="14" t="str">
        <f>I120</f>
        <v>21</v>
      </c>
    </row>
    <row r="121" spans="1:75" ht="15" customHeight="1">
      <c r="A121" s="32"/>
      <c r="D121" s="3" t="s">
        <v>2555</v>
      </c>
      <c r="E121" s="28" t="s">
        <v>1683</v>
      </c>
      <c r="G121" s="27">
        <v>66</v>
      </c>
      <c r="P121" s="33"/>
    </row>
    <row r="122" spans="1:75" ht="13.5" customHeight="1">
      <c r="A122" s="21" t="s">
        <v>2399</v>
      </c>
      <c r="B122" s="37" t="s">
        <v>1696</v>
      </c>
      <c r="C122" s="37" t="s">
        <v>899</v>
      </c>
      <c r="D122" s="578" t="s">
        <v>1612</v>
      </c>
      <c r="E122" s="579"/>
      <c r="F122" s="37" t="s">
        <v>2398</v>
      </c>
      <c r="G122" s="14">
        <v>66</v>
      </c>
      <c r="H122" s="569"/>
      <c r="I122" s="55" t="s">
        <v>1720</v>
      </c>
      <c r="J122" s="14">
        <f>G122*AO122</f>
        <v>0</v>
      </c>
      <c r="K122" s="14">
        <f>G122*AP122</f>
        <v>0</v>
      </c>
      <c r="L122" s="14">
        <f>G122*H122</f>
        <v>0</v>
      </c>
      <c r="M122" s="14">
        <f>L122*(1+BW122/100)</f>
        <v>0</v>
      </c>
      <c r="N122" s="14">
        <v>4.4139999999999999E-2</v>
      </c>
      <c r="O122" s="14">
        <f>G122*N122</f>
        <v>2.9132400000000001</v>
      </c>
      <c r="P122" s="72" t="s">
        <v>1664</v>
      </c>
      <c r="Z122" s="14">
        <f>IF(AQ122="5",BJ122,0)</f>
        <v>0</v>
      </c>
      <c r="AB122" s="14">
        <f>IF(AQ122="1",BH122,0)</f>
        <v>0</v>
      </c>
      <c r="AC122" s="14">
        <f>IF(AQ122="1",BI122,0)</f>
        <v>0</v>
      </c>
      <c r="AD122" s="14">
        <f>IF(AQ122="7",BH122,0)</f>
        <v>0</v>
      </c>
      <c r="AE122" s="14">
        <f>IF(AQ122="7",BI122,0)</f>
        <v>0</v>
      </c>
      <c r="AF122" s="14">
        <f>IF(AQ122="2",BH122,0)</f>
        <v>0</v>
      </c>
      <c r="AG122" s="14">
        <f>IF(AQ122="2",BI122,0)</f>
        <v>0</v>
      </c>
      <c r="AH122" s="14">
        <f>IF(AQ122="0",BJ122,0)</f>
        <v>0</v>
      </c>
      <c r="AI122" s="15" t="s">
        <v>1696</v>
      </c>
      <c r="AJ122" s="14">
        <f>IF(AN122=0,L122,0)</f>
        <v>0</v>
      </c>
      <c r="AK122" s="14">
        <f>IF(AN122=15,L122,0)</f>
        <v>0</v>
      </c>
      <c r="AL122" s="14">
        <f>IF(AN122=21,L122,0)</f>
        <v>0</v>
      </c>
      <c r="AN122" s="14">
        <v>21</v>
      </c>
      <c r="AO122" s="92">
        <f>H122*0.142038567493113</f>
        <v>0</v>
      </c>
      <c r="AP122" s="92">
        <f>H122*(1-0.142038567493113)</f>
        <v>0</v>
      </c>
      <c r="AQ122" s="55" t="s">
        <v>2422</v>
      </c>
      <c r="AV122" s="14">
        <f>AW122+AX122</f>
        <v>0</v>
      </c>
      <c r="AW122" s="14">
        <f>G122*AO122</f>
        <v>0</v>
      </c>
      <c r="AX122" s="14">
        <f>G122*AP122</f>
        <v>0</v>
      </c>
      <c r="AY122" s="55" t="s">
        <v>1536</v>
      </c>
      <c r="AZ122" s="55" t="s">
        <v>1026</v>
      </c>
      <c r="BA122" s="15" t="s">
        <v>2017</v>
      </c>
      <c r="BC122" s="14">
        <f>AW122+AX122</f>
        <v>0</v>
      </c>
      <c r="BD122" s="14">
        <f>H122/(100-BE122)*100</f>
        <v>0</v>
      </c>
      <c r="BE122" s="14">
        <v>0</v>
      </c>
      <c r="BF122" s="14">
        <f>O122</f>
        <v>2.9132400000000001</v>
      </c>
      <c r="BH122" s="14">
        <f>G122*AO122</f>
        <v>0</v>
      </c>
      <c r="BI122" s="14">
        <f>G122*AP122</f>
        <v>0</v>
      </c>
      <c r="BJ122" s="14">
        <f>G122*H122</f>
        <v>0</v>
      </c>
      <c r="BK122" s="14"/>
      <c r="BL122" s="14">
        <v>61</v>
      </c>
      <c r="BW122" s="14" t="str">
        <f>I122</f>
        <v>21</v>
      </c>
    </row>
    <row r="123" spans="1:75" ht="15" customHeight="1">
      <c r="A123" s="32"/>
      <c r="D123" s="3" t="s">
        <v>2555</v>
      </c>
      <c r="E123" s="28" t="s">
        <v>1683</v>
      </c>
      <c r="G123" s="27">
        <v>66</v>
      </c>
      <c r="P123" s="33"/>
    </row>
    <row r="124" spans="1:75" ht="15" customHeight="1">
      <c r="A124" s="65" t="s">
        <v>1683</v>
      </c>
      <c r="B124" s="26" t="s">
        <v>1696</v>
      </c>
      <c r="C124" s="26" t="s">
        <v>2725</v>
      </c>
      <c r="D124" s="649" t="s">
        <v>1986</v>
      </c>
      <c r="E124" s="650"/>
      <c r="F124" s="74" t="s">
        <v>2262</v>
      </c>
      <c r="G124" s="74" t="s">
        <v>2262</v>
      </c>
      <c r="H124" s="74" t="s">
        <v>2262</v>
      </c>
      <c r="I124" s="74" t="s">
        <v>2262</v>
      </c>
      <c r="J124" s="2">
        <f>SUM(J125:J130)</f>
        <v>0</v>
      </c>
      <c r="K124" s="2">
        <f>SUM(K125:K130)</f>
        <v>0</v>
      </c>
      <c r="L124" s="2">
        <f>SUM(L125:L130)</f>
        <v>0</v>
      </c>
      <c r="M124" s="2">
        <f>SUM(M125:M130)</f>
        <v>0</v>
      </c>
      <c r="N124" s="15" t="s">
        <v>1683</v>
      </c>
      <c r="O124" s="2">
        <f>SUM(O125:O130)</f>
        <v>0.92549999999999999</v>
      </c>
      <c r="P124" s="47" t="s">
        <v>1683</v>
      </c>
      <c r="AI124" s="15" t="s">
        <v>1696</v>
      </c>
      <c r="AS124" s="2">
        <f>SUM(AJ125:AJ130)</f>
        <v>0</v>
      </c>
      <c r="AT124" s="2">
        <f>SUM(AK125:AK130)</f>
        <v>0</v>
      </c>
      <c r="AU124" s="2">
        <f>SUM(AL125:AL130)</f>
        <v>0</v>
      </c>
    </row>
    <row r="125" spans="1:75" ht="13.5" customHeight="1">
      <c r="A125" s="21" t="s">
        <v>449</v>
      </c>
      <c r="B125" s="37" t="s">
        <v>1696</v>
      </c>
      <c r="C125" s="37" t="s">
        <v>1967</v>
      </c>
      <c r="D125" s="578" t="s">
        <v>1977</v>
      </c>
      <c r="E125" s="579"/>
      <c r="F125" s="37" t="s">
        <v>2398</v>
      </c>
      <c r="G125" s="14">
        <v>16</v>
      </c>
      <c r="H125" s="569"/>
      <c r="I125" s="55" t="s">
        <v>1720</v>
      </c>
      <c r="J125" s="14">
        <f>G125*AO125</f>
        <v>0</v>
      </c>
      <c r="K125" s="14">
        <f>G125*AP125</f>
        <v>0</v>
      </c>
      <c r="L125" s="14">
        <f>G125*H125</f>
        <v>0</v>
      </c>
      <c r="M125" s="14">
        <f>L125*(1+BW125/100)</f>
        <v>0</v>
      </c>
      <c r="N125" s="14">
        <v>8.6999999999999994E-3</v>
      </c>
      <c r="O125" s="14">
        <f>G125*N125</f>
        <v>0.13919999999999999</v>
      </c>
      <c r="P125" s="72" t="s">
        <v>1664</v>
      </c>
      <c r="Z125" s="14">
        <f>IF(AQ125="5",BJ125,0)</f>
        <v>0</v>
      </c>
      <c r="AB125" s="14">
        <f>IF(AQ125="1",BH125,0)</f>
        <v>0</v>
      </c>
      <c r="AC125" s="14">
        <f>IF(AQ125="1",BI125,0)</f>
        <v>0</v>
      </c>
      <c r="AD125" s="14">
        <f>IF(AQ125="7",BH125,0)</f>
        <v>0</v>
      </c>
      <c r="AE125" s="14">
        <f>IF(AQ125="7",BI125,0)</f>
        <v>0</v>
      </c>
      <c r="AF125" s="14">
        <f>IF(AQ125="2",BH125,0)</f>
        <v>0</v>
      </c>
      <c r="AG125" s="14">
        <f>IF(AQ125="2",BI125,0)</f>
        <v>0</v>
      </c>
      <c r="AH125" s="14">
        <f>IF(AQ125="0",BJ125,0)</f>
        <v>0</v>
      </c>
      <c r="AI125" s="15" t="s">
        <v>1696</v>
      </c>
      <c r="AJ125" s="14">
        <f>IF(AN125=0,L125,0)</f>
        <v>0</v>
      </c>
      <c r="AK125" s="14">
        <f>IF(AN125=15,L125,0)</f>
        <v>0</v>
      </c>
      <c r="AL125" s="14">
        <f>IF(AN125=21,L125,0)</f>
        <v>0</v>
      </c>
      <c r="AN125" s="14">
        <v>21</v>
      </c>
      <c r="AO125" s="92">
        <f>H125*0.567587511825922</f>
        <v>0</v>
      </c>
      <c r="AP125" s="92">
        <f>H125*(1-0.567587511825922)</f>
        <v>0</v>
      </c>
      <c r="AQ125" s="55" t="s">
        <v>2422</v>
      </c>
      <c r="AV125" s="14">
        <f>AW125+AX125</f>
        <v>0</v>
      </c>
      <c r="AW125" s="14">
        <f>G125*AO125</f>
        <v>0</v>
      </c>
      <c r="AX125" s="14">
        <f>G125*AP125</f>
        <v>0</v>
      </c>
      <c r="AY125" s="55" t="s">
        <v>1075</v>
      </c>
      <c r="AZ125" s="55" t="s">
        <v>1026</v>
      </c>
      <c r="BA125" s="15" t="s">
        <v>2017</v>
      </c>
      <c r="BC125" s="14">
        <f>AW125+AX125</f>
        <v>0</v>
      </c>
      <c r="BD125" s="14">
        <f>H125/(100-BE125)*100</f>
        <v>0</v>
      </c>
      <c r="BE125" s="14">
        <v>0</v>
      </c>
      <c r="BF125" s="14">
        <f>O125</f>
        <v>0.13919999999999999</v>
      </c>
      <c r="BH125" s="14">
        <f>G125*AO125</f>
        <v>0</v>
      </c>
      <c r="BI125" s="14">
        <f>G125*AP125</f>
        <v>0</v>
      </c>
      <c r="BJ125" s="14">
        <f>G125*H125</f>
        <v>0</v>
      </c>
      <c r="BK125" s="14"/>
      <c r="BL125" s="14">
        <v>62</v>
      </c>
      <c r="BW125" s="14" t="str">
        <f>I125</f>
        <v>21</v>
      </c>
    </row>
    <row r="126" spans="1:75" ht="15" customHeight="1">
      <c r="A126" s="32"/>
      <c r="D126" s="3" t="s">
        <v>1037</v>
      </c>
      <c r="E126" s="28" t="s">
        <v>1138</v>
      </c>
      <c r="G126" s="27">
        <v>10</v>
      </c>
      <c r="P126" s="33"/>
    </row>
    <row r="127" spans="1:75" ht="15" customHeight="1">
      <c r="A127" s="32"/>
      <c r="D127" s="3" t="s">
        <v>1155</v>
      </c>
      <c r="E127" s="28" t="s">
        <v>2312</v>
      </c>
      <c r="G127" s="27">
        <v>6.0000000000000009</v>
      </c>
      <c r="P127" s="33"/>
    </row>
    <row r="128" spans="1:75" ht="13.5" customHeight="1">
      <c r="A128" s="21" t="s">
        <v>808</v>
      </c>
      <c r="B128" s="37" t="s">
        <v>1696</v>
      </c>
      <c r="C128" s="37" t="s">
        <v>2678</v>
      </c>
      <c r="D128" s="578" t="s">
        <v>1164</v>
      </c>
      <c r="E128" s="579"/>
      <c r="F128" s="37" t="s">
        <v>2398</v>
      </c>
      <c r="G128" s="14">
        <v>16</v>
      </c>
      <c r="H128" s="569"/>
      <c r="I128" s="55" t="s">
        <v>1720</v>
      </c>
      <c r="J128" s="14">
        <f>G128*AO128</f>
        <v>0</v>
      </c>
      <c r="K128" s="14">
        <f>G128*AP128</f>
        <v>0</v>
      </c>
      <c r="L128" s="14">
        <f>G128*H128</f>
        <v>0</v>
      </c>
      <c r="M128" s="14">
        <f>L128*(1+BW128/100)</f>
        <v>0</v>
      </c>
      <c r="N128" s="14">
        <v>4.8169999999999998E-2</v>
      </c>
      <c r="O128" s="14">
        <f>G128*N128</f>
        <v>0.77071999999999996</v>
      </c>
      <c r="P128" s="72" t="s">
        <v>1664</v>
      </c>
      <c r="Z128" s="14">
        <f>IF(AQ128="5",BJ128,0)</f>
        <v>0</v>
      </c>
      <c r="AB128" s="14">
        <f>IF(AQ128="1",BH128,0)</f>
        <v>0</v>
      </c>
      <c r="AC128" s="14">
        <f>IF(AQ128="1",BI128,0)</f>
        <v>0</v>
      </c>
      <c r="AD128" s="14">
        <f>IF(AQ128="7",BH128,0)</f>
        <v>0</v>
      </c>
      <c r="AE128" s="14">
        <f>IF(AQ128="7",BI128,0)</f>
        <v>0</v>
      </c>
      <c r="AF128" s="14">
        <f>IF(AQ128="2",BH128,0)</f>
        <v>0</v>
      </c>
      <c r="AG128" s="14">
        <f>IF(AQ128="2",BI128,0)</f>
        <v>0</v>
      </c>
      <c r="AH128" s="14">
        <f>IF(AQ128="0",BJ128,0)</f>
        <v>0</v>
      </c>
      <c r="AI128" s="15" t="s">
        <v>1696</v>
      </c>
      <c r="AJ128" s="14">
        <f>IF(AN128=0,L128,0)</f>
        <v>0</v>
      </c>
      <c r="AK128" s="14">
        <f>IF(AN128=15,L128,0)</f>
        <v>0</v>
      </c>
      <c r="AL128" s="14">
        <f>IF(AN128=21,L128,0)</f>
        <v>0</v>
      </c>
      <c r="AN128" s="14">
        <v>21</v>
      </c>
      <c r="AO128" s="92">
        <f>H128*0.127133182844244</f>
        <v>0</v>
      </c>
      <c r="AP128" s="92">
        <f>H128*(1-0.127133182844244)</f>
        <v>0</v>
      </c>
      <c r="AQ128" s="55" t="s">
        <v>2422</v>
      </c>
      <c r="AV128" s="14">
        <f>AW128+AX128</f>
        <v>0</v>
      </c>
      <c r="AW128" s="14">
        <f>G128*AO128</f>
        <v>0</v>
      </c>
      <c r="AX128" s="14">
        <f>G128*AP128</f>
        <v>0</v>
      </c>
      <c r="AY128" s="55" t="s">
        <v>1075</v>
      </c>
      <c r="AZ128" s="55" t="s">
        <v>1026</v>
      </c>
      <c r="BA128" s="15" t="s">
        <v>2017</v>
      </c>
      <c r="BC128" s="14">
        <f>AW128+AX128</f>
        <v>0</v>
      </c>
      <c r="BD128" s="14">
        <f>H128/(100-BE128)*100</f>
        <v>0</v>
      </c>
      <c r="BE128" s="14">
        <v>0</v>
      </c>
      <c r="BF128" s="14">
        <f>O128</f>
        <v>0.77071999999999996</v>
      </c>
      <c r="BH128" s="14">
        <f>G128*AO128</f>
        <v>0</v>
      </c>
      <c r="BI128" s="14">
        <f>G128*AP128</f>
        <v>0</v>
      </c>
      <c r="BJ128" s="14">
        <f>G128*H128</f>
        <v>0</v>
      </c>
      <c r="BK128" s="14"/>
      <c r="BL128" s="14">
        <v>62</v>
      </c>
      <c r="BW128" s="14" t="str">
        <f>I128</f>
        <v>21</v>
      </c>
    </row>
    <row r="129" spans="1:75" ht="15" customHeight="1">
      <c r="A129" s="32"/>
      <c r="D129" s="3" t="s">
        <v>226</v>
      </c>
      <c r="E129" s="28" t="s">
        <v>1609</v>
      </c>
      <c r="G129" s="27">
        <v>16</v>
      </c>
      <c r="P129" s="33"/>
    </row>
    <row r="130" spans="1:75" ht="13.5" customHeight="1">
      <c r="A130" s="21" t="s">
        <v>1061</v>
      </c>
      <c r="B130" s="37" t="s">
        <v>1696</v>
      </c>
      <c r="C130" s="37" t="s">
        <v>545</v>
      </c>
      <c r="D130" s="578" t="s">
        <v>1890</v>
      </c>
      <c r="E130" s="579"/>
      <c r="F130" s="37" t="s">
        <v>2398</v>
      </c>
      <c r="G130" s="14">
        <v>82</v>
      </c>
      <c r="H130" s="569"/>
      <c r="I130" s="55" t="s">
        <v>1720</v>
      </c>
      <c r="J130" s="14">
        <f>G130*AO130</f>
        <v>0</v>
      </c>
      <c r="K130" s="14">
        <f>G130*AP130</f>
        <v>0</v>
      </c>
      <c r="L130" s="14">
        <f>G130*H130</f>
        <v>0</v>
      </c>
      <c r="M130" s="14">
        <f>L130*(1+BW130/100)</f>
        <v>0</v>
      </c>
      <c r="N130" s="14">
        <v>1.9000000000000001E-4</v>
      </c>
      <c r="O130" s="14">
        <f>G130*N130</f>
        <v>1.558E-2</v>
      </c>
      <c r="P130" s="72" t="s">
        <v>1664</v>
      </c>
      <c r="Z130" s="14">
        <f>IF(AQ130="5",BJ130,0)</f>
        <v>0</v>
      </c>
      <c r="AB130" s="14">
        <f>IF(AQ130="1",BH130,0)</f>
        <v>0</v>
      </c>
      <c r="AC130" s="14">
        <f>IF(AQ130="1",BI130,0)</f>
        <v>0</v>
      </c>
      <c r="AD130" s="14">
        <f>IF(AQ130="7",BH130,0)</f>
        <v>0</v>
      </c>
      <c r="AE130" s="14">
        <f>IF(AQ130="7",BI130,0)</f>
        <v>0</v>
      </c>
      <c r="AF130" s="14">
        <f>IF(AQ130="2",BH130,0)</f>
        <v>0</v>
      </c>
      <c r="AG130" s="14">
        <f>IF(AQ130="2",BI130,0)</f>
        <v>0</v>
      </c>
      <c r="AH130" s="14">
        <f>IF(AQ130="0",BJ130,0)</f>
        <v>0</v>
      </c>
      <c r="AI130" s="15" t="s">
        <v>1696</v>
      </c>
      <c r="AJ130" s="14">
        <f>IF(AN130=0,L130,0)</f>
        <v>0</v>
      </c>
      <c r="AK130" s="14">
        <f>IF(AN130=15,L130,0)</f>
        <v>0</v>
      </c>
      <c r="AL130" s="14">
        <f>IF(AN130=21,L130,0)</f>
        <v>0</v>
      </c>
      <c r="AN130" s="14">
        <v>21</v>
      </c>
      <c r="AO130" s="92">
        <f>H130*0.796200345423143</f>
        <v>0</v>
      </c>
      <c r="AP130" s="92">
        <f>H130*(1-0.796200345423143)</f>
        <v>0</v>
      </c>
      <c r="AQ130" s="55" t="s">
        <v>2422</v>
      </c>
      <c r="AV130" s="14">
        <f>AW130+AX130</f>
        <v>0</v>
      </c>
      <c r="AW130" s="14">
        <f>G130*AO130</f>
        <v>0</v>
      </c>
      <c r="AX130" s="14">
        <f>G130*AP130</f>
        <v>0</v>
      </c>
      <c r="AY130" s="55" t="s">
        <v>1075</v>
      </c>
      <c r="AZ130" s="55" t="s">
        <v>1026</v>
      </c>
      <c r="BA130" s="15" t="s">
        <v>2017</v>
      </c>
      <c r="BC130" s="14">
        <f>AW130+AX130</f>
        <v>0</v>
      </c>
      <c r="BD130" s="14">
        <f>H130/(100-BE130)*100</f>
        <v>0</v>
      </c>
      <c r="BE130" s="14">
        <v>0</v>
      </c>
      <c r="BF130" s="14">
        <f>O130</f>
        <v>1.558E-2</v>
      </c>
      <c r="BH130" s="14">
        <f>G130*AO130</f>
        <v>0</v>
      </c>
      <c r="BI130" s="14">
        <f>G130*AP130</f>
        <v>0</v>
      </c>
      <c r="BJ130" s="14">
        <f>G130*H130</f>
        <v>0</v>
      </c>
      <c r="BK130" s="14"/>
      <c r="BL130" s="14">
        <v>62</v>
      </c>
      <c r="BW130" s="14" t="str">
        <f>I130</f>
        <v>21</v>
      </c>
    </row>
    <row r="131" spans="1:75" ht="15" customHeight="1">
      <c r="A131" s="32"/>
      <c r="D131" s="3" t="s">
        <v>2773</v>
      </c>
      <c r="E131" s="28" t="s">
        <v>1683</v>
      </c>
      <c r="G131" s="27">
        <v>82</v>
      </c>
      <c r="P131" s="33"/>
    </row>
    <row r="132" spans="1:75" ht="15" customHeight="1">
      <c r="A132" s="65" t="s">
        <v>1683</v>
      </c>
      <c r="B132" s="26" t="s">
        <v>1696</v>
      </c>
      <c r="C132" s="26" t="s">
        <v>153</v>
      </c>
      <c r="D132" s="649" t="s">
        <v>2753</v>
      </c>
      <c r="E132" s="650"/>
      <c r="F132" s="74" t="s">
        <v>2262</v>
      </c>
      <c r="G132" s="74" t="s">
        <v>2262</v>
      </c>
      <c r="H132" s="74" t="s">
        <v>2262</v>
      </c>
      <c r="I132" s="74" t="s">
        <v>2262</v>
      </c>
      <c r="J132" s="2">
        <f>SUM(J133:J139)</f>
        <v>0</v>
      </c>
      <c r="K132" s="2">
        <f>SUM(K133:K139)</f>
        <v>0</v>
      </c>
      <c r="L132" s="2">
        <f>SUM(L133:L139)</f>
        <v>0</v>
      </c>
      <c r="M132" s="2">
        <f>SUM(M133:M139)</f>
        <v>0</v>
      </c>
      <c r="N132" s="15" t="s">
        <v>1683</v>
      </c>
      <c r="O132" s="2">
        <f>SUM(O133:O139)</f>
        <v>0.23264749999999998</v>
      </c>
      <c r="P132" s="47" t="s">
        <v>1683</v>
      </c>
      <c r="AI132" s="15" t="s">
        <v>1696</v>
      </c>
      <c r="AS132" s="2">
        <f>SUM(AJ133:AJ139)</f>
        <v>0</v>
      </c>
      <c r="AT132" s="2">
        <f>SUM(AK133:AK139)</f>
        <v>0</v>
      </c>
      <c r="AU132" s="2">
        <f>SUM(AL133:AL139)</f>
        <v>0</v>
      </c>
    </row>
    <row r="133" spans="1:75" ht="27" customHeight="1">
      <c r="A133" s="21" t="s">
        <v>865</v>
      </c>
      <c r="B133" s="37" t="s">
        <v>1696</v>
      </c>
      <c r="C133" s="37" t="s">
        <v>2118</v>
      </c>
      <c r="D133" s="578" t="s">
        <v>176</v>
      </c>
      <c r="E133" s="579"/>
      <c r="F133" s="37" t="s">
        <v>2398</v>
      </c>
      <c r="G133" s="14">
        <v>21</v>
      </c>
      <c r="H133" s="569"/>
      <c r="I133" s="55" t="s">
        <v>1720</v>
      </c>
      <c r="J133" s="14">
        <f>G133*AO133</f>
        <v>0</v>
      </c>
      <c r="K133" s="14">
        <f>G133*AP133</f>
        <v>0</v>
      </c>
      <c r="L133" s="14">
        <f>G133*H133</f>
        <v>0</v>
      </c>
      <c r="M133" s="14">
        <f>L133*(1+BW133/100)</f>
        <v>0</v>
      </c>
      <c r="N133" s="14">
        <v>3.3E-4</v>
      </c>
      <c r="O133" s="14">
        <f>G133*N133</f>
        <v>6.9300000000000004E-3</v>
      </c>
      <c r="P133" s="72" t="s">
        <v>1664</v>
      </c>
      <c r="Z133" s="14">
        <f>IF(AQ133="5",BJ133,0)</f>
        <v>0</v>
      </c>
      <c r="AB133" s="14">
        <f>IF(AQ133="1",BH133,0)</f>
        <v>0</v>
      </c>
      <c r="AC133" s="14">
        <f>IF(AQ133="1",BI133,0)</f>
        <v>0</v>
      </c>
      <c r="AD133" s="14">
        <f>IF(AQ133="7",BH133,0)</f>
        <v>0</v>
      </c>
      <c r="AE133" s="14">
        <f>IF(AQ133="7",BI133,0)</f>
        <v>0</v>
      </c>
      <c r="AF133" s="14">
        <f>IF(AQ133="2",BH133,0)</f>
        <v>0</v>
      </c>
      <c r="AG133" s="14">
        <f>IF(AQ133="2",BI133,0)</f>
        <v>0</v>
      </c>
      <c r="AH133" s="14">
        <f>IF(AQ133="0",BJ133,0)</f>
        <v>0</v>
      </c>
      <c r="AI133" s="15" t="s">
        <v>1696</v>
      </c>
      <c r="AJ133" s="14">
        <f>IF(AN133=0,L133,0)</f>
        <v>0</v>
      </c>
      <c r="AK133" s="14">
        <f>IF(AN133=15,L133,0)</f>
        <v>0</v>
      </c>
      <c r="AL133" s="14">
        <f>IF(AN133=21,L133,0)</f>
        <v>0</v>
      </c>
      <c r="AN133" s="14">
        <v>21</v>
      </c>
      <c r="AO133" s="92">
        <f>H133*0.732111522713979</f>
        <v>0</v>
      </c>
      <c r="AP133" s="92">
        <f>H133*(1-0.732111522713979)</f>
        <v>0</v>
      </c>
      <c r="AQ133" s="55" t="s">
        <v>2435</v>
      </c>
      <c r="AV133" s="14">
        <f>AW133+AX133</f>
        <v>0</v>
      </c>
      <c r="AW133" s="14">
        <f>G133*AO133</f>
        <v>0</v>
      </c>
      <c r="AX133" s="14">
        <f>G133*AP133</f>
        <v>0</v>
      </c>
      <c r="AY133" s="55" t="s">
        <v>2124</v>
      </c>
      <c r="AZ133" s="55" t="s">
        <v>2283</v>
      </c>
      <c r="BA133" s="15" t="s">
        <v>2017</v>
      </c>
      <c r="BC133" s="14">
        <f>AW133+AX133</f>
        <v>0</v>
      </c>
      <c r="BD133" s="14">
        <f>H133/(100-BE133)*100</f>
        <v>0</v>
      </c>
      <c r="BE133" s="14">
        <v>0</v>
      </c>
      <c r="BF133" s="14">
        <f>O133</f>
        <v>6.9300000000000004E-3</v>
      </c>
      <c r="BH133" s="14">
        <f>G133*AO133</f>
        <v>0</v>
      </c>
      <c r="BI133" s="14">
        <f>G133*AP133</f>
        <v>0</v>
      </c>
      <c r="BJ133" s="14">
        <f>G133*H133</f>
        <v>0</v>
      </c>
      <c r="BK133" s="14"/>
      <c r="BL133" s="14">
        <v>711</v>
      </c>
      <c r="BW133" s="14" t="str">
        <f>I133</f>
        <v>21</v>
      </c>
    </row>
    <row r="134" spans="1:75" ht="15" customHeight="1">
      <c r="A134" s="32"/>
      <c r="D134" s="3" t="s">
        <v>1720</v>
      </c>
      <c r="E134" s="28" t="s">
        <v>1683</v>
      </c>
      <c r="G134" s="27">
        <v>21</v>
      </c>
      <c r="P134" s="33"/>
    </row>
    <row r="135" spans="1:75" ht="27" customHeight="1">
      <c r="A135" s="21" t="s">
        <v>1950</v>
      </c>
      <c r="B135" s="37" t="s">
        <v>1696</v>
      </c>
      <c r="C135" s="37" t="s">
        <v>862</v>
      </c>
      <c r="D135" s="578" t="s">
        <v>0</v>
      </c>
      <c r="E135" s="579"/>
      <c r="F135" s="37" t="s">
        <v>2398</v>
      </c>
      <c r="G135" s="14">
        <v>4.75</v>
      </c>
      <c r="H135" s="569"/>
      <c r="I135" s="55" t="s">
        <v>1720</v>
      </c>
      <c r="J135" s="14">
        <f>G135*AO135</f>
        <v>0</v>
      </c>
      <c r="K135" s="14">
        <f>G135*AP135</f>
        <v>0</v>
      </c>
      <c r="L135" s="14">
        <f>G135*H135</f>
        <v>0</v>
      </c>
      <c r="M135" s="14">
        <f>L135*(1+BW135/100)</f>
        <v>0</v>
      </c>
      <c r="N135" s="14">
        <v>1.7000000000000001E-4</v>
      </c>
      <c r="O135" s="14">
        <f>G135*N135</f>
        <v>8.0750000000000006E-4</v>
      </c>
      <c r="P135" s="72" t="s">
        <v>1664</v>
      </c>
      <c r="Z135" s="14">
        <f>IF(AQ135="5",BJ135,0)</f>
        <v>0</v>
      </c>
      <c r="AB135" s="14">
        <f>IF(AQ135="1",BH135,0)</f>
        <v>0</v>
      </c>
      <c r="AC135" s="14">
        <f>IF(AQ135="1",BI135,0)</f>
        <v>0</v>
      </c>
      <c r="AD135" s="14">
        <f>IF(AQ135="7",BH135,0)</f>
        <v>0</v>
      </c>
      <c r="AE135" s="14">
        <f>IF(AQ135="7",BI135,0)</f>
        <v>0</v>
      </c>
      <c r="AF135" s="14">
        <f>IF(AQ135="2",BH135,0)</f>
        <v>0</v>
      </c>
      <c r="AG135" s="14">
        <f>IF(AQ135="2",BI135,0)</f>
        <v>0</v>
      </c>
      <c r="AH135" s="14">
        <f>IF(AQ135="0",BJ135,0)</f>
        <v>0</v>
      </c>
      <c r="AI135" s="15" t="s">
        <v>1696</v>
      </c>
      <c r="AJ135" s="14">
        <f>IF(AN135=0,L135,0)</f>
        <v>0</v>
      </c>
      <c r="AK135" s="14">
        <f>IF(AN135=15,L135,0)</f>
        <v>0</v>
      </c>
      <c r="AL135" s="14">
        <f>IF(AN135=21,L135,0)</f>
        <v>0</v>
      </c>
      <c r="AN135" s="14">
        <v>21</v>
      </c>
      <c r="AO135" s="92">
        <f>H135*0.170440570064385</f>
        <v>0</v>
      </c>
      <c r="AP135" s="92">
        <f>H135*(1-0.170440570064385)</f>
        <v>0</v>
      </c>
      <c r="AQ135" s="55" t="s">
        <v>2435</v>
      </c>
      <c r="AV135" s="14">
        <f>AW135+AX135</f>
        <v>0</v>
      </c>
      <c r="AW135" s="14">
        <f>G135*AO135</f>
        <v>0</v>
      </c>
      <c r="AX135" s="14">
        <f>G135*AP135</f>
        <v>0</v>
      </c>
      <c r="AY135" s="55" t="s">
        <v>2124</v>
      </c>
      <c r="AZ135" s="55" t="s">
        <v>2283</v>
      </c>
      <c r="BA135" s="15" t="s">
        <v>2017</v>
      </c>
      <c r="BC135" s="14">
        <f>AW135+AX135</f>
        <v>0</v>
      </c>
      <c r="BD135" s="14">
        <f>H135/(100-BE135)*100</f>
        <v>0</v>
      </c>
      <c r="BE135" s="14">
        <v>0</v>
      </c>
      <c r="BF135" s="14">
        <f>O135</f>
        <v>8.0750000000000006E-4</v>
      </c>
      <c r="BH135" s="14">
        <f>G135*AO135</f>
        <v>0</v>
      </c>
      <c r="BI135" s="14">
        <f>G135*AP135</f>
        <v>0</v>
      </c>
      <c r="BJ135" s="14">
        <f>G135*H135</f>
        <v>0</v>
      </c>
      <c r="BK135" s="14"/>
      <c r="BL135" s="14">
        <v>711</v>
      </c>
      <c r="BW135" s="14" t="str">
        <f>I135</f>
        <v>21</v>
      </c>
    </row>
    <row r="136" spans="1:75" ht="15" customHeight="1">
      <c r="A136" s="32"/>
      <c r="D136" s="3" t="s">
        <v>2144</v>
      </c>
      <c r="E136" s="28" t="s">
        <v>1683</v>
      </c>
      <c r="G136" s="27">
        <v>4.75</v>
      </c>
      <c r="P136" s="33"/>
    </row>
    <row r="137" spans="1:75" ht="27" customHeight="1">
      <c r="A137" s="21" t="s">
        <v>2513</v>
      </c>
      <c r="B137" s="37" t="s">
        <v>1696</v>
      </c>
      <c r="C137" s="37" t="s">
        <v>733</v>
      </c>
      <c r="D137" s="578" t="s">
        <v>500</v>
      </c>
      <c r="E137" s="579"/>
      <c r="F137" s="37" t="s">
        <v>2398</v>
      </c>
      <c r="G137" s="14">
        <v>21</v>
      </c>
      <c r="H137" s="569"/>
      <c r="I137" s="55" t="s">
        <v>1720</v>
      </c>
      <c r="J137" s="14">
        <f>G137*AO137</f>
        <v>0</v>
      </c>
      <c r="K137" s="14">
        <f>G137*AP137</f>
        <v>0</v>
      </c>
      <c r="L137" s="14">
        <f>G137*H137</f>
        <v>0</v>
      </c>
      <c r="M137" s="14">
        <f>L137*(1+BW137/100)</f>
        <v>0</v>
      </c>
      <c r="N137" s="14">
        <v>8.1999999999999998E-4</v>
      </c>
      <c r="O137" s="14">
        <f>G137*N137</f>
        <v>1.7219999999999999E-2</v>
      </c>
      <c r="P137" s="72" t="s">
        <v>1664</v>
      </c>
      <c r="Z137" s="14">
        <f>IF(AQ137="5",BJ137,0)</f>
        <v>0</v>
      </c>
      <c r="AB137" s="14">
        <f>IF(AQ137="1",BH137,0)</f>
        <v>0</v>
      </c>
      <c r="AC137" s="14">
        <f>IF(AQ137="1",BI137,0)</f>
        <v>0</v>
      </c>
      <c r="AD137" s="14">
        <f>IF(AQ137="7",BH137,0)</f>
        <v>0</v>
      </c>
      <c r="AE137" s="14">
        <f>IF(AQ137="7",BI137,0)</f>
        <v>0</v>
      </c>
      <c r="AF137" s="14">
        <f>IF(AQ137="2",BH137,0)</f>
        <v>0</v>
      </c>
      <c r="AG137" s="14">
        <f>IF(AQ137="2",BI137,0)</f>
        <v>0</v>
      </c>
      <c r="AH137" s="14">
        <f>IF(AQ137="0",BJ137,0)</f>
        <v>0</v>
      </c>
      <c r="AI137" s="15" t="s">
        <v>1696</v>
      </c>
      <c r="AJ137" s="14">
        <f>IF(AN137=0,L137,0)</f>
        <v>0</v>
      </c>
      <c r="AK137" s="14">
        <f>IF(AN137=15,L137,0)</f>
        <v>0</v>
      </c>
      <c r="AL137" s="14">
        <f>IF(AN137=21,L137,0)</f>
        <v>0</v>
      </c>
      <c r="AN137" s="14">
        <v>21</v>
      </c>
      <c r="AO137" s="92">
        <f>H137*0.0798368065277389</f>
        <v>0</v>
      </c>
      <c r="AP137" s="92">
        <f>H137*(1-0.0798368065277389)</f>
        <v>0</v>
      </c>
      <c r="AQ137" s="55" t="s">
        <v>2435</v>
      </c>
      <c r="AV137" s="14">
        <f>AW137+AX137</f>
        <v>0</v>
      </c>
      <c r="AW137" s="14">
        <f>G137*AO137</f>
        <v>0</v>
      </c>
      <c r="AX137" s="14">
        <f>G137*AP137</f>
        <v>0</v>
      </c>
      <c r="AY137" s="55" t="s">
        <v>2124</v>
      </c>
      <c r="AZ137" s="55" t="s">
        <v>2283</v>
      </c>
      <c r="BA137" s="15" t="s">
        <v>2017</v>
      </c>
      <c r="BC137" s="14">
        <f>AW137+AX137</f>
        <v>0</v>
      </c>
      <c r="BD137" s="14">
        <f>H137/(100-BE137)*100</f>
        <v>0</v>
      </c>
      <c r="BE137" s="14">
        <v>0</v>
      </c>
      <c r="BF137" s="14">
        <f>O137</f>
        <v>1.7219999999999999E-2</v>
      </c>
      <c r="BH137" s="14">
        <f>G137*AO137</f>
        <v>0</v>
      </c>
      <c r="BI137" s="14">
        <f>G137*AP137</f>
        <v>0</v>
      </c>
      <c r="BJ137" s="14">
        <f>G137*H137</f>
        <v>0</v>
      </c>
      <c r="BK137" s="14"/>
      <c r="BL137" s="14">
        <v>711</v>
      </c>
      <c r="BW137" s="14" t="str">
        <f>I137</f>
        <v>21</v>
      </c>
    </row>
    <row r="138" spans="1:75" ht="15" customHeight="1">
      <c r="A138" s="32"/>
      <c r="D138" s="3" t="s">
        <v>1720</v>
      </c>
      <c r="E138" s="28" t="s">
        <v>1683</v>
      </c>
      <c r="G138" s="27">
        <v>21</v>
      </c>
      <c r="P138" s="33"/>
    </row>
    <row r="139" spans="1:75" ht="13.5" customHeight="1">
      <c r="A139" s="20" t="s">
        <v>187</v>
      </c>
      <c r="B139" s="84" t="s">
        <v>1696</v>
      </c>
      <c r="C139" s="84" t="s">
        <v>1552</v>
      </c>
      <c r="D139" s="653" t="s">
        <v>347</v>
      </c>
      <c r="E139" s="654"/>
      <c r="F139" s="84" t="s">
        <v>2398</v>
      </c>
      <c r="G139" s="6">
        <v>48.3</v>
      </c>
      <c r="H139" s="570"/>
      <c r="I139" s="18" t="s">
        <v>1720</v>
      </c>
      <c r="J139" s="6">
        <f>G139*AO139</f>
        <v>0</v>
      </c>
      <c r="K139" s="6">
        <f>G139*AP139</f>
        <v>0</v>
      </c>
      <c r="L139" s="6">
        <f>G139*H139</f>
        <v>0</v>
      </c>
      <c r="M139" s="6">
        <f>L139*(1+BW139/100)</f>
        <v>0</v>
      </c>
      <c r="N139" s="6">
        <v>4.3E-3</v>
      </c>
      <c r="O139" s="6">
        <f>G139*N139</f>
        <v>0.20768999999999999</v>
      </c>
      <c r="P139" s="109" t="s">
        <v>1664</v>
      </c>
      <c r="Z139" s="14">
        <f>IF(AQ139="5",BJ139,0)</f>
        <v>0</v>
      </c>
      <c r="AB139" s="14">
        <f>IF(AQ139="1",BH139,0)</f>
        <v>0</v>
      </c>
      <c r="AC139" s="14">
        <f>IF(AQ139="1",BI139,0)</f>
        <v>0</v>
      </c>
      <c r="AD139" s="14">
        <f>IF(AQ139="7",BH139,0)</f>
        <v>0</v>
      </c>
      <c r="AE139" s="14">
        <f>IF(AQ139="7",BI139,0)</f>
        <v>0</v>
      </c>
      <c r="AF139" s="14">
        <f>IF(AQ139="2",BH139,0)</f>
        <v>0</v>
      </c>
      <c r="AG139" s="14">
        <f>IF(AQ139="2",BI139,0)</f>
        <v>0</v>
      </c>
      <c r="AH139" s="14">
        <f>IF(AQ139="0",BJ139,0)</f>
        <v>0</v>
      </c>
      <c r="AI139" s="15" t="s">
        <v>1696</v>
      </c>
      <c r="AJ139" s="6">
        <f>IF(AN139=0,L139,0)</f>
        <v>0</v>
      </c>
      <c r="AK139" s="6">
        <f>IF(AN139=15,L139,0)</f>
        <v>0</v>
      </c>
      <c r="AL139" s="6">
        <f>IF(AN139=21,L139,0)</f>
        <v>0</v>
      </c>
      <c r="AN139" s="14">
        <v>21</v>
      </c>
      <c r="AO139" s="92">
        <f>H139*1</f>
        <v>0</v>
      </c>
      <c r="AP139" s="92">
        <f>H139*(1-1)</f>
        <v>0</v>
      </c>
      <c r="AQ139" s="18" t="s">
        <v>2435</v>
      </c>
      <c r="AV139" s="14">
        <f>AW139+AX139</f>
        <v>0</v>
      </c>
      <c r="AW139" s="14">
        <f>G139*AO139</f>
        <v>0</v>
      </c>
      <c r="AX139" s="14">
        <f>G139*AP139</f>
        <v>0</v>
      </c>
      <c r="AY139" s="55" t="s">
        <v>2124</v>
      </c>
      <c r="AZ139" s="55" t="s">
        <v>2283</v>
      </c>
      <c r="BA139" s="15" t="s">
        <v>2017</v>
      </c>
      <c r="BC139" s="14">
        <f>AW139+AX139</f>
        <v>0</v>
      </c>
      <c r="BD139" s="14">
        <f>H139/(100-BE139)*100</f>
        <v>0</v>
      </c>
      <c r="BE139" s="14">
        <v>0</v>
      </c>
      <c r="BF139" s="14">
        <f>O139</f>
        <v>0.20768999999999999</v>
      </c>
      <c r="BH139" s="6">
        <f>G139*AO139</f>
        <v>0</v>
      </c>
      <c r="BI139" s="6">
        <f>G139*AP139</f>
        <v>0</v>
      </c>
      <c r="BJ139" s="6">
        <f>G139*H139</f>
        <v>0</v>
      </c>
      <c r="BK139" s="6"/>
      <c r="BL139" s="14">
        <v>711</v>
      </c>
      <c r="BW139" s="14" t="str">
        <f>I139</f>
        <v>21</v>
      </c>
    </row>
    <row r="140" spans="1:75" ht="15" customHeight="1">
      <c r="A140" s="32"/>
      <c r="D140" s="3" t="s">
        <v>519</v>
      </c>
      <c r="E140" s="28" t="s">
        <v>1683</v>
      </c>
      <c r="G140" s="27">
        <v>42</v>
      </c>
      <c r="P140" s="33"/>
    </row>
    <row r="141" spans="1:75" ht="15" customHeight="1">
      <c r="A141" s="32"/>
      <c r="D141" s="3" t="s">
        <v>334</v>
      </c>
      <c r="E141" s="28" t="s">
        <v>1683</v>
      </c>
      <c r="G141" s="27">
        <v>6.3000000000000007</v>
      </c>
      <c r="P141" s="33"/>
    </row>
    <row r="142" spans="1:75" ht="15" customHeight="1">
      <c r="A142" s="65" t="s">
        <v>1683</v>
      </c>
      <c r="B142" s="26" t="s">
        <v>1696</v>
      </c>
      <c r="C142" s="26" t="s">
        <v>1955</v>
      </c>
      <c r="D142" s="649" t="s">
        <v>2096</v>
      </c>
      <c r="E142" s="650"/>
      <c r="F142" s="74" t="s">
        <v>2262</v>
      </c>
      <c r="G142" s="74" t="s">
        <v>2262</v>
      </c>
      <c r="H142" s="74" t="s">
        <v>2262</v>
      </c>
      <c r="I142" s="74" t="s">
        <v>2262</v>
      </c>
      <c r="J142" s="2">
        <f>SUM(J143:J150)</f>
        <v>0</v>
      </c>
      <c r="K142" s="2">
        <f>SUM(K143:K150)</f>
        <v>0</v>
      </c>
      <c r="L142" s="2">
        <f>SUM(L143:L150)</f>
        <v>0</v>
      </c>
      <c r="M142" s="2">
        <f>SUM(M143:M150)</f>
        <v>0</v>
      </c>
      <c r="N142" s="15" t="s">
        <v>1683</v>
      </c>
      <c r="O142" s="2">
        <f>SUM(O143:O150)</f>
        <v>6.0270000000000004E-2</v>
      </c>
      <c r="P142" s="47" t="s">
        <v>1683</v>
      </c>
      <c r="AI142" s="15" t="s">
        <v>1696</v>
      </c>
      <c r="AS142" s="2">
        <f>SUM(AJ143:AJ150)</f>
        <v>0</v>
      </c>
      <c r="AT142" s="2">
        <f>SUM(AK143:AK150)</f>
        <v>0</v>
      </c>
      <c r="AU142" s="2">
        <f>SUM(AL143:AL150)</f>
        <v>0</v>
      </c>
    </row>
    <row r="143" spans="1:75" ht="13.5" customHeight="1">
      <c r="A143" s="21" t="s">
        <v>1892</v>
      </c>
      <c r="B143" s="37" t="s">
        <v>1696</v>
      </c>
      <c r="C143" s="37" t="s">
        <v>1648</v>
      </c>
      <c r="D143" s="578" t="s">
        <v>390</v>
      </c>
      <c r="E143" s="579"/>
      <c r="F143" s="37" t="s">
        <v>2398</v>
      </c>
      <c r="G143" s="14">
        <v>21</v>
      </c>
      <c r="H143" s="569"/>
      <c r="I143" s="55" t="s">
        <v>1720</v>
      </c>
      <c r="J143" s="14">
        <f>G143*AO143</f>
        <v>0</v>
      </c>
      <c r="K143" s="14">
        <f>G143*AP143</f>
        <v>0</v>
      </c>
      <c r="L143" s="14">
        <f>G143*H143</f>
        <v>0</v>
      </c>
      <c r="M143" s="14">
        <f>L143*(1+BW143/100)</f>
        <v>0</v>
      </c>
      <c r="N143" s="14">
        <v>0</v>
      </c>
      <c r="O143" s="14">
        <f>G143*N143</f>
        <v>0</v>
      </c>
      <c r="P143" s="72" t="s">
        <v>1664</v>
      </c>
      <c r="Z143" s="14">
        <f>IF(AQ143="5",BJ143,0)</f>
        <v>0</v>
      </c>
      <c r="AB143" s="14">
        <f>IF(AQ143="1",BH143,0)</f>
        <v>0</v>
      </c>
      <c r="AC143" s="14">
        <f>IF(AQ143="1",BI143,0)</f>
        <v>0</v>
      </c>
      <c r="AD143" s="14">
        <f>IF(AQ143="7",BH143,0)</f>
        <v>0</v>
      </c>
      <c r="AE143" s="14">
        <f>IF(AQ143="7",BI143,0)</f>
        <v>0</v>
      </c>
      <c r="AF143" s="14">
        <f>IF(AQ143="2",BH143,0)</f>
        <v>0</v>
      </c>
      <c r="AG143" s="14">
        <f>IF(AQ143="2",BI143,0)</f>
        <v>0</v>
      </c>
      <c r="AH143" s="14">
        <f>IF(AQ143="0",BJ143,0)</f>
        <v>0</v>
      </c>
      <c r="AI143" s="15" t="s">
        <v>1696</v>
      </c>
      <c r="AJ143" s="14">
        <f>IF(AN143=0,L143,0)</f>
        <v>0</v>
      </c>
      <c r="AK143" s="14">
        <f>IF(AN143=15,L143,0)</f>
        <v>0</v>
      </c>
      <c r="AL143" s="14">
        <f>IF(AN143=21,L143,0)</f>
        <v>0</v>
      </c>
      <c r="AN143" s="14">
        <v>21</v>
      </c>
      <c r="AO143" s="92">
        <f>H143*0</f>
        <v>0</v>
      </c>
      <c r="AP143" s="92">
        <f>H143*(1-0)</f>
        <v>0</v>
      </c>
      <c r="AQ143" s="55" t="s">
        <v>2435</v>
      </c>
      <c r="AV143" s="14">
        <f>AW143+AX143</f>
        <v>0</v>
      </c>
      <c r="AW143" s="14">
        <f>G143*AO143</f>
        <v>0</v>
      </c>
      <c r="AX143" s="14">
        <f>G143*AP143</f>
        <v>0</v>
      </c>
      <c r="AY143" s="55" t="s">
        <v>1898</v>
      </c>
      <c r="AZ143" s="55" t="s">
        <v>2283</v>
      </c>
      <c r="BA143" s="15" t="s">
        <v>2017</v>
      </c>
      <c r="BC143" s="14">
        <f>AW143+AX143</f>
        <v>0</v>
      </c>
      <c r="BD143" s="14">
        <f>H143/(100-BE143)*100</f>
        <v>0</v>
      </c>
      <c r="BE143" s="14">
        <v>0</v>
      </c>
      <c r="BF143" s="14">
        <f>O143</f>
        <v>0</v>
      </c>
      <c r="BH143" s="14">
        <f>G143*AO143</f>
        <v>0</v>
      </c>
      <c r="BI143" s="14">
        <f>G143*AP143</f>
        <v>0</v>
      </c>
      <c r="BJ143" s="14">
        <f>G143*H143</f>
        <v>0</v>
      </c>
      <c r="BK143" s="14"/>
      <c r="BL143" s="14">
        <v>713</v>
      </c>
      <c r="BW143" s="14" t="str">
        <f>I143</f>
        <v>21</v>
      </c>
    </row>
    <row r="144" spans="1:75" ht="15" customHeight="1">
      <c r="A144" s="32"/>
      <c r="D144" s="3" t="s">
        <v>1720</v>
      </c>
      <c r="E144" s="28" t="s">
        <v>1683</v>
      </c>
      <c r="G144" s="27">
        <v>21</v>
      </c>
      <c r="P144" s="33"/>
    </row>
    <row r="145" spans="1:75" ht="13.5" customHeight="1">
      <c r="A145" s="20" t="s">
        <v>1999</v>
      </c>
      <c r="B145" s="84" t="s">
        <v>1696</v>
      </c>
      <c r="C145" s="84" t="s">
        <v>835</v>
      </c>
      <c r="D145" s="653" t="s">
        <v>1510</v>
      </c>
      <c r="E145" s="654"/>
      <c r="F145" s="84" t="s">
        <v>2359</v>
      </c>
      <c r="G145" s="6">
        <v>2.31</v>
      </c>
      <c r="H145" s="570"/>
      <c r="I145" s="18" t="s">
        <v>1720</v>
      </c>
      <c r="J145" s="6">
        <f>G145*AO145</f>
        <v>0</v>
      </c>
      <c r="K145" s="6">
        <f>G145*AP145</f>
        <v>0</v>
      </c>
      <c r="L145" s="6">
        <f>G145*H145</f>
        <v>0</v>
      </c>
      <c r="M145" s="6">
        <f>L145*(1+BW145/100)</f>
        <v>0</v>
      </c>
      <c r="N145" s="6">
        <v>2.5000000000000001E-2</v>
      </c>
      <c r="O145" s="6">
        <f>G145*N145</f>
        <v>5.7750000000000003E-2</v>
      </c>
      <c r="P145" s="109" t="s">
        <v>1664</v>
      </c>
      <c r="Z145" s="14">
        <f>IF(AQ145="5",BJ145,0)</f>
        <v>0</v>
      </c>
      <c r="AB145" s="14">
        <f>IF(AQ145="1",BH145,0)</f>
        <v>0</v>
      </c>
      <c r="AC145" s="14">
        <f>IF(AQ145="1",BI145,0)</f>
        <v>0</v>
      </c>
      <c r="AD145" s="14">
        <f>IF(AQ145="7",BH145,0)</f>
        <v>0</v>
      </c>
      <c r="AE145" s="14">
        <f>IF(AQ145="7",BI145,0)</f>
        <v>0</v>
      </c>
      <c r="AF145" s="14">
        <f>IF(AQ145="2",BH145,0)</f>
        <v>0</v>
      </c>
      <c r="AG145" s="14">
        <f>IF(AQ145="2",BI145,0)</f>
        <v>0</v>
      </c>
      <c r="AH145" s="14">
        <f>IF(AQ145="0",BJ145,0)</f>
        <v>0</v>
      </c>
      <c r="AI145" s="15" t="s">
        <v>1696</v>
      </c>
      <c r="AJ145" s="6">
        <f>IF(AN145=0,L145,0)</f>
        <v>0</v>
      </c>
      <c r="AK145" s="6">
        <f>IF(AN145=15,L145,0)</f>
        <v>0</v>
      </c>
      <c r="AL145" s="6">
        <f>IF(AN145=21,L145,0)</f>
        <v>0</v>
      </c>
      <c r="AN145" s="14">
        <v>21</v>
      </c>
      <c r="AO145" s="92">
        <f>H145*1</f>
        <v>0</v>
      </c>
      <c r="AP145" s="92">
        <f>H145*(1-1)</f>
        <v>0</v>
      </c>
      <c r="AQ145" s="18" t="s">
        <v>2435</v>
      </c>
      <c r="AV145" s="14">
        <f>AW145+AX145</f>
        <v>0</v>
      </c>
      <c r="AW145" s="14">
        <f>G145*AO145</f>
        <v>0</v>
      </c>
      <c r="AX145" s="14">
        <f>G145*AP145</f>
        <v>0</v>
      </c>
      <c r="AY145" s="55" t="s">
        <v>1898</v>
      </c>
      <c r="AZ145" s="55" t="s">
        <v>2283</v>
      </c>
      <c r="BA145" s="15" t="s">
        <v>2017</v>
      </c>
      <c r="BC145" s="14">
        <f>AW145+AX145</f>
        <v>0</v>
      </c>
      <c r="BD145" s="14">
        <f>H145/(100-BE145)*100</f>
        <v>0</v>
      </c>
      <c r="BE145" s="14">
        <v>0</v>
      </c>
      <c r="BF145" s="14">
        <f>O145</f>
        <v>5.7750000000000003E-2</v>
      </c>
      <c r="BH145" s="6">
        <f>G145*AO145</f>
        <v>0</v>
      </c>
      <c r="BI145" s="6">
        <f>G145*AP145</f>
        <v>0</v>
      </c>
      <c r="BJ145" s="6">
        <f>G145*H145</f>
        <v>0</v>
      </c>
      <c r="BK145" s="6"/>
      <c r="BL145" s="14">
        <v>713</v>
      </c>
      <c r="BW145" s="14" t="str">
        <f>I145</f>
        <v>21</v>
      </c>
    </row>
    <row r="146" spans="1:75" ht="15" customHeight="1">
      <c r="A146" s="32"/>
      <c r="D146" s="3" t="s">
        <v>2522</v>
      </c>
      <c r="E146" s="28" t="s">
        <v>1683</v>
      </c>
      <c r="G146" s="27">
        <v>2.1</v>
      </c>
      <c r="P146" s="33"/>
    </row>
    <row r="147" spans="1:75" ht="15" customHeight="1">
      <c r="A147" s="32"/>
      <c r="D147" s="3" t="s">
        <v>660</v>
      </c>
      <c r="E147" s="28" t="s">
        <v>1683</v>
      </c>
      <c r="G147" s="27">
        <v>0.21000000000000002</v>
      </c>
      <c r="P147" s="33"/>
    </row>
    <row r="148" spans="1:75" ht="13.5" customHeight="1">
      <c r="A148" s="21" t="s">
        <v>1028</v>
      </c>
      <c r="B148" s="37" t="s">
        <v>1696</v>
      </c>
      <c r="C148" s="37" t="s">
        <v>1292</v>
      </c>
      <c r="D148" s="578" t="s">
        <v>498</v>
      </c>
      <c r="E148" s="579"/>
      <c r="F148" s="37" t="s">
        <v>2398</v>
      </c>
      <c r="G148" s="14">
        <v>21</v>
      </c>
      <c r="H148" s="569"/>
      <c r="I148" s="55" t="s">
        <v>1720</v>
      </c>
      <c r="J148" s="14">
        <f>G148*AO148</f>
        <v>0</v>
      </c>
      <c r="K148" s="14">
        <f>G148*AP148</f>
        <v>0</v>
      </c>
      <c r="L148" s="14">
        <f>G148*H148</f>
        <v>0</v>
      </c>
      <c r="M148" s="14">
        <f>L148*(1+BW148/100)</f>
        <v>0</v>
      </c>
      <c r="N148" s="14">
        <v>0</v>
      </c>
      <c r="O148" s="14">
        <f>G148*N148</f>
        <v>0</v>
      </c>
      <c r="P148" s="72" t="s">
        <v>1664</v>
      </c>
      <c r="Z148" s="14">
        <f>IF(AQ148="5",BJ148,0)</f>
        <v>0</v>
      </c>
      <c r="AB148" s="14">
        <f>IF(AQ148="1",BH148,0)</f>
        <v>0</v>
      </c>
      <c r="AC148" s="14">
        <f>IF(AQ148="1",BI148,0)</f>
        <v>0</v>
      </c>
      <c r="AD148" s="14">
        <f>IF(AQ148="7",BH148,0)</f>
        <v>0</v>
      </c>
      <c r="AE148" s="14">
        <f>IF(AQ148="7",BI148,0)</f>
        <v>0</v>
      </c>
      <c r="AF148" s="14">
        <f>IF(AQ148="2",BH148,0)</f>
        <v>0</v>
      </c>
      <c r="AG148" s="14">
        <f>IF(AQ148="2",BI148,0)</f>
        <v>0</v>
      </c>
      <c r="AH148" s="14">
        <f>IF(AQ148="0",BJ148,0)</f>
        <v>0</v>
      </c>
      <c r="AI148" s="15" t="s">
        <v>1696</v>
      </c>
      <c r="AJ148" s="14">
        <f>IF(AN148=0,L148,0)</f>
        <v>0</v>
      </c>
      <c r="AK148" s="14">
        <f>IF(AN148=15,L148,0)</f>
        <v>0</v>
      </c>
      <c r="AL148" s="14">
        <f>IF(AN148=21,L148,0)</f>
        <v>0</v>
      </c>
      <c r="AN148" s="14">
        <v>21</v>
      </c>
      <c r="AO148" s="92">
        <f>H148*0</f>
        <v>0</v>
      </c>
      <c r="AP148" s="92">
        <f>H148*(1-0)</f>
        <v>0</v>
      </c>
      <c r="AQ148" s="55" t="s">
        <v>2435</v>
      </c>
      <c r="AV148" s="14">
        <f>AW148+AX148</f>
        <v>0</v>
      </c>
      <c r="AW148" s="14">
        <f>G148*AO148</f>
        <v>0</v>
      </c>
      <c r="AX148" s="14">
        <f>G148*AP148</f>
        <v>0</v>
      </c>
      <c r="AY148" s="55" t="s">
        <v>1898</v>
      </c>
      <c r="AZ148" s="55" t="s">
        <v>2283</v>
      </c>
      <c r="BA148" s="15" t="s">
        <v>2017</v>
      </c>
      <c r="BC148" s="14">
        <f>AW148+AX148</f>
        <v>0</v>
      </c>
      <c r="BD148" s="14">
        <f>H148/(100-BE148)*100</f>
        <v>0</v>
      </c>
      <c r="BE148" s="14">
        <v>0</v>
      </c>
      <c r="BF148" s="14">
        <f>O148</f>
        <v>0</v>
      </c>
      <c r="BH148" s="14">
        <f>G148*AO148</f>
        <v>0</v>
      </c>
      <c r="BI148" s="14">
        <f>G148*AP148</f>
        <v>0</v>
      </c>
      <c r="BJ148" s="14">
        <f>G148*H148</f>
        <v>0</v>
      </c>
      <c r="BK148" s="14"/>
      <c r="BL148" s="14">
        <v>713</v>
      </c>
      <c r="BW148" s="14" t="str">
        <f>I148</f>
        <v>21</v>
      </c>
    </row>
    <row r="149" spans="1:75" ht="15" customHeight="1">
      <c r="A149" s="32"/>
      <c r="D149" s="3" t="s">
        <v>1720</v>
      </c>
      <c r="E149" s="28" t="s">
        <v>1683</v>
      </c>
      <c r="G149" s="27">
        <v>21</v>
      </c>
      <c r="P149" s="33"/>
    </row>
    <row r="150" spans="1:75" ht="13.5" customHeight="1">
      <c r="A150" s="20" t="s">
        <v>1011</v>
      </c>
      <c r="B150" s="84" t="s">
        <v>1696</v>
      </c>
      <c r="C150" s="84" t="s">
        <v>483</v>
      </c>
      <c r="D150" s="653" t="s">
        <v>2568</v>
      </c>
      <c r="E150" s="654"/>
      <c r="F150" s="84" t="s">
        <v>2398</v>
      </c>
      <c r="G150" s="6">
        <v>25.2</v>
      </c>
      <c r="H150" s="570"/>
      <c r="I150" s="18" t="s">
        <v>1720</v>
      </c>
      <c r="J150" s="6">
        <f>G150*AO150</f>
        <v>0</v>
      </c>
      <c r="K150" s="6">
        <f>G150*AP150</f>
        <v>0</v>
      </c>
      <c r="L150" s="6">
        <f>G150*H150</f>
        <v>0</v>
      </c>
      <c r="M150" s="6">
        <f>L150*(1+BW150/100)</f>
        <v>0</v>
      </c>
      <c r="N150" s="6">
        <v>1E-4</v>
      </c>
      <c r="O150" s="6">
        <f>G150*N150</f>
        <v>2.5200000000000001E-3</v>
      </c>
      <c r="P150" s="109" t="s">
        <v>1664</v>
      </c>
      <c r="Z150" s="14">
        <f>IF(AQ150="5",BJ150,0)</f>
        <v>0</v>
      </c>
      <c r="AB150" s="14">
        <f>IF(AQ150="1",BH150,0)</f>
        <v>0</v>
      </c>
      <c r="AC150" s="14">
        <f>IF(AQ150="1",BI150,0)</f>
        <v>0</v>
      </c>
      <c r="AD150" s="14">
        <f>IF(AQ150="7",BH150,0)</f>
        <v>0</v>
      </c>
      <c r="AE150" s="14">
        <f>IF(AQ150="7",BI150,0)</f>
        <v>0</v>
      </c>
      <c r="AF150" s="14">
        <f>IF(AQ150="2",BH150,0)</f>
        <v>0</v>
      </c>
      <c r="AG150" s="14">
        <f>IF(AQ150="2",BI150,0)</f>
        <v>0</v>
      </c>
      <c r="AH150" s="14">
        <f>IF(AQ150="0",BJ150,0)</f>
        <v>0</v>
      </c>
      <c r="AI150" s="15" t="s">
        <v>1696</v>
      </c>
      <c r="AJ150" s="6">
        <f>IF(AN150=0,L150,0)</f>
        <v>0</v>
      </c>
      <c r="AK150" s="6">
        <f>IF(AN150=15,L150,0)</f>
        <v>0</v>
      </c>
      <c r="AL150" s="6">
        <f>IF(AN150=21,L150,0)</f>
        <v>0</v>
      </c>
      <c r="AN150" s="14">
        <v>21</v>
      </c>
      <c r="AO150" s="92">
        <f>H150*1</f>
        <v>0</v>
      </c>
      <c r="AP150" s="92">
        <f>H150*(1-1)</f>
        <v>0</v>
      </c>
      <c r="AQ150" s="18" t="s">
        <v>2435</v>
      </c>
      <c r="AV150" s="14">
        <f>AW150+AX150</f>
        <v>0</v>
      </c>
      <c r="AW150" s="14">
        <f>G150*AO150</f>
        <v>0</v>
      </c>
      <c r="AX150" s="14">
        <f>G150*AP150</f>
        <v>0</v>
      </c>
      <c r="AY150" s="55" t="s">
        <v>1898</v>
      </c>
      <c r="AZ150" s="55" t="s">
        <v>2283</v>
      </c>
      <c r="BA150" s="15" t="s">
        <v>2017</v>
      </c>
      <c r="BC150" s="14">
        <f>AW150+AX150</f>
        <v>0</v>
      </c>
      <c r="BD150" s="14">
        <f>H150/(100-BE150)*100</f>
        <v>0</v>
      </c>
      <c r="BE150" s="14">
        <v>0</v>
      </c>
      <c r="BF150" s="14">
        <f>O150</f>
        <v>2.5200000000000001E-3</v>
      </c>
      <c r="BH150" s="6">
        <f>G150*AO150</f>
        <v>0</v>
      </c>
      <c r="BI150" s="6">
        <f>G150*AP150</f>
        <v>0</v>
      </c>
      <c r="BJ150" s="6">
        <f>G150*H150</f>
        <v>0</v>
      </c>
      <c r="BK150" s="6"/>
      <c r="BL150" s="14">
        <v>713</v>
      </c>
      <c r="BW150" s="14" t="str">
        <f>I150</f>
        <v>21</v>
      </c>
    </row>
    <row r="151" spans="1:75" ht="15" customHeight="1">
      <c r="A151" s="32"/>
      <c r="D151" s="3" t="s">
        <v>1720</v>
      </c>
      <c r="E151" s="28" t="s">
        <v>2752</v>
      </c>
      <c r="G151" s="27">
        <v>21</v>
      </c>
      <c r="P151" s="33"/>
    </row>
    <row r="152" spans="1:75" ht="15" customHeight="1">
      <c r="A152" s="32"/>
      <c r="D152" s="3" t="s">
        <v>1444</v>
      </c>
      <c r="E152" s="28" t="s">
        <v>1683</v>
      </c>
      <c r="G152" s="27">
        <v>4.2</v>
      </c>
      <c r="P152" s="33"/>
    </row>
    <row r="153" spans="1:75" ht="15" customHeight="1">
      <c r="A153" s="65" t="s">
        <v>1683</v>
      </c>
      <c r="B153" s="26" t="s">
        <v>1696</v>
      </c>
      <c r="C153" s="26" t="s">
        <v>2683</v>
      </c>
      <c r="D153" s="649" t="s">
        <v>2152</v>
      </c>
      <c r="E153" s="650"/>
      <c r="F153" s="74" t="s">
        <v>2262</v>
      </c>
      <c r="G153" s="74" t="s">
        <v>2262</v>
      </c>
      <c r="H153" s="74" t="s">
        <v>2262</v>
      </c>
      <c r="I153" s="74" t="s">
        <v>2262</v>
      </c>
      <c r="J153" s="2">
        <f>SUM(J154:J156)</f>
        <v>0</v>
      </c>
      <c r="K153" s="2">
        <f>SUM(K154:K156)</f>
        <v>0</v>
      </c>
      <c r="L153" s="2">
        <f>SUM(L154:L156)</f>
        <v>0</v>
      </c>
      <c r="M153" s="2">
        <f>SUM(M154:M156)</f>
        <v>0</v>
      </c>
      <c r="N153" s="15" t="s">
        <v>1683</v>
      </c>
      <c r="O153" s="2">
        <f>SUM(O154:O156)</f>
        <v>0.54494999999999993</v>
      </c>
      <c r="P153" s="47" t="s">
        <v>1683</v>
      </c>
      <c r="AI153" s="15" t="s">
        <v>1696</v>
      </c>
      <c r="AS153" s="2">
        <f>SUM(AJ154:AJ156)</f>
        <v>0</v>
      </c>
      <c r="AT153" s="2">
        <f>SUM(AK154:AK156)</f>
        <v>0</v>
      </c>
      <c r="AU153" s="2">
        <f>SUM(AL154:AL156)</f>
        <v>0</v>
      </c>
    </row>
    <row r="154" spans="1:75" ht="13.5" customHeight="1">
      <c r="A154" s="21" t="s">
        <v>1142</v>
      </c>
      <c r="B154" s="37" t="s">
        <v>1696</v>
      </c>
      <c r="C154" s="37" t="s">
        <v>769</v>
      </c>
      <c r="D154" s="578" t="s">
        <v>707</v>
      </c>
      <c r="E154" s="579"/>
      <c r="F154" s="37" t="s">
        <v>2398</v>
      </c>
      <c r="G154" s="14">
        <v>21</v>
      </c>
      <c r="H154" s="569"/>
      <c r="I154" s="55" t="s">
        <v>1720</v>
      </c>
      <c r="J154" s="14">
        <f>G154*AO154</f>
        <v>0</v>
      </c>
      <c r="K154" s="14">
        <f>G154*AP154</f>
        <v>0</v>
      </c>
      <c r="L154" s="14">
        <f>G154*H154</f>
        <v>0</v>
      </c>
      <c r="M154" s="14">
        <f>L154*(1+BW154/100)</f>
        <v>0</v>
      </c>
      <c r="N154" s="14">
        <v>4.8300000000000001E-3</v>
      </c>
      <c r="O154" s="14">
        <f>G154*N154</f>
        <v>0.10143000000000001</v>
      </c>
      <c r="P154" s="72" t="s">
        <v>1664</v>
      </c>
      <c r="Z154" s="14">
        <f>IF(AQ154="5",BJ154,0)</f>
        <v>0</v>
      </c>
      <c r="AB154" s="14">
        <f>IF(AQ154="1",BH154,0)</f>
        <v>0</v>
      </c>
      <c r="AC154" s="14">
        <f>IF(AQ154="1",BI154,0)</f>
        <v>0</v>
      </c>
      <c r="AD154" s="14">
        <f>IF(AQ154="7",BH154,0)</f>
        <v>0</v>
      </c>
      <c r="AE154" s="14">
        <f>IF(AQ154="7",BI154,0)</f>
        <v>0</v>
      </c>
      <c r="AF154" s="14">
        <f>IF(AQ154="2",BH154,0)</f>
        <v>0</v>
      </c>
      <c r="AG154" s="14">
        <f>IF(AQ154="2",BI154,0)</f>
        <v>0</v>
      </c>
      <c r="AH154" s="14">
        <f>IF(AQ154="0",BJ154,0)</f>
        <v>0</v>
      </c>
      <c r="AI154" s="15" t="s">
        <v>1696</v>
      </c>
      <c r="AJ154" s="14">
        <f>IF(AN154=0,L154,0)</f>
        <v>0</v>
      </c>
      <c r="AK154" s="14">
        <f>IF(AN154=15,L154,0)</f>
        <v>0</v>
      </c>
      <c r="AL154" s="14">
        <f>IF(AN154=21,L154,0)</f>
        <v>0</v>
      </c>
      <c r="AN154" s="14">
        <v>21</v>
      </c>
      <c r="AO154" s="92">
        <f>H154*0.181176470588235</f>
        <v>0</v>
      </c>
      <c r="AP154" s="92">
        <f>H154*(1-0.181176470588235)</f>
        <v>0</v>
      </c>
      <c r="AQ154" s="55" t="s">
        <v>2435</v>
      </c>
      <c r="AV154" s="14">
        <f>AW154+AX154</f>
        <v>0</v>
      </c>
      <c r="AW154" s="14">
        <f>G154*AO154</f>
        <v>0</v>
      </c>
      <c r="AX154" s="14">
        <f>G154*AP154</f>
        <v>0</v>
      </c>
      <c r="AY154" s="55" t="s">
        <v>2490</v>
      </c>
      <c r="AZ154" s="55" t="s">
        <v>630</v>
      </c>
      <c r="BA154" s="15" t="s">
        <v>2017</v>
      </c>
      <c r="BC154" s="14">
        <f>AW154+AX154</f>
        <v>0</v>
      </c>
      <c r="BD154" s="14">
        <f>H154/(100-BE154)*100</f>
        <v>0</v>
      </c>
      <c r="BE154" s="14">
        <v>0</v>
      </c>
      <c r="BF154" s="14">
        <f>O154</f>
        <v>0.10143000000000001</v>
      </c>
      <c r="BH154" s="14">
        <f>G154*AO154</f>
        <v>0</v>
      </c>
      <c r="BI154" s="14">
        <f>G154*AP154</f>
        <v>0</v>
      </c>
      <c r="BJ154" s="14">
        <f>G154*H154</f>
        <v>0</v>
      </c>
      <c r="BK154" s="14"/>
      <c r="BL154" s="14">
        <v>771</v>
      </c>
      <c r="BW154" s="14" t="str">
        <f>I154</f>
        <v>21</v>
      </c>
    </row>
    <row r="155" spans="1:75" ht="15" customHeight="1">
      <c r="A155" s="32"/>
      <c r="D155" s="3" t="s">
        <v>1720</v>
      </c>
      <c r="E155" s="28" t="s">
        <v>349</v>
      </c>
      <c r="G155" s="27">
        <v>21</v>
      </c>
      <c r="P155" s="33"/>
    </row>
    <row r="156" spans="1:75" ht="13.5" customHeight="1">
      <c r="A156" s="20" t="s">
        <v>2254</v>
      </c>
      <c r="B156" s="84" t="s">
        <v>1696</v>
      </c>
      <c r="C156" s="84" t="s">
        <v>1052</v>
      </c>
      <c r="D156" s="653" t="s">
        <v>1265</v>
      </c>
      <c r="E156" s="654"/>
      <c r="F156" s="84" t="s">
        <v>2398</v>
      </c>
      <c r="G156" s="6">
        <v>23.1</v>
      </c>
      <c r="H156" s="570"/>
      <c r="I156" s="18" t="s">
        <v>1720</v>
      </c>
      <c r="J156" s="6">
        <f>G156*AO156</f>
        <v>0</v>
      </c>
      <c r="K156" s="6">
        <f>G156*AP156</f>
        <v>0</v>
      </c>
      <c r="L156" s="6">
        <f>G156*H156</f>
        <v>0</v>
      </c>
      <c r="M156" s="6">
        <f>L156*(1+BW156/100)</f>
        <v>0</v>
      </c>
      <c r="N156" s="6">
        <v>1.9199999999999998E-2</v>
      </c>
      <c r="O156" s="6">
        <f>G156*N156</f>
        <v>0.44351999999999997</v>
      </c>
      <c r="P156" s="109" t="s">
        <v>1664</v>
      </c>
      <c r="Z156" s="14">
        <f>IF(AQ156="5",BJ156,0)</f>
        <v>0</v>
      </c>
      <c r="AB156" s="14">
        <f>IF(AQ156="1",BH156,0)</f>
        <v>0</v>
      </c>
      <c r="AC156" s="14">
        <f>IF(AQ156="1",BI156,0)</f>
        <v>0</v>
      </c>
      <c r="AD156" s="14">
        <f>IF(AQ156="7",BH156,0)</f>
        <v>0</v>
      </c>
      <c r="AE156" s="14">
        <f>IF(AQ156="7",BI156,0)</f>
        <v>0</v>
      </c>
      <c r="AF156" s="14">
        <f>IF(AQ156="2",BH156,0)</f>
        <v>0</v>
      </c>
      <c r="AG156" s="14">
        <f>IF(AQ156="2",BI156,0)</f>
        <v>0</v>
      </c>
      <c r="AH156" s="14">
        <f>IF(AQ156="0",BJ156,0)</f>
        <v>0</v>
      </c>
      <c r="AI156" s="15" t="s">
        <v>1696</v>
      </c>
      <c r="AJ156" s="6">
        <f>IF(AN156=0,L156,0)</f>
        <v>0</v>
      </c>
      <c r="AK156" s="6">
        <f>IF(AN156=15,L156,0)</f>
        <v>0</v>
      </c>
      <c r="AL156" s="6">
        <f>IF(AN156=21,L156,0)</f>
        <v>0</v>
      </c>
      <c r="AN156" s="14">
        <v>21</v>
      </c>
      <c r="AO156" s="92">
        <f>H156*1</f>
        <v>0</v>
      </c>
      <c r="AP156" s="92">
        <f>H156*(1-1)</f>
        <v>0</v>
      </c>
      <c r="AQ156" s="18" t="s">
        <v>2435</v>
      </c>
      <c r="AV156" s="14">
        <f>AW156+AX156</f>
        <v>0</v>
      </c>
      <c r="AW156" s="14">
        <f>G156*AO156</f>
        <v>0</v>
      </c>
      <c r="AX156" s="14">
        <f>G156*AP156</f>
        <v>0</v>
      </c>
      <c r="AY156" s="55" t="s">
        <v>2490</v>
      </c>
      <c r="AZ156" s="55" t="s">
        <v>630</v>
      </c>
      <c r="BA156" s="15" t="s">
        <v>2017</v>
      </c>
      <c r="BC156" s="14">
        <f>AW156+AX156</f>
        <v>0</v>
      </c>
      <c r="BD156" s="14">
        <f>H156/(100-BE156)*100</f>
        <v>0</v>
      </c>
      <c r="BE156" s="14">
        <v>0</v>
      </c>
      <c r="BF156" s="14">
        <f>O156</f>
        <v>0.44351999999999997</v>
      </c>
      <c r="BH156" s="6">
        <f>G156*AO156</f>
        <v>0</v>
      </c>
      <c r="BI156" s="6">
        <f>G156*AP156</f>
        <v>0</v>
      </c>
      <c r="BJ156" s="6">
        <f>G156*H156</f>
        <v>0</v>
      </c>
      <c r="BK156" s="6"/>
      <c r="BL156" s="14">
        <v>771</v>
      </c>
      <c r="BW156" s="14" t="str">
        <f>I156</f>
        <v>21</v>
      </c>
    </row>
    <row r="157" spans="1:75" ht="15" customHeight="1">
      <c r="A157" s="32"/>
      <c r="D157" s="3" t="s">
        <v>1720</v>
      </c>
      <c r="E157" s="28" t="s">
        <v>1683</v>
      </c>
      <c r="G157" s="27">
        <v>21</v>
      </c>
      <c r="P157" s="33"/>
    </row>
    <row r="158" spans="1:75" ht="15" customHeight="1">
      <c r="A158" s="32"/>
      <c r="D158" s="3" t="s">
        <v>1289</v>
      </c>
      <c r="E158" s="28" t="s">
        <v>1683</v>
      </c>
      <c r="G158" s="27">
        <v>2.1</v>
      </c>
      <c r="P158" s="33"/>
    </row>
    <row r="159" spans="1:75" ht="15" customHeight="1">
      <c r="A159" s="65" t="s">
        <v>1683</v>
      </c>
      <c r="B159" s="26" t="s">
        <v>1696</v>
      </c>
      <c r="C159" s="26" t="s">
        <v>2092</v>
      </c>
      <c r="D159" s="649" t="s">
        <v>2239</v>
      </c>
      <c r="E159" s="650"/>
      <c r="F159" s="74" t="s">
        <v>2262</v>
      </c>
      <c r="G159" s="74" t="s">
        <v>2262</v>
      </c>
      <c r="H159" s="74" t="s">
        <v>2262</v>
      </c>
      <c r="I159" s="74" t="s">
        <v>2262</v>
      </c>
      <c r="J159" s="2">
        <f>SUM(J160:J160)</f>
        <v>0</v>
      </c>
      <c r="K159" s="2">
        <f>SUM(K160:K160)</f>
        <v>0</v>
      </c>
      <c r="L159" s="2">
        <f>SUM(L160:L160)</f>
        <v>0</v>
      </c>
      <c r="M159" s="2">
        <f>SUM(M160:M160)</f>
        <v>0</v>
      </c>
      <c r="N159" s="15" t="s">
        <v>1683</v>
      </c>
      <c r="O159" s="2">
        <f>SUM(O160:O160)</f>
        <v>0.45192000000000004</v>
      </c>
      <c r="P159" s="47" t="s">
        <v>1683</v>
      </c>
      <c r="AI159" s="15" t="s">
        <v>1696</v>
      </c>
      <c r="AS159" s="2">
        <f>SUM(AJ160:AJ160)</f>
        <v>0</v>
      </c>
      <c r="AT159" s="2">
        <f>SUM(AK160:AK160)</f>
        <v>0</v>
      </c>
      <c r="AU159" s="2">
        <f>SUM(AL160:AL160)</f>
        <v>0</v>
      </c>
    </row>
    <row r="160" spans="1:75" ht="13.5" customHeight="1">
      <c r="A160" s="21" t="s">
        <v>1598</v>
      </c>
      <c r="B160" s="37" t="s">
        <v>1696</v>
      </c>
      <c r="C160" s="37" t="s">
        <v>2427</v>
      </c>
      <c r="D160" s="578" t="s">
        <v>625</v>
      </c>
      <c r="E160" s="579"/>
      <c r="F160" s="37" t="s">
        <v>2398</v>
      </c>
      <c r="G160" s="14">
        <v>21</v>
      </c>
      <c r="H160" s="569"/>
      <c r="I160" s="55" t="s">
        <v>1720</v>
      </c>
      <c r="J160" s="14">
        <f>G160*AO160</f>
        <v>0</v>
      </c>
      <c r="K160" s="14">
        <f>G160*AP160</f>
        <v>0</v>
      </c>
      <c r="L160" s="14">
        <f>G160*H160</f>
        <v>0</v>
      </c>
      <c r="M160" s="14">
        <f>L160*(1+BW160/100)</f>
        <v>0</v>
      </c>
      <c r="N160" s="14">
        <v>2.1520000000000001E-2</v>
      </c>
      <c r="O160" s="14">
        <f>G160*N160</f>
        <v>0.45192000000000004</v>
      </c>
      <c r="P160" s="72" t="s">
        <v>1664</v>
      </c>
      <c r="Z160" s="14">
        <f>IF(AQ160="5",BJ160,0)</f>
        <v>0</v>
      </c>
      <c r="AB160" s="14">
        <f>IF(AQ160="1",BH160,0)</f>
        <v>0</v>
      </c>
      <c r="AC160" s="14">
        <f>IF(AQ160="1",BI160,0)</f>
        <v>0</v>
      </c>
      <c r="AD160" s="14">
        <f>IF(AQ160="7",BH160,0)</f>
        <v>0</v>
      </c>
      <c r="AE160" s="14">
        <f>IF(AQ160="7",BI160,0)</f>
        <v>0</v>
      </c>
      <c r="AF160" s="14">
        <f>IF(AQ160="2",BH160,0)</f>
        <v>0</v>
      </c>
      <c r="AG160" s="14">
        <f>IF(AQ160="2",BI160,0)</f>
        <v>0</v>
      </c>
      <c r="AH160" s="14">
        <f>IF(AQ160="0",BJ160,0)</f>
        <v>0</v>
      </c>
      <c r="AI160" s="15" t="s">
        <v>1696</v>
      </c>
      <c r="AJ160" s="14">
        <f>IF(AN160=0,L160,0)</f>
        <v>0</v>
      </c>
      <c r="AK160" s="14">
        <f>IF(AN160=15,L160,0)</f>
        <v>0</v>
      </c>
      <c r="AL160" s="14">
        <f>IF(AN160=21,L160,0)</f>
        <v>0</v>
      </c>
      <c r="AN160" s="14">
        <v>21</v>
      </c>
      <c r="AO160" s="92">
        <f>H160*0.588585365853659</f>
        <v>0</v>
      </c>
      <c r="AP160" s="92">
        <f>H160*(1-0.588585365853659)</f>
        <v>0</v>
      </c>
      <c r="AQ160" s="55" t="s">
        <v>2435</v>
      </c>
      <c r="AV160" s="14">
        <f>AW160+AX160</f>
        <v>0</v>
      </c>
      <c r="AW160" s="14">
        <f>G160*AO160</f>
        <v>0</v>
      </c>
      <c r="AX160" s="14">
        <f>G160*AP160</f>
        <v>0</v>
      </c>
      <c r="AY160" s="55" t="s">
        <v>751</v>
      </c>
      <c r="AZ160" s="55" t="s">
        <v>630</v>
      </c>
      <c r="BA160" s="15" t="s">
        <v>2017</v>
      </c>
      <c r="BC160" s="14">
        <f>AW160+AX160</f>
        <v>0</v>
      </c>
      <c r="BD160" s="14">
        <f>H160/(100-BE160)*100</f>
        <v>0</v>
      </c>
      <c r="BE160" s="14">
        <v>0</v>
      </c>
      <c r="BF160" s="14">
        <f>O160</f>
        <v>0.45192000000000004</v>
      </c>
      <c r="BH160" s="14">
        <f>G160*AO160</f>
        <v>0</v>
      </c>
      <c r="BI160" s="14">
        <f>G160*AP160</f>
        <v>0</v>
      </c>
      <c r="BJ160" s="14">
        <f>G160*H160</f>
        <v>0</v>
      </c>
      <c r="BK160" s="14"/>
      <c r="BL160" s="14">
        <v>777</v>
      </c>
      <c r="BW160" s="14" t="str">
        <f>I160</f>
        <v>21</v>
      </c>
    </row>
    <row r="161" spans="1:75" ht="15" customHeight="1">
      <c r="A161" s="32"/>
      <c r="D161" s="3" t="s">
        <v>1161</v>
      </c>
      <c r="E161" s="28" t="s">
        <v>2437</v>
      </c>
      <c r="G161" s="27">
        <v>21</v>
      </c>
      <c r="P161" s="33"/>
    </row>
    <row r="162" spans="1:75" ht="15" customHeight="1">
      <c r="A162" s="65" t="s">
        <v>1683</v>
      </c>
      <c r="B162" s="26" t="s">
        <v>1696</v>
      </c>
      <c r="C162" s="26" t="s">
        <v>1351</v>
      </c>
      <c r="D162" s="649" t="s">
        <v>1814</v>
      </c>
      <c r="E162" s="650"/>
      <c r="F162" s="74" t="s">
        <v>2262</v>
      </c>
      <c r="G162" s="74" t="s">
        <v>2262</v>
      </c>
      <c r="H162" s="74" t="s">
        <v>2262</v>
      </c>
      <c r="I162" s="74" t="s">
        <v>2262</v>
      </c>
      <c r="J162" s="2">
        <f>SUM(J163:J165)</f>
        <v>0</v>
      </c>
      <c r="K162" s="2">
        <f>SUM(K163:K165)</f>
        <v>0</v>
      </c>
      <c r="L162" s="2">
        <f>SUM(L163:L165)</f>
        <v>0</v>
      </c>
      <c r="M162" s="2">
        <f>SUM(M163:M165)</f>
        <v>0</v>
      </c>
      <c r="N162" s="15" t="s">
        <v>1683</v>
      </c>
      <c r="O162" s="2">
        <f>SUM(O163:O165)</f>
        <v>7.1946000000000003</v>
      </c>
      <c r="P162" s="47" t="s">
        <v>1683</v>
      </c>
      <c r="AI162" s="15" t="s">
        <v>1696</v>
      </c>
      <c r="AS162" s="2">
        <f>SUM(AJ163:AJ165)</f>
        <v>0</v>
      </c>
      <c r="AT162" s="2">
        <f>SUM(AK163:AK165)</f>
        <v>0</v>
      </c>
      <c r="AU162" s="2">
        <f>SUM(AL163:AL165)</f>
        <v>0</v>
      </c>
    </row>
    <row r="163" spans="1:75" ht="13.5" customHeight="1">
      <c r="A163" s="21" t="s">
        <v>1540</v>
      </c>
      <c r="B163" s="37" t="s">
        <v>1696</v>
      </c>
      <c r="C163" s="37" t="s">
        <v>999</v>
      </c>
      <c r="D163" s="578" t="s">
        <v>628</v>
      </c>
      <c r="E163" s="579"/>
      <c r="F163" s="37" t="s">
        <v>2359</v>
      </c>
      <c r="G163" s="14">
        <v>3.15</v>
      </c>
      <c r="H163" s="569"/>
      <c r="I163" s="55" t="s">
        <v>1720</v>
      </c>
      <c r="J163" s="14">
        <f>G163*AO163</f>
        <v>0</v>
      </c>
      <c r="K163" s="14">
        <f>G163*AP163</f>
        <v>0</v>
      </c>
      <c r="L163" s="14">
        <f>G163*H163</f>
        <v>0</v>
      </c>
      <c r="M163" s="14">
        <f>L163*(1+BW163/100)</f>
        <v>0</v>
      </c>
      <c r="N163" s="14">
        <v>2.2000000000000002</v>
      </c>
      <c r="O163" s="14">
        <f>G163*N163</f>
        <v>6.9300000000000006</v>
      </c>
      <c r="P163" s="72" t="s">
        <v>1664</v>
      </c>
      <c r="Z163" s="14">
        <f>IF(AQ163="5",BJ163,0)</f>
        <v>0</v>
      </c>
      <c r="AB163" s="14">
        <f>IF(AQ163="1",BH163,0)</f>
        <v>0</v>
      </c>
      <c r="AC163" s="14">
        <f>IF(AQ163="1",BI163,0)</f>
        <v>0</v>
      </c>
      <c r="AD163" s="14">
        <f>IF(AQ163="7",BH163,0)</f>
        <v>0</v>
      </c>
      <c r="AE163" s="14">
        <f>IF(AQ163="7",BI163,0)</f>
        <v>0</v>
      </c>
      <c r="AF163" s="14">
        <f>IF(AQ163="2",BH163,0)</f>
        <v>0</v>
      </c>
      <c r="AG163" s="14">
        <f>IF(AQ163="2",BI163,0)</f>
        <v>0</v>
      </c>
      <c r="AH163" s="14">
        <f>IF(AQ163="0",BJ163,0)</f>
        <v>0</v>
      </c>
      <c r="AI163" s="15" t="s">
        <v>1696</v>
      </c>
      <c r="AJ163" s="14">
        <f>IF(AN163=0,L163,0)</f>
        <v>0</v>
      </c>
      <c r="AK163" s="14">
        <f>IF(AN163=15,L163,0)</f>
        <v>0</v>
      </c>
      <c r="AL163" s="14">
        <f>IF(AN163=21,L163,0)</f>
        <v>0</v>
      </c>
      <c r="AN163" s="14">
        <v>21</v>
      </c>
      <c r="AO163" s="92">
        <f>H163*0</f>
        <v>0</v>
      </c>
      <c r="AP163" s="92">
        <f>H163*(1-0)</f>
        <v>0</v>
      </c>
      <c r="AQ163" s="55" t="s">
        <v>2422</v>
      </c>
      <c r="AV163" s="14">
        <f>AW163+AX163</f>
        <v>0</v>
      </c>
      <c r="AW163" s="14">
        <f>G163*AO163</f>
        <v>0</v>
      </c>
      <c r="AX163" s="14">
        <f>G163*AP163</f>
        <v>0</v>
      </c>
      <c r="AY163" s="55" t="s">
        <v>2157</v>
      </c>
      <c r="AZ163" s="55" t="s">
        <v>1048</v>
      </c>
      <c r="BA163" s="15" t="s">
        <v>2017</v>
      </c>
      <c r="BC163" s="14">
        <f>AW163+AX163</f>
        <v>0</v>
      </c>
      <c r="BD163" s="14">
        <f>H163/(100-BE163)*100</f>
        <v>0</v>
      </c>
      <c r="BE163" s="14">
        <v>0</v>
      </c>
      <c r="BF163" s="14">
        <f>O163</f>
        <v>6.9300000000000006</v>
      </c>
      <c r="BH163" s="14">
        <f>G163*AO163</f>
        <v>0</v>
      </c>
      <c r="BI163" s="14">
        <f>G163*AP163</f>
        <v>0</v>
      </c>
      <c r="BJ163" s="14">
        <f>G163*H163</f>
        <v>0</v>
      </c>
      <c r="BK163" s="14"/>
      <c r="BL163" s="14">
        <v>96</v>
      </c>
      <c r="BW163" s="14" t="str">
        <f>I163</f>
        <v>21</v>
      </c>
    </row>
    <row r="164" spans="1:75" ht="15" customHeight="1">
      <c r="A164" s="32"/>
      <c r="D164" s="3" t="s">
        <v>1711</v>
      </c>
      <c r="E164" s="28" t="s">
        <v>2403</v>
      </c>
      <c r="G164" s="27">
        <v>3.1500000000000004</v>
      </c>
      <c r="P164" s="33"/>
    </row>
    <row r="165" spans="1:75" ht="13.5" customHeight="1">
      <c r="A165" s="21" t="s">
        <v>2315</v>
      </c>
      <c r="B165" s="37" t="s">
        <v>1696</v>
      </c>
      <c r="C165" s="37" t="s">
        <v>121</v>
      </c>
      <c r="D165" s="578" t="s">
        <v>569</v>
      </c>
      <c r="E165" s="579"/>
      <c r="F165" s="37" t="s">
        <v>2398</v>
      </c>
      <c r="G165" s="14">
        <v>21</v>
      </c>
      <c r="H165" s="569"/>
      <c r="I165" s="55" t="s">
        <v>1720</v>
      </c>
      <c r="J165" s="14">
        <f>G165*AO165</f>
        <v>0</v>
      </c>
      <c r="K165" s="14">
        <f>G165*AP165</f>
        <v>0</v>
      </c>
      <c r="L165" s="14">
        <f>G165*H165</f>
        <v>0</v>
      </c>
      <c r="M165" s="14">
        <f>L165*(1+BW165/100)</f>
        <v>0</v>
      </c>
      <c r="N165" s="14">
        <v>1.26E-2</v>
      </c>
      <c r="O165" s="14">
        <f>G165*N165</f>
        <v>0.2646</v>
      </c>
      <c r="P165" s="72" t="s">
        <v>1664</v>
      </c>
      <c r="Z165" s="14">
        <f>IF(AQ165="5",BJ165,0)</f>
        <v>0</v>
      </c>
      <c r="AB165" s="14">
        <f>IF(AQ165="1",BH165,0)</f>
        <v>0</v>
      </c>
      <c r="AC165" s="14">
        <f>IF(AQ165="1",BI165,0)</f>
        <v>0</v>
      </c>
      <c r="AD165" s="14">
        <f>IF(AQ165="7",BH165,0)</f>
        <v>0</v>
      </c>
      <c r="AE165" s="14">
        <f>IF(AQ165="7",BI165,0)</f>
        <v>0</v>
      </c>
      <c r="AF165" s="14">
        <f>IF(AQ165="2",BH165,0)</f>
        <v>0</v>
      </c>
      <c r="AG165" s="14">
        <f>IF(AQ165="2",BI165,0)</f>
        <v>0</v>
      </c>
      <c r="AH165" s="14">
        <f>IF(AQ165="0",BJ165,0)</f>
        <v>0</v>
      </c>
      <c r="AI165" s="15" t="s">
        <v>1696</v>
      </c>
      <c r="AJ165" s="14">
        <f>IF(AN165=0,L165,0)</f>
        <v>0</v>
      </c>
      <c r="AK165" s="14">
        <f>IF(AN165=15,L165,0)</f>
        <v>0</v>
      </c>
      <c r="AL165" s="14">
        <f>IF(AN165=21,L165,0)</f>
        <v>0</v>
      </c>
      <c r="AN165" s="14">
        <v>21</v>
      </c>
      <c r="AO165" s="92">
        <f>H165*0</f>
        <v>0</v>
      </c>
      <c r="AP165" s="92">
        <f>H165*(1-0)</f>
        <v>0</v>
      </c>
      <c r="AQ165" s="55" t="s">
        <v>2422</v>
      </c>
      <c r="AV165" s="14">
        <f>AW165+AX165</f>
        <v>0</v>
      </c>
      <c r="AW165" s="14">
        <f>G165*AO165</f>
        <v>0</v>
      </c>
      <c r="AX165" s="14">
        <f>G165*AP165</f>
        <v>0</v>
      </c>
      <c r="AY165" s="55" t="s">
        <v>2157</v>
      </c>
      <c r="AZ165" s="55" t="s">
        <v>1048</v>
      </c>
      <c r="BA165" s="15" t="s">
        <v>2017</v>
      </c>
      <c r="BC165" s="14">
        <f>AW165+AX165</f>
        <v>0</v>
      </c>
      <c r="BD165" s="14">
        <f>H165/(100-BE165)*100</f>
        <v>0</v>
      </c>
      <c r="BE165" s="14">
        <v>0</v>
      </c>
      <c r="BF165" s="14">
        <f>O165</f>
        <v>0.2646</v>
      </c>
      <c r="BH165" s="14">
        <f>G165*AO165</f>
        <v>0</v>
      </c>
      <c r="BI165" s="14">
        <f>G165*AP165</f>
        <v>0</v>
      </c>
      <c r="BJ165" s="14">
        <f>G165*H165</f>
        <v>0</v>
      </c>
      <c r="BK165" s="14"/>
      <c r="BL165" s="14">
        <v>96</v>
      </c>
      <c r="BW165" s="14" t="str">
        <f>I165</f>
        <v>21</v>
      </c>
    </row>
    <row r="166" spans="1:75" ht="15" customHeight="1">
      <c r="A166" s="32"/>
      <c r="D166" s="3" t="s">
        <v>1720</v>
      </c>
      <c r="E166" s="28" t="s">
        <v>1204</v>
      </c>
      <c r="G166" s="27">
        <v>21</v>
      </c>
      <c r="P166" s="33"/>
    </row>
    <row r="167" spans="1:75" ht="15" customHeight="1">
      <c r="A167" s="65" t="s">
        <v>1683</v>
      </c>
      <c r="B167" s="26" t="s">
        <v>1696</v>
      </c>
      <c r="C167" s="26" t="s">
        <v>273</v>
      </c>
      <c r="D167" s="649" t="s">
        <v>2711</v>
      </c>
      <c r="E167" s="650"/>
      <c r="F167" s="74" t="s">
        <v>2262</v>
      </c>
      <c r="G167" s="74" t="s">
        <v>2262</v>
      </c>
      <c r="H167" s="74" t="s">
        <v>2262</v>
      </c>
      <c r="I167" s="74" t="s">
        <v>2262</v>
      </c>
      <c r="J167" s="2">
        <f>SUM(J168:J168)</f>
        <v>0</v>
      </c>
      <c r="K167" s="2">
        <f>SUM(K168:K168)</f>
        <v>0</v>
      </c>
      <c r="L167" s="2">
        <f>SUM(L168:L168)</f>
        <v>0</v>
      </c>
      <c r="M167" s="2">
        <f>SUM(M168:M168)</f>
        <v>0</v>
      </c>
      <c r="N167" s="15" t="s">
        <v>1683</v>
      </c>
      <c r="O167" s="2">
        <f>SUM(O168:O168)</f>
        <v>3.036</v>
      </c>
      <c r="P167" s="47" t="s">
        <v>1683</v>
      </c>
      <c r="AI167" s="15" t="s">
        <v>1696</v>
      </c>
      <c r="AS167" s="2">
        <f>SUM(AJ168:AJ168)</f>
        <v>0</v>
      </c>
      <c r="AT167" s="2">
        <f>SUM(AK168:AK168)</f>
        <v>0</v>
      </c>
      <c r="AU167" s="2">
        <f>SUM(AL168:AL168)</f>
        <v>0</v>
      </c>
    </row>
    <row r="168" spans="1:75" ht="13.5" customHeight="1">
      <c r="A168" s="21" t="s">
        <v>1422</v>
      </c>
      <c r="B168" s="37" t="s">
        <v>1696</v>
      </c>
      <c r="C168" s="37" t="s">
        <v>1913</v>
      </c>
      <c r="D168" s="578" t="s">
        <v>181</v>
      </c>
      <c r="E168" s="579"/>
      <c r="F168" s="37" t="s">
        <v>2398</v>
      </c>
      <c r="G168" s="14">
        <v>66</v>
      </c>
      <c r="H168" s="569"/>
      <c r="I168" s="55" t="s">
        <v>1720</v>
      </c>
      <c r="J168" s="14">
        <f>G168*AO168</f>
        <v>0</v>
      </c>
      <c r="K168" s="14">
        <f>G168*AP168</f>
        <v>0</v>
      </c>
      <c r="L168" s="14">
        <f>G168*H168</f>
        <v>0</v>
      </c>
      <c r="M168" s="14">
        <f>L168*(1+BW168/100)</f>
        <v>0</v>
      </c>
      <c r="N168" s="14">
        <v>4.5999999999999999E-2</v>
      </c>
      <c r="O168" s="14">
        <f>G168*N168</f>
        <v>3.036</v>
      </c>
      <c r="P168" s="72" t="s">
        <v>1664</v>
      </c>
      <c r="Z168" s="14">
        <f>IF(AQ168="5",BJ168,0)</f>
        <v>0</v>
      </c>
      <c r="AB168" s="14">
        <f>IF(AQ168="1",BH168,0)</f>
        <v>0</v>
      </c>
      <c r="AC168" s="14">
        <f>IF(AQ168="1",BI168,0)</f>
        <v>0</v>
      </c>
      <c r="AD168" s="14">
        <f>IF(AQ168="7",BH168,0)</f>
        <v>0</v>
      </c>
      <c r="AE168" s="14">
        <f>IF(AQ168="7",BI168,0)</f>
        <v>0</v>
      </c>
      <c r="AF168" s="14">
        <f>IF(AQ168="2",BH168,0)</f>
        <v>0</v>
      </c>
      <c r="AG168" s="14">
        <f>IF(AQ168="2",BI168,0)</f>
        <v>0</v>
      </c>
      <c r="AH168" s="14">
        <f>IF(AQ168="0",BJ168,0)</f>
        <v>0</v>
      </c>
      <c r="AI168" s="15" t="s">
        <v>1696</v>
      </c>
      <c r="AJ168" s="14">
        <f>IF(AN168=0,L168,0)</f>
        <v>0</v>
      </c>
      <c r="AK168" s="14">
        <f>IF(AN168=15,L168,0)</f>
        <v>0</v>
      </c>
      <c r="AL168" s="14">
        <f>IF(AN168=21,L168,0)</f>
        <v>0</v>
      </c>
      <c r="AN168" s="14">
        <v>21</v>
      </c>
      <c r="AO168" s="92">
        <f>H168*0</f>
        <v>0</v>
      </c>
      <c r="AP168" s="92">
        <f>H168*(1-0)</f>
        <v>0</v>
      </c>
      <c r="AQ168" s="55" t="s">
        <v>2422</v>
      </c>
      <c r="AV168" s="14">
        <f>AW168+AX168</f>
        <v>0</v>
      </c>
      <c r="AW168" s="14">
        <f>G168*AO168</f>
        <v>0</v>
      </c>
      <c r="AX168" s="14">
        <f>G168*AP168</f>
        <v>0</v>
      </c>
      <c r="AY168" s="55" t="s">
        <v>761</v>
      </c>
      <c r="AZ168" s="55" t="s">
        <v>1048</v>
      </c>
      <c r="BA168" s="15" t="s">
        <v>2017</v>
      </c>
      <c r="BC168" s="14">
        <f>AW168+AX168</f>
        <v>0</v>
      </c>
      <c r="BD168" s="14">
        <f>H168/(100-BE168)*100</f>
        <v>0</v>
      </c>
      <c r="BE168" s="14">
        <v>0</v>
      </c>
      <c r="BF168" s="14">
        <f>O168</f>
        <v>3.036</v>
      </c>
      <c r="BH168" s="14">
        <f>G168*AO168</f>
        <v>0</v>
      </c>
      <c r="BI168" s="14">
        <f>G168*AP168</f>
        <v>0</v>
      </c>
      <c r="BJ168" s="14">
        <f>G168*H168</f>
        <v>0</v>
      </c>
      <c r="BK168" s="14"/>
      <c r="BL168" s="14">
        <v>97</v>
      </c>
      <c r="BW168" s="14" t="str">
        <f>I168</f>
        <v>21</v>
      </c>
    </row>
    <row r="169" spans="1:75" ht="15" customHeight="1">
      <c r="A169" s="32"/>
      <c r="D169" s="3" t="s">
        <v>1384</v>
      </c>
      <c r="E169" s="28" t="s">
        <v>1980</v>
      </c>
      <c r="G169" s="27">
        <v>45.000000000000007</v>
      </c>
      <c r="P169" s="33"/>
    </row>
    <row r="170" spans="1:75" ht="15" customHeight="1">
      <c r="A170" s="32"/>
      <c r="D170" s="3" t="s">
        <v>1720</v>
      </c>
      <c r="E170" s="28" t="s">
        <v>2561</v>
      </c>
      <c r="G170" s="27">
        <v>21</v>
      </c>
      <c r="P170" s="33"/>
    </row>
    <row r="171" spans="1:75" ht="15" customHeight="1">
      <c r="A171" s="65" t="s">
        <v>1683</v>
      </c>
      <c r="B171" s="26" t="s">
        <v>1696</v>
      </c>
      <c r="C171" s="26" t="s">
        <v>1574</v>
      </c>
      <c r="D171" s="649" t="s">
        <v>1489</v>
      </c>
      <c r="E171" s="650"/>
      <c r="F171" s="74" t="s">
        <v>2262</v>
      </c>
      <c r="G171" s="74" t="s">
        <v>2262</v>
      </c>
      <c r="H171" s="74" t="s">
        <v>2262</v>
      </c>
      <c r="I171" s="74" t="s">
        <v>2262</v>
      </c>
      <c r="J171" s="2">
        <f>SUM(J172:J172)</f>
        <v>0</v>
      </c>
      <c r="K171" s="2">
        <f>SUM(K172:K172)</f>
        <v>0</v>
      </c>
      <c r="L171" s="2">
        <f>SUM(L172:L172)</f>
        <v>0</v>
      </c>
      <c r="M171" s="2">
        <f>SUM(M172:M172)</f>
        <v>0</v>
      </c>
      <c r="N171" s="15" t="s">
        <v>1683</v>
      </c>
      <c r="O171" s="2">
        <f>SUM(O172:O172)</f>
        <v>0</v>
      </c>
      <c r="P171" s="47" t="s">
        <v>1683</v>
      </c>
      <c r="AI171" s="15" t="s">
        <v>1696</v>
      </c>
      <c r="AS171" s="2">
        <f>SUM(AJ172:AJ172)</f>
        <v>0</v>
      </c>
      <c r="AT171" s="2">
        <f>SUM(AK172:AK172)</f>
        <v>0</v>
      </c>
      <c r="AU171" s="2">
        <f>SUM(AL172:AL172)</f>
        <v>0</v>
      </c>
    </row>
    <row r="172" spans="1:75" ht="13.5" customHeight="1">
      <c r="A172" s="21" t="s">
        <v>1108</v>
      </c>
      <c r="B172" s="37" t="s">
        <v>1696</v>
      </c>
      <c r="C172" s="37" t="s">
        <v>643</v>
      </c>
      <c r="D172" s="578" t="s">
        <v>448</v>
      </c>
      <c r="E172" s="579"/>
      <c r="F172" s="37" t="s">
        <v>1130</v>
      </c>
      <c r="G172" s="14">
        <v>16.87</v>
      </c>
      <c r="H172" s="569"/>
      <c r="I172" s="55" t="s">
        <v>1720</v>
      </c>
      <c r="J172" s="14">
        <f>G172*AO172</f>
        <v>0</v>
      </c>
      <c r="K172" s="14">
        <f>G172*AP172</f>
        <v>0</v>
      </c>
      <c r="L172" s="14">
        <f>G172*H172</f>
        <v>0</v>
      </c>
      <c r="M172" s="14">
        <f>L172*(1+BW172/100)</f>
        <v>0</v>
      </c>
      <c r="N172" s="14">
        <v>0</v>
      </c>
      <c r="O172" s="14">
        <f>G172*N172</f>
        <v>0</v>
      </c>
      <c r="P172" s="72" t="s">
        <v>1664</v>
      </c>
      <c r="Z172" s="14">
        <f>IF(AQ172="5",BJ172,0)</f>
        <v>0</v>
      </c>
      <c r="AB172" s="14">
        <f>IF(AQ172="1",BH172,0)</f>
        <v>0</v>
      </c>
      <c r="AC172" s="14">
        <f>IF(AQ172="1",BI172,0)</f>
        <v>0</v>
      </c>
      <c r="AD172" s="14">
        <f>IF(AQ172="7",BH172,0)</f>
        <v>0</v>
      </c>
      <c r="AE172" s="14">
        <f>IF(AQ172="7",BI172,0)</f>
        <v>0</v>
      </c>
      <c r="AF172" s="14">
        <f>IF(AQ172="2",BH172,0)</f>
        <v>0</v>
      </c>
      <c r="AG172" s="14">
        <f>IF(AQ172="2",BI172,0)</f>
        <v>0</v>
      </c>
      <c r="AH172" s="14">
        <f>IF(AQ172="0",BJ172,0)</f>
        <v>0</v>
      </c>
      <c r="AI172" s="15" t="s">
        <v>1696</v>
      </c>
      <c r="AJ172" s="14">
        <f>IF(AN172=0,L172,0)</f>
        <v>0</v>
      </c>
      <c r="AK172" s="14">
        <f>IF(AN172=15,L172,0)</f>
        <v>0</v>
      </c>
      <c r="AL172" s="14">
        <f>IF(AN172=21,L172,0)</f>
        <v>0</v>
      </c>
      <c r="AN172" s="14">
        <v>21</v>
      </c>
      <c r="AO172" s="92">
        <f>H172*0</f>
        <v>0</v>
      </c>
      <c r="AP172" s="92">
        <f>H172*(1-0)</f>
        <v>0</v>
      </c>
      <c r="AQ172" s="55" t="s">
        <v>1287</v>
      </c>
      <c r="AV172" s="14">
        <f>AW172+AX172</f>
        <v>0</v>
      </c>
      <c r="AW172" s="14">
        <f>G172*AO172</f>
        <v>0</v>
      </c>
      <c r="AX172" s="14">
        <f>G172*AP172</f>
        <v>0</v>
      </c>
      <c r="AY172" s="55" t="s">
        <v>2478</v>
      </c>
      <c r="AZ172" s="55" t="s">
        <v>1048</v>
      </c>
      <c r="BA172" s="15" t="s">
        <v>2017</v>
      </c>
      <c r="BC172" s="14">
        <f>AW172+AX172</f>
        <v>0</v>
      </c>
      <c r="BD172" s="14">
        <f>H172/(100-BE172)*100</f>
        <v>0</v>
      </c>
      <c r="BE172" s="14">
        <v>0</v>
      </c>
      <c r="BF172" s="14">
        <f>O172</f>
        <v>0</v>
      </c>
      <c r="BH172" s="14">
        <f>G172*AO172</f>
        <v>0</v>
      </c>
      <c r="BI172" s="14">
        <f>G172*AP172</f>
        <v>0</v>
      </c>
      <c r="BJ172" s="14">
        <f>G172*H172</f>
        <v>0</v>
      </c>
      <c r="BK172" s="14"/>
      <c r="BL172" s="14"/>
      <c r="BW172" s="14" t="str">
        <f>I172</f>
        <v>21</v>
      </c>
    </row>
    <row r="173" spans="1:75" ht="15" customHeight="1">
      <c r="A173" s="32"/>
      <c r="D173" s="3" t="s">
        <v>1871</v>
      </c>
      <c r="E173" s="28" t="s">
        <v>1683</v>
      </c>
      <c r="G173" s="27">
        <v>16.87</v>
      </c>
      <c r="P173" s="33"/>
    </row>
    <row r="174" spans="1:75" ht="15" customHeight="1">
      <c r="A174" s="65" t="s">
        <v>1683</v>
      </c>
      <c r="B174" s="26" t="s">
        <v>1696</v>
      </c>
      <c r="C174" s="26" t="s">
        <v>804</v>
      </c>
      <c r="D174" s="649" t="s">
        <v>1036</v>
      </c>
      <c r="E174" s="650"/>
      <c r="F174" s="74" t="s">
        <v>2262</v>
      </c>
      <c r="G174" s="74" t="s">
        <v>2262</v>
      </c>
      <c r="H174" s="74" t="s">
        <v>2262</v>
      </c>
      <c r="I174" s="74" t="s">
        <v>2262</v>
      </c>
      <c r="J174" s="2">
        <f>SUM(J175:J181)</f>
        <v>0</v>
      </c>
      <c r="K174" s="2">
        <f>SUM(K175:K181)</f>
        <v>0</v>
      </c>
      <c r="L174" s="2">
        <f>SUM(L175:L181)</f>
        <v>0</v>
      </c>
      <c r="M174" s="2">
        <f>SUM(M175:M181)</f>
        <v>0</v>
      </c>
      <c r="N174" s="15" t="s">
        <v>1683</v>
      </c>
      <c r="O174" s="2">
        <f>SUM(O175:O181)</f>
        <v>0</v>
      </c>
      <c r="P174" s="47" t="s">
        <v>1683</v>
      </c>
      <c r="AI174" s="15" t="s">
        <v>1696</v>
      </c>
      <c r="AS174" s="2">
        <f>SUM(AJ175:AJ181)</f>
        <v>0</v>
      </c>
      <c r="AT174" s="2">
        <f>SUM(AK175:AK181)</f>
        <v>0</v>
      </c>
      <c r="AU174" s="2">
        <f>SUM(AL175:AL181)</f>
        <v>0</v>
      </c>
    </row>
    <row r="175" spans="1:75" ht="13.5" customHeight="1">
      <c r="A175" s="21" t="s">
        <v>284</v>
      </c>
      <c r="B175" s="37" t="s">
        <v>1696</v>
      </c>
      <c r="C175" s="37" t="s">
        <v>2479</v>
      </c>
      <c r="D175" s="578" t="s">
        <v>634</v>
      </c>
      <c r="E175" s="579"/>
      <c r="F175" s="37" t="s">
        <v>1130</v>
      </c>
      <c r="G175" s="14">
        <v>10.23</v>
      </c>
      <c r="H175" s="569"/>
      <c r="I175" s="55" t="s">
        <v>1720</v>
      </c>
      <c r="J175" s="14">
        <f>G175*AO175</f>
        <v>0</v>
      </c>
      <c r="K175" s="14">
        <f>G175*AP175</f>
        <v>0</v>
      </c>
      <c r="L175" s="14">
        <f>G175*H175</f>
        <v>0</v>
      </c>
      <c r="M175" s="14">
        <f>L175*(1+BW175/100)</f>
        <v>0</v>
      </c>
      <c r="N175" s="14">
        <v>0</v>
      </c>
      <c r="O175" s="14">
        <f>G175*N175</f>
        <v>0</v>
      </c>
      <c r="P175" s="72" t="s">
        <v>1664</v>
      </c>
      <c r="Z175" s="14">
        <f>IF(AQ175="5",BJ175,0)</f>
        <v>0</v>
      </c>
      <c r="AB175" s="14">
        <f>IF(AQ175="1",BH175,0)</f>
        <v>0</v>
      </c>
      <c r="AC175" s="14">
        <f>IF(AQ175="1",BI175,0)</f>
        <v>0</v>
      </c>
      <c r="AD175" s="14">
        <f>IF(AQ175="7",BH175,0)</f>
        <v>0</v>
      </c>
      <c r="AE175" s="14">
        <f>IF(AQ175="7",BI175,0)</f>
        <v>0</v>
      </c>
      <c r="AF175" s="14">
        <f>IF(AQ175="2",BH175,0)</f>
        <v>0</v>
      </c>
      <c r="AG175" s="14">
        <f>IF(AQ175="2",BI175,0)</f>
        <v>0</v>
      </c>
      <c r="AH175" s="14">
        <f>IF(AQ175="0",BJ175,0)</f>
        <v>0</v>
      </c>
      <c r="AI175" s="15" t="s">
        <v>1696</v>
      </c>
      <c r="AJ175" s="14">
        <f>IF(AN175=0,L175,0)</f>
        <v>0</v>
      </c>
      <c r="AK175" s="14">
        <f>IF(AN175=15,L175,0)</f>
        <v>0</v>
      </c>
      <c r="AL175" s="14">
        <f>IF(AN175=21,L175,0)</f>
        <v>0</v>
      </c>
      <c r="AN175" s="14">
        <v>21</v>
      </c>
      <c r="AO175" s="92">
        <f>H175*0</f>
        <v>0</v>
      </c>
      <c r="AP175" s="92">
        <f>H175*(1-0)</f>
        <v>0</v>
      </c>
      <c r="AQ175" s="55" t="s">
        <v>1287</v>
      </c>
      <c r="AV175" s="14">
        <f>AW175+AX175</f>
        <v>0</v>
      </c>
      <c r="AW175" s="14">
        <f>G175*AO175</f>
        <v>0</v>
      </c>
      <c r="AX175" s="14">
        <f>G175*AP175</f>
        <v>0</v>
      </c>
      <c r="AY175" s="55" t="s">
        <v>992</v>
      </c>
      <c r="AZ175" s="55" t="s">
        <v>1048</v>
      </c>
      <c r="BA175" s="15" t="s">
        <v>2017</v>
      </c>
      <c r="BC175" s="14">
        <f>AW175+AX175</f>
        <v>0</v>
      </c>
      <c r="BD175" s="14">
        <f>H175/(100-BE175)*100</f>
        <v>0</v>
      </c>
      <c r="BE175" s="14">
        <v>0</v>
      </c>
      <c r="BF175" s="14">
        <f>O175</f>
        <v>0</v>
      </c>
      <c r="BH175" s="14">
        <f>G175*AO175</f>
        <v>0</v>
      </c>
      <c r="BI175" s="14">
        <f>G175*AP175</f>
        <v>0</v>
      </c>
      <c r="BJ175" s="14">
        <f>G175*H175</f>
        <v>0</v>
      </c>
      <c r="BK175" s="14"/>
      <c r="BL175" s="14"/>
      <c r="BW175" s="14" t="str">
        <f>I175</f>
        <v>21</v>
      </c>
    </row>
    <row r="176" spans="1:75" ht="15" customHeight="1">
      <c r="A176" s="32"/>
      <c r="D176" s="3" t="s">
        <v>2441</v>
      </c>
      <c r="E176" s="28" t="s">
        <v>1683</v>
      </c>
      <c r="G176" s="27">
        <v>10.23</v>
      </c>
      <c r="P176" s="33"/>
    </row>
    <row r="177" spans="1:75" ht="13.5" customHeight="1">
      <c r="A177" s="21" t="s">
        <v>1769</v>
      </c>
      <c r="B177" s="37" t="s">
        <v>1696</v>
      </c>
      <c r="C177" s="37" t="s">
        <v>662</v>
      </c>
      <c r="D177" s="578" t="s">
        <v>1805</v>
      </c>
      <c r="E177" s="579"/>
      <c r="F177" s="37" t="s">
        <v>1130</v>
      </c>
      <c r="G177" s="14">
        <v>10.23</v>
      </c>
      <c r="H177" s="569"/>
      <c r="I177" s="55" t="s">
        <v>1720</v>
      </c>
      <c r="J177" s="14">
        <f>G177*AO177</f>
        <v>0</v>
      </c>
      <c r="K177" s="14">
        <f>G177*AP177</f>
        <v>0</v>
      </c>
      <c r="L177" s="14">
        <f>G177*H177</f>
        <v>0</v>
      </c>
      <c r="M177" s="14">
        <f>L177*(1+BW177/100)</f>
        <v>0</v>
      </c>
      <c r="N177" s="14">
        <v>0</v>
      </c>
      <c r="O177" s="14">
        <f>G177*N177</f>
        <v>0</v>
      </c>
      <c r="P177" s="72" t="s">
        <v>1664</v>
      </c>
      <c r="Z177" s="14">
        <f>IF(AQ177="5",BJ177,0)</f>
        <v>0</v>
      </c>
      <c r="AB177" s="14">
        <f>IF(AQ177="1",BH177,0)</f>
        <v>0</v>
      </c>
      <c r="AC177" s="14">
        <f>IF(AQ177="1",BI177,0)</f>
        <v>0</v>
      </c>
      <c r="AD177" s="14">
        <f>IF(AQ177="7",BH177,0)</f>
        <v>0</v>
      </c>
      <c r="AE177" s="14">
        <f>IF(AQ177="7",BI177,0)</f>
        <v>0</v>
      </c>
      <c r="AF177" s="14">
        <f>IF(AQ177="2",BH177,0)</f>
        <v>0</v>
      </c>
      <c r="AG177" s="14">
        <f>IF(AQ177="2",BI177,0)</f>
        <v>0</v>
      </c>
      <c r="AH177" s="14">
        <f>IF(AQ177="0",BJ177,0)</f>
        <v>0</v>
      </c>
      <c r="AI177" s="15" t="s">
        <v>1696</v>
      </c>
      <c r="AJ177" s="14">
        <f>IF(AN177=0,L177,0)</f>
        <v>0</v>
      </c>
      <c r="AK177" s="14">
        <f>IF(AN177=15,L177,0)</f>
        <v>0</v>
      </c>
      <c r="AL177" s="14">
        <f>IF(AN177=21,L177,0)</f>
        <v>0</v>
      </c>
      <c r="AN177" s="14">
        <v>21</v>
      </c>
      <c r="AO177" s="92">
        <f>H177*0</f>
        <v>0</v>
      </c>
      <c r="AP177" s="92">
        <f>H177*(1-0)</f>
        <v>0</v>
      </c>
      <c r="AQ177" s="55" t="s">
        <v>1287</v>
      </c>
      <c r="AV177" s="14">
        <f>AW177+AX177</f>
        <v>0</v>
      </c>
      <c r="AW177" s="14">
        <f>G177*AO177</f>
        <v>0</v>
      </c>
      <c r="AX177" s="14">
        <f>G177*AP177</f>
        <v>0</v>
      </c>
      <c r="AY177" s="55" t="s">
        <v>992</v>
      </c>
      <c r="AZ177" s="55" t="s">
        <v>1048</v>
      </c>
      <c r="BA177" s="15" t="s">
        <v>2017</v>
      </c>
      <c r="BC177" s="14">
        <f>AW177+AX177</f>
        <v>0</v>
      </c>
      <c r="BD177" s="14">
        <f>H177/(100-BE177)*100</f>
        <v>0</v>
      </c>
      <c r="BE177" s="14">
        <v>0</v>
      </c>
      <c r="BF177" s="14">
        <f>O177</f>
        <v>0</v>
      </c>
      <c r="BH177" s="14">
        <f>G177*AO177</f>
        <v>0</v>
      </c>
      <c r="BI177" s="14">
        <f>G177*AP177</f>
        <v>0</v>
      </c>
      <c r="BJ177" s="14">
        <f>G177*H177</f>
        <v>0</v>
      </c>
      <c r="BK177" s="14"/>
      <c r="BL177" s="14"/>
      <c r="BW177" s="14" t="str">
        <f>I177</f>
        <v>21</v>
      </c>
    </row>
    <row r="178" spans="1:75" ht="15" customHeight="1">
      <c r="A178" s="32"/>
      <c r="D178" s="3" t="s">
        <v>471</v>
      </c>
      <c r="E178" s="28" t="s">
        <v>1240</v>
      </c>
      <c r="G178" s="27">
        <v>10.23</v>
      </c>
      <c r="P178" s="33"/>
    </row>
    <row r="179" spans="1:75" ht="13.5" customHeight="1">
      <c r="A179" s="21" t="s">
        <v>2725</v>
      </c>
      <c r="B179" s="37" t="s">
        <v>1696</v>
      </c>
      <c r="C179" s="37" t="s">
        <v>359</v>
      </c>
      <c r="D179" s="578" t="s">
        <v>1070</v>
      </c>
      <c r="E179" s="579"/>
      <c r="F179" s="37" t="s">
        <v>1130</v>
      </c>
      <c r="G179" s="14">
        <v>153.44999999999999</v>
      </c>
      <c r="H179" s="569"/>
      <c r="I179" s="55" t="s">
        <v>1720</v>
      </c>
      <c r="J179" s="14">
        <f>G179*AO179</f>
        <v>0</v>
      </c>
      <c r="K179" s="14">
        <f>G179*AP179</f>
        <v>0</v>
      </c>
      <c r="L179" s="14">
        <f>G179*H179</f>
        <v>0</v>
      </c>
      <c r="M179" s="14">
        <f>L179*(1+BW179/100)</f>
        <v>0</v>
      </c>
      <c r="N179" s="14">
        <v>0</v>
      </c>
      <c r="O179" s="14">
        <f>G179*N179</f>
        <v>0</v>
      </c>
      <c r="P179" s="72" t="s">
        <v>1664</v>
      </c>
      <c r="Z179" s="14">
        <f>IF(AQ179="5",BJ179,0)</f>
        <v>0</v>
      </c>
      <c r="AB179" s="14">
        <f>IF(AQ179="1",BH179,0)</f>
        <v>0</v>
      </c>
      <c r="AC179" s="14">
        <f>IF(AQ179="1",BI179,0)</f>
        <v>0</v>
      </c>
      <c r="AD179" s="14">
        <f>IF(AQ179="7",BH179,0)</f>
        <v>0</v>
      </c>
      <c r="AE179" s="14">
        <f>IF(AQ179="7",BI179,0)</f>
        <v>0</v>
      </c>
      <c r="AF179" s="14">
        <f>IF(AQ179="2",BH179,0)</f>
        <v>0</v>
      </c>
      <c r="AG179" s="14">
        <f>IF(AQ179="2",BI179,0)</f>
        <v>0</v>
      </c>
      <c r="AH179" s="14">
        <f>IF(AQ179="0",BJ179,0)</f>
        <v>0</v>
      </c>
      <c r="AI179" s="15" t="s">
        <v>1696</v>
      </c>
      <c r="AJ179" s="14">
        <f>IF(AN179=0,L179,0)</f>
        <v>0</v>
      </c>
      <c r="AK179" s="14">
        <f>IF(AN179=15,L179,0)</f>
        <v>0</v>
      </c>
      <c r="AL179" s="14">
        <f>IF(AN179=21,L179,0)</f>
        <v>0</v>
      </c>
      <c r="AN179" s="14">
        <v>21</v>
      </c>
      <c r="AO179" s="92">
        <f>H179*0</f>
        <v>0</v>
      </c>
      <c r="AP179" s="92">
        <f>H179*(1-0)</f>
        <v>0</v>
      </c>
      <c r="AQ179" s="55" t="s">
        <v>1287</v>
      </c>
      <c r="AV179" s="14">
        <f>AW179+AX179</f>
        <v>0</v>
      </c>
      <c r="AW179" s="14">
        <f>G179*AO179</f>
        <v>0</v>
      </c>
      <c r="AX179" s="14">
        <f>G179*AP179</f>
        <v>0</v>
      </c>
      <c r="AY179" s="55" t="s">
        <v>992</v>
      </c>
      <c r="AZ179" s="55" t="s">
        <v>1048</v>
      </c>
      <c r="BA179" s="15" t="s">
        <v>2017</v>
      </c>
      <c r="BC179" s="14">
        <f>AW179+AX179</f>
        <v>0</v>
      </c>
      <c r="BD179" s="14">
        <f>H179/(100-BE179)*100</f>
        <v>0</v>
      </c>
      <c r="BE179" s="14">
        <v>0</v>
      </c>
      <c r="BF179" s="14">
        <f>O179</f>
        <v>0</v>
      </c>
      <c r="BH179" s="14">
        <f>G179*AO179</f>
        <v>0</v>
      </c>
      <c r="BI179" s="14">
        <f>G179*AP179</f>
        <v>0</v>
      </c>
      <c r="BJ179" s="14">
        <f>G179*H179</f>
        <v>0</v>
      </c>
      <c r="BK179" s="14"/>
      <c r="BL179" s="14"/>
      <c r="BW179" s="14" t="str">
        <f>I179</f>
        <v>21</v>
      </c>
    </row>
    <row r="180" spans="1:75" ht="15" customHeight="1">
      <c r="A180" s="32"/>
      <c r="D180" s="3" t="s">
        <v>1966</v>
      </c>
      <c r="E180" s="28" t="s">
        <v>1683</v>
      </c>
      <c r="G180" s="27">
        <v>153.45000000000002</v>
      </c>
      <c r="P180" s="33"/>
    </row>
    <row r="181" spans="1:75" ht="27" customHeight="1">
      <c r="A181" s="21" t="s">
        <v>555</v>
      </c>
      <c r="B181" s="37" t="s">
        <v>1696</v>
      </c>
      <c r="C181" s="37" t="s">
        <v>825</v>
      </c>
      <c r="D181" s="578" t="s">
        <v>1964</v>
      </c>
      <c r="E181" s="579"/>
      <c r="F181" s="37" t="s">
        <v>1130</v>
      </c>
      <c r="G181" s="14">
        <v>10.23</v>
      </c>
      <c r="H181" s="569"/>
      <c r="I181" s="55" t="s">
        <v>1720</v>
      </c>
      <c r="J181" s="14">
        <f>G181*AO181</f>
        <v>0</v>
      </c>
      <c r="K181" s="14">
        <f>G181*AP181</f>
        <v>0</v>
      </c>
      <c r="L181" s="14">
        <f>G181*H181</f>
        <v>0</v>
      </c>
      <c r="M181" s="14">
        <f>L181*(1+BW181/100)</f>
        <v>0</v>
      </c>
      <c r="N181" s="14">
        <v>0</v>
      </c>
      <c r="O181" s="14">
        <f>G181*N181</f>
        <v>0</v>
      </c>
      <c r="P181" s="72" t="s">
        <v>1664</v>
      </c>
      <c r="Z181" s="14">
        <f>IF(AQ181="5",BJ181,0)</f>
        <v>0</v>
      </c>
      <c r="AB181" s="14">
        <f>IF(AQ181="1",BH181,0)</f>
        <v>0</v>
      </c>
      <c r="AC181" s="14">
        <f>IF(AQ181="1",BI181,0)</f>
        <v>0</v>
      </c>
      <c r="AD181" s="14">
        <f>IF(AQ181="7",BH181,0)</f>
        <v>0</v>
      </c>
      <c r="AE181" s="14">
        <f>IF(AQ181="7",BI181,0)</f>
        <v>0</v>
      </c>
      <c r="AF181" s="14">
        <f>IF(AQ181="2",BH181,0)</f>
        <v>0</v>
      </c>
      <c r="AG181" s="14">
        <f>IF(AQ181="2",BI181,0)</f>
        <v>0</v>
      </c>
      <c r="AH181" s="14">
        <f>IF(AQ181="0",BJ181,0)</f>
        <v>0</v>
      </c>
      <c r="AI181" s="15" t="s">
        <v>1696</v>
      </c>
      <c r="AJ181" s="14">
        <f>IF(AN181=0,L181,0)</f>
        <v>0</v>
      </c>
      <c r="AK181" s="14">
        <f>IF(AN181=15,L181,0)</f>
        <v>0</v>
      </c>
      <c r="AL181" s="14">
        <f>IF(AN181=21,L181,0)</f>
        <v>0</v>
      </c>
      <c r="AN181" s="14">
        <v>21</v>
      </c>
      <c r="AO181" s="92">
        <f>H181*0</f>
        <v>0</v>
      </c>
      <c r="AP181" s="92">
        <f>H181*(1-0)</f>
        <v>0</v>
      </c>
      <c r="AQ181" s="55" t="s">
        <v>1287</v>
      </c>
      <c r="AV181" s="14">
        <f>AW181+AX181</f>
        <v>0</v>
      </c>
      <c r="AW181" s="14">
        <f>G181*AO181</f>
        <v>0</v>
      </c>
      <c r="AX181" s="14">
        <f>G181*AP181</f>
        <v>0</v>
      </c>
      <c r="AY181" s="55" t="s">
        <v>992</v>
      </c>
      <c r="AZ181" s="55" t="s">
        <v>1048</v>
      </c>
      <c r="BA181" s="15" t="s">
        <v>2017</v>
      </c>
      <c r="BC181" s="14">
        <f>AW181+AX181</f>
        <v>0</v>
      </c>
      <c r="BD181" s="14">
        <f>H181/(100-BE181)*100</f>
        <v>0</v>
      </c>
      <c r="BE181" s="14">
        <v>0</v>
      </c>
      <c r="BF181" s="14">
        <f>O181</f>
        <v>0</v>
      </c>
      <c r="BH181" s="14">
        <f>G181*AO181</f>
        <v>0</v>
      </c>
      <c r="BI181" s="14">
        <f>G181*AP181</f>
        <v>0</v>
      </c>
      <c r="BJ181" s="14">
        <f>G181*H181</f>
        <v>0</v>
      </c>
      <c r="BK181" s="14"/>
      <c r="BL181" s="14"/>
      <c r="BW181" s="14" t="str">
        <f>I181</f>
        <v>21</v>
      </c>
    </row>
    <row r="182" spans="1:75" ht="15" customHeight="1">
      <c r="A182" s="32"/>
      <c r="D182" s="3" t="s">
        <v>471</v>
      </c>
      <c r="E182" s="28" t="s">
        <v>1683</v>
      </c>
      <c r="G182" s="27">
        <v>10.23</v>
      </c>
      <c r="P182" s="33"/>
    </row>
    <row r="183" spans="1:75" ht="15" customHeight="1">
      <c r="A183" s="70" t="s">
        <v>1683</v>
      </c>
      <c r="B183" s="40" t="s">
        <v>1842</v>
      </c>
      <c r="C183" s="40" t="s">
        <v>1683</v>
      </c>
      <c r="D183" s="647" t="s">
        <v>1495</v>
      </c>
      <c r="E183" s="648"/>
      <c r="F183" s="22" t="s">
        <v>2262</v>
      </c>
      <c r="G183" s="22" t="s">
        <v>2262</v>
      </c>
      <c r="H183" s="22" t="s">
        <v>2262</v>
      </c>
      <c r="I183" s="22" t="s">
        <v>2262</v>
      </c>
      <c r="J183" s="89">
        <f>J184+J192+J195+J202+J205+J228+J233+J246+J268+J295+J313+J317+J320+J335+J338+J416+J450+J485+J509+J521+J560+J611+J641+J647+J656+J667+J672+J677+J682+J693+J696+J699+J702+J705+J708+J711+J714+J717+J720+J723+J726+J729+J732</f>
        <v>0</v>
      </c>
      <c r="K183" s="89">
        <f>K184+K192+K195+K202+K205+K228+K233+K246+K268+K295+K313+K317+K320+K335+K338+K416+K450+K485+K509+K521+K560+K611+K641+K647+K656+K667+K672+K677+K682+K693+K696+K699+K702+K705+K708+K711+K714+K717+K720+K723+K726+K729+K732</f>
        <v>0</v>
      </c>
      <c r="L183" s="89">
        <f>L184+L192+L195+L202+L205+L228+L233+L246+L268+L295+L313+L317+L320+L335+L338+L416+L450+L485+L509+L521+L560+L611+L641+L647+L656+L667+L672+L677+L682+L693+L696+L699+L702+L705+L708+L711+L714+L717+L720+L723+L726+L729+L732</f>
        <v>0</v>
      </c>
      <c r="M183" s="89">
        <f>M184+M192+M195+M202+M205+M228+M233+M246+M268+M295+M313+M317+M320+M335+M338+M416+M450+M485+M509+M521+M560+M611+M641+M647+M656+M667+M672+M677+M682+M693+M696+M699+M702+M705+M708+M711+M714+M717+M720+M723+M726+M729+M732</f>
        <v>0</v>
      </c>
      <c r="N183" s="61" t="s">
        <v>1683</v>
      </c>
      <c r="O183" s="89">
        <f>O184+O192+O195+O202+O205+O228+O233+O246+O268+O295+O313+O317+O320+O335+O338+O416+O450+O485+O509+O521+O560+O611+O641+O647+O656+O667+O672+O677+O682+O693+O696+O699+O702+O705+O708+O711+O714+O717+O720+O723+O726+O729+O732</f>
        <v>923.29026540000018</v>
      </c>
      <c r="P183" s="1" t="s">
        <v>1683</v>
      </c>
    </row>
    <row r="184" spans="1:75" ht="15" customHeight="1">
      <c r="A184" s="65" t="s">
        <v>1683</v>
      </c>
      <c r="B184" s="26" t="s">
        <v>1842</v>
      </c>
      <c r="C184" s="26" t="s">
        <v>705</v>
      </c>
      <c r="D184" s="649" t="s">
        <v>17</v>
      </c>
      <c r="E184" s="650"/>
      <c r="F184" s="74" t="s">
        <v>2262</v>
      </c>
      <c r="G184" s="74" t="s">
        <v>2262</v>
      </c>
      <c r="H184" s="74" t="s">
        <v>2262</v>
      </c>
      <c r="I184" s="74" t="s">
        <v>2262</v>
      </c>
      <c r="J184" s="2">
        <f>SUM(J185:J188)</f>
        <v>0</v>
      </c>
      <c r="K184" s="2">
        <f>SUM(K185:K188)</f>
        <v>0</v>
      </c>
      <c r="L184" s="2">
        <f>SUM(L185:L188)</f>
        <v>0</v>
      </c>
      <c r="M184" s="2">
        <f>SUM(M185:M188)</f>
        <v>0</v>
      </c>
      <c r="N184" s="15" t="s">
        <v>1683</v>
      </c>
      <c r="O184" s="2">
        <f>SUM(O185:O188)</f>
        <v>0</v>
      </c>
      <c r="P184" s="47" t="s">
        <v>1683</v>
      </c>
      <c r="AI184" s="15" t="s">
        <v>1842</v>
      </c>
      <c r="AS184" s="2">
        <f>SUM(AJ185:AJ188)</f>
        <v>0</v>
      </c>
      <c r="AT184" s="2">
        <f>SUM(AK185:AK188)</f>
        <v>0</v>
      </c>
      <c r="AU184" s="2">
        <f>SUM(AL185:AL188)</f>
        <v>0</v>
      </c>
    </row>
    <row r="185" spans="1:75" ht="13.5" customHeight="1">
      <c r="A185" s="21" t="s">
        <v>1191</v>
      </c>
      <c r="B185" s="37" t="s">
        <v>1842</v>
      </c>
      <c r="C185" s="37" t="s">
        <v>1284</v>
      </c>
      <c r="D185" s="578" t="s">
        <v>294</v>
      </c>
      <c r="E185" s="579"/>
      <c r="F185" s="37" t="s">
        <v>2359</v>
      </c>
      <c r="G185" s="14">
        <v>275.18</v>
      </c>
      <c r="H185" s="569"/>
      <c r="I185" s="55" t="s">
        <v>1720</v>
      </c>
      <c r="J185" s="14">
        <f>G185*AO185</f>
        <v>0</v>
      </c>
      <c r="K185" s="14">
        <f>G185*AP185</f>
        <v>0</v>
      </c>
      <c r="L185" s="14">
        <f>G185*H185</f>
        <v>0</v>
      </c>
      <c r="M185" s="14">
        <f>L185*(1+BW185/100)</f>
        <v>0</v>
      </c>
      <c r="N185" s="14">
        <v>0</v>
      </c>
      <c r="O185" s="14">
        <f>G185*N185</f>
        <v>0</v>
      </c>
      <c r="P185" s="72" t="s">
        <v>921</v>
      </c>
      <c r="Z185" s="14">
        <f>IF(AQ185="5",BJ185,0)</f>
        <v>0</v>
      </c>
      <c r="AB185" s="14">
        <f>IF(AQ185="1",BH185,0)</f>
        <v>0</v>
      </c>
      <c r="AC185" s="14">
        <f>IF(AQ185="1",BI185,0)</f>
        <v>0</v>
      </c>
      <c r="AD185" s="14">
        <f>IF(AQ185="7",BH185,0)</f>
        <v>0</v>
      </c>
      <c r="AE185" s="14">
        <f>IF(AQ185="7",BI185,0)</f>
        <v>0</v>
      </c>
      <c r="AF185" s="14">
        <f>IF(AQ185="2",BH185,0)</f>
        <v>0</v>
      </c>
      <c r="AG185" s="14">
        <f>IF(AQ185="2",BI185,0)</f>
        <v>0</v>
      </c>
      <c r="AH185" s="14">
        <f>IF(AQ185="0",BJ185,0)</f>
        <v>0</v>
      </c>
      <c r="AI185" s="15" t="s">
        <v>1842</v>
      </c>
      <c r="AJ185" s="14">
        <f>IF(AN185=0,L185,0)</f>
        <v>0</v>
      </c>
      <c r="AK185" s="14">
        <f>IF(AN185=15,L185,0)</f>
        <v>0</v>
      </c>
      <c r="AL185" s="14">
        <f>IF(AN185=21,L185,0)</f>
        <v>0</v>
      </c>
      <c r="AN185" s="14">
        <v>21</v>
      </c>
      <c r="AO185" s="92">
        <f>H185*0</f>
        <v>0</v>
      </c>
      <c r="AP185" s="92">
        <f>H185*(1-0)</f>
        <v>0</v>
      </c>
      <c r="AQ185" s="55" t="s">
        <v>2422</v>
      </c>
      <c r="AV185" s="14">
        <f>AW185+AX185</f>
        <v>0</v>
      </c>
      <c r="AW185" s="14">
        <f>G185*AO185</f>
        <v>0</v>
      </c>
      <c r="AX185" s="14">
        <f>G185*AP185</f>
        <v>0</v>
      </c>
      <c r="AY185" s="55" t="s">
        <v>2203</v>
      </c>
      <c r="AZ185" s="55" t="s">
        <v>1983</v>
      </c>
      <c r="BA185" s="15" t="s">
        <v>1843</v>
      </c>
      <c r="BC185" s="14">
        <f>AW185+AX185</f>
        <v>0</v>
      </c>
      <c r="BD185" s="14">
        <f>H185/(100-BE185)*100</f>
        <v>0</v>
      </c>
      <c r="BE185" s="14">
        <v>0</v>
      </c>
      <c r="BF185" s="14">
        <f>O185</f>
        <v>0</v>
      </c>
      <c r="BH185" s="14">
        <f>G185*AO185</f>
        <v>0</v>
      </c>
      <c r="BI185" s="14">
        <f>G185*AP185</f>
        <v>0</v>
      </c>
      <c r="BJ185" s="14">
        <f>G185*H185</f>
        <v>0</v>
      </c>
      <c r="BK185" s="14"/>
      <c r="BL185" s="14">
        <v>13</v>
      </c>
      <c r="BW185" s="14" t="str">
        <f>I185</f>
        <v>21</v>
      </c>
    </row>
    <row r="186" spans="1:75" ht="15" customHeight="1">
      <c r="A186" s="32"/>
      <c r="D186" s="3" t="s">
        <v>2587</v>
      </c>
      <c r="E186" s="28" t="s">
        <v>1243</v>
      </c>
      <c r="G186" s="27">
        <v>80.580000000000013</v>
      </c>
      <c r="P186" s="33"/>
    </row>
    <row r="187" spans="1:75" ht="15" customHeight="1">
      <c r="A187" s="32"/>
      <c r="D187" s="3" t="s">
        <v>608</v>
      </c>
      <c r="E187" s="28" t="s">
        <v>1887</v>
      </c>
      <c r="G187" s="27">
        <v>194.60000000000002</v>
      </c>
      <c r="P187" s="33"/>
    </row>
    <row r="188" spans="1:75" ht="13.5" customHeight="1">
      <c r="A188" s="21" t="s">
        <v>2707</v>
      </c>
      <c r="B188" s="37" t="s">
        <v>1842</v>
      </c>
      <c r="C188" s="37" t="s">
        <v>2080</v>
      </c>
      <c r="D188" s="578" t="s">
        <v>1233</v>
      </c>
      <c r="E188" s="579"/>
      <c r="F188" s="37" t="s">
        <v>2359</v>
      </c>
      <c r="G188" s="14">
        <v>16.53</v>
      </c>
      <c r="H188" s="569"/>
      <c r="I188" s="55" t="s">
        <v>1720</v>
      </c>
      <c r="J188" s="14">
        <f>G188*AO188</f>
        <v>0</v>
      </c>
      <c r="K188" s="14">
        <f>G188*AP188</f>
        <v>0</v>
      </c>
      <c r="L188" s="14">
        <f>G188*H188</f>
        <v>0</v>
      </c>
      <c r="M188" s="14">
        <f>L188*(1+BW188/100)</f>
        <v>0</v>
      </c>
      <c r="N188" s="14">
        <v>0</v>
      </c>
      <c r="O188" s="14">
        <f>G188*N188</f>
        <v>0</v>
      </c>
      <c r="P188" s="72" t="s">
        <v>1664</v>
      </c>
      <c r="Z188" s="14">
        <f>IF(AQ188="5",BJ188,0)</f>
        <v>0</v>
      </c>
      <c r="AB188" s="14">
        <f>IF(AQ188="1",BH188,0)</f>
        <v>0</v>
      </c>
      <c r="AC188" s="14">
        <f>IF(AQ188="1",BI188,0)</f>
        <v>0</v>
      </c>
      <c r="AD188" s="14">
        <f>IF(AQ188="7",BH188,0)</f>
        <v>0</v>
      </c>
      <c r="AE188" s="14">
        <f>IF(AQ188="7",BI188,0)</f>
        <v>0</v>
      </c>
      <c r="AF188" s="14">
        <f>IF(AQ188="2",BH188,0)</f>
        <v>0</v>
      </c>
      <c r="AG188" s="14">
        <f>IF(AQ188="2",BI188,0)</f>
        <v>0</v>
      </c>
      <c r="AH188" s="14">
        <f>IF(AQ188="0",BJ188,0)</f>
        <v>0</v>
      </c>
      <c r="AI188" s="15" t="s">
        <v>1842</v>
      </c>
      <c r="AJ188" s="14">
        <f>IF(AN188=0,L188,0)</f>
        <v>0</v>
      </c>
      <c r="AK188" s="14">
        <f>IF(AN188=15,L188,0)</f>
        <v>0</v>
      </c>
      <c r="AL188" s="14">
        <f>IF(AN188=21,L188,0)</f>
        <v>0</v>
      </c>
      <c r="AN188" s="14">
        <v>21</v>
      </c>
      <c r="AO188" s="92">
        <f>H188*0</f>
        <v>0</v>
      </c>
      <c r="AP188" s="92">
        <f>H188*(1-0)</f>
        <v>0</v>
      </c>
      <c r="AQ188" s="55" t="s">
        <v>2422</v>
      </c>
      <c r="AV188" s="14">
        <f>AW188+AX188</f>
        <v>0</v>
      </c>
      <c r="AW188" s="14">
        <f>G188*AO188</f>
        <v>0</v>
      </c>
      <c r="AX188" s="14">
        <f>G188*AP188</f>
        <v>0</v>
      </c>
      <c r="AY188" s="55" t="s">
        <v>2203</v>
      </c>
      <c r="AZ188" s="55" t="s">
        <v>1983</v>
      </c>
      <c r="BA188" s="15" t="s">
        <v>1843</v>
      </c>
      <c r="BC188" s="14">
        <f>AW188+AX188</f>
        <v>0</v>
      </c>
      <c r="BD188" s="14">
        <f>H188/(100-BE188)*100</f>
        <v>0</v>
      </c>
      <c r="BE188" s="14">
        <v>0</v>
      </c>
      <c r="BF188" s="14">
        <f>O188</f>
        <v>0</v>
      </c>
      <c r="BH188" s="14">
        <f>G188*AO188</f>
        <v>0</v>
      </c>
      <c r="BI188" s="14">
        <f>G188*AP188</f>
        <v>0</v>
      </c>
      <c r="BJ188" s="14">
        <f>G188*H188</f>
        <v>0</v>
      </c>
      <c r="BK188" s="14"/>
      <c r="BL188" s="14">
        <v>13</v>
      </c>
      <c r="BW188" s="14" t="str">
        <f>I188</f>
        <v>21</v>
      </c>
    </row>
    <row r="189" spans="1:75" ht="15" customHeight="1">
      <c r="A189" s="32"/>
      <c r="D189" s="3" t="s">
        <v>1680</v>
      </c>
      <c r="E189" s="28" t="s">
        <v>1097</v>
      </c>
      <c r="G189" s="27">
        <v>6.3500000000000005</v>
      </c>
      <c r="P189" s="33"/>
    </row>
    <row r="190" spans="1:75" ht="15" customHeight="1">
      <c r="A190" s="32"/>
      <c r="D190" s="3" t="s">
        <v>215</v>
      </c>
      <c r="E190" s="28" t="s">
        <v>92</v>
      </c>
      <c r="G190" s="27">
        <v>4.58</v>
      </c>
      <c r="P190" s="33"/>
    </row>
    <row r="191" spans="1:75" ht="15" customHeight="1">
      <c r="A191" s="32"/>
      <c r="D191" s="3" t="s">
        <v>194</v>
      </c>
      <c r="E191" s="28" t="s">
        <v>1935</v>
      </c>
      <c r="G191" s="27">
        <v>5.6000000000000005</v>
      </c>
      <c r="P191" s="33"/>
    </row>
    <row r="192" spans="1:75" ht="15" customHeight="1">
      <c r="A192" s="65" t="s">
        <v>1683</v>
      </c>
      <c r="B192" s="26" t="s">
        <v>1842</v>
      </c>
      <c r="C192" s="26" t="s">
        <v>226</v>
      </c>
      <c r="D192" s="649" t="s">
        <v>2033</v>
      </c>
      <c r="E192" s="650"/>
      <c r="F192" s="74" t="s">
        <v>2262</v>
      </c>
      <c r="G192" s="74" t="s">
        <v>2262</v>
      </c>
      <c r="H192" s="74" t="s">
        <v>2262</v>
      </c>
      <c r="I192" s="74" t="s">
        <v>2262</v>
      </c>
      <c r="J192" s="2">
        <f>SUM(J193:J193)</f>
        <v>0</v>
      </c>
      <c r="K192" s="2">
        <f>SUM(K193:K193)</f>
        <v>0</v>
      </c>
      <c r="L192" s="2">
        <f>SUM(L193:L193)</f>
        <v>0</v>
      </c>
      <c r="M192" s="2">
        <f>SUM(M193:M193)</f>
        <v>0</v>
      </c>
      <c r="N192" s="15" t="s">
        <v>1683</v>
      </c>
      <c r="O192" s="2">
        <f>SUM(O193:O193)</f>
        <v>0</v>
      </c>
      <c r="P192" s="47" t="s">
        <v>1683</v>
      </c>
      <c r="AI192" s="15" t="s">
        <v>1842</v>
      </c>
      <c r="AS192" s="2">
        <f>SUM(AJ193:AJ193)</f>
        <v>0</v>
      </c>
      <c r="AT192" s="2">
        <f>SUM(AK193:AK193)</f>
        <v>0</v>
      </c>
      <c r="AU192" s="2">
        <f>SUM(AL193:AL193)</f>
        <v>0</v>
      </c>
    </row>
    <row r="193" spans="1:75" ht="13.5" customHeight="1">
      <c r="A193" s="21" t="s">
        <v>2555</v>
      </c>
      <c r="B193" s="37" t="s">
        <v>1842</v>
      </c>
      <c r="C193" s="37" t="s">
        <v>25</v>
      </c>
      <c r="D193" s="578" t="s">
        <v>2045</v>
      </c>
      <c r="E193" s="579"/>
      <c r="F193" s="37" t="s">
        <v>2359</v>
      </c>
      <c r="G193" s="14">
        <v>291.68</v>
      </c>
      <c r="H193" s="569"/>
      <c r="I193" s="55" t="s">
        <v>1720</v>
      </c>
      <c r="J193" s="14">
        <f>G193*AO193</f>
        <v>0</v>
      </c>
      <c r="K193" s="14">
        <f>G193*AP193</f>
        <v>0</v>
      </c>
      <c r="L193" s="14">
        <f>G193*H193</f>
        <v>0</v>
      </c>
      <c r="M193" s="14">
        <f>L193*(1+BW193/100)</f>
        <v>0</v>
      </c>
      <c r="N193" s="14">
        <v>0</v>
      </c>
      <c r="O193" s="14">
        <f>G193*N193</f>
        <v>0</v>
      </c>
      <c r="P193" s="72" t="s">
        <v>1664</v>
      </c>
      <c r="Z193" s="14">
        <f>IF(AQ193="5",BJ193,0)</f>
        <v>0</v>
      </c>
      <c r="AB193" s="14">
        <f>IF(AQ193="1",BH193,0)</f>
        <v>0</v>
      </c>
      <c r="AC193" s="14">
        <f>IF(AQ193="1",BI193,0)</f>
        <v>0</v>
      </c>
      <c r="AD193" s="14">
        <f>IF(AQ193="7",BH193,0)</f>
        <v>0</v>
      </c>
      <c r="AE193" s="14">
        <f>IF(AQ193="7",BI193,0)</f>
        <v>0</v>
      </c>
      <c r="AF193" s="14">
        <f>IF(AQ193="2",BH193,0)</f>
        <v>0</v>
      </c>
      <c r="AG193" s="14">
        <f>IF(AQ193="2",BI193,0)</f>
        <v>0</v>
      </c>
      <c r="AH193" s="14">
        <f>IF(AQ193="0",BJ193,0)</f>
        <v>0</v>
      </c>
      <c r="AI193" s="15" t="s">
        <v>1842</v>
      </c>
      <c r="AJ193" s="14">
        <f>IF(AN193=0,L193,0)</f>
        <v>0</v>
      </c>
      <c r="AK193" s="14">
        <f>IF(AN193=15,L193,0)</f>
        <v>0</v>
      </c>
      <c r="AL193" s="14">
        <f>IF(AN193=21,L193,0)</f>
        <v>0</v>
      </c>
      <c r="AN193" s="14">
        <v>21</v>
      </c>
      <c r="AO193" s="92">
        <f>H193*0</f>
        <v>0</v>
      </c>
      <c r="AP193" s="92">
        <f>H193*(1-0)</f>
        <v>0</v>
      </c>
      <c r="AQ193" s="55" t="s">
        <v>2422</v>
      </c>
      <c r="AV193" s="14">
        <f>AW193+AX193</f>
        <v>0</v>
      </c>
      <c r="AW193" s="14">
        <f>G193*AO193</f>
        <v>0</v>
      </c>
      <c r="AX193" s="14">
        <f>G193*AP193</f>
        <v>0</v>
      </c>
      <c r="AY193" s="55" t="s">
        <v>2268</v>
      </c>
      <c r="AZ193" s="55" t="s">
        <v>1983</v>
      </c>
      <c r="BA193" s="15" t="s">
        <v>1843</v>
      </c>
      <c r="BC193" s="14">
        <f>AW193+AX193</f>
        <v>0</v>
      </c>
      <c r="BD193" s="14">
        <f>H193/(100-BE193)*100</f>
        <v>0</v>
      </c>
      <c r="BE193" s="14">
        <v>0</v>
      </c>
      <c r="BF193" s="14">
        <f>O193</f>
        <v>0</v>
      </c>
      <c r="BH193" s="14">
        <f>G193*AO193</f>
        <v>0</v>
      </c>
      <c r="BI193" s="14">
        <f>G193*AP193</f>
        <v>0</v>
      </c>
      <c r="BJ193" s="14">
        <f>G193*H193</f>
        <v>0</v>
      </c>
      <c r="BK193" s="14"/>
      <c r="BL193" s="14">
        <v>16</v>
      </c>
      <c r="BW193" s="14" t="str">
        <f>I193</f>
        <v>21</v>
      </c>
    </row>
    <row r="194" spans="1:75" ht="15" customHeight="1">
      <c r="A194" s="32"/>
      <c r="D194" s="3" t="s">
        <v>1596</v>
      </c>
      <c r="E194" s="28" t="s">
        <v>1683</v>
      </c>
      <c r="G194" s="27">
        <v>291.68</v>
      </c>
      <c r="P194" s="33"/>
    </row>
    <row r="195" spans="1:75" ht="15" customHeight="1">
      <c r="A195" s="65" t="s">
        <v>1683</v>
      </c>
      <c r="B195" s="26" t="s">
        <v>1842</v>
      </c>
      <c r="C195" s="26" t="s">
        <v>1691</v>
      </c>
      <c r="D195" s="649" t="s">
        <v>317</v>
      </c>
      <c r="E195" s="650"/>
      <c r="F195" s="74" t="s">
        <v>2262</v>
      </c>
      <c r="G195" s="74" t="s">
        <v>2262</v>
      </c>
      <c r="H195" s="74" t="s">
        <v>2262</v>
      </c>
      <c r="I195" s="74" t="s">
        <v>2262</v>
      </c>
      <c r="J195" s="2">
        <f>SUM(J196:J199)</f>
        <v>0</v>
      </c>
      <c r="K195" s="2">
        <f>SUM(K196:K199)</f>
        <v>0</v>
      </c>
      <c r="L195" s="2">
        <f>SUM(L196:L199)</f>
        <v>0</v>
      </c>
      <c r="M195" s="2">
        <f>SUM(M196:M199)</f>
        <v>0</v>
      </c>
      <c r="N195" s="15" t="s">
        <v>1683</v>
      </c>
      <c r="O195" s="2">
        <f>SUM(O196:O199)</f>
        <v>164.16</v>
      </c>
      <c r="P195" s="47" t="s">
        <v>1683</v>
      </c>
      <c r="AI195" s="15" t="s">
        <v>1842</v>
      </c>
      <c r="AS195" s="2">
        <f>SUM(AJ196:AJ199)</f>
        <v>0</v>
      </c>
      <c r="AT195" s="2">
        <f>SUM(AK196:AK199)</f>
        <v>0</v>
      </c>
      <c r="AU195" s="2">
        <f>SUM(AL196:AL199)</f>
        <v>0</v>
      </c>
    </row>
    <row r="196" spans="1:75" ht="13.5" customHeight="1">
      <c r="A196" s="21" t="s">
        <v>34</v>
      </c>
      <c r="B196" s="37" t="s">
        <v>1842</v>
      </c>
      <c r="C196" s="37" t="s">
        <v>1228</v>
      </c>
      <c r="D196" s="578" t="s">
        <v>478</v>
      </c>
      <c r="E196" s="579"/>
      <c r="F196" s="37" t="s">
        <v>2359</v>
      </c>
      <c r="G196" s="14">
        <v>79.8</v>
      </c>
      <c r="H196" s="569"/>
      <c r="I196" s="55" t="s">
        <v>1720</v>
      </c>
      <c r="J196" s="14">
        <f>G196*AO196</f>
        <v>0</v>
      </c>
      <c r="K196" s="14">
        <f>G196*AP196</f>
        <v>0</v>
      </c>
      <c r="L196" s="14">
        <f>G196*H196</f>
        <v>0</v>
      </c>
      <c r="M196" s="14">
        <f>L196*(1+BW196/100)</f>
        <v>0</v>
      </c>
      <c r="N196" s="14">
        <v>0</v>
      </c>
      <c r="O196" s="14">
        <f>G196*N196</f>
        <v>0</v>
      </c>
      <c r="P196" s="72" t="s">
        <v>1664</v>
      </c>
      <c r="Z196" s="14">
        <f>IF(AQ196="5",BJ196,0)</f>
        <v>0</v>
      </c>
      <c r="AB196" s="14">
        <f>IF(AQ196="1",BH196,0)</f>
        <v>0</v>
      </c>
      <c r="AC196" s="14">
        <f>IF(AQ196="1",BI196,0)</f>
        <v>0</v>
      </c>
      <c r="AD196" s="14">
        <f>IF(AQ196="7",BH196,0)</f>
        <v>0</v>
      </c>
      <c r="AE196" s="14">
        <f>IF(AQ196="7",BI196,0)</f>
        <v>0</v>
      </c>
      <c r="AF196" s="14">
        <f>IF(AQ196="2",BH196,0)</f>
        <v>0</v>
      </c>
      <c r="AG196" s="14">
        <f>IF(AQ196="2",BI196,0)</f>
        <v>0</v>
      </c>
      <c r="AH196" s="14">
        <f>IF(AQ196="0",BJ196,0)</f>
        <v>0</v>
      </c>
      <c r="AI196" s="15" t="s">
        <v>1842</v>
      </c>
      <c r="AJ196" s="14">
        <f>IF(AN196=0,L196,0)</f>
        <v>0</v>
      </c>
      <c r="AK196" s="14">
        <f>IF(AN196=15,L196,0)</f>
        <v>0</v>
      </c>
      <c r="AL196" s="14">
        <f>IF(AN196=21,L196,0)</f>
        <v>0</v>
      </c>
      <c r="AN196" s="14">
        <v>21</v>
      </c>
      <c r="AO196" s="92">
        <f>H196*0</f>
        <v>0</v>
      </c>
      <c r="AP196" s="92">
        <f>H196*(1-0)</f>
        <v>0</v>
      </c>
      <c r="AQ196" s="55" t="s">
        <v>2422</v>
      </c>
      <c r="AV196" s="14">
        <f>AW196+AX196</f>
        <v>0</v>
      </c>
      <c r="AW196" s="14">
        <f>G196*AO196</f>
        <v>0</v>
      </c>
      <c r="AX196" s="14">
        <f>G196*AP196</f>
        <v>0</v>
      </c>
      <c r="AY196" s="55" t="s">
        <v>493</v>
      </c>
      <c r="AZ196" s="55" t="s">
        <v>1983</v>
      </c>
      <c r="BA196" s="15" t="s">
        <v>1843</v>
      </c>
      <c r="BC196" s="14">
        <f>AW196+AX196</f>
        <v>0</v>
      </c>
      <c r="BD196" s="14">
        <f>H196/(100-BE196)*100</f>
        <v>0</v>
      </c>
      <c r="BE196" s="14">
        <v>0</v>
      </c>
      <c r="BF196" s="14">
        <f>O196</f>
        <v>0</v>
      </c>
      <c r="BH196" s="14">
        <f>G196*AO196</f>
        <v>0</v>
      </c>
      <c r="BI196" s="14">
        <f>G196*AP196</f>
        <v>0</v>
      </c>
      <c r="BJ196" s="14">
        <f>G196*H196</f>
        <v>0</v>
      </c>
      <c r="BK196" s="14"/>
      <c r="BL196" s="14">
        <v>17</v>
      </c>
      <c r="BW196" s="14" t="str">
        <f>I196</f>
        <v>21</v>
      </c>
    </row>
    <row r="197" spans="1:75" ht="15" customHeight="1">
      <c r="A197" s="32"/>
      <c r="D197" s="3" t="s">
        <v>604</v>
      </c>
      <c r="E197" s="28" t="s">
        <v>2407</v>
      </c>
      <c r="G197" s="27">
        <v>35.550000000000004</v>
      </c>
      <c r="P197" s="33"/>
    </row>
    <row r="198" spans="1:75" ht="15" customHeight="1">
      <c r="A198" s="32"/>
      <c r="D198" s="3" t="s">
        <v>1381</v>
      </c>
      <c r="E198" s="28" t="s">
        <v>1062</v>
      </c>
      <c r="G198" s="27">
        <v>44.250000000000007</v>
      </c>
      <c r="P198" s="33"/>
    </row>
    <row r="199" spans="1:75" ht="13.5" customHeight="1">
      <c r="A199" s="20" t="s">
        <v>420</v>
      </c>
      <c r="B199" s="84" t="s">
        <v>1842</v>
      </c>
      <c r="C199" s="84" t="s">
        <v>935</v>
      </c>
      <c r="D199" s="653" t="s">
        <v>950</v>
      </c>
      <c r="E199" s="654"/>
      <c r="F199" s="84" t="s">
        <v>1130</v>
      </c>
      <c r="G199" s="6">
        <v>164.16</v>
      </c>
      <c r="H199" s="570"/>
      <c r="I199" s="18" t="s">
        <v>1720</v>
      </c>
      <c r="J199" s="6">
        <f>G199*AO199</f>
        <v>0</v>
      </c>
      <c r="K199" s="6">
        <f>G199*AP199</f>
        <v>0</v>
      </c>
      <c r="L199" s="6">
        <f>G199*H199</f>
        <v>0</v>
      </c>
      <c r="M199" s="6">
        <f>L199*(1+BW199/100)</f>
        <v>0</v>
      </c>
      <c r="N199" s="6">
        <v>1</v>
      </c>
      <c r="O199" s="6">
        <f>G199*N199</f>
        <v>164.16</v>
      </c>
      <c r="P199" s="109" t="s">
        <v>1664</v>
      </c>
      <c r="Z199" s="14">
        <f>IF(AQ199="5",BJ199,0)</f>
        <v>0</v>
      </c>
      <c r="AB199" s="14">
        <f>IF(AQ199="1",BH199,0)</f>
        <v>0</v>
      </c>
      <c r="AC199" s="14">
        <f>IF(AQ199="1",BI199,0)</f>
        <v>0</v>
      </c>
      <c r="AD199" s="14">
        <f>IF(AQ199="7",BH199,0)</f>
        <v>0</v>
      </c>
      <c r="AE199" s="14">
        <f>IF(AQ199="7",BI199,0)</f>
        <v>0</v>
      </c>
      <c r="AF199" s="14">
        <f>IF(AQ199="2",BH199,0)</f>
        <v>0</v>
      </c>
      <c r="AG199" s="14">
        <f>IF(AQ199="2",BI199,0)</f>
        <v>0</v>
      </c>
      <c r="AH199" s="14">
        <f>IF(AQ199="0",BJ199,0)</f>
        <v>0</v>
      </c>
      <c r="AI199" s="15" t="s">
        <v>1842</v>
      </c>
      <c r="AJ199" s="6">
        <f>IF(AN199=0,L199,0)</f>
        <v>0</v>
      </c>
      <c r="AK199" s="6">
        <f>IF(AN199=15,L199,0)</f>
        <v>0</v>
      </c>
      <c r="AL199" s="6">
        <f>IF(AN199=21,L199,0)</f>
        <v>0</v>
      </c>
      <c r="AN199" s="14">
        <v>21</v>
      </c>
      <c r="AO199" s="92">
        <f>H199*1</f>
        <v>0</v>
      </c>
      <c r="AP199" s="92">
        <f>H199*(1-1)</f>
        <v>0</v>
      </c>
      <c r="AQ199" s="18" t="s">
        <v>2422</v>
      </c>
      <c r="AV199" s="14">
        <f>AW199+AX199</f>
        <v>0</v>
      </c>
      <c r="AW199" s="14">
        <f>G199*AO199</f>
        <v>0</v>
      </c>
      <c r="AX199" s="14">
        <f>G199*AP199</f>
        <v>0</v>
      </c>
      <c r="AY199" s="55" t="s">
        <v>493</v>
      </c>
      <c r="AZ199" s="55" t="s">
        <v>1983</v>
      </c>
      <c r="BA199" s="15" t="s">
        <v>1843</v>
      </c>
      <c r="BC199" s="14">
        <f>AW199+AX199</f>
        <v>0</v>
      </c>
      <c r="BD199" s="14">
        <f>H199/(100-BE199)*100</f>
        <v>0</v>
      </c>
      <c r="BE199" s="14">
        <v>0</v>
      </c>
      <c r="BF199" s="14">
        <f>O199</f>
        <v>164.16</v>
      </c>
      <c r="BH199" s="6">
        <f>G199*AO199</f>
        <v>0</v>
      </c>
      <c r="BI199" s="6">
        <f>G199*AP199</f>
        <v>0</v>
      </c>
      <c r="BJ199" s="6">
        <f>G199*H199</f>
        <v>0</v>
      </c>
      <c r="BK199" s="6"/>
      <c r="BL199" s="14">
        <v>17</v>
      </c>
      <c r="BW199" s="14" t="str">
        <f>I199</f>
        <v>21</v>
      </c>
    </row>
    <row r="200" spans="1:75" ht="15" customHeight="1">
      <c r="A200" s="32"/>
      <c r="D200" s="3" t="s">
        <v>1987</v>
      </c>
      <c r="E200" s="28" t="s">
        <v>1683</v>
      </c>
      <c r="G200" s="27">
        <v>152</v>
      </c>
      <c r="P200" s="33"/>
    </row>
    <row r="201" spans="1:75" ht="15" customHeight="1">
      <c r="A201" s="32"/>
      <c r="D201" s="3" t="s">
        <v>2729</v>
      </c>
      <c r="E201" s="28" t="s">
        <v>1683</v>
      </c>
      <c r="G201" s="27">
        <v>12.16</v>
      </c>
      <c r="P201" s="33"/>
    </row>
    <row r="202" spans="1:75" ht="15" customHeight="1">
      <c r="A202" s="65" t="s">
        <v>1683</v>
      </c>
      <c r="B202" s="26" t="s">
        <v>1842</v>
      </c>
      <c r="C202" s="26" t="s">
        <v>1545</v>
      </c>
      <c r="D202" s="649" t="s">
        <v>854</v>
      </c>
      <c r="E202" s="650"/>
      <c r="F202" s="74" t="s">
        <v>2262</v>
      </c>
      <c r="G202" s="74" t="s">
        <v>2262</v>
      </c>
      <c r="H202" s="74" t="s">
        <v>2262</v>
      </c>
      <c r="I202" s="74" t="s">
        <v>2262</v>
      </c>
      <c r="J202" s="2">
        <f>SUM(J203:J203)</f>
        <v>0</v>
      </c>
      <c r="K202" s="2">
        <f>SUM(K203:K203)</f>
        <v>0</v>
      </c>
      <c r="L202" s="2">
        <f>SUM(L203:L203)</f>
        <v>0</v>
      </c>
      <c r="M202" s="2">
        <f>SUM(M203:M203)</f>
        <v>0</v>
      </c>
      <c r="N202" s="15" t="s">
        <v>1683</v>
      </c>
      <c r="O202" s="2">
        <f>SUM(O203:O203)</f>
        <v>0</v>
      </c>
      <c r="P202" s="47" t="s">
        <v>1683</v>
      </c>
      <c r="AI202" s="15" t="s">
        <v>1842</v>
      </c>
      <c r="AS202" s="2">
        <f>SUM(AJ203:AJ203)</f>
        <v>0</v>
      </c>
      <c r="AT202" s="2">
        <f>SUM(AK203:AK203)</f>
        <v>0</v>
      </c>
      <c r="AU202" s="2">
        <f>SUM(AL203:AL203)</f>
        <v>0</v>
      </c>
    </row>
    <row r="203" spans="1:75" ht="27" customHeight="1">
      <c r="A203" s="21" t="s">
        <v>511</v>
      </c>
      <c r="B203" s="37" t="s">
        <v>1842</v>
      </c>
      <c r="C203" s="37" t="s">
        <v>1657</v>
      </c>
      <c r="D203" s="578" t="s">
        <v>2648</v>
      </c>
      <c r="E203" s="579"/>
      <c r="F203" s="37" t="s">
        <v>2359</v>
      </c>
      <c r="G203" s="14">
        <v>292</v>
      </c>
      <c r="H203" s="569"/>
      <c r="I203" s="55" t="s">
        <v>1720</v>
      </c>
      <c r="J203" s="14">
        <f>G203*AO203</f>
        <v>0</v>
      </c>
      <c r="K203" s="14">
        <f>G203*AP203</f>
        <v>0</v>
      </c>
      <c r="L203" s="14">
        <f>G203*H203</f>
        <v>0</v>
      </c>
      <c r="M203" s="14">
        <f>L203*(1+BW203/100)</f>
        <v>0</v>
      </c>
      <c r="N203" s="14">
        <v>0</v>
      </c>
      <c r="O203" s="14">
        <f>G203*N203</f>
        <v>0</v>
      </c>
      <c r="P203" s="72" t="s">
        <v>1664</v>
      </c>
      <c r="Z203" s="14">
        <f>IF(AQ203="5",BJ203,0)</f>
        <v>0</v>
      </c>
      <c r="AB203" s="14">
        <f>IF(AQ203="1",BH203,0)</f>
        <v>0</v>
      </c>
      <c r="AC203" s="14">
        <f>IF(AQ203="1",BI203,0)</f>
        <v>0</v>
      </c>
      <c r="AD203" s="14">
        <f>IF(AQ203="7",BH203,0)</f>
        <v>0</v>
      </c>
      <c r="AE203" s="14">
        <f>IF(AQ203="7",BI203,0)</f>
        <v>0</v>
      </c>
      <c r="AF203" s="14">
        <f>IF(AQ203="2",BH203,0)</f>
        <v>0</v>
      </c>
      <c r="AG203" s="14">
        <f>IF(AQ203="2",BI203,0)</f>
        <v>0</v>
      </c>
      <c r="AH203" s="14">
        <f>IF(AQ203="0",BJ203,0)</f>
        <v>0</v>
      </c>
      <c r="AI203" s="15" t="s">
        <v>1842</v>
      </c>
      <c r="AJ203" s="14">
        <f>IF(AN203=0,L203,0)</f>
        <v>0</v>
      </c>
      <c r="AK203" s="14">
        <f>IF(AN203=15,L203,0)</f>
        <v>0</v>
      </c>
      <c r="AL203" s="14">
        <f>IF(AN203=21,L203,0)</f>
        <v>0</v>
      </c>
      <c r="AN203" s="14">
        <v>21</v>
      </c>
      <c r="AO203" s="92">
        <f>H203*0</f>
        <v>0</v>
      </c>
      <c r="AP203" s="92">
        <f>H203*(1-0)</f>
        <v>0</v>
      </c>
      <c r="AQ203" s="55" t="s">
        <v>2422</v>
      </c>
      <c r="AV203" s="14">
        <f>AW203+AX203</f>
        <v>0</v>
      </c>
      <c r="AW203" s="14">
        <f>G203*AO203</f>
        <v>0</v>
      </c>
      <c r="AX203" s="14">
        <f>G203*AP203</f>
        <v>0</v>
      </c>
      <c r="AY203" s="55" t="s">
        <v>1902</v>
      </c>
      <c r="AZ203" s="55" t="s">
        <v>1983</v>
      </c>
      <c r="BA203" s="15" t="s">
        <v>1843</v>
      </c>
      <c r="BC203" s="14">
        <f>AW203+AX203</f>
        <v>0</v>
      </c>
      <c r="BD203" s="14">
        <f>H203/(100-BE203)*100</f>
        <v>0</v>
      </c>
      <c r="BE203" s="14">
        <v>0</v>
      </c>
      <c r="BF203" s="14">
        <f>O203</f>
        <v>0</v>
      </c>
      <c r="BH203" s="14">
        <f>G203*AO203</f>
        <v>0</v>
      </c>
      <c r="BI203" s="14">
        <f>G203*AP203</f>
        <v>0</v>
      </c>
      <c r="BJ203" s="14">
        <f>G203*H203</f>
        <v>0</v>
      </c>
      <c r="BK203" s="14"/>
      <c r="BL203" s="14">
        <v>19</v>
      </c>
      <c r="BW203" s="14" t="str">
        <f>I203</f>
        <v>21</v>
      </c>
    </row>
    <row r="204" spans="1:75" ht="15" customHeight="1">
      <c r="A204" s="32"/>
      <c r="D204" s="3" t="s">
        <v>639</v>
      </c>
      <c r="E204" s="28" t="s">
        <v>2320</v>
      </c>
      <c r="G204" s="27">
        <v>292</v>
      </c>
      <c r="P204" s="33"/>
    </row>
    <row r="205" spans="1:75" ht="15" customHeight="1">
      <c r="A205" s="65" t="s">
        <v>1683</v>
      </c>
      <c r="B205" s="26" t="s">
        <v>1842</v>
      </c>
      <c r="C205" s="26" t="s">
        <v>2390</v>
      </c>
      <c r="D205" s="649" t="s">
        <v>2000</v>
      </c>
      <c r="E205" s="650"/>
      <c r="F205" s="74" t="s">
        <v>2262</v>
      </c>
      <c r="G205" s="74" t="s">
        <v>2262</v>
      </c>
      <c r="H205" s="74" t="s">
        <v>2262</v>
      </c>
      <c r="I205" s="74" t="s">
        <v>2262</v>
      </c>
      <c r="J205" s="2">
        <f>SUM(J206:J226)</f>
        <v>0</v>
      </c>
      <c r="K205" s="2">
        <f>SUM(K206:K226)</f>
        <v>0</v>
      </c>
      <c r="L205" s="2">
        <f>SUM(L206:L226)</f>
        <v>0</v>
      </c>
      <c r="M205" s="2">
        <f>SUM(M206:M226)</f>
        <v>0</v>
      </c>
      <c r="N205" s="15" t="s">
        <v>1683</v>
      </c>
      <c r="O205" s="2">
        <f>SUM(O206:O226)</f>
        <v>172.1471138</v>
      </c>
      <c r="P205" s="47" t="s">
        <v>1683</v>
      </c>
      <c r="AI205" s="15" t="s">
        <v>1842</v>
      </c>
      <c r="AS205" s="2">
        <f>SUM(AJ206:AJ226)</f>
        <v>0</v>
      </c>
      <c r="AT205" s="2">
        <f>SUM(AK206:AK226)</f>
        <v>0</v>
      </c>
      <c r="AU205" s="2">
        <f>SUM(AL206:AL226)</f>
        <v>0</v>
      </c>
    </row>
    <row r="206" spans="1:75" ht="13.5" customHeight="1">
      <c r="A206" s="21" t="s">
        <v>1919</v>
      </c>
      <c r="B206" s="37" t="s">
        <v>1842</v>
      </c>
      <c r="C206" s="37" t="s">
        <v>477</v>
      </c>
      <c r="D206" s="578" t="s">
        <v>2221</v>
      </c>
      <c r="E206" s="579"/>
      <c r="F206" s="37" t="s">
        <v>2359</v>
      </c>
      <c r="G206" s="14">
        <v>9.7799999999999994</v>
      </c>
      <c r="H206" s="569"/>
      <c r="I206" s="55" t="s">
        <v>1720</v>
      </c>
      <c r="J206" s="14">
        <f>G206*AO206</f>
        <v>0</v>
      </c>
      <c r="K206" s="14">
        <f>G206*AP206</f>
        <v>0</v>
      </c>
      <c r="L206" s="14">
        <f>G206*H206</f>
        <v>0</v>
      </c>
      <c r="M206" s="14">
        <f>L206*(1+BW206/100)</f>
        <v>0</v>
      </c>
      <c r="N206" s="14">
        <v>2.5249999999999999</v>
      </c>
      <c r="O206" s="14">
        <f>G206*N206</f>
        <v>24.694499999999998</v>
      </c>
      <c r="P206" s="72" t="s">
        <v>1664</v>
      </c>
      <c r="Z206" s="14">
        <f>IF(AQ206="5",BJ206,0)</f>
        <v>0</v>
      </c>
      <c r="AB206" s="14">
        <f>IF(AQ206="1",BH206,0)</f>
        <v>0</v>
      </c>
      <c r="AC206" s="14">
        <f>IF(AQ206="1",BI206,0)</f>
        <v>0</v>
      </c>
      <c r="AD206" s="14">
        <f>IF(AQ206="7",BH206,0)</f>
        <v>0</v>
      </c>
      <c r="AE206" s="14">
        <f>IF(AQ206="7",BI206,0)</f>
        <v>0</v>
      </c>
      <c r="AF206" s="14">
        <f>IF(AQ206="2",BH206,0)</f>
        <v>0</v>
      </c>
      <c r="AG206" s="14">
        <f>IF(AQ206="2",BI206,0)</f>
        <v>0</v>
      </c>
      <c r="AH206" s="14">
        <f>IF(AQ206="0",BJ206,0)</f>
        <v>0</v>
      </c>
      <c r="AI206" s="15" t="s">
        <v>1842</v>
      </c>
      <c r="AJ206" s="14">
        <f>IF(AN206=0,L206,0)</f>
        <v>0</v>
      </c>
      <c r="AK206" s="14">
        <f>IF(AN206=15,L206,0)</f>
        <v>0</v>
      </c>
      <c r="AL206" s="14">
        <f>IF(AN206=21,L206,0)</f>
        <v>0</v>
      </c>
      <c r="AN206" s="14">
        <v>21</v>
      </c>
      <c r="AO206" s="92">
        <f>H206*0.906171761280931</f>
        <v>0</v>
      </c>
      <c r="AP206" s="92">
        <f>H206*(1-0.906171761280931)</f>
        <v>0</v>
      </c>
      <c r="AQ206" s="55" t="s">
        <v>2422</v>
      </c>
      <c r="AV206" s="14">
        <f>AW206+AX206</f>
        <v>0</v>
      </c>
      <c r="AW206" s="14">
        <f>G206*AO206</f>
        <v>0</v>
      </c>
      <c r="AX206" s="14">
        <f>G206*AP206</f>
        <v>0</v>
      </c>
      <c r="AY206" s="55" t="s">
        <v>1675</v>
      </c>
      <c r="AZ206" s="55" t="s">
        <v>228</v>
      </c>
      <c r="BA206" s="15" t="s">
        <v>1843</v>
      </c>
      <c r="BC206" s="14">
        <f>AW206+AX206</f>
        <v>0</v>
      </c>
      <c r="BD206" s="14">
        <f>H206/(100-BE206)*100</f>
        <v>0</v>
      </c>
      <c r="BE206" s="14">
        <v>0</v>
      </c>
      <c r="BF206" s="14">
        <f>O206</f>
        <v>24.694499999999998</v>
      </c>
      <c r="BH206" s="14">
        <f>G206*AO206</f>
        <v>0</v>
      </c>
      <c r="BI206" s="14">
        <f>G206*AP206</f>
        <v>0</v>
      </c>
      <c r="BJ206" s="14">
        <f>G206*H206</f>
        <v>0</v>
      </c>
      <c r="BK206" s="14"/>
      <c r="BL206" s="14">
        <v>27</v>
      </c>
      <c r="BW206" s="14" t="str">
        <f>I206</f>
        <v>21</v>
      </c>
    </row>
    <row r="207" spans="1:75" ht="15" customHeight="1">
      <c r="A207" s="32"/>
      <c r="D207" s="3" t="s">
        <v>1680</v>
      </c>
      <c r="E207" s="28" t="s">
        <v>100</v>
      </c>
      <c r="G207" s="27">
        <v>6.3500000000000005</v>
      </c>
      <c r="P207" s="33"/>
    </row>
    <row r="208" spans="1:75" ht="15" customHeight="1">
      <c r="A208" s="32"/>
      <c r="D208" s="3" t="s">
        <v>1438</v>
      </c>
      <c r="E208" s="28" t="s">
        <v>1539</v>
      </c>
      <c r="G208" s="27">
        <v>3.43</v>
      </c>
      <c r="P208" s="33"/>
    </row>
    <row r="209" spans="1:75" ht="13.5" customHeight="1">
      <c r="A209" s="21" t="s">
        <v>224</v>
      </c>
      <c r="B209" s="37" t="s">
        <v>1842</v>
      </c>
      <c r="C209" s="37" t="s">
        <v>827</v>
      </c>
      <c r="D209" s="578" t="s">
        <v>2406</v>
      </c>
      <c r="E209" s="579"/>
      <c r="F209" s="37" t="s">
        <v>2398</v>
      </c>
      <c r="G209" s="14">
        <v>25.4</v>
      </c>
      <c r="H209" s="569"/>
      <c r="I209" s="55" t="s">
        <v>1720</v>
      </c>
      <c r="J209" s="14">
        <f>G209*AO209</f>
        <v>0</v>
      </c>
      <c r="K209" s="14">
        <f>G209*AP209</f>
        <v>0</v>
      </c>
      <c r="L209" s="14">
        <f>G209*H209</f>
        <v>0</v>
      </c>
      <c r="M209" s="14">
        <f>L209*(1+BW209/100)</f>
        <v>0</v>
      </c>
      <c r="N209" s="14">
        <v>3.9199999999999999E-2</v>
      </c>
      <c r="O209" s="14">
        <f>G209*N209</f>
        <v>0.9956799999999999</v>
      </c>
      <c r="P209" s="72" t="s">
        <v>1664</v>
      </c>
      <c r="Z209" s="14">
        <f>IF(AQ209="5",BJ209,0)</f>
        <v>0</v>
      </c>
      <c r="AB209" s="14">
        <f>IF(AQ209="1",BH209,0)</f>
        <v>0</v>
      </c>
      <c r="AC209" s="14">
        <f>IF(AQ209="1",BI209,0)</f>
        <v>0</v>
      </c>
      <c r="AD209" s="14">
        <f>IF(AQ209="7",BH209,0)</f>
        <v>0</v>
      </c>
      <c r="AE209" s="14">
        <f>IF(AQ209="7",BI209,0)</f>
        <v>0</v>
      </c>
      <c r="AF209" s="14">
        <f>IF(AQ209="2",BH209,0)</f>
        <v>0</v>
      </c>
      <c r="AG209" s="14">
        <f>IF(AQ209="2",BI209,0)</f>
        <v>0</v>
      </c>
      <c r="AH209" s="14">
        <f>IF(AQ209="0",BJ209,0)</f>
        <v>0</v>
      </c>
      <c r="AI209" s="15" t="s">
        <v>1842</v>
      </c>
      <c r="AJ209" s="14">
        <f>IF(AN209=0,L209,0)</f>
        <v>0</v>
      </c>
      <c r="AK209" s="14">
        <f>IF(AN209=15,L209,0)</f>
        <v>0</v>
      </c>
      <c r="AL209" s="14">
        <f>IF(AN209=21,L209,0)</f>
        <v>0</v>
      </c>
      <c r="AN209" s="14">
        <v>21</v>
      </c>
      <c r="AO209" s="92">
        <f>H209*0.34627808988764</f>
        <v>0</v>
      </c>
      <c r="AP209" s="92">
        <f>H209*(1-0.34627808988764)</f>
        <v>0</v>
      </c>
      <c r="AQ209" s="55" t="s">
        <v>2422</v>
      </c>
      <c r="AV209" s="14">
        <f>AW209+AX209</f>
        <v>0</v>
      </c>
      <c r="AW209" s="14">
        <f>G209*AO209</f>
        <v>0</v>
      </c>
      <c r="AX209" s="14">
        <f>G209*AP209</f>
        <v>0</v>
      </c>
      <c r="AY209" s="55" t="s">
        <v>1675</v>
      </c>
      <c r="AZ209" s="55" t="s">
        <v>228</v>
      </c>
      <c r="BA209" s="15" t="s">
        <v>1843</v>
      </c>
      <c r="BC209" s="14">
        <f>AW209+AX209</f>
        <v>0</v>
      </c>
      <c r="BD209" s="14">
        <f>H209/(100-BE209)*100</f>
        <v>0</v>
      </c>
      <c r="BE209" s="14">
        <v>0</v>
      </c>
      <c r="BF209" s="14">
        <f>O209</f>
        <v>0.9956799999999999</v>
      </c>
      <c r="BH209" s="14">
        <f>G209*AO209</f>
        <v>0</v>
      </c>
      <c r="BI209" s="14">
        <f>G209*AP209</f>
        <v>0</v>
      </c>
      <c r="BJ209" s="14">
        <f>G209*H209</f>
        <v>0</v>
      </c>
      <c r="BK209" s="14"/>
      <c r="BL209" s="14">
        <v>27</v>
      </c>
      <c r="BW209" s="14" t="str">
        <f>I209</f>
        <v>21</v>
      </c>
    </row>
    <row r="210" spans="1:75" ht="15" customHeight="1">
      <c r="A210" s="32"/>
      <c r="D210" s="3" t="s">
        <v>151</v>
      </c>
      <c r="E210" s="28" t="s">
        <v>1683</v>
      </c>
      <c r="G210" s="27">
        <v>25.400000000000002</v>
      </c>
      <c r="P210" s="33"/>
    </row>
    <row r="211" spans="1:75" ht="15" customHeight="1">
      <c r="A211" s="32"/>
      <c r="D211" s="3" t="s">
        <v>487</v>
      </c>
      <c r="E211" s="28" t="s">
        <v>1683</v>
      </c>
      <c r="G211" s="27">
        <v>0</v>
      </c>
      <c r="P211" s="33"/>
    </row>
    <row r="212" spans="1:75" ht="13.5" customHeight="1">
      <c r="A212" s="21" t="s">
        <v>1896</v>
      </c>
      <c r="B212" s="37" t="s">
        <v>1842</v>
      </c>
      <c r="C212" s="37" t="s">
        <v>2673</v>
      </c>
      <c r="D212" s="578" t="s">
        <v>1704</v>
      </c>
      <c r="E212" s="579"/>
      <c r="F212" s="37" t="s">
        <v>2398</v>
      </c>
      <c r="G212" s="14">
        <v>25.4</v>
      </c>
      <c r="H212" s="569"/>
      <c r="I212" s="55" t="s">
        <v>1720</v>
      </c>
      <c r="J212" s="14">
        <f>G212*AO212</f>
        <v>0</v>
      </c>
      <c r="K212" s="14">
        <f>G212*AP212</f>
        <v>0</v>
      </c>
      <c r="L212" s="14">
        <f>G212*H212</f>
        <v>0</v>
      </c>
      <c r="M212" s="14">
        <f>L212*(1+BW212/100)</f>
        <v>0</v>
      </c>
      <c r="N212" s="14">
        <v>0</v>
      </c>
      <c r="O212" s="14">
        <f>G212*N212</f>
        <v>0</v>
      </c>
      <c r="P212" s="72" t="s">
        <v>1664</v>
      </c>
      <c r="Z212" s="14">
        <f>IF(AQ212="5",BJ212,0)</f>
        <v>0</v>
      </c>
      <c r="AB212" s="14">
        <f>IF(AQ212="1",BH212,0)</f>
        <v>0</v>
      </c>
      <c r="AC212" s="14">
        <f>IF(AQ212="1",BI212,0)</f>
        <v>0</v>
      </c>
      <c r="AD212" s="14">
        <f>IF(AQ212="7",BH212,0)</f>
        <v>0</v>
      </c>
      <c r="AE212" s="14">
        <f>IF(AQ212="7",BI212,0)</f>
        <v>0</v>
      </c>
      <c r="AF212" s="14">
        <f>IF(AQ212="2",BH212,0)</f>
        <v>0</v>
      </c>
      <c r="AG212" s="14">
        <f>IF(AQ212="2",BI212,0)</f>
        <v>0</v>
      </c>
      <c r="AH212" s="14">
        <f>IF(AQ212="0",BJ212,0)</f>
        <v>0</v>
      </c>
      <c r="AI212" s="15" t="s">
        <v>1842</v>
      </c>
      <c r="AJ212" s="14">
        <f>IF(AN212=0,L212,0)</f>
        <v>0</v>
      </c>
      <c r="AK212" s="14">
        <f>IF(AN212=15,L212,0)</f>
        <v>0</v>
      </c>
      <c r="AL212" s="14">
        <f>IF(AN212=21,L212,0)</f>
        <v>0</v>
      </c>
      <c r="AN212" s="14">
        <v>21</v>
      </c>
      <c r="AO212" s="92">
        <f>H212*0</f>
        <v>0</v>
      </c>
      <c r="AP212" s="92">
        <f>H212*(1-0)</f>
        <v>0</v>
      </c>
      <c r="AQ212" s="55" t="s">
        <v>2422</v>
      </c>
      <c r="AV212" s="14">
        <f>AW212+AX212</f>
        <v>0</v>
      </c>
      <c r="AW212" s="14">
        <f>G212*AO212</f>
        <v>0</v>
      </c>
      <c r="AX212" s="14">
        <f>G212*AP212</f>
        <v>0</v>
      </c>
      <c r="AY212" s="55" t="s">
        <v>1675</v>
      </c>
      <c r="AZ212" s="55" t="s">
        <v>228</v>
      </c>
      <c r="BA212" s="15" t="s">
        <v>1843</v>
      </c>
      <c r="BC212" s="14">
        <f>AW212+AX212</f>
        <v>0</v>
      </c>
      <c r="BD212" s="14">
        <f>H212/(100-BE212)*100</f>
        <v>0</v>
      </c>
      <c r="BE212" s="14">
        <v>0</v>
      </c>
      <c r="BF212" s="14">
        <f>O212</f>
        <v>0</v>
      </c>
      <c r="BH212" s="14">
        <f>G212*AO212</f>
        <v>0</v>
      </c>
      <c r="BI212" s="14">
        <f>G212*AP212</f>
        <v>0</v>
      </c>
      <c r="BJ212" s="14">
        <f>G212*H212</f>
        <v>0</v>
      </c>
      <c r="BK212" s="14"/>
      <c r="BL212" s="14">
        <v>27</v>
      </c>
      <c r="BW212" s="14" t="str">
        <f>I212</f>
        <v>21</v>
      </c>
    </row>
    <row r="213" spans="1:75" ht="15" customHeight="1">
      <c r="A213" s="32"/>
      <c r="D213" s="3" t="s">
        <v>2381</v>
      </c>
      <c r="E213" s="28" t="s">
        <v>1683</v>
      </c>
      <c r="G213" s="27">
        <v>25.400000000000002</v>
      </c>
      <c r="P213" s="33"/>
    </row>
    <row r="214" spans="1:75" ht="13.5" customHeight="1">
      <c r="A214" s="21" t="s">
        <v>1507</v>
      </c>
      <c r="B214" s="37" t="s">
        <v>1842</v>
      </c>
      <c r="C214" s="37" t="s">
        <v>898</v>
      </c>
      <c r="D214" s="578" t="s">
        <v>72</v>
      </c>
      <c r="E214" s="579"/>
      <c r="F214" s="37" t="s">
        <v>595</v>
      </c>
      <c r="G214" s="14">
        <v>10</v>
      </c>
      <c r="H214" s="569"/>
      <c r="I214" s="55" t="s">
        <v>1720</v>
      </c>
      <c r="J214" s="14">
        <f>G214*AO214</f>
        <v>0</v>
      </c>
      <c r="K214" s="14">
        <f>G214*AP214</f>
        <v>0</v>
      </c>
      <c r="L214" s="14">
        <f>G214*H214</f>
        <v>0</v>
      </c>
      <c r="M214" s="14">
        <f>L214*(1+BW214/100)</f>
        <v>0</v>
      </c>
      <c r="N214" s="14">
        <v>3.0899999999999999E-3</v>
      </c>
      <c r="O214" s="14">
        <f>G214*N214</f>
        <v>3.0899999999999997E-2</v>
      </c>
      <c r="P214" s="72" t="s">
        <v>1664</v>
      </c>
      <c r="Z214" s="14">
        <f>IF(AQ214="5",BJ214,0)</f>
        <v>0</v>
      </c>
      <c r="AB214" s="14">
        <f>IF(AQ214="1",BH214,0)</f>
        <v>0</v>
      </c>
      <c r="AC214" s="14">
        <f>IF(AQ214="1",BI214,0)</f>
        <v>0</v>
      </c>
      <c r="AD214" s="14">
        <f>IF(AQ214="7",BH214,0)</f>
        <v>0</v>
      </c>
      <c r="AE214" s="14">
        <f>IF(AQ214="7",BI214,0)</f>
        <v>0</v>
      </c>
      <c r="AF214" s="14">
        <f>IF(AQ214="2",BH214,0)</f>
        <v>0</v>
      </c>
      <c r="AG214" s="14">
        <f>IF(AQ214="2",BI214,0)</f>
        <v>0</v>
      </c>
      <c r="AH214" s="14">
        <f>IF(AQ214="0",BJ214,0)</f>
        <v>0</v>
      </c>
      <c r="AI214" s="15" t="s">
        <v>1842</v>
      </c>
      <c r="AJ214" s="14">
        <f>IF(AN214=0,L214,0)</f>
        <v>0</v>
      </c>
      <c r="AK214" s="14">
        <f>IF(AN214=15,L214,0)</f>
        <v>0</v>
      </c>
      <c r="AL214" s="14">
        <f>IF(AN214=21,L214,0)</f>
        <v>0</v>
      </c>
      <c r="AN214" s="14">
        <v>21</v>
      </c>
      <c r="AO214" s="92">
        <f>H214*0.12376582278481</f>
        <v>0</v>
      </c>
      <c r="AP214" s="92">
        <f>H214*(1-0.12376582278481)</f>
        <v>0</v>
      </c>
      <c r="AQ214" s="55" t="s">
        <v>2422</v>
      </c>
      <c r="AV214" s="14">
        <f>AW214+AX214</f>
        <v>0</v>
      </c>
      <c r="AW214" s="14">
        <f>G214*AO214</f>
        <v>0</v>
      </c>
      <c r="AX214" s="14">
        <f>G214*AP214</f>
        <v>0</v>
      </c>
      <c r="AY214" s="55" t="s">
        <v>1675</v>
      </c>
      <c r="AZ214" s="55" t="s">
        <v>228</v>
      </c>
      <c r="BA214" s="15" t="s">
        <v>1843</v>
      </c>
      <c r="BC214" s="14">
        <f>AW214+AX214</f>
        <v>0</v>
      </c>
      <c r="BD214" s="14">
        <f>H214/(100-BE214)*100</f>
        <v>0</v>
      </c>
      <c r="BE214" s="14">
        <v>0</v>
      </c>
      <c r="BF214" s="14">
        <f>O214</f>
        <v>3.0899999999999997E-2</v>
      </c>
      <c r="BH214" s="14">
        <f>G214*AO214</f>
        <v>0</v>
      </c>
      <c r="BI214" s="14">
        <f>G214*AP214</f>
        <v>0</v>
      </c>
      <c r="BJ214" s="14">
        <f>G214*H214</f>
        <v>0</v>
      </c>
      <c r="BK214" s="14"/>
      <c r="BL214" s="14">
        <v>27</v>
      </c>
      <c r="BW214" s="14" t="str">
        <f>I214</f>
        <v>21</v>
      </c>
    </row>
    <row r="215" spans="1:75" ht="15" customHeight="1">
      <c r="A215" s="32"/>
      <c r="D215" s="3" t="s">
        <v>1416</v>
      </c>
      <c r="E215" s="28" t="s">
        <v>1683</v>
      </c>
      <c r="G215" s="27">
        <v>10</v>
      </c>
      <c r="P215" s="33"/>
    </row>
    <row r="216" spans="1:75" ht="13.5" customHeight="1">
      <c r="A216" s="21" t="s">
        <v>2459</v>
      </c>
      <c r="B216" s="37" t="s">
        <v>1842</v>
      </c>
      <c r="C216" s="37" t="s">
        <v>2056</v>
      </c>
      <c r="D216" s="578" t="s">
        <v>612</v>
      </c>
      <c r="E216" s="579"/>
      <c r="F216" s="37" t="s">
        <v>1130</v>
      </c>
      <c r="G216" s="14">
        <v>1.25</v>
      </c>
      <c r="H216" s="569"/>
      <c r="I216" s="55" t="s">
        <v>1720</v>
      </c>
      <c r="J216" s="14">
        <f>G216*AO216</f>
        <v>0</v>
      </c>
      <c r="K216" s="14">
        <f>G216*AP216</f>
        <v>0</v>
      </c>
      <c r="L216" s="14">
        <f>G216*H216</f>
        <v>0</v>
      </c>
      <c r="M216" s="14">
        <f>L216*(1+BW216/100)</f>
        <v>0</v>
      </c>
      <c r="N216" s="14">
        <v>1.0217400000000001</v>
      </c>
      <c r="O216" s="14">
        <f>G216*N216</f>
        <v>1.2771750000000002</v>
      </c>
      <c r="P216" s="72" t="s">
        <v>921</v>
      </c>
      <c r="Z216" s="14">
        <f>IF(AQ216="5",BJ216,0)</f>
        <v>0</v>
      </c>
      <c r="AB216" s="14">
        <f>IF(AQ216="1",BH216,0)</f>
        <v>0</v>
      </c>
      <c r="AC216" s="14">
        <f>IF(AQ216="1",BI216,0)</f>
        <v>0</v>
      </c>
      <c r="AD216" s="14">
        <f>IF(AQ216="7",BH216,0)</f>
        <v>0</v>
      </c>
      <c r="AE216" s="14">
        <f>IF(AQ216="7",BI216,0)</f>
        <v>0</v>
      </c>
      <c r="AF216" s="14">
        <f>IF(AQ216="2",BH216,0)</f>
        <v>0</v>
      </c>
      <c r="AG216" s="14">
        <f>IF(AQ216="2",BI216,0)</f>
        <v>0</v>
      </c>
      <c r="AH216" s="14">
        <f>IF(AQ216="0",BJ216,0)</f>
        <v>0</v>
      </c>
      <c r="AI216" s="15" t="s">
        <v>1842</v>
      </c>
      <c r="AJ216" s="14">
        <f>IF(AN216=0,L216,0)</f>
        <v>0</v>
      </c>
      <c r="AK216" s="14">
        <f>IF(AN216=15,L216,0)</f>
        <v>0</v>
      </c>
      <c r="AL216" s="14">
        <f>IF(AN216=21,L216,0)</f>
        <v>0</v>
      </c>
      <c r="AN216" s="14">
        <v>21</v>
      </c>
      <c r="AO216" s="92">
        <f>H216*0.761332970620239</f>
        <v>0</v>
      </c>
      <c r="AP216" s="92">
        <f>H216*(1-0.761332970620239)</f>
        <v>0</v>
      </c>
      <c r="AQ216" s="55" t="s">
        <v>2422</v>
      </c>
      <c r="AV216" s="14">
        <f>AW216+AX216</f>
        <v>0</v>
      </c>
      <c r="AW216" s="14">
        <f>G216*AO216</f>
        <v>0</v>
      </c>
      <c r="AX216" s="14">
        <f>G216*AP216</f>
        <v>0</v>
      </c>
      <c r="AY216" s="55" t="s">
        <v>1675</v>
      </c>
      <c r="AZ216" s="55" t="s">
        <v>228</v>
      </c>
      <c r="BA216" s="15" t="s">
        <v>1843</v>
      </c>
      <c r="BC216" s="14">
        <f>AW216+AX216</f>
        <v>0</v>
      </c>
      <c r="BD216" s="14">
        <f>H216/(100-BE216)*100</f>
        <v>0</v>
      </c>
      <c r="BE216" s="14">
        <v>0</v>
      </c>
      <c r="BF216" s="14">
        <f>O216</f>
        <v>1.2771750000000002</v>
      </c>
      <c r="BH216" s="14">
        <f>G216*AO216</f>
        <v>0</v>
      </c>
      <c r="BI216" s="14">
        <f>G216*AP216</f>
        <v>0</v>
      </c>
      <c r="BJ216" s="14">
        <f>G216*H216</f>
        <v>0</v>
      </c>
      <c r="BK216" s="14"/>
      <c r="BL216" s="14">
        <v>27</v>
      </c>
      <c r="BW216" s="14" t="str">
        <f>I216</f>
        <v>21</v>
      </c>
    </row>
    <row r="217" spans="1:75" ht="15" customHeight="1">
      <c r="A217" s="32"/>
      <c r="D217" s="3" t="s">
        <v>131</v>
      </c>
      <c r="E217" s="28" t="s">
        <v>1683</v>
      </c>
      <c r="G217" s="27">
        <v>1.25</v>
      </c>
      <c r="P217" s="33"/>
    </row>
    <row r="218" spans="1:75" ht="13.5" customHeight="1">
      <c r="A218" s="21" t="s">
        <v>2248</v>
      </c>
      <c r="B218" s="37" t="s">
        <v>1842</v>
      </c>
      <c r="C218" s="37" t="s">
        <v>702</v>
      </c>
      <c r="D218" s="578" t="s">
        <v>1867</v>
      </c>
      <c r="E218" s="579"/>
      <c r="F218" s="37" t="s">
        <v>2359</v>
      </c>
      <c r="G218" s="14">
        <v>54.68</v>
      </c>
      <c r="H218" s="569"/>
      <c r="I218" s="55" t="s">
        <v>1720</v>
      </c>
      <c r="J218" s="14">
        <f>G218*AO218</f>
        <v>0</v>
      </c>
      <c r="K218" s="14">
        <f>G218*AP218</f>
        <v>0</v>
      </c>
      <c r="L218" s="14">
        <f>G218*H218</f>
        <v>0</v>
      </c>
      <c r="M218" s="14">
        <f>L218*(1+BW218/100)</f>
        <v>0</v>
      </c>
      <c r="N218" s="14">
        <v>2.5249999999999999</v>
      </c>
      <c r="O218" s="14">
        <f>G218*N218</f>
        <v>138.06700000000001</v>
      </c>
      <c r="P218" s="72" t="s">
        <v>1664</v>
      </c>
      <c r="Z218" s="14">
        <f>IF(AQ218="5",BJ218,0)</f>
        <v>0</v>
      </c>
      <c r="AB218" s="14">
        <f>IF(AQ218="1",BH218,0)</f>
        <v>0</v>
      </c>
      <c r="AC218" s="14">
        <f>IF(AQ218="1",BI218,0)</f>
        <v>0</v>
      </c>
      <c r="AD218" s="14">
        <f>IF(AQ218="7",BH218,0)</f>
        <v>0</v>
      </c>
      <c r="AE218" s="14">
        <f>IF(AQ218="7",BI218,0)</f>
        <v>0</v>
      </c>
      <c r="AF218" s="14">
        <f>IF(AQ218="2",BH218,0)</f>
        <v>0</v>
      </c>
      <c r="AG218" s="14">
        <f>IF(AQ218="2",BI218,0)</f>
        <v>0</v>
      </c>
      <c r="AH218" s="14">
        <f>IF(AQ218="0",BJ218,0)</f>
        <v>0</v>
      </c>
      <c r="AI218" s="15" t="s">
        <v>1842</v>
      </c>
      <c r="AJ218" s="14">
        <f>IF(AN218=0,L218,0)</f>
        <v>0</v>
      </c>
      <c r="AK218" s="14">
        <f>IF(AN218=15,L218,0)</f>
        <v>0</v>
      </c>
      <c r="AL218" s="14">
        <f>IF(AN218=21,L218,0)</f>
        <v>0</v>
      </c>
      <c r="AN218" s="14">
        <v>21</v>
      </c>
      <c r="AO218" s="92">
        <f>H218*0.926331052899683</f>
        <v>0</v>
      </c>
      <c r="AP218" s="92">
        <f>H218*(1-0.926331052899683)</f>
        <v>0</v>
      </c>
      <c r="AQ218" s="55" t="s">
        <v>2422</v>
      </c>
      <c r="AV218" s="14">
        <f>AW218+AX218</f>
        <v>0</v>
      </c>
      <c r="AW218" s="14">
        <f>G218*AO218</f>
        <v>0</v>
      </c>
      <c r="AX218" s="14">
        <f>G218*AP218</f>
        <v>0</v>
      </c>
      <c r="AY218" s="55" t="s">
        <v>1675</v>
      </c>
      <c r="AZ218" s="55" t="s">
        <v>228</v>
      </c>
      <c r="BA218" s="15" t="s">
        <v>1843</v>
      </c>
      <c r="BC218" s="14">
        <f>AW218+AX218</f>
        <v>0</v>
      </c>
      <c r="BD218" s="14">
        <f>H218/(100-BE218)*100</f>
        <v>0</v>
      </c>
      <c r="BE218" s="14">
        <v>0</v>
      </c>
      <c r="BF218" s="14">
        <f>O218</f>
        <v>138.06700000000001</v>
      </c>
      <c r="BH218" s="14">
        <f>G218*AO218</f>
        <v>0</v>
      </c>
      <c r="BI218" s="14">
        <f>G218*AP218</f>
        <v>0</v>
      </c>
      <c r="BJ218" s="14">
        <f>G218*H218</f>
        <v>0</v>
      </c>
      <c r="BK218" s="14"/>
      <c r="BL218" s="14">
        <v>27</v>
      </c>
      <c r="BW218" s="14" t="str">
        <f>I218</f>
        <v>21</v>
      </c>
    </row>
    <row r="219" spans="1:75" ht="15" customHeight="1">
      <c r="A219" s="32"/>
      <c r="D219" s="3" t="s">
        <v>1460</v>
      </c>
      <c r="E219" s="28" t="s">
        <v>1605</v>
      </c>
      <c r="G219" s="27">
        <v>54.680000000000007</v>
      </c>
      <c r="P219" s="33"/>
    </row>
    <row r="220" spans="1:75" ht="13.5" customHeight="1">
      <c r="A220" s="21" t="s">
        <v>1619</v>
      </c>
      <c r="B220" s="37" t="s">
        <v>1842</v>
      </c>
      <c r="C220" s="37" t="s">
        <v>2229</v>
      </c>
      <c r="D220" s="578" t="s">
        <v>2121</v>
      </c>
      <c r="E220" s="579"/>
      <c r="F220" s="37" t="s">
        <v>2398</v>
      </c>
      <c r="G220" s="14">
        <v>18.54</v>
      </c>
      <c r="H220" s="569"/>
      <c r="I220" s="55" t="s">
        <v>1720</v>
      </c>
      <c r="J220" s="14">
        <f>G220*AO220</f>
        <v>0</v>
      </c>
      <c r="K220" s="14">
        <f>G220*AP220</f>
        <v>0</v>
      </c>
      <c r="L220" s="14">
        <f>G220*H220</f>
        <v>0</v>
      </c>
      <c r="M220" s="14">
        <f>L220*(1+BW220/100)</f>
        <v>0</v>
      </c>
      <c r="N220" s="14">
        <v>3.9199999999999999E-2</v>
      </c>
      <c r="O220" s="14">
        <f>G220*N220</f>
        <v>0.72676799999999997</v>
      </c>
      <c r="P220" s="72" t="s">
        <v>1664</v>
      </c>
      <c r="Z220" s="14">
        <f>IF(AQ220="5",BJ220,0)</f>
        <v>0</v>
      </c>
      <c r="AB220" s="14">
        <f>IF(AQ220="1",BH220,0)</f>
        <v>0</v>
      </c>
      <c r="AC220" s="14">
        <f>IF(AQ220="1",BI220,0)</f>
        <v>0</v>
      </c>
      <c r="AD220" s="14">
        <f>IF(AQ220="7",BH220,0)</f>
        <v>0</v>
      </c>
      <c r="AE220" s="14">
        <f>IF(AQ220="7",BI220,0)</f>
        <v>0</v>
      </c>
      <c r="AF220" s="14">
        <f>IF(AQ220="2",BH220,0)</f>
        <v>0</v>
      </c>
      <c r="AG220" s="14">
        <f>IF(AQ220="2",BI220,0)</f>
        <v>0</v>
      </c>
      <c r="AH220" s="14">
        <f>IF(AQ220="0",BJ220,0)</f>
        <v>0</v>
      </c>
      <c r="AI220" s="15" t="s">
        <v>1842</v>
      </c>
      <c r="AJ220" s="14">
        <f>IF(AN220=0,L220,0)</f>
        <v>0</v>
      </c>
      <c r="AK220" s="14">
        <f>IF(AN220=15,L220,0)</f>
        <v>0</v>
      </c>
      <c r="AL220" s="14">
        <f>IF(AN220=21,L220,0)</f>
        <v>0</v>
      </c>
      <c r="AN220" s="14">
        <v>21</v>
      </c>
      <c r="AO220" s="92">
        <f>H220*0.256722338204593</f>
        <v>0</v>
      </c>
      <c r="AP220" s="92">
        <f>H220*(1-0.256722338204593)</f>
        <v>0</v>
      </c>
      <c r="AQ220" s="55" t="s">
        <v>2422</v>
      </c>
      <c r="AV220" s="14">
        <f>AW220+AX220</f>
        <v>0</v>
      </c>
      <c r="AW220" s="14">
        <f>G220*AO220</f>
        <v>0</v>
      </c>
      <c r="AX220" s="14">
        <f>G220*AP220</f>
        <v>0</v>
      </c>
      <c r="AY220" s="55" t="s">
        <v>1675</v>
      </c>
      <c r="AZ220" s="55" t="s">
        <v>228</v>
      </c>
      <c r="BA220" s="15" t="s">
        <v>1843</v>
      </c>
      <c r="BC220" s="14">
        <f>AW220+AX220</f>
        <v>0</v>
      </c>
      <c r="BD220" s="14">
        <f>H220/(100-BE220)*100</f>
        <v>0</v>
      </c>
      <c r="BE220" s="14">
        <v>0</v>
      </c>
      <c r="BF220" s="14">
        <f>O220</f>
        <v>0.72676799999999997</v>
      </c>
      <c r="BH220" s="14">
        <f>G220*AO220</f>
        <v>0</v>
      </c>
      <c r="BI220" s="14">
        <f>G220*AP220</f>
        <v>0</v>
      </c>
      <c r="BJ220" s="14">
        <f>G220*H220</f>
        <v>0</v>
      </c>
      <c r="BK220" s="14"/>
      <c r="BL220" s="14">
        <v>27</v>
      </c>
      <c r="BW220" s="14" t="str">
        <f>I220</f>
        <v>21</v>
      </c>
    </row>
    <row r="221" spans="1:75" ht="15" customHeight="1">
      <c r="A221" s="32"/>
      <c r="D221" s="3" t="s">
        <v>2633</v>
      </c>
      <c r="E221" s="28" t="s">
        <v>1683</v>
      </c>
      <c r="G221" s="27">
        <v>18.540000000000003</v>
      </c>
      <c r="P221" s="33"/>
    </row>
    <row r="222" spans="1:75" ht="13.5" customHeight="1">
      <c r="A222" s="21" t="s">
        <v>1239</v>
      </c>
      <c r="B222" s="37" t="s">
        <v>1842</v>
      </c>
      <c r="C222" s="37" t="s">
        <v>357</v>
      </c>
      <c r="D222" s="578" t="s">
        <v>2220</v>
      </c>
      <c r="E222" s="579"/>
      <c r="F222" s="37" t="s">
        <v>1130</v>
      </c>
      <c r="G222" s="14">
        <v>6.29</v>
      </c>
      <c r="H222" s="569"/>
      <c r="I222" s="55" t="s">
        <v>1720</v>
      </c>
      <c r="J222" s="14">
        <f>G222*AO222</f>
        <v>0</v>
      </c>
      <c r="K222" s="14">
        <f>G222*AP222</f>
        <v>0</v>
      </c>
      <c r="L222" s="14">
        <f>G222*H222</f>
        <v>0</v>
      </c>
      <c r="M222" s="14">
        <f>L222*(1+BW222/100)</f>
        <v>0</v>
      </c>
      <c r="N222" s="14">
        <v>1.0085200000000001</v>
      </c>
      <c r="O222" s="14">
        <f>G222*N222</f>
        <v>6.3435908000000003</v>
      </c>
      <c r="P222" s="72" t="s">
        <v>921</v>
      </c>
      <c r="Z222" s="14">
        <f>IF(AQ222="5",BJ222,0)</f>
        <v>0</v>
      </c>
      <c r="AB222" s="14">
        <f>IF(AQ222="1",BH222,0)</f>
        <v>0</v>
      </c>
      <c r="AC222" s="14">
        <f>IF(AQ222="1",BI222,0)</f>
        <v>0</v>
      </c>
      <c r="AD222" s="14">
        <f>IF(AQ222="7",BH222,0)</f>
        <v>0</v>
      </c>
      <c r="AE222" s="14">
        <f>IF(AQ222="7",BI222,0)</f>
        <v>0</v>
      </c>
      <c r="AF222" s="14">
        <f>IF(AQ222="2",BH222,0)</f>
        <v>0</v>
      </c>
      <c r="AG222" s="14">
        <f>IF(AQ222="2",BI222,0)</f>
        <v>0</v>
      </c>
      <c r="AH222" s="14">
        <f>IF(AQ222="0",BJ222,0)</f>
        <v>0</v>
      </c>
      <c r="AI222" s="15" t="s">
        <v>1842</v>
      </c>
      <c r="AJ222" s="14">
        <f>IF(AN222=0,L222,0)</f>
        <v>0</v>
      </c>
      <c r="AK222" s="14">
        <f>IF(AN222=15,L222,0)</f>
        <v>0</v>
      </c>
      <c r="AL222" s="14">
        <f>IF(AN222=21,L222,0)</f>
        <v>0</v>
      </c>
      <c r="AN222" s="14">
        <v>21</v>
      </c>
      <c r="AO222" s="92">
        <f>H222*0.762507088122605</f>
        <v>0</v>
      </c>
      <c r="AP222" s="92">
        <f>H222*(1-0.762507088122605)</f>
        <v>0</v>
      </c>
      <c r="AQ222" s="55" t="s">
        <v>2422</v>
      </c>
      <c r="AV222" s="14">
        <f>AW222+AX222</f>
        <v>0</v>
      </c>
      <c r="AW222" s="14">
        <f>G222*AO222</f>
        <v>0</v>
      </c>
      <c r="AX222" s="14">
        <f>G222*AP222</f>
        <v>0</v>
      </c>
      <c r="AY222" s="55" t="s">
        <v>1675</v>
      </c>
      <c r="AZ222" s="55" t="s">
        <v>228</v>
      </c>
      <c r="BA222" s="15" t="s">
        <v>1843</v>
      </c>
      <c r="BC222" s="14">
        <f>AW222+AX222</f>
        <v>0</v>
      </c>
      <c r="BD222" s="14">
        <f>H222/(100-BE222)*100</f>
        <v>0</v>
      </c>
      <c r="BE222" s="14">
        <v>0</v>
      </c>
      <c r="BF222" s="14">
        <f>O222</f>
        <v>6.3435908000000003</v>
      </c>
      <c r="BH222" s="14">
        <f>G222*AO222</f>
        <v>0</v>
      </c>
      <c r="BI222" s="14">
        <f>G222*AP222</f>
        <v>0</v>
      </c>
      <c r="BJ222" s="14">
        <f>G222*H222</f>
        <v>0</v>
      </c>
      <c r="BK222" s="14"/>
      <c r="BL222" s="14">
        <v>27</v>
      </c>
      <c r="BW222" s="14" t="str">
        <f>I222</f>
        <v>21</v>
      </c>
    </row>
    <row r="223" spans="1:75" ht="15" customHeight="1">
      <c r="A223" s="32"/>
      <c r="D223" s="3" t="s">
        <v>2756</v>
      </c>
      <c r="E223" s="28" t="s">
        <v>1683</v>
      </c>
      <c r="G223" s="27">
        <v>6.2900000000000009</v>
      </c>
      <c r="P223" s="33"/>
    </row>
    <row r="224" spans="1:75" ht="13.5" customHeight="1">
      <c r="A224" s="21" t="s">
        <v>547</v>
      </c>
      <c r="B224" s="37" t="s">
        <v>1842</v>
      </c>
      <c r="C224" s="37" t="s">
        <v>671</v>
      </c>
      <c r="D224" s="578" t="s">
        <v>1767</v>
      </c>
      <c r="E224" s="579"/>
      <c r="F224" s="37" t="s">
        <v>2398</v>
      </c>
      <c r="G224" s="14">
        <v>18.54</v>
      </c>
      <c r="H224" s="569"/>
      <c r="I224" s="55" t="s">
        <v>1720</v>
      </c>
      <c r="J224" s="14">
        <f>G224*AO224</f>
        <v>0</v>
      </c>
      <c r="K224" s="14">
        <f>G224*AP224</f>
        <v>0</v>
      </c>
      <c r="L224" s="14">
        <f>G224*H224</f>
        <v>0</v>
      </c>
      <c r="M224" s="14">
        <f>L224*(1+BW224/100)</f>
        <v>0</v>
      </c>
      <c r="N224" s="14">
        <v>0</v>
      </c>
      <c r="O224" s="14">
        <f>G224*N224</f>
        <v>0</v>
      </c>
      <c r="P224" s="72" t="s">
        <v>1664</v>
      </c>
      <c r="Z224" s="14">
        <f>IF(AQ224="5",BJ224,0)</f>
        <v>0</v>
      </c>
      <c r="AB224" s="14">
        <f>IF(AQ224="1",BH224,0)</f>
        <v>0</v>
      </c>
      <c r="AC224" s="14">
        <f>IF(AQ224="1",BI224,0)</f>
        <v>0</v>
      </c>
      <c r="AD224" s="14">
        <f>IF(AQ224="7",BH224,0)</f>
        <v>0</v>
      </c>
      <c r="AE224" s="14">
        <f>IF(AQ224="7",BI224,0)</f>
        <v>0</v>
      </c>
      <c r="AF224" s="14">
        <f>IF(AQ224="2",BH224,0)</f>
        <v>0</v>
      </c>
      <c r="AG224" s="14">
        <f>IF(AQ224="2",BI224,0)</f>
        <v>0</v>
      </c>
      <c r="AH224" s="14">
        <f>IF(AQ224="0",BJ224,0)</f>
        <v>0</v>
      </c>
      <c r="AI224" s="15" t="s">
        <v>1842</v>
      </c>
      <c r="AJ224" s="14">
        <f>IF(AN224=0,L224,0)</f>
        <v>0</v>
      </c>
      <c r="AK224" s="14">
        <f>IF(AN224=15,L224,0)</f>
        <v>0</v>
      </c>
      <c r="AL224" s="14">
        <f>IF(AN224=21,L224,0)</f>
        <v>0</v>
      </c>
      <c r="AN224" s="14">
        <v>21</v>
      </c>
      <c r="AO224" s="92">
        <f>H224*0</f>
        <v>0</v>
      </c>
      <c r="AP224" s="92">
        <f>H224*(1-0)</f>
        <v>0</v>
      </c>
      <c r="AQ224" s="55" t="s">
        <v>2422</v>
      </c>
      <c r="AV224" s="14">
        <f>AW224+AX224</f>
        <v>0</v>
      </c>
      <c r="AW224" s="14">
        <f>G224*AO224</f>
        <v>0</v>
      </c>
      <c r="AX224" s="14">
        <f>G224*AP224</f>
        <v>0</v>
      </c>
      <c r="AY224" s="55" t="s">
        <v>1675</v>
      </c>
      <c r="AZ224" s="55" t="s">
        <v>228</v>
      </c>
      <c r="BA224" s="15" t="s">
        <v>1843</v>
      </c>
      <c r="BC224" s="14">
        <f>AW224+AX224</f>
        <v>0</v>
      </c>
      <c r="BD224" s="14">
        <f>H224/(100-BE224)*100</f>
        <v>0</v>
      </c>
      <c r="BE224" s="14">
        <v>0</v>
      </c>
      <c r="BF224" s="14">
        <f>O224</f>
        <v>0</v>
      </c>
      <c r="BH224" s="14">
        <f>G224*AO224</f>
        <v>0</v>
      </c>
      <c r="BI224" s="14">
        <f>G224*AP224</f>
        <v>0</v>
      </c>
      <c r="BJ224" s="14">
        <f>G224*H224</f>
        <v>0</v>
      </c>
      <c r="BK224" s="14"/>
      <c r="BL224" s="14">
        <v>27</v>
      </c>
      <c r="BW224" s="14" t="str">
        <f>I224</f>
        <v>21</v>
      </c>
    </row>
    <row r="225" spans="1:75" ht="15" customHeight="1">
      <c r="A225" s="32"/>
      <c r="D225" s="3" t="s">
        <v>148</v>
      </c>
      <c r="E225" s="28" t="s">
        <v>1683</v>
      </c>
      <c r="G225" s="27">
        <v>18.540000000000003</v>
      </c>
      <c r="P225" s="33"/>
    </row>
    <row r="226" spans="1:75" ht="13.5" customHeight="1">
      <c r="A226" s="21" t="s">
        <v>218</v>
      </c>
      <c r="B226" s="37" t="s">
        <v>1842</v>
      </c>
      <c r="C226" s="37" t="s">
        <v>1764</v>
      </c>
      <c r="D226" s="578" t="s">
        <v>392</v>
      </c>
      <c r="E226" s="579"/>
      <c r="F226" s="37" t="s">
        <v>595</v>
      </c>
      <c r="G226" s="14">
        <v>10</v>
      </c>
      <c r="H226" s="569"/>
      <c r="I226" s="55" t="s">
        <v>1720</v>
      </c>
      <c r="J226" s="14">
        <f>G226*AO226</f>
        <v>0</v>
      </c>
      <c r="K226" s="14">
        <f>G226*AP226</f>
        <v>0</v>
      </c>
      <c r="L226" s="14">
        <f>G226*H226</f>
        <v>0</v>
      </c>
      <c r="M226" s="14">
        <f>L226*(1+BW226/100)</f>
        <v>0</v>
      </c>
      <c r="N226" s="14">
        <v>1.15E-3</v>
      </c>
      <c r="O226" s="14">
        <f>G226*N226</f>
        <v>1.15E-2</v>
      </c>
      <c r="P226" s="72" t="s">
        <v>1664</v>
      </c>
      <c r="Z226" s="14">
        <f>IF(AQ226="5",BJ226,0)</f>
        <v>0</v>
      </c>
      <c r="AB226" s="14">
        <f>IF(AQ226="1",BH226,0)</f>
        <v>0</v>
      </c>
      <c r="AC226" s="14">
        <f>IF(AQ226="1",BI226,0)</f>
        <v>0</v>
      </c>
      <c r="AD226" s="14">
        <f>IF(AQ226="7",BH226,0)</f>
        <v>0</v>
      </c>
      <c r="AE226" s="14">
        <f>IF(AQ226="7",BI226,0)</f>
        <v>0</v>
      </c>
      <c r="AF226" s="14">
        <f>IF(AQ226="2",BH226,0)</f>
        <v>0</v>
      </c>
      <c r="AG226" s="14">
        <f>IF(AQ226="2",BI226,0)</f>
        <v>0</v>
      </c>
      <c r="AH226" s="14">
        <f>IF(AQ226="0",BJ226,0)</f>
        <v>0</v>
      </c>
      <c r="AI226" s="15" t="s">
        <v>1842</v>
      </c>
      <c r="AJ226" s="14">
        <f>IF(AN226=0,L226,0)</f>
        <v>0</v>
      </c>
      <c r="AK226" s="14">
        <f>IF(AN226=15,L226,0)</f>
        <v>0</v>
      </c>
      <c r="AL226" s="14">
        <f>IF(AN226=21,L226,0)</f>
        <v>0</v>
      </c>
      <c r="AN226" s="14">
        <v>21</v>
      </c>
      <c r="AO226" s="92">
        <f>H226*0.0696179775280899</f>
        <v>0</v>
      </c>
      <c r="AP226" s="92">
        <f>H226*(1-0.0696179775280899)</f>
        <v>0</v>
      </c>
      <c r="AQ226" s="55" t="s">
        <v>2422</v>
      </c>
      <c r="AV226" s="14">
        <f>AW226+AX226</f>
        <v>0</v>
      </c>
      <c r="AW226" s="14">
        <f>G226*AO226</f>
        <v>0</v>
      </c>
      <c r="AX226" s="14">
        <f>G226*AP226</f>
        <v>0</v>
      </c>
      <c r="AY226" s="55" t="s">
        <v>1675</v>
      </c>
      <c r="AZ226" s="55" t="s">
        <v>228</v>
      </c>
      <c r="BA226" s="15" t="s">
        <v>1843</v>
      </c>
      <c r="BC226" s="14">
        <f>AW226+AX226</f>
        <v>0</v>
      </c>
      <c r="BD226" s="14">
        <f>H226/(100-BE226)*100</f>
        <v>0</v>
      </c>
      <c r="BE226" s="14">
        <v>0</v>
      </c>
      <c r="BF226" s="14">
        <f>O226</f>
        <v>1.15E-2</v>
      </c>
      <c r="BH226" s="14">
        <f>G226*AO226</f>
        <v>0</v>
      </c>
      <c r="BI226" s="14">
        <f>G226*AP226</f>
        <v>0</v>
      </c>
      <c r="BJ226" s="14">
        <f>G226*H226</f>
        <v>0</v>
      </c>
      <c r="BK226" s="14"/>
      <c r="BL226" s="14">
        <v>27</v>
      </c>
      <c r="BW226" s="14" t="str">
        <f>I226</f>
        <v>21</v>
      </c>
    </row>
    <row r="227" spans="1:75" ht="15" customHeight="1">
      <c r="A227" s="32"/>
      <c r="D227" s="3" t="s">
        <v>1416</v>
      </c>
      <c r="E227" s="28" t="s">
        <v>1683</v>
      </c>
      <c r="G227" s="27">
        <v>10</v>
      </c>
      <c r="P227" s="33"/>
    </row>
    <row r="228" spans="1:75" ht="15" customHeight="1">
      <c r="A228" s="65" t="s">
        <v>1683</v>
      </c>
      <c r="B228" s="26" t="s">
        <v>1842</v>
      </c>
      <c r="C228" s="26" t="s">
        <v>2665</v>
      </c>
      <c r="D228" s="649" t="s">
        <v>1341</v>
      </c>
      <c r="E228" s="650"/>
      <c r="F228" s="74" t="s">
        <v>2262</v>
      </c>
      <c r="G228" s="74" t="s">
        <v>2262</v>
      </c>
      <c r="H228" s="74" t="s">
        <v>2262</v>
      </c>
      <c r="I228" s="74" t="s">
        <v>2262</v>
      </c>
      <c r="J228" s="2">
        <f>SUM(J229:J231)</f>
        <v>0</v>
      </c>
      <c r="K228" s="2">
        <f>SUM(K229:K231)</f>
        <v>0</v>
      </c>
      <c r="L228" s="2">
        <f>SUM(L229:L231)</f>
        <v>0</v>
      </c>
      <c r="M228" s="2">
        <f>SUM(M229:M231)</f>
        <v>0</v>
      </c>
      <c r="N228" s="15" t="s">
        <v>1683</v>
      </c>
      <c r="O228" s="2">
        <f>SUM(O229:O231)</f>
        <v>0.39228499999999999</v>
      </c>
      <c r="P228" s="47" t="s">
        <v>1683</v>
      </c>
      <c r="AI228" s="15" t="s">
        <v>1842</v>
      </c>
      <c r="AS228" s="2">
        <f>SUM(AJ229:AJ231)</f>
        <v>0</v>
      </c>
      <c r="AT228" s="2">
        <f>SUM(AK229:AK231)</f>
        <v>0</v>
      </c>
      <c r="AU228" s="2">
        <f>SUM(AL229:AL231)</f>
        <v>0</v>
      </c>
    </row>
    <row r="229" spans="1:75" ht="13.5" customHeight="1">
      <c r="A229" s="21" t="s">
        <v>2396</v>
      </c>
      <c r="B229" s="37" t="s">
        <v>1842</v>
      </c>
      <c r="C229" s="37" t="s">
        <v>2438</v>
      </c>
      <c r="D229" s="578" t="s">
        <v>1758</v>
      </c>
      <c r="E229" s="579"/>
      <c r="F229" s="37" t="s">
        <v>2019</v>
      </c>
      <c r="G229" s="14">
        <v>64.5</v>
      </c>
      <c r="H229" s="569"/>
      <c r="I229" s="55" t="s">
        <v>1720</v>
      </c>
      <c r="J229" s="14">
        <f>G229*AO229</f>
        <v>0</v>
      </c>
      <c r="K229" s="14">
        <f>G229*AP229</f>
        <v>0</v>
      </c>
      <c r="L229" s="14">
        <f>G229*H229</f>
        <v>0</v>
      </c>
      <c r="M229" s="14">
        <f>L229*(1+BW229/100)</f>
        <v>0</v>
      </c>
      <c r="N229" s="14">
        <v>1.33E-3</v>
      </c>
      <c r="O229" s="14">
        <f>G229*N229</f>
        <v>8.5785E-2</v>
      </c>
      <c r="P229" s="72" t="s">
        <v>1664</v>
      </c>
      <c r="Z229" s="14">
        <f>IF(AQ229="5",BJ229,0)</f>
        <v>0</v>
      </c>
      <c r="AB229" s="14">
        <f>IF(AQ229="1",BH229,0)</f>
        <v>0</v>
      </c>
      <c r="AC229" s="14">
        <f>IF(AQ229="1",BI229,0)</f>
        <v>0</v>
      </c>
      <c r="AD229" s="14">
        <f>IF(AQ229="7",BH229,0)</f>
        <v>0</v>
      </c>
      <c r="AE229" s="14">
        <f>IF(AQ229="7",BI229,0)</f>
        <v>0</v>
      </c>
      <c r="AF229" s="14">
        <f>IF(AQ229="2",BH229,0)</f>
        <v>0</v>
      </c>
      <c r="AG229" s="14">
        <f>IF(AQ229="2",BI229,0)</f>
        <v>0</v>
      </c>
      <c r="AH229" s="14">
        <f>IF(AQ229="0",BJ229,0)</f>
        <v>0</v>
      </c>
      <c r="AI229" s="15" t="s">
        <v>1842</v>
      </c>
      <c r="AJ229" s="14">
        <f>IF(AN229=0,L229,0)</f>
        <v>0</v>
      </c>
      <c r="AK229" s="14">
        <f>IF(AN229=15,L229,0)</f>
        <v>0</v>
      </c>
      <c r="AL229" s="14">
        <f>IF(AN229=21,L229,0)</f>
        <v>0</v>
      </c>
      <c r="AN229" s="14">
        <v>21</v>
      </c>
      <c r="AO229" s="92">
        <f>H229*0.824625169147497</f>
        <v>0</v>
      </c>
      <c r="AP229" s="92">
        <f>H229*(1-0.824625169147497)</f>
        <v>0</v>
      </c>
      <c r="AQ229" s="55" t="s">
        <v>2422</v>
      </c>
      <c r="AV229" s="14">
        <f>AW229+AX229</f>
        <v>0</v>
      </c>
      <c r="AW229" s="14">
        <f>G229*AO229</f>
        <v>0</v>
      </c>
      <c r="AX229" s="14">
        <f>G229*AP229</f>
        <v>0</v>
      </c>
      <c r="AY229" s="55" t="s">
        <v>1116</v>
      </c>
      <c r="AZ229" s="55" t="s">
        <v>228</v>
      </c>
      <c r="BA229" s="15" t="s">
        <v>1843</v>
      </c>
      <c r="BC229" s="14">
        <f>AW229+AX229</f>
        <v>0</v>
      </c>
      <c r="BD229" s="14">
        <f>H229/(100-BE229)*100</f>
        <v>0</v>
      </c>
      <c r="BE229" s="14">
        <v>0</v>
      </c>
      <c r="BF229" s="14">
        <f>O229</f>
        <v>8.5785E-2</v>
      </c>
      <c r="BH229" s="14">
        <f>G229*AO229</f>
        <v>0</v>
      </c>
      <c r="BI229" s="14">
        <f>G229*AP229</f>
        <v>0</v>
      </c>
      <c r="BJ229" s="14">
        <f>G229*H229</f>
        <v>0</v>
      </c>
      <c r="BK229" s="14"/>
      <c r="BL229" s="14">
        <v>28</v>
      </c>
      <c r="BW229" s="14" t="str">
        <f>I229</f>
        <v>21</v>
      </c>
    </row>
    <row r="230" spans="1:75" ht="15" customHeight="1">
      <c r="A230" s="32"/>
      <c r="D230" s="3" t="s">
        <v>1514</v>
      </c>
      <c r="E230" s="28" t="s">
        <v>1846</v>
      </c>
      <c r="G230" s="27">
        <v>64.5</v>
      </c>
      <c r="P230" s="33"/>
    </row>
    <row r="231" spans="1:75" ht="13.5" customHeight="1">
      <c r="A231" s="20" t="s">
        <v>425</v>
      </c>
      <c r="B231" s="84" t="s">
        <v>1842</v>
      </c>
      <c r="C231" s="84" t="s">
        <v>590</v>
      </c>
      <c r="D231" s="653" t="s">
        <v>2097</v>
      </c>
      <c r="E231" s="654"/>
      <c r="F231" s="84" t="s">
        <v>2302</v>
      </c>
      <c r="G231" s="6">
        <v>306.5</v>
      </c>
      <c r="H231" s="570"/>
      <c r="I231" s="18" t="s">
        <v>1720</v>
      </c>
      <c r="J231" s="6">
        <f>G231*AO231</f>
        <v>0</v>
      </c>
      <c r="K231" s="6">
        <f>G231*AP231</f>
        <v>0</v>
      </c>
      <c r="L231" s="6">
        <f>G231*H231</f>
        <v>0</v>
      </c>
      <c r="M231" s="6">
        <f>L231*(1+BW231/100)</f>
        <v>0</v>
      </c>
      <c r="N231" s="6">
        <v>1E-3</v>
      </c>
      <c r="O231" s="6">
        <f>G231*N231</f>
        <v>0.30649999999999999</v>
      </c>
      <c r="P231" s="109" t="s">
        <v>1664</v>
      </c>
      <c r="Z231" s="14">
        <f>IF(AQ231="5",BJ231,0)</f>
        <v>0</v>
      </c>
      <c r="AB231" s="14">
        <f>IF(AQ231="1",BH231,0)</f>
        <v>0</v>
      </c>
      <c r="AC231" s="14">
        <f>IF(AQ231="1",BI231,0)</f>
        <v>0</v>
      </c>
      <c r="AD231" s="14">
        <f>IF(AQ231="7",BH231,0)</f>
        <v>0</v>
      </c>
      <c r="AE231" s="14">
        <f>IF(AQ231="7",BI231,0)</f>
        <v>0</v>
      </c>
      <c r="AF231" s="14">
        <f>IF(AQ231="2",BH231,0)</f>
        <v>0</v>
      </c>
      <c r="AG231" s="14">
        <f>IF(AQ231="2",BI231,0)</f>
        <v>0</v>
      </c>
      <c r="AH231" s="14">
        <f>IF(AQ231="0",BJ231,0)</f>
        <v>0</v>
      </c>
      <c r="AI231" s="15" t="s">
        <v>1842</v>
      </c>
      <c r="AJ231" s="6">
        <f>IF(AN231=0,L231,0)</f>
        <v>0</v>
      </c>
      <c r="AK231" s="6">
        <f>IF(AN231=15,L231,0)</f>
        <v>0</v>
      </c>
      <c r="AL231" s="6">
        <f>IF(AN231=21,L231,0)</f>
        <v>0</v>
      </c>
      <c r="AN231" s="14">
        <v>21</v>
      </c>
      <c r="AO231" s="92">
        <f>H231*1</f>
        <v>0</v>
      </c>
      <c r="AP231" s="92">
        <f>H231*(1-1)</f>
        <v>0</v>
      </c>
      <c r="AQ231" s="18" t="s">
        <v>2422</v>
      </c>
      <c r="AV231" s="14">
        <f>AW231+AX231</f>
        <v>0</v>
      </c>
      <c r="AW231" s="14">
        <f>G231*AO231</f>
        <v>0</v>
      </c>
      <c r="AX231" s="14">
        <f>G231*AP231</f>
        <v>0</v>
      </c>
      <c r="AY231" s="55" t="s">
        <v>1116</v>
      </c>
      <c r="AZ231" s="55" t="s">
        <v>228</v>
      </c>
      <c r="BA231" s="15" t="s">
        <v>1843</v>
      </c>
      <c r="BC231" s="14">
        <f>AW231+AX231</f>
        <v>0</v>
      </c>
      <c r="BD231" s="14">
        <f>H231/(100-BE231)*100</f>
        <v>0</v>
      </c>
      <c r="BE231" s="14">
        <v>0</v>
      </c>
      <c r="BF231" s="14">
        <f>O231</f>
        <v>0.30649999999999999</v>
      </c>
      <c r="BH231" s="6">
        <f>G231*AO231</f>
        <v>0</v>
      </c>
      <c r="BI231" s="6">
        <f>G231*AP231</f>
        <v>0</v>
      </c>
      <c r="BJ231" s="6">
        <f>G231*H231</f>
        <v>0</v>
      </c>
      <c r="BK231" s="6"/>
      <c r="BL231" s="14">
        <v>28</v>
      </c>
      <c r="BW231" s="14" t="str">
        <f>I231</f>
        <v>21</v>
      </c>
    </row>
    <row r="232" spans="1:75" ht="15" customHeight="1">
      <c r="A232" s="32"/>
      <c r="D232" s="3" t="s">
        <v>2519</v>
      </c>
      <c r="E232" s="28" t="s">
        <v>1692</v>
      </c>
      <c r="G232" s="27">
        <v>306.5</v>
      </c>
      <c r="P232" s="33"/>
    </row>
    <row r="233" spans="1:75" ht="15" customHeight="1">
      <c r="A233" s="65" t="s">
        <v>1683</v>
      </c>
      <c r="B233" s="26" t="s">
        <v>1842</v>
      </c>
      <c r="C233" s="26" t="s">
        <v>1448</v>
      </c>
      <c r="D233" s="649" t="s">
        <v>2352</v>
      </c>
      <c r="E233" s="650"/>
      <c r="F233" s="74" t="s">
        <v>2262</v>
      </c>
      <c r="G233" s="74" t="s">
        <v>2262</v>
      </c>
      <c r="H233" s="74" t="s">
        <v>2262</v>
      </c>
      <c r="I233" s="74" t="s">
        <v>2262</v>
      </c>
      <c r="J233" s="2">
        <f>SUM(J234:J243)</f>
        <v>0</v>
      </c>
      <c r="K233" s="2">
        <f>SUM(K234:K243)</f>
        <v>0</v>
      </c>
      <c r="L233" s="2">
        <f>SUM(L234:L243)</f>
        <v>0</v>
      </c>
      <c r="M233" s="2">
        <f>SUM(M234:M243)</f>
        <v>0</v>
      </c>
      <c r="N233" s="15" t="s">
        <v>1683</v>
      </c>
      <c r="O233" s="2">
        <f>SUM(O234:O243)</f>
        <v>94.910249399999998</v>
      </c>
      <c r="P233" s="47" t="s">
        <v>1683</v>
      </c>
      <c r="AI233" s="15" t="s">
        <v>1842</v>
      </c>
      <c r="AS233" s="2">
        <f>SUM(AJ234:AJ243)</f>
        <v>0</v>
      </c>
      <c r="AT233" s="2">
        <f>SUM(AK234:AK243)</f>
        <v>0</v>
      </c>
      <c r="AU233" s="2">
        <f>SUM(AL234:AL243)</f>
        <v>0</v>
      </c>
    </row>
    <row r="234" spans="1:75" ht="13.5" customHeight="1">
      <c r="A234" s="21" t="s">
        <v>456</v>
      </c>
      <c r="B234" s="37" t="s">
        <v>1842</v>
      </c>
      <c r="C234" s="37" t="s">
        <v>1623</v>
      </c>
      <c r="D234" s="578" t="s">
        <v>2577</v>
      </c>
      <c r="E234" s="579"/>
      <c r="F234" s="37" t="s">
        <v>2359</v>
      </c>
      <c r="G234" s="14">
        <v>24.98</v>
      </c>
      <c r="H234" s="569"/>
      <c r="I234" s="55" t="s">
        <v>1720</v>
      </c>
      <c r="J234" s="14">
        <f>G234*AO234</f>
        <v>0</v>
      </c>
      <c r="K234" s="14">
        <f>G234*AP234</f>
        <v>0</v>
      </c>
      <c r="L234" s="14">
        <f>G234*H234</f>
        <v>0</v>
      </c>
      <c r="M234" s="14">
        <f>L234*(1+BW234/100)</f>
        <v>0</v>
      </c>
      <c r="N234" s="14">
        <v>1.3283400000000001</v>
      </c>
      <c r="O234" s="14">
        <f>G234*N234</f>
        <v>33.181933200000003</v>
      </c>
      <c r="P234" s="72" t="s">
        <v>1664</v>
      </c>
      <c r="Z234" s="14">
        <f>IF(AQ234="5",BJ234,0)</f>
        <v>0</v>
      </c>
      <c r="AB234" s="14">
        <f>IF(AQ234="1",BH234,0)</f>
        <v>0</v>
      </c>
      <c r="AC234" s="14">
        <f>IF(AQ234="1",BI234,0)</f>
        <v>0</v>
      </c>
      <c r="AD234" s="14">
        <f>IF(AQ234="7",BH234,0)</f>
        <v>0</v>
      </c>
      <c r="AE234" s="14">
        <f>IF(AQ234="7",BI234,0)</f>
        <v>0</v>
      </c>
      <c r="AF234" s="14">
        <f>IF(AQ234="2",BH234,0)</f>
        <v>0</v>
      </c>
      <c r="AG234" s="14">
        <f>IF(AQ234="2",BI234,0)</f>
        <v>0</v>
      </c>
      <c r="AH234" s="14">
        <f>IF(AQ234="0",BJ234,0)</f>
        <v>0</v>
      </c>
      <c r="AI234" s="15" t="s">
        <v>1842</v>
      </c>
      <c r="AJ234" s="14">
        <f>IF(AN234=0,L234,0)</f>
        <v>0</v>
      </c>
      <c r="AK234" s="14">
        <f>IF(AN234=15,L234,0)</f>
        <v>0</v>
      </c>
      <c r="AL234" s="14">
        <f>IF(AN234=21,L234,0)</f>
        <v>0</v>
      </c>
      <c r="AN234" s="14">
        <v>21</v>
      </c>
      <c r="AO234" s="92">
        <f>H234*0.768863945578231</f>
        <v>0</v>
      </c>
      <c r="AP234" s="92">
        <f>H234*(1-0.768863945578231)</f>
        <v>0</v>
      </c>
      <c r="AQ234" s="55" t="s">
        <v>2422</v>
      </c>
      <c r="AV234" s="14">
        <f>AW234+AX234</f>
        <v>0</v>
      </c>
      <c r="AW234" s="14">
        <f>G234*AO234</f>
        <v>0</v>
      </c>
      <c r="AX234" s="14">
        <f>G234*AP234</f>
        <v>0</v>
      </c>
      <c r="AY234" s="55" t="s">
        <v>1757</v>
      </c>
      <c r="AZ234" s="55" t="s">
        <v>202</v>
      </c>
      <c r="BA234" s="15" t="s">
        <v>1843</v>
      </c>
      <c r="BC234" s="14">
        <f>AW234+AX234</f>
        <v>0</v>
      </c>
      <c r="BD234" s="14">
        <f>H234/(100-BE234)*100</f>
        <v>0</v>
      </c>
      <c r="BE234" s="14">
        <v>0</v>
      </c>
      <c r="BF234" s="14">
        <f>O234</f>
        <v>33.181933200000003</v>
      </c>
      <c r="BH234" s="14">
        <f>G234*AO234</f>
        <v>0</v>
      </c>
      <c r="BI234" s="14">
        <f>G234*AP234</f>
        <v>0</v>
      </c>
      <c r="BJ234" s="14">
        <f>G234*H234</f>
        <v>0</v>
      </c>
      <c r="BK234" s="14"/>
      <c r="BL234" s="14">
        <v>31</v>
      </c>
      <c r="BW234" s="14" t="str">
        <f>I234</f>
        <v>21</v>
      </c>
    </row>
    <row r="235" spans="1:75" ht="15" customHeight="1">
      <c r="A235" s="32"/>
      <c r="D235" s="3" t="s">
        <v>852</v>
      </c>
      <c r="E235" s="28" t="s">
        <v>2321</v>
      </c>
      <c r="G235" s="27">
        <v>36.06</v>
      </c>
      <c r="P235" s="33"/>
    </row>
    <row r="236" spans="1:75" ht="15" customHeight="1">
      <c r="A236" s="32"/>
      <c r="D236" s="3" t="s">
        <v>1105</v>
      </c>
      <c r="E236" s="28" t="s">
        <v>2278</v>
      </c>
      <c r="G236" s="27">
        <v>-11.08</v>
      </c>
      <c r="P236" s="33"/>
    </row>
    <row r="237" spans="1:75" ht="13.5" customHeight="1">
      <c r="A237" s="21" t="s">
        <v>2484</v>
      </c>
      <c r="B237" s="37" t="s">
        <v>1842</v>
      </c>
      <c r="C237" s="37" t="s">
        <v>1623</v>
      </c>
      <c r="D237" s="578" t="s">
        <v>1840</v>
      </c>
      <c r="E237" s="579"/>
      <c r="F237" s="37" t="s">
        <v>2359</v>
      </c>
      <c r="G237" s="14">
        <v>19.28</v>
      </c>
      <c r="H237" s="569"/>
      <c r="I237" s="55" t="s">
        <v>1720</v>
      </c>
      <c r="J237" s="14">
        <f>G237*AO237</f>
        <v>0</v>
      </c>
      <c r="K237" s="14">
        <f>G237*AP237</f>
        <v>0</v>
      </c>
      <c r="L237" s="14">
        <f>G237*H237</f>
        <v>0</v>
      </c>
      <c r="M237" s="14">
        <f>L237*(1+BW237/100)</f>
        <v>0</v>
      </c>
      <c r="N237" s="14">
        <v>1.3283400000000001</v>
      </c>
      <c r="O237" s="14">
        <f>G237*N237</f>
        <v>25.610395200000003</v>
      </c>
      <c r="P237" s="72" t="s">
        <v>1664</v>
      </c>
      <c r="Z237" s="14">
        <f>IF(AQ237="5",BJ237,0)</f>
        <v>0</v>
      </c>
      <c r="AB237" s="14">
        <f>IF(AQ237="1",BH237,0)</f>
        <v>0</v>
      </c>
      <c r="AC237" s="14">
        <f>IF(AQ237="1",BI237,0)</f>
        <v>0</v>
      </c>
      <c r="AD237" s="14">
        <f>IF(AQ237="7",BH237,0)</f>
        <v>0</v>
      </c>
      <c r="AE237" s="14">
        <f>IF(AQ237="7",BI237,0)</f>
        <v>0</v>
      </c>
      <c r="AF237" s="14">
        <f>IF(AQ237="2",BH237,0)</f>
        <v>0</v>
      </c>
      <c r="AG237" s="14">
        <f>IF(AQ237="2",BI237,0)</f>
        <v>0</v>
      </c>
      <c r="AH237" s="14">
        <f>IF(AQ237="0",BJ237,0)</f>
        <v>0</v>
      </c>
      <c r="AI237" s="15" t="s">
        <v>1842</v>
      </c>
      <c r="AJ237" s="14">
        <f>IF(AN237=0,L237,0)</f>
        <v>0</v>
      </c>
      <c r="AK237" s="14">
        <f>IF(AN237=15,L237,0)</f>
        <v>0</v>
      </c>
      <c r="AL237" s="14">
        <f>IF(AN237=21,L237,0)</f>
        <v>0</v>
      </c>
      <c r="AN237" s="14">
        <v>21</v>
      </c>
      <c r="AO237" s="92">
        <f>H237*0.768863945578231</f>
        <v>0</v>
      </c>
      <c r="AP237" s="92">
        <f>H237*(1-0.768863945578231)</f>
        <v>0</v>
      </c>
      <c r="AQ237" s="55" t="s">
        <v>2422</v>
      </c>
      <c r="AV237" s="14">
        <f>AW237+AX237</f>
        <v>0</v>
      </c>
      <c r="AW237" s="14">
        <f>G237*AO237</f>
        <v>0</v>
      </c>
      <c r="AX237" s="14">
        <f>G237*AP237</f>
        <v>0</v>
      </c>
      <c r="AY237" s="55" t="s">
        <v>1757</v>
      </c>
      <c r="AZ237" s="55" t="s">
        <v>202</v>
      </c>
      <c r="BA237" s="15" t="s">
        <v>1843</v>
      </c>
      <c r="BC237" s="14">
        <f>AW237+AX237</f>
        <v>0</v>
      </c>
      <c r="BD237" s="14">
        <f>H237/(100-BE237)*100</f>
        <v>0</v>
      </c>
      <c r="BE237" s="14">
        <v>0</v>
      </c>
      <c r="BF237" s="14">
        <f>O237</f>
        <v>25.610395200000003</v>
      </c>
      <c r="BH237" s="14">
        <f>G237*AO237</f>
        <v>0</v>
      </c>
      <c r="BI237" s="14">
        <f>G237*AP237</f>
        <v>0</v>
      </c>
      <c r="BJ237" s="14">
        <f>G237*H237</f>
        <v>0</v>
      </c>
      <c r="BK237" s="14"/>
      <c r="BL237" s="14">
        <v>31</v>
      </c>
      <c r="BW237" s="14" t="str">
        <f>I237</f>
        <v>21</v>
      </c>
    </row>
    <row r="238" spans="1:75" ht="15" customHeight="1">
      <c r="A238" s="32"/>
      <c r="D238" s="3" t="s">
        <v>819</v>
      </c>
      <c r="E238" s="28" t="s">
        <v>2079</v>
      </c>
      <c r="G238" s="27">
        <v>23.42</v>
      </c>
      <c r="P238" s="33"/>
    </row>
    <row r="239" spans="1:75" ht="15" customHeight="1">
      <c r="A239" s="32"/>
      <c r="D239" s="3" t="s">
        <v>2660</v>
      </c>
      <c r="E239" s="28" t="s">
        <v>2278</v>
      </c>
      <c r="G239" s="27">
        <v>-4.1400000000000006</v>
      </c>
      <c r="P239" s="33"/>
    </row>
    <row r="240" spans="1:75" ht="13.5" customHeight="1">
      <c r="A240" s="21" t="s">
        <v>1452</v>
      </c>
      <c r="B240" s="37" t="s">
        <v>1842</v>
      </c>
      <c r="C240" s="37" t="s">
        <v>1623</v>
      </c>
      <c r="D240" s="578" t="s">
        <v>2619</v>
      </c>
      <c r="E240" s="579"/>
      <c r="F240" s="37" t="s">
        <v>2359</v>
      </c>
      <c r="G240" s="14">
        <v>11.57</v>
      </c>
      <c r="H240" s="569"/>
      <c r="I240" s="55" t="s">
        <v>1720</v>
      </c>
      <c r="J240" s="14">
        <f>G240*AO240</f>
        <v>0</v>
      </c>
      <c r="K240" s="14">
        <f>G240*AP240</f>
        <v>0</v>
      </c>
      <c r="L240" s="14">
        <f>G240*H240</f>
        <v>0</v>
      </c>
      <c r="M240" s="14">
        <f>L240*(1+BW240/100)</f>
        <v>0</v>
      </c>
      <c r="N240" s="14">
        <v>1.3283400000000001</v>
      </c>
      <c r="O240" s="14">
        <f>G240*N240</f>
        <v>15.3688938</v>
      </c>
      <c r="P240" s="72" t="s">
        <v>1664</v>
      </c>
      <c r="Z240" s="14">
        <f>IF(AQ240="5",BJ240,0)</f>
        <v>0</v>
      </c>
      <c r="AB240" s="14">
        <f>IF(AQ240="1",BH240,0)</f>
        <v>0</v>
      </c>
      <c r="AC240" s="14">
        <f>IF(AQ240="1",BI240,0)</f>
        <v>0</v>
      </c>
      <c r="AD240" s="14">
        <f>IF(AQ240="7",BH240,0)</f>
        <v>0</v>
      </c>
      <c r="AE240" s="14">
        <f>IF(AQ240="7",BI240,0)</f>
        <v>0</v>
      </c>
      <c r="AF240" s="14">
        <f>IF(AQ240="2",BH240,0)</f>
        <v>0</v>
      </c>
      <c r="AG240" s="14">
        <f>IF(AQ240="2",BI240,0)</f>
        <v>0</v>
      </c>
      <c r="AH240" s="14">
        <f>IF(AQ240="0",BJ240,0)</f>
        <v>0</v>
      </c>
      <c r="AI240" s="15" t="s">
        <v>1842</v>
      </c>
      <c r="AJ240" s="14">
        <f>IF(AN240=0,L240,0)</f>
        <v>0</v>
      </c>
      <c r="AK240" s="14">
        <f>IF(AN240=15,L240,0)</f>
        <v>0</v>
      </c>
      <c r="AL240" s="14">
        <f>IF(AN240=21,L240,0)</f>
        <v>0</v>
      </c>
      <c r="AN240" s="14">
        <v>21</v>
      </c>
      <c r="AO240" s="92">
        <f>H240*0.768863945578231</f>
        <v>0</v>
      </c>
      <c r="AP240" s="92">
        <f>H240*(1-0.768863945578231)</f>
        <v>0</v>
      </c>
      <c r="AQ240" s="55" t="s">
        <v>2422</v>
      </c>
      <c r="AV240" s="14">
        <f>AW240+AX240</f>
        <v>0</v>
      </c>
      <c r="AW240" s="14">
        <f>G240*AO240</f>
        <v>0</v>
      </c>
      <c r="AX240" s="14">
        <f>G240*AP240</f>
        <v>0</v>
      </c>
      <c r="AY240" s="55" t="s">
        <v>1757</v>
      </c>
      <c r="AZ240" s="55" t="s">
        <v>202</v>
      </c>
      <c r="BA240" s="15" t="s">
        <v>1843</v>
      </c>
      <c r="BC240" s="14">
        <f>AW240+AX240</f>
        <v>0</v>
      </c>
      <c r="BD240" s="14">
        <f>H240/(100-BE240)*100</f>
        <v>0</v>
      </c>
      <c r="BE240" s="14">
        <v>0</v>
      </c>
      <c r="BF240" s="14">
        <f>O240</f>
        <v>15.3688938</v>
      </c>
      <c r="BH240" s="14">
        <f>G240*AO240</f>
        <v>0</v>
      </c>
      <c r="BI240" s="14">
        <f>G240*AP240</f>
        <v>0</v>
      </c>
      <c r="BJ240" s="14">
        <f>G240*H240</f>
        <v>0</v>
      </c>
      <c r="BK240" s="14"/>
      <c r="BL240" s="14">
        <v>31</v>
      </c>
      <c r="BW240" s="14" t="str">
        <f>I240</f>
        <v>21</v>
      </c>
    </row>
    <row r="241" spans="1:75" ht="15" customHeight="1">
      <c r="A241" s="32"/>
      <c r="D241" s="3" t="s">
        <v>1818</v>
      </c>
      <c r="E241" s="28" t="s">
        <v>676</v>
      </c>
      <c r="G241" s="27">
        <v>12.770000000000001</v>
      </c>
      <c r="P241" s="33"/>
    </row>
    <row r="242" spans="1:75" ht="15" customHeight="1">
      <c r="A242" s="32"/>
      <c r="D242" s="3" t="s">
        <v>614</v>
      </c>
      <c r="E242" s="28" t="s">
        <v>1309</v>
      </c>
      <c r="G242" s="27">
        <v>-1.2000000000000002</v>
      </c>
      <c r="P242" s="33"/>
    </row>
    <row r="243" spans="1:75" ht="27" customHeight="1">
      <c r="A243" s="21" t="s">
        <v>1188</v>
      </c>
      <c r="B243" s="37" t="s">
        <v>1842</v>
      </c>
      <c r="C243" s="37" t="s">
        <v>2338</v>
      </c>
      <c r="D243" s="578" t="s">
        <v>1465</v>
      </c>
      <c r="E243" s="579"/>
      <c r="F243" s="37" t="s">
        <v>2359</v>
      </c>
      <c r="G243" s="14">
        <v>11.26</v>
      </c>
      <c r="H243" s="569"/>
      <c r="I243" s="55" t="s">
        <v>1720</v>
      </c>
      <c r="J243" s="14">
        <f>G243*AO243</f>
        <v>0</v>
      </c>
      <c r="K243" s="14">
        <f>G243*AP243</f>
        <v>0</v>
      </c>
      <c r="L243" s="14">
        <f>G243*H243</f>
        <v>0</v>
      </c>
      <c r="M243" s="14">
        <f>L243*(1+BW243/100)</f>
        <v>0</v>
      </c>
      <c r="N243" s="14">
        <v>1.8427199999999999</v>
      </c>
      <c r="O243" s="14">
        <f>G243*N243</f>
        <v>20.749027199999997</v>
      </c>
      <c r="P243" s="72" t="s">
        <v>1664</v>
      </c>
      <c r="Z243" s="14">
        <f>IF(AQ243="5",BJ243,0)</f>
        <v>0</v>
      </c>
      <c r="AB243" s="14">
        <f>IF(AQ243="1",BH243,0)</f>
        <v>0</v>
      </c>
      <c r="AC243" s="14">
        <f>IF(AQ243="1",BI243,0)</f>
        <v>0</v>
      </c>
      <c r="AD243" s="14">
        <f>IF(AQ243="7",BH243,0)</f>
        <v>0</v>
      </c>
      <c r="AE243" s="14">
        <f>IF(AQ243="7",BI243,0)</f>
        <v>0</v>
      </c>
      <c r="AF243" s="14">
        <f>IF(AQ243="2",BH243,0)</f>
        <v>0</v>
      </c>
      <c r="AG243" s="14">
        <f>IF(AQ243="2",BI243,0)</f>
        <v>0</v>
      </c>
      <c r="AH243" s="14">
        <f>IF(AQ243="0",BJ243,0)</f>
        <v>0</v>
      </c>
      <c r="AI243" s="15" t="s">
        <v>1842</v>
      </c>
      <c r="AJ243" s="14">
        <f>IF(AN243=0,L243,0)</f>
        <v>0</v>
      </c>
      <c r="AK243" s="14">
        <f>IF(AN243=15,L243,0)</f>
        <v>0</v>
      </c>
      <c r="AL243" s="14">
        <f>IF(AN243=21,L243,0)</f>
        <v>0</v>
      </c>
      <c r="AN243" s="14">
        <v>21</v>
      </c>
      <c r="AO243" s="92">
        <f>H243*0.696832666132906</f>
        <v>0</v>
      </c>
      <c r="AP243" s="92">
        <f>H243*(1-0.696832666132906)</f>
        <v>0</v>
      </c>
      <c r="AQ243" s="55" t="s">
        <v>2422</v>
      </c>
      <c r="AV243" s="14">
        <f>AW243+AX243</f>
        <v>0</v>
      </c>
      <c r="AW243" s="14">
        <f>G243*AO243</f>
        <v>0</v>
      </c>
      <c r="AX243" s="14">
        <f>G243*AP243</f>
        <v>0</v>
      </c>
      <c r="AY243" s="55" t="s">
        <v>1757</v>
      </c>
      <c r="AZ243" s="55" t="s">
        <v>202</v>
      </c>
      <c r="BA243" s="15" t="s">
        <v>1843</v>
      </c>
      <c r="BC243" s="14">
        <f>AW243+AX243</f>
        <v>0</v>
      </c>
      <c r="BD243" s="14">
        <f>H243/(100-BE243)*100</f>
        <v>0</v>
      </c>
      <c r="BE243" s="14">
        <v>0</v>
      </c>
      <c r="BF243" s="14">
        <f>O243</f>
        <v>20.749027199999997</v>
      </c>
      <c r="BH243" s="14">
        <f>G243*AO243</f>
        <v>0</v>
      </c>
      <c r="BI243" s="14">
        <f>G243*AP243</f>
        <v>0</v>
      </c>
      <c r="BJ243" s="14">
        <f>G243*H243</f>
        <v>0</v>
      </c>
      <c r="BK243" s="14"/>
      <c r="BL243" s="14">
        <v>31</v>
      </c>
      <c r="BW243" s="14" t="str">
        <f>I243</f>
        <v>21</v>
      </c>
    </row>
    <row r="244" spans="1:75" ht="15" customHeight="1">
      <c r="A244" s="32"/>
      <c r="D244" s="3" t="s">
        <v>1904</v>
      </c>
      <c r="E244" s="28" t="s">
        <v>2249</v>
      </c>
      <c r="G244" s="27">
        <v>10.56</v>
      </c>
      <c r="P244" s="33"/>
    </row>
    <row r="245" spans="1:75" ht="15" customHeight="1">
      <c r="A245" s="32"/>
      <c r="D245" s="3" t="s">
        <v>2686</v>
      </c>
      <c r="E245" s="28" t="s">
        <v>535</v>
      </c>
      <c r="G245" s="27">
        <v>0.70000000000000007</v>
      </c>
      <c r="P245" s="33"/>
    </row>
    <row r="246" spans="1:75" ht="15" customHeight="1">
      <c r="A246" s="65" t="s">
        <v>1683</v>
      </c>
      <c r="B246" s="26" t="s">
        <v>1842</v>
      </c>
      <c r="C246" s="26" t="s">
        <v>2723</v>
      </c>
      <c r="D246" s="649" t="s">
        <v>562</v>
      </c>
      <c r="E246" s="650"/>
      <c r="F246" s="74" t="s">
        <v>2262</v>
      </c>
      <c r="G246" s="74" t="s">
        <v>2262</v>
      </c>
      <c r="H246" s="74" t="s">
        <v>2262</v>
      </c>
      <c r="I246" s="74" t="s">
        <v>2262</v>
      </c>
      <c r="J246" s="2">
        <f>SUM(J247:J265)</f>
        <v>0</v>
      </c>
      <c r="K246" s="2">
        <f>SUM(K247:K265)</f>
        <v>0</v>
      </c>
      <c r="L246" s="2">
        <f>SUM(L247:L265)</f>
        <v>0</v>
      </c>
      <c r="M246" s="2">
        <f>SUM(M247:M265)</f>
        <v>0</v>
      </c>
      <c r="N246" s="15" t="s">
        <v>1683</v>
      </c>
      <c r="O246" s="2">
        <f>SUM(O247:O265)</f>
        <v>13.7756402</v>
      </c>
      <c r="P246" s="47" t="s">
        <v>1683</v>
      </c>
      <c r="AI246" s="15" t="s">
        <v>1842</v>
      </c>
      <c r="AS246" s="2">
        <f>SUM(AJ247:AJ265)</f>
        <v>0</v>
      </c>
      <c r="AT246" s="2">
        <f>SUM(AK247:AK265)</f>
        <v>0</v>
      </c>
      <c r="AU246" s="2">
        <f>SUM(AL247:AL265)</f>
        <v>0</v>
      </c>
    </row>
    <row r="247" spans="1:75" ht="13.5" customHeight="1">
      <c r="A247" s="21" t="s">
        <v>1589</v>
      </c>
      <c r="B247" s="37" t="s">
        <v>1842</v>
      </c>
      <c r="C247" s="37" t="s">
        <v>967</v>
      </c>
      <c r="D247" s="578" t="s">
        <v>2119</v>
      </c>
      <c r="E247" s="579"/>
      <c r="F247" s="37" t="s">
        <v>2398</v>
      </c>
      <c r="G247" s="14">
        <v>478.7</v>
      </c>
      <c r="H247" s="569"/>
      <c r="I247" s="55" t="s">
        <v>1720</v>
      </c>
      <c r="J247" s="14">
        <f>G247*AO247</f>
        <v>0</v>
      </c>
      <c r="K247" s="14">
        <f>G247*AP247</f>
        <v>0</v>
      </c>
      <c r="L247" s="14">
        <f>G247*H247</f>
        <v>0</v>
      </c>
      <c r="M247" s="14">
        <f>L247*(1+BW247/100)</f>
        <v>0</v>
      </c>
      <c r="N247" s="14">
        <v>1.2149999999999999E-2</v>
      </c>
      <c r="O247" s="14">
        <f>G247*N247</f>
        <v>5.8162049999999992</v>
      </c>
      <c r="P247" s="72" t="s">
        <v>1664</v>
      </c>
      <c r="Z247" s="14">
        <f>IF(AQ247="5",BJ247,0)</f>
        <v>0</v>
      </c>
      <c r="AB247" s="14">
        <f>IF(AQ247="1",BH247,0)</f>
        <v>0</v>
      </c>
      <c r="AC247" s="14">
        <f>IF(AQ247="1",BI247,0)</f>
        <v>0</v>
      </c>
      <c r="AD247" s="14">
        <f>IF(AQ247="7",BH247,0)</f>
        <v>0</v>
      </c>
      <c r="AE247" s="14">
        <f>IF(AQ247="7",BI247,0)</f>
        <v>0</v>
      </c>
      <c r="AF247" s="14">
        <f>IF(AQ247="2",BH247,0)</f>
        <v>0</v>
      </c>
      <c r="AG247" s="14">
        <f>IF(AQ247="2",BI247,0)</f>
        <v>0</v>
      </c>
      <c r="AH247" s="14">
        <f>IF(AQ247="0",BJ247,0)</f>
        <v>0</v>
      </c>
      <c r="AI247" s="15" t="s">
        <v>1842</v>
      </c>
      <c r="AJ247" s="14">
        <f>IF(AN247=0,L247,0)</f>
        <v>0</v>
      </c>
      <c r="AK247" s="14">
        <f>IF(AN247=15,L247,0)</f>
        <v>0</v>
      </c>
      <c r="AL247" s="14">
        <f>IF(AN247=21,L247,0)</f>
        <v>0</v>
      </c>
      <c r="AN247" s="14">
        <v>21</v>
      </c>
      <c r="AO247" s="92">
        <f>H247*0.422757390585901</f>
        <v>0</v>
      </c>
      <c r="AP247" s="92">
        <f>H247*(1-0.422757390585901)</f>
        <v>0</v>
      </c>
      <c r="AQ247" s="55" t="s">
        <v>2422</v>
      </c>
      <c r="AV247" s="14">
        <f>AW247+AX247</f>
        <v>0</v>
      </c>
      <c r="AW247" s="14">
        <f>G247*AO247</f>
        <v>0</v>
      </c>
      <c r="AX247" s="14">
        <f>G247*AP247</f>
        <v>0</v>
      </c>
      <c r="AY247" s="55" t="s">
        <v>1728</v>
      </c>
      <c r="AZ247" s="55" t="s">
        <v>202</v>
      </c>
      <c r="BA247" s="15" t="s">
        <v>1843</v>
      </c>
      <c r="BC247" s="14">
        <f>AW247+AX247</f>
        <v>0</v>
      </c>
      <c r="BD247" s="14">
        <f>H247/(100-BE247)*100</f>
        <v>0</v>
      </c>
      <c r="BE247" s="14">
        <v>0</v>
      </c>
      <c r="BF247" s="14">
        <f>O247</f>
        <v>5.8162049999999992</v>
      </c>
      <c r="BH247" s="14">
        <f>G247*AO247</f>
        <v>0</v>
      </c>
      <c r="BI247" s="14">
        <f>G247*AP247</f>
        <v>0</v>
      </c>
      <c r="BJ247" s="14">
        <f>G247*H247</f>
        <v>0</v>
      </c>
      <c r="BK247" s="14"/>
      <c r="BL247" s="14">
        <v>34</v>
      </c>
      <c r="BW247" s="14" t="str">
        <f>I247</f>
        <v>21</v>
      </c>
    </row>
    <row r="248" spans="1:75" ht="15" customHeight="1">
      <c r="A248" s="32"/>
      <c r="D248" s="3" t="s">
        <v>941</v>
      </c>
      <c r="E248" s="28" t="s">
        <v>1145</v>
      </c>
      <c r="G248" s="27">
        <v>254.70000000000002</v>
      </c>
      <c r="P248" s="33"/>
    </row>
    <row r="249" spans="1:75" ht="15" customHeight="1">
      <c r="A249" s="32"/>
      <c r="D249" s="3" t="s">
        <v>456</v>
      </c>
      <c r="E249" s="28" t="s">
        <v>2692</v>
      </c>
      <c r="G249" s="27">
        <v>82</v>
      </c>
      <c r="P249" s="33"/>
    </row>
    <row r="250" spans="1:75" ht="15" customHeight="1">
      <c r="A250" s="32"/>
      <c r="D250" s="3" t="s">
        <v>979</v>
      </c>
      <c r="E250" s="28" t="s">
        <v>80</v>
      </c>
      <c r="G250" s="27">
        <v>142</v>
      </c>
      <c r="P250" s="33"/>
    </row>
    <row r="251" spans="1:75" ht="13.5" customHeight="1">
      <c r="A251" s="20" t="s">
        <v>111</v>
      </c>
      <c r="B251" s="84" t="s">
        <v>1842</v>
      </c>
      <c r="C251" s="84" t="s">
        <v>373</v>
      </c>
      <c r="D251" s="653" t="s">
        <v>1349</v>
      </c>
      <c r="E251" s="654"/>
      <c r="F251" s="84" t="s">
        <v>2398</v>
      </c>
      <c r="G251" s="6">
        <v>415.8</v>
      </c>
      <c r="H251" s="570"/>
      <c r="I251" s="18" t="s">
        <v>1720</v>
      </c>
      <c r="J251" s="6">
        <f>G251*AO251</f>
        <v>0</v>
      </c>
      <c r="K251" s="6">
        <f>G251*AP251</f>
        <v>0</v>
      </c>
      <c r="L251" s="6">
        <f>G251*H251</f>
        <v>0</v>
      </c>
      <c r="M251" s="6">
        <f>L251*(1+BW251/100)</f>
        <v>0</v>
      </c>
      <c r="N251" s="6">
        <v>1.1199999999999999E-3</v>
      </c>
      <c r="O251" s="6">
        <f>G251*N251</f>
        <v>0.465696</v>
      </c>
      <c r="P251" s="109" t="s">
        <v>1664</v>
      </c>
      <c r="Z251" s="14">
        <f>IF(AQ251="5",BJ251,0)</f>
        <v>0</v>
      </c>
      <c r="AB251" s="14">
        <f>IF(AQ251="1",BH251,0)</f>
        <v>0</v>
      </c>
      <c r="AC251" s="14">
        <f>IF(AQ251="1",BI251,0)</f>
        <v>0</v>
      </c>
      <c r="AD251" s="14">
        <f>IF(AQ251="7",BH251,0)</f>
        <v>0</v>
      </c>
      <c r="AE251" s="14">
        <f>IF(AQ251="7",BI251,0)</f>
        <v>0</v>
      </c>
      <c r="AF251" s="14">
        <f>IF(AQ251="2",BH251,0)</f>
        <v>0</v>
      </c>
      <c r="AG251" s="14">
        <f>IF(AQ251="2",BI251,0)</f>
        <v>0</v>
      </c>
      <c r="AH251" s="14">
        <f>IF(AQ251="0",BJ251,0)</f>
        <v>0</v>
      </c>
      <c r="AI251" s="15" t="s">
        <v>1842</v>
      </c>
      <c r="AJ251" s="6">
        <f>IF(AN251=0,L251,0)</f>
        <v>0</v>
      </c>
      <c r="AK251" s="6">
        <f>IF(AN251=15,L251,0)</f>
        <v>0</v>
      </c>
      <c r="AL251" s="6">
        <f>IF(AN251=21,L251,0)</f>
        <v>0</v>
      </c>
      <c r="AN251" s="14">
        <v>21</v>
      </c>
      <c r="AO251" s="92">
        <f>H251*1</f>
        <v>0</v>
      </c>
      <c r="AP251" s="92">
        <f>H251*(1-1)</f>
        <v>0</v>
      </c>
      <c r="AQ251" s="18" t="s">
        <v>2422</v>
      </c>
      <c r="AV251" s="14">
        <f>AW251+AX251</f>
        <v>0</v>
      </c>
      <c r="AW251" s="14">
        <f>G251*AO251</f>
        <v>0</v>
      </c>
      <c r="AX251" s="14">
        <f>G251*AP251</f>
        <v>0</v>
      </c>
      <c r="AY251" s="55" t="s">
        <v>1728</v>
      </c>
      <c r="AZ251" s="55" t="s">
        <v>202</v>
      </c>
      <c r="BA251" s="15" t="s">
        <v>1843</v>
      </c>
      <c r="BC251" s="14">
        <f>AW251+AX251</f>
        <v>0</v>
      </c>
      <c r="BD251" s="14">
        <f>H251/(100-BE251)*100</f>
        <v>0</v>
      </c>
      <c r="BE251" s="14">
        <v>0</v>
      </c>
      <c r="BF251" s="14">
        <f>O251</f>
        <v>0.465696</v>
      </c>
      <c r="BH251" s="6">
        <f>G251*AO251</f>
        <v>0</v>
      </c>
      <c r="BI251" s="6">
        <f>G251*AP251</f>
        <v>0</v>
      </c>
      <c r="BJ251" s="6">
        <f>G251*H251</f>
        <v>0</v>
      </c>
      <c r="BK251" s="6"/>
      <c r="BL251" s="14">
        <v>34</v>
      </c>
      <c r="BW251" s="14" t="str">
        <f>I251</f>
        <v>21</v>
      </c>
    </row>
    <row r="252" spans="1:75" ht="15" customHeight="1">
      <c r="A252" s="32"/>
      <c r="D252" s="3" t="s">
        <v>454</v>
      </c>
      <c r="E252" s="28" t="s">
        <v>1971</v>
      </c>
      <c r="G252" s="27">
        <v>396.00000000000006</v>
      </c>
      <c r="P252" s="33"/>
    </row>
    <row r="253" spans="1:75" ht="15" customHeight="1">
      <c r="A253" s="32"/>
      <c r="D253" s="3" t="s">
        <v>2247</v>
      </c>
      <c r="E253" s="28" t="s">
        <v>1683</v>
      </c>
      <c r="G253" s="27">
        <v>19.8</v>
      </c>
      <c r="P253" s="33"/>
    </row>
    <row r="254" spans="1:75" ht="13.5" customHeight="1">
      <c r="A254" s="21" t="s">
        <v>2639</v>
      </c>
      <c r="B254" s="37" t="s">
        <v>1842</v>
      </c>
      <c r="C254" s="37" t="s">
        <v>1593</v>
      </c>
      <c r="D254" s="578" t="s">
        <v>277</v>
      </c>
      <c r="E254" s="579"/>
      <c r="F254" s="37" t="s">
        <v>2398</v>
      </c>
      <c r="G254" s="14">
        <v>254</v>
      </c>
      <c r="H254" s="569"/>
      <c r="I254" s="55" t="s">
        <v>1720</v>
      </c>
      <c r="J254" s="14">
        <f>G254*AO254</f>
        <v>0</v>
      </c>
      <c r="K254" s="14">
        <f>G254*AP254</f>
        <v>0</v>
      </c>
      <c r="L254" s="14">
        <f>G254*H254</f>
        <v>0</v>
      </c>
      <c r="M254" s="14">
        <f>L254*(1+BW254/100)</f>
        <v>0</v>
      </c>
      <c r="N254" s="14">
        <v>1.81E-3</v>
      </c>
      <c r="O254" s="14">
        <f>G254*N254</f>
        <v>0.45973999999999998</v>
      </c>
      <c r="P254" s="72" t="s">
        <v>1664</v>
      </c>
      <c r="Z254" s="14">
        <f>IF(AQ254="5",BJ254,0)</f>
        <v>0</v>
      </c>
      <c r="AB254" s="14">
        <f>IF(AQ254="1",BH254,0)</f>
        <v>0</v>
      </c>
      <c r="AC254" s="14">
        <f>IF(AQ254="1",BI254,0)</f>
        <v>0</v>
      </c>
      <c r="AD254" s="14">
        <f>IF(AQ254="7",BH254,0)</f>
        <v>0</v>
      </c>
      <c r="AE254" s="14">
        <f>IF(AQ254="7",BI254,0)</f>
        <v>0</v>
      </c>
      <c r="AF254" s="14">
        <f>IF(AQ254="2",BH254,0)</f>
        <v>0</v>
      </c>
      <c r="AG254" s="14">
        <f>IF(AQ254="2",BI254,0)</f>
        <v>0</v>
      </c>
      <c r="AH254" s="14">
        <f>IF(AQ254="0",BJ254,0)</f>
        <v>0</v>
      </c>
      <c r="AI254" s="15" t="s">
        <v>1842</v>
      </c>
      <c r="AJ254" s="14">
        <f>IF(AN254=0,L254,0)</f>
        <v>0</v>
      </c>
      <c r="AK254" s="14">
        <f>IF(AN254=15,L254,0)</f>
        <v>0</v>
      </c>
      <c r="AL254" s="14">
        <f>IF(AN254=21,L254,0)</f>
        <v>0</v>
      </c>
      <c r="AN254" s="14">
        <v>21</v>
      </c>
      <c r="AO254" s="92">
        <f>H254*0.697743055555556</f>
        <v>0</v>
      </c>
      <c r="AP254" s="92">
        <f>H254*(1-0.697743055555556)</f>
        <v>0</v>
      </c>
      <c r="AQ254" s="55" t="s">
        <v>2422</v>
      </c>
      <c r="AV254" s="14">
        <f>AW254+AX254</f>
        <v>0</v>
      </c>
      <c r="AW254" s="14">
        <f>G254*AO254</f>
        <v>0</v>
      </c>
      <c r="AX254" s="14">
        <f>G254*AP254</f>
        <v>0</v>
      </c>
      <c r="AY254" s="55" t="s">
        <v>1728</v>
      </c>
      <c r="AZ254" s="55" t="s">
        <v>202</v>
      </c>
      <c r="BA254" s="15" t="s">
        <v>1843</v>
      </c>
      <c r="BC254" s="14">
        <f>AW254+AX254</f>
        <v>0</v>
      </c>
      <c r="BD254" s="14">
        <f>H254/(100-BE254)*100</f>
        <v>0</v>
      </c>
      <c r="BE254" s="14">
        <v>0</v>
      </c>
      <c r="BF254" s="14">
        <f>O254</f>
        <v>0.45973999999999998</v>
      </c>
      <c r="BH254" s="14">
        <f>G254*AO254</f>
        <v>0</v>
      </c>
      <c r="BI254" s="14">
        <f>G254*AP254</f>
        <v>0</v>
      </c>
      <c r="BJ254" s="14">
        <f>G254*H254</f>
        <v>0</v>
      </c>
      <c r="BK254" s="14"/>
      <c r="BL254" s="14">
        <v>34</v>
      </c>
      <c r="BW254" s="14" t="str">
        <f>I254</f>
        <v>21</v>
      </c>
    </row>
    <row r="255" spans="1:75" ht="15" customHeight="1">
      <c r="A255" s="32"/>
      <c r="D255" s="3" t="s">
        <v>673</v>
      </c>
      <c r="E255" s="28" t="s">
        <v>1683</v>
      </c>
      <c r="G255" s="27">
        <v>254.00000000000003</v>
      </c>
      <c r="P255" s="33"/>
    </row>
    <row r="256" spans="1:75" ht="13.5" customHeight="1">
      <c r="A256" s="21" t="s">
        <v>2603</v>
      </c>
      <c r="B256" s="37" t="s">
        <v>1842</v>
      </c>
      <c r="C256" s="37" t="s">
        <v>232</v>
      </c>
      <c r="D256" s="578" t="s">
        <v>485</v>
      </c>
      <c r="E256" s="579"/>
      <c r="F256" s="37" t="s">
        <v>595</v>
      </c>
      <c r="G256" s="14">
        <v>4</v>
      </c>
      <c r="H256" s="569"/>
      <c r="I256" s="55" t="s">
        <v>1720</v>
      </c>
      <c r="J256" s="14">
        <f>G256*AO256</f>
        <v>0</v>
      </c>
      <c r="K256" s="14">
        <f>G256*AP256</f>
        <v>0</v>
      </c>
      <c r="L256" s="14">
        <f>G256*H256</f>
        <v>0</v>
      </c>
      <c r="M256" s="14">
        <f>L256*(1+BW256/100)</f>
        <v>0</v>
      </c>
      <c r="N256" s="14">
        <v>7.3200000000000001E-3</v>
      </c>
      <c r="O256" s="14">
        <f>G256*N256</f>
        <v>2.928E-2</v>
      </c>
      <c r="P256" s="72" t="s">
        <v>1664</v>
      </c>
      <c r="Z256" s="14">
        <f>IF(AQ256="5",BJ256,0)</f>
        <v>0</v>
      </c>
      <c r="AB256" s="14">
        <f>IF(AQ256="1",BH256,0)</f>
        <v>0</v>
      </c>
      <c r="AC256" s="14">
        <f>IF(AQ256="1",BI256,0)</f>
        <v>0</v>
      </c>
      <c r="AD256" s="14">
        <f>IF(AQ256="7",BH256,0)</f>
        <v>0</v>
      </c>
      <c r="AE256" s="14">
        <f>IF(AQ256="7",BI256,0)</f>
        <v>0</v>
      </c>
      <c r="AF256" s="14">
        <f>IF(AQ256="2",BH256,0)</f>
        <v>0</v>
      </c>
      <c r="AG256" s="14">
        <f>IF(AQ256="2",BI256,0)</f>
        <v>0</v>
      </c>
      <c r="AH256" s="14">
        <f>IF(AQ256="0",BJ256,0)</f>
        <v>0</v>
      </c>
      <c r="AI256" s="15" t="s">
        <v>1842</v>
      </c>
      <c r="AJ256" s="14">
        <f>IF(AN256=0,L256,0)</f>
        <v>0</v>
      </c>
      <c r="AK256" s="14">
        <f>IF(AN256=15,L256,0)</f>
        <v>0</v>
      </c>
      <c r="AL256" s="14">
        <f>IF(AN256=21,L256,0)</f>
        <v>0</v>
      </c>
      <c r="AN256" s="14">
        <v>21</v>
      </c>
      <c r="AO256" s="92">
        <f>H256*0.885013106159895</f>
        <v>0</v>
      </c>
      <c r="AP256" s="92">
        <f>H256*(1-0.885013106159895)</f>
        <v>0</v>
      </c>
      <c r="AQ256" s="55" t="s">
        <v>2422</v>
      </c>
      <c r="AV256" s="14">
        <f>AW256+AX256</f>
        <v>0</v>
      </c>
      <c r="AW256" s="14">
        <f>G256*AO256</f>
        <v>0</v>
      </c>
      <c r="AX256" s="14">
        <f>G256*AP256</f>
        <v>0</v>
      </c>
      <c r="AY256" s="55" t="s">
        <v>1728</v>
      </c>
      <c r="AZ256" s="55" t="s">
        <v>202</v>
      </c>
      <c r="BA256" s="15" t="s">
        <v>1843</v>
      </c>
      <c r="BC256" s="14">
        <f>AW256+AX256</f>
        <v>0</v>
      </c>
      <c r="BD256" s="14">
        <f>H256/(100-BE256)*100</f>
        <v>0</v>
      </c>
      <c r="BE256" s="14">
        <v>0</v>
      </c>
      <c r="BF256" s="14">
        <f>O256</f>
        <v>2.928E-2</v>
      </c>
      <c r="BH256" s="14">
        <f>G256*AO256</f>
        <v>0</v>
      </c>
      <c r="BI256" s="14">
        <f>G256*AP256</f>
        <v>0</v>
      </c>
      <c r="BJ256" s="14">
        <f>G256*H256</f>
        <v>0</v>
      </c>
      <c r="BK256" s="14"/>
      <c r="BL256" s="14">
        <v>34</v>
      </c>
      <c r="BW256" s="14" t="str">
        <f>I256</f>
        <v>21</v>
      </c>
    </row>
    <row r="257" spans="1:75" ht="15" customHeight="1">
      <c r="A257" s="32"/>
      <c r="D257" s="3" t="s">
        <v>272</v>
      </c>
      <c r="E257" s="28" t="s">
        <v>1683</v>
      </c>
      <c r="G257" s="27">
        <v>4</v>
      </c>
      <c r="P257" s="33"/>
    </row>
    <row r="258" spans="1:75" ht="13.5" customHeight="1">
      <c r="A258" s="21" t="s">
        <v>2598</v>
      </c>
      <c r="B258" s="37" t="s">
        <v>1842</v>
      </c>
      <c r="C258" s="37" t="s">
        <v>2460</v>
      </c>
      <c r="D258" s="578" t="s">
        <v>1721</v>
      </c>
      <c r="E258" s="579"/>
      <c r="F258" s="37" t="s">
        <v>595</v>
      </c>
      <c r="G258" s="14">
        <v>2</v>
      </c>
      <c r="H258" s="569"/>
      <c r="I258" s="55" t="s">
        <v>1720</v>
      </c>
      <c r="J258" s="14">
        <f>G258*AO258</f>
        <v>0</v>
      </c>
      <c r="K258" s="14">
        <f>G258*AP258</f>
        <v>0</v>
      </c>
      <c r="L258" s="14">
        <f>G258*H258</f>
        <v>0</v>
      </c>
      <c r="M258" s="14">
        <f>L258*(1+BW258/100)</f>
        <v>0</v>
      </c>
      <c r="N258" s="14">
        <v>4.8700000000000002E-3</v>
      </c>
      <c r="O258" s="14">
        <f>G258*N258</f>
        <v>9.7400000000000004E-3</v>
      </c>
      <c r="P258" s="72" t="s">
        <v>1664</v>
      </c>
      <c r="Z258" s="14">
        <f>IF(AQ258="5",BJ258,0)</f>
        <v>0</v>
      </c>
      <c r="AB258" s="14">
        <f>IF(AQ258="1",BH258,0)</f>
        <v>0</v>
      </c>
      <c r="AC258" s="14">
        <f>IF(AQ258="1",BI258,0)</f>
        <v>0</v>
      </c>
      <c r="AD258" s="14">
        <f>IF(AQ258="7",BH258,0)</f>
        <v>0</v>
      </c>
      <c r="AE258" s="14">
        <f>IF(AQ258="7",BI258,0)</f>
        <v>0</v>
      </c>
      <c r="AF258" s="14">
        <f>IF(AQ258="2",BH258,0)</f>
        <v>0</v>
      </c>
      <c r="AG258" s="14">
        <f>IF(AQ258="2",BI258,0)</f>
        <v>0</v>
      </c>
      <c r="AH258" s="14">
        <f>IF(AQ258="0",BJ258,0)</f>
        <v>0</v>
      </c>
      <c r="AI258" s="15" t="s">
        <v>1842</v>
      </c>
      <c r="AJ258" s="14">
        <f>IF(AN258=0,L258,0)</f>
        <v>0</v>
      </c>
      <c r="AK258" s="14">
        <f>IF(AN258=15,L258,0)</f>
        <v>0</v>
      </c>
      <c r="AL258" s="14">
        <f>IF(AN258=21,L258,0)</f>
        <v>0</v>
      </c>
      <c r="AN258" s="14">
        <v>21</v>
      </c>
      <c r="AO258" s="92">
        <f>H258*0.873489545782264</f>
        <v>0</v>
      </c>
      <c r="AP258" s="92">
        <f>H258*(1-0.873489545782264)</f>
        <v>0</v>
      </c>
      <c r="AQ258" s="55" t="s">
        <v>2422</v>
      </c>
      <c r="AV258" s="14">
        <f>AW258+AX258</f>
        <v>0</v>
      </c>
      <c r="AW258" s="14">
        <f>G258*AO258</f>
        <v>0</v>
      </c>
      <c r="AX258" s="14">
        <f>G258*AP258</f>
        <v>0</v>
      </c>
      <c r="AY258" s="55" t="s">
        <v>1728</v>
      </c>
      <c r="AZ258" s="55" t="s">
        <v>202</v>
      </c>
      <c r="BA258" s="15" t="s">
        <v>1843</v>
      </c>
      <c r="BC258" s="14">
        <f>AW258+AX258</f>
        <v>0</v>
      </c>
      <c r="BD258" s="14">
        <f>H258/(100-BE258)*100</f>
        <v>0</v>
      </c>
      <c r="BE258" s="14">
        <v>0</v>
      </c>
      <c r="BF258" s="14">
        <f>O258</f>
        <v>9.7400000000000004E-3</v>
      </c>
      <c r="BH258" s="14">
        <f>G258*AO258</f>
        <v>0</v>
      </c>
      <c r="BI258" s="14">
        <f>G258*AP258</f>
        <v>0</v>
      </c>
      <c r="BJ258" s="14">
        <f>G258*H258</f>
        <v>0</v>
      </c>
      <c r="BK258" s="14"/>
      <c r="BL258" s="14">
        <v>34</v>
      </c>
      <c r="BW258" s="14" t="str">
        <f>I258</f>
        <v>21</v>
      </c>
    </row>
    <row r="259" spans="1:75" ht="15" customHeight="1">
      <c r="A259" s="32"/>
      <c r="D259" s="3" t="s">
        <v>1676</v>
      </c>
      <c r="E259" s="28" t="s">
        <v>1683</v>
      </c>
      <c r="G259" s="27">
        <v>2</v>
      </c>
      <c r="P259" s="33"/>
    </row>
    <row r="260" spans="1:75" ht="13.5" customHeight="1">
      <c r="A260" s="21" t="s">
        <v>107</v>
      </c>
      <c r="B260" s="37" t="s">
        <v>1842</v>
      </c>
      <c r="C260" s="37" t="s">
        <v>606</v>
      </c>
      <c r="D260" s="578" t="s">
        <v>657</v>
      </c>
      <c r="E260" s="579"/>
      <c r="F260" s="37" t="s">
        <v>2398</v>
      </c>
      <c r="G260" s="14">
        <v>284.88</v>
      </c>
      <c r="H260" s="569"/>
      <c r="I260" s="55" t="s">
        <v>1720</v>
      </c>
      <c r="J260" s="14">
        <f>G260*AO260</f>
        <v>0</v>
      </c>
      <c r="K260" s="14">
        <f>G260*AP260</f>
        <v>0</v>
      </c>
      <c r="L260" s="14">
        <f>G260*H260</f>
        <v>0</v>
      </c>
      <c r="M260" s="14">
        <f>L260*(1+BW260/100)</f>
        <v>0</v>
      </c>
      <c r="N260" s="14">
        <v>1.388E-2</v>
      </c>
      <c r="O260" s="14">
        <f>G260*N260</f>
        <v>3.9541344</v>
      </c>
      <c r="P260" s="72" t="s">
        <v>1664</v>
      </c>
      <c r="Z260" s="14">
        <f>IF(AQ260="5",BJ260,0)</f>
        <v>0</v>
      </c>
      <c r="AB260" s="14">
        <f>IF(AQ260="1",BH260,0)</f>
        <v>0</v>
      </c>
      <c r="AC260" s="14">
        <f>IF(AQ260="1",BI260,0)</f>
        <v>0</v>
      </c>
      <c r="AD260" s="14">
        <f>IF(AQ260="7",BH260,0)</f>
        <v>0</v>
      </c>
      <c r="AE260" s="14">
        <f>IF(AQ260="7",BI260,0)</f>
        <v>0</v>
      </c>
      <c r="AF260" s="14">
        <f>IF(AQ260="2",BH260,0)</f>
        <v>0</v>
      </c>
      <c r="AG260" s="14">
        <f>IF(AQ260="2",BI260,0)</f>
        <v>0</v>
      </c>
      <c r="AH260" s="14">
        <f>IF(AQ260="0",BJ260,0)</f>
        <v>0</v>
      </c>
      <c r="AI260" s="15" t="s">
        <v>1842</v>
      </c>
      <c r="AJ260" s="14">
        <f>IF(AN260=0,L260,0)</f>
        <v>0</v>
      </c>
      <c r="AK260" s="14">
        <f>IF(AN260=15,L260,0)</f>
        <v>0</v>
      </c>
      <c r="AL260" s="14">
        <f>IF(AN260=21,L260,0)</f>
        <v>0</v>
      </c>
      <c r="AN260" s="14">
        <v>21</v>
      </c>
      <c r="AO260" s="92">
        <f>H260*0.469290085679315</f>
        <v>0</v>
      </c>
      <c r="AP260" s="92">
        <f>H260*(1-0.469290085679315)</f>
        <v>0</v>
      </c>
      <c r="AQ260" s="55" t="s">
        <v>2422</v>
      </c>
      <c r="AV260" s="14">
        <f>AW260+AX260</f>
        <v>0</v>
      </c>
      <c r="AW260" s="14">
        <f>G260*AO260</f>
        <v>0</v>
      </c>
      <c r="AX260" s="14">
        <f>G260*AP260</f>
        <v>0</v>
      </c>
      <c r="AY260" s="55" t="s">
        <v>1728</v>
      </c>
      <c r="AZ260" s="55" t="s">
        <v>202</v>
      </c>
      <c r="BA260" s="15" t="s">
        <v>1843</v>
      </c>
      <c r="BC260" s="14">
        <f>AW260+AX260</f>
        <v>0</v>
      </c>
      <c r="BD260" s="14">
        <f>H260/(100-BE260)*100</f>
        <v>0</v>
      </c>
      <c r="BE260" s="14">
        <v>0</v>
      </c>
      <c r="BF260" s="14">
        <f>O260</f>
        <v>3.9541344</v>
      </c>
      <c r="BH260" s="14">
        <f>G260*AO260</f>
        <v>0</v>
      </c>
      <c r="BI260" s="14">
        <f>G260*AP260</f>
        <v>0</v>
      </c>
      <c r="BJ260" s="14">
        <f>G260*H260</f>
        <v>0</v>
      </c>
      <c r="BK260" s="14"/>
      <c r="BL260" s="14">
        <v>34</v>
      </c>
      <c r="BW260" s="14" t="str">
        <f>I260</f>
        <v>21</v>
      </c>
    </row>
    <row r="261" spans="1:75" ht="15" customHeight="1">
      <c r="A261" s="32"/>
      <c r="D261" s="3" t="s">
        <v>1329</v>
      </c>
      <c r="E261" s="28" t="s">
        <v>1936</v>
      </c>
      <c r="G261" s="27">
        <v>185.92000000000002</v>
      </c>
      <c r="P261" s="33"/>
    </row>
    <row r="262" spans="1:75" ht="15" customHeight="1">
      <c r="A262" s="32"/>
      <c r="D262" s="3" t="s">
        <v>536</v>
      </c>
      <c r="E262" s="28" t="s">
        <v>2502</v>
      </c>
      <c r="G262" s="27">
        <v>-63.290000000000006</v>
      </c>
      <c r="P262" s="33"/>
    </row>
    <row r="263" spans="1:75" ht="15" customHeight="1">
      <c r="A263" s="32"/>
      <c r="D263" s="3" t="s">
        <v>2433</v>
      </c>
      <c r="E263" s="28" t="s">
        <v>1357</v>
      </c>
      <c r="G263" s="27">
        <v>170.24</v>
      </c>
      <c r="P263" s="33"/>
    </row>
    <row r="264" spans="1:75" ht="15" customHeight="1">
      <c r="A264" s="32"/>
      <c r="D264" s="3" t="s">
        <v>116</v>
      </c>
      <c r="E264" s="28" t="s">
        <v>2502</v>
      </c>
      <c r="G264" s="27">
        <v>-7.99</v>
      </c>
      <c r="P264" s="33"/>
    </row>
    <row r="265" spans="1:75" ht="13.5" customHeight="1">
      <c r="A265" s="21" t="s">
        <v>2</v>
      </c>
      <c r="B265" s="37" t="s">
        <v>1842</v>
      </c>
      <c r="C265" s="37" t="s">
        <v>622</v>
      </c>
      <c r="D265" s="578" t="s">
        <v>1109</v>
      </c>
      <c r="E265" s="579"/>
      <c r="F265" s="37" t="s">
        <v>2398</v>
      </c>
      <c r="G265" s="14">
        <v>66.92</v>
      </c>
      <c r="H265" s="569"/>
      <c r="I265" s="55" t="s">
        <v>1720</v>
      </c>
      <c r="J265" s="14">
        <f>G265*AO265</f>
        <v>0</v>
      </c>
      <c r="K265" s="14">
        <f>G265*AP265</f>
        <v>0</v>
      </c>
      <c r="L265" s="14">
        <f>G265*H265</f>
        <v>0</v>
      </c>
      <c r="M265" s="14">
        <f>L265*(1+BW265/100)</f>
        <v>0</v>
      </c>
      <c r="N265" s="14">
        <v>4.5440000000000001E-2</v>
      </c>
      <c r="O265" s="14">
        <f>G265*N265</f>
        <v>3.0408448000000003</v>
      </c>
      <c r="P265" s="72" t="s">
        <v>1664</v>
      </c>
      <c r="Z265" s="14">
        <f>IF(AQ265="5",BJ265,0)</f>
        <v>0</v>
      </c>
      <c r="AB265" s="14">
        <f>IF(AQ265="1",BH265,0)</f>
        <v>0</v>
      </c>
      <c r="AC265" s="14">
        <f>IF(AQ265="1",BI265,0)</f>
        <v>0</v>
      </c>
      <c r="AD265" s="14">
        <f>IF(AQ265="7",BH265,0)</f>
        <v>0</v>
      </c>
      <c r="AE265" s="14">
        <f>IF(AQ265="7",BI265,0)</f>
        <v>0</v>
      </c>
      <c r="AF265" s="14">
        <f>IF(AQ265="2",BH265,0)</f>
        <v>0</v>
      </c>
      <c r="AG265" s="14">
        <f>IF(AQ265="2",BI265,0)</f>
        <v>0</v>
      </c>
      <c r="AH265" s="14">
        <f>IF(AQ265="0",BJ265,0)</f>
        <v>0</v>
      </c>
      <c r="AI265" s="15" t="s">
        <v>1842</v>
      </c>
      <c r="AJ265" s="14">
        <f>IF(AN265=0,L265,0)</f>
        <v>0</v>
      </c>
      <c r="AK265" s="14">
        <f>IF(AN265=15,L265,0)</f>
        <v>0</v>
      </c>
      <c r="AL265" s="14">
        <f>IF(AN265=21,L265,0)</f>
        <v>0</v>
      </c>
      <c r="AN265" s="14">
        <v>21</v>
      </c>
      <c r="AO265" s="92">
        <f>H265*0.641940446784863</f>
        <v>0</v>
      </c>
      <c r="AP265" s="92">
        <f>H265*(1-0.641940446784863)</f>
        <v>0</v>
      </c>
      <c r="AQ265" s="55" t="s">
        <v>2422</v>
      </c>
      <c r="AV265" s="14">
        <f>AW265+AX265</f>
        <v>0</v>
      </c>
      <c r="AW265" s="14">
        <f>G265*AO265</f>
        <v>0</v>
      </c>
      <c r="AX265" s="14">
        <f>G265*AP265</f>
        <v>0</v>
      </c>
      <c r="AY265" s="55" t="s">
        <v>1728</v>
      </c>
      <c r="AZ265" s="55" t="s">
        <v>202</v>
      </c>
      <c r="BA265" s="15" t="s">
        <v>1843</v>
      </c>
      <c r="BC265" s="14">
        <f>AW265+AX265</f>
        <v>0</v>
      </c>
      <c r="BD265" s="14">
        <f>H265/(100-BE265)*100</f>
        <v>0</v>
      </c>
      <c r="BE265" s="14">
        <v>0</v>
      </c>
      <c r="BF265" s="14">
        <f>O265</f>
        <v>3.0408448000000003</v>
      </c>
      <c r="BH265" s="14">
        <f>G265*AO265</f>
        <v>0</v>
      </c>
      <c r="BI265" s="14">
        <f>G265*AP265</f>
        <v>0</v>
      </c>
      <c r="BJ265" s="14">
        <f>G265*H265</f>
        <v>0</v>
      </c>
      <c r="BK265" s="14"/>
      <c r="BL265" s="14">
        <v>34</v>
      </c>
      <c r="BW265" s="14" t="str">
        <f>I265</f>
        <v>21</v>
      </c>
    </row>
    <row r="266" spans="1:75" ht="15" customHeight="1">
      <c r="A266" s="32"/>
      <c r="D266" s="3" t="s">
        <v>2557</v>
      </c>
      <c r="E266" s="28" t="s">
        <v>2653</v>
      </c>
      <c r="G266" s="27">
        <v>78.720000000000013</v>
      </c>
      <c r="P266" s="33"/>
    </row>
    <row r="267" spans="1:75" ht="15" customHeight="1">
      <c r="A267" s="32"/>
      <c r="D267" s="3" t="s">
        <v>2101</v>
      </c>
      <c r="E267" s="28" t="s">
        <v>370</v>
      </c>
      <c r="G267" s="27">
        <v>-11.8</v>
      </c>
      <c r="P267" s="33"/>
    </row>
    <row r="268" spans="1:75" ht="15" customHeight="1">
      <c r="A268" s="65" t="s">
        <v>1683</v>
      </c>
      <c r="B268" s="26" t="s">
        <v>1842</v>
      </c>
      <c r="C268" s="26" t="s">
        <v>2399</v>
      </c>
      <c r="D268" s="649" t="s">
        <v>1813</v>
      </c>
      <c r="E268" s="650"/>
      <c r="F268" s="74" t="s">
        <v>2262</v>
      </c>
      <c r="G268" s="74" t="s">
        <v>2262</v>
      </c>
      <c r="H268" s="74" t="s">
        <v>2262</v>
      </c>
      <c r="I268" s="74" t="s">
        <v>2262</v>
      </c>
      <c r="J268" s="2">
        <f>SUM(J269:J292)</f>
        <v>0</v>
      </c>
      <c r="K268" s="2">
        <f>SUM(K269:K292)</f>
        <v>0</v>
      </c>
      <c r="L268" s="2">
        <f>SUM(L269:L292)</f>
        <v>0</v>
      </c>
      <c r="M268" s="2">
        <f>SUM(M269:M292)</f>
        <v>0</v>
      </c>
      <c r="N268" s="15" t="s">
        <v>1683</v>
      </c>
      <c r="O268" s="2">
        <f>SUM(O269:O292)</f>
        <v>194.4295994</v>
      </c>
      <c r="P268" s="47" t="s">
        <v>1683</v>
      </c>
      <c r="AI268" s="15" t="s">
        <v>1842</v>
      </c>
      <c r="AS268" s="2">
        <f>SUM(AJ269:AJ292)</f>
        <v>0</v>
      </c>
      <c r="AT268" s="2">
        <f>SUM(AK269:AK292)</f>
        <v>0</v>
      </c>
      <c r="AU268" s="2">
        <f>SUM(AL269:AL292)</f>
        <v>0</v>
      </c>
    </row>
    <row r="269" spans="1:75" ht="13.5" customHeight="1">
      <c r="A269" s="21" t="s">
        <v>2219</v>
      </c>
      <c r="B269" s="573" t="s">
        <v>1842</v>
      </c>
      <c r="C269" s="573" t="s">
        <v>2716</v>
      </c>
      <c r="D269" s="643" t="s">
        <v>2007</v>
      </c>
      <c r="E269" s="644"/>
      <c r="F269" s="573" t="s">
        <v>1130</v>
      </c>
      <c r="G269" s="574">
        <v>0</v>
      </c>
      <c r="H269" s="574"/>
      <c r="I269" s="55" t="s">
        <v>1720</v>
      </c>
      <c r="J269" s="14">
        <f>G269*AO269</f>
        <v>0</v>
      </c>
      <c r="K269" s="14">
        <f>G269*AP269</f>
        <v>0</v>
      </c>
      <c r="L269" s="14">
        <f>G269*H269</f>
        <v>0</v>
      </c>
      <c r="M269" s="14">
        <f>L269*(1+BW269/100)</f>
        <v>0</v>
      </c>
      <c r="N269" s="14">
        <v>1.6629999999999999E-2</v>
      </c>
      <c r="O269" s="14">
        <f>G269*N269</f>
        <v>0</v>
      </c>
      <c r="P269" s="72" t="s">
        <v>1664</v>
      </c>
      <c r="Z269" s="14">
        <f>IF(AQ269="5",BJ269,0)</f>
        <v>0</v>
      </c>
      <c r="AB269" s="14">
        <f>IF(AQ269="1",BH269,0)</f>
        <v>0</v>
      </c>
      <c r="AC269" s="14">
        <f>IF(AQ269="1",BI269,0)</f>
        <v>0</v>
      </c>
      <c r="AD269" s="14">
        <f>IF(AQ269="7",BH269,0)</f>
        <v>0</v>
      </c>
      <c r="AE269" s="14">
        <f>IF(AQ269="7",BI269,0)</f>
        <v>0</v>
      </c>
      <c r="AF269" s="14">
        <f>IF(AQ269="2",BH269,0)</f>
        <v>0</v>
      </c>
      <c r="AG269" s="14">
        <f>IF(AQ269="2",BI269,0)</f>
        <v>0</v>
      </c>
      <c r="AH269" s="14">
        <f>IF(AQ269="0",BJ269,0)</f>
        <v>0</v>
      </c>
      <c r="AI269" s="15" t="s">
        <v>1842</v>
      </c>
      <c r="AJ269" s="14">
        <f>IF(AN269=0,L269,0)</f>
        <v>0</v>
      </c>
      <c r="AK269" s="14">
        <f>IF(AN269=15,L269,0)</f>
        <v>0</v>
      </c>
      <c r="AL269" s="14">
        <f>IF(AN269=21,L269,0)</f>
        <v>0</v>
      </c>
      <c r="AN269" s="14">
        <v>21</v>
      </c>
      <c r="AO269" s="92">
        <f>H269*0.00229852045256745</f>
        <v>0</v>
      </c>
      <c r="AP269" s="92">
        <f>H269*(1-0.00229852045256745)</f>
        <v>0</v>
      </c>
      <c r="AQ269" s="55" t="s">
        <v>2422</v>
      </c>
      <c r="AV269" s="14">
        <f>AW269+AX269</f>
        <v>0</v>
      </c>
      <c r="AW269" s="14">
        <f>G269*AO269</f>
        <v>0</v>
      </c>
      <c r="AX269" s="14">
        <f>G269*AP269</f>
        <v>0</v>
      </c>
      <c r="AY269" s="55" t="s">
        <v>1768</v>
      </c>
      <c r="AZ269" s="55" t="s">
        <v>372</v>
      </c>
      <c r="BA269" s="15" t="s">
        <v>1843</v>
      </c>
      <c r="BC269" s="14">
        <f>AW269+AX269</f>
        <v>0</v>
      </c>
      <c r="BD269" s="14">
        <f>H269/(100-BE269)*100</f>
        <v>0</v>
      </c>
      <c r="BE269" s="14">
        <v>0</v>
      </c>
      <c r="BF269" s="14">
        <f>O269</f>
        <v>0</v>
      </c>
      <c r="BH269" s="14">
        <f>G269*AO269</f>
        <v>0</v>
      </c>
      <c r="BI269" s="14">
        <f>G269*AP269</f>
        <v>0</v>
      </c>
      <c r="BJ269" s="14">
        <f>G269*H269</f>
        <v>0</v>
      </c>
      <c r="BK269" s="14"/>
      <c r="BL269" s="14">
        <v>41</v>
      </c>
      <c r="BW269" s="14" t="str">
        <f>I269</f>
        <v>21</v>
      </c>
    </row>
    <row r="270" spans="1:75" ht="15" customHeight="1">
      <c r="A270" s="32"/>
      <c r="D270" s="3" t="s">
        <v>1858</v>
      </c>
      <c r="E270" s="28" t="s">
        <v>1484</v>
      </c>
      <c r="G270" s="27">
        <v>0</v>
      </c>
      <c r="P270" s="33"/>
    </row>
    <row r="271" spans="1:75" ht="15" customHeight="1">
      <c r="A271" s="32"/>
      <c r="D271" s="3" t="s">
        <v>878</v>
      </c>
      <c r="E271" s="28" t="s">
        <v>791</v>
      </c>
      <c r="G271" s="27">
        <v>0</v>
      </c>
      <c r="P271" s="33"/>
    </row>
    <row r="272" spans="1:75" ht="13.5" customHeight="1">
      <c r="A272" s="20" t="s">
        <v>276</v>
      </c>
      <c r="B272" s="575" t="s">
        <v>1842</v>
      </c>
      <c r="C272" s="575" t="s">
        <v>691</v>
      </c>
      <c r="D272" s="655" t="s">
        <v>264</v>
      </c>
      <c r="E272" s="656"/>
      <c r="F272" s="575" t="s">
        <v>1130</v>
      </c>
      <c r="G272" s="576">
        <v>0</v>
      </c>
      <c r="H272" s="576"/>
      <c r="I272" s="18" t="s">
        <v>1720</v>
      </c>
      <c r="J272" s="6">
        <f>G272*AO272</f>
        <v>0</v>
      </c>
      <c r="K272" s="6">
        <f>G272*AP272</f>
        <v>0</v>
      </c>
      <c r="L272" s="6">
        <f>G272*H272</f>
        <v>0</v>
      </c>
      <c r="M272" s="6">
        <f>L272*(1+BW272/100)</f>
        <v>0</v>
      </c>
      <c r="N272" s="6">
        <v>1</v>
      </c>
      <c r="O272" s="6">
        <f>G272*N272</f>
        <v>0</v>
      </c>
      <c r="P272" s="109" t="s">
        <v>1664</v>
      </c>
      <c r="Z272" s="14">
        <f>IF(AQ272="5",BJ272,0)</f>
        <v>0</v>
      </c>
      <c r="AB272" s="14">
        <f>IF(AQ272="1",BH272,0)</f>
        <v>0</v>
      </c>
      <c r="AC272" s="14">
        <f>IF(AQ272="1",BI272,0)</f>
        <v>0</v>
      </c>
      <c r="AD272" s="14">
        <f>IF(AQ272="7",BH272,0)</f>
        <v>0</v>
      </c>
      <c r="AE272" s="14">
        <f>IF(AQ272="7",BI272,0)</f>
        <v>0</v>
      </c>
      <c r="AF272" s="14">
        <f>IF(AQ272="2",BH272,0)</f>
        <v>0</v>
      </c>
      <c r="AG272" s="14">
        <f>IF(AQ272="2",BI272,0)</f>
        <v>0</v>
      </c>
      <c r="AH272" s="14">
        <f>IF(AQ272="0",BJ272,0)</f>
        <v>0</v>
      </c>
      <c r="AI272" s="15" t="s">
        <v>1842</v>
      </c>
      <c r="AJ272" s="6">
        <f>IF(AN272=0,L272,0)</f>
        <v>0</v>
      </c>
      <c r="AK272" s="6">
        <f>IF(AN272=15,L272,0)</f>
        <v>0</v>
      </c>
      <c r="AL272" s="6">
        <f>IF(AN272=21,L272,0)</f>
        <v>0</v>
      </c>
      <c r="AN272" s="14">
        <v>21</v>
      </c>
      <c r="AO272" s="92">
        <f>H272*1</f>
        <v>0</v>
      </c>
      <c r="AP272" s="92">
        <f>H272*(1-1)</f>
        <v>0</v>
      </c>
      <c r="AQ272" s="18" t="s">
        <v>2422</v>
      </c>
      <c r="AV272" s="14">
        <f>AW272+AX272</f>
        <v>0</v>
      </c>
      <c r="AW272" s="14">
        <f>G272*AO272</f>
        <v>0</v>
      </c>
      <c r="AX272" s="14">
        <f>G272*AP272</f>
        <v>0</v>
      </c>
      <c r="AY272" s="55" t="s">
        <v>1768</v>
      </c>
      <c r="AZ272" s="55" t="s">
        <v>372</v>
      </c>
      <c r="BA272" s="15" t="s">
        <v>1843</v>
      </c>
      <c r="BC272" s="14">
        <f>AW272+AX272</f>
        <v>0</v>
      </c>
      <c r="BD272" s="14">
        <f>H272/(100-BE272)*100</f>
        <v>0</v>
      </c>
      <c r="BE272" s="14">
        <v>0</v>
      </c>
      <c r="BF272" s="14">
        <f>O272</f>
        <v>0</v>
      </c>
      <c r="BH272" s="6">
        <f>G272*AO272</f>
        <v>0</v>
      </c>
      <c r="BI272" s="6">
        <f>G272*AP272</f>
        <v>0</v>
      </c>
      <c r="BJ272" s="6">
        <f>G272*H272</f>
        <v>0</v>
      </c>
      <c r="BK272" s="6"/>
      <c r="BL272" s="14">
        <v>41</v>
      </c>
      <c r="BW272" s="14" t="str">
        <f>I272</f>
        <v>21</v>
      </c>
    </row>
    <row r="273" spans="1:75" ht="15" customHeight="1">
      <c r="A273" s="32"/>
      <c r="D273" s="3" t="s">
        <v>1778</v>
      </c>
      <c r="E273" s="28" t="s">
        <v>1683</v>
      </c>
      <c r="G273" s="27">
        <v>0</v>
      </c>
      <c r="P273" s="33"/>
    </row>
    <row r="274" spans="1:75" ht="15" customHeight="1">
      <c r="A274" s="32"/>
      <c r="D274" s="3" t="s">
        <v>2180</v>
      </c>
      <c r="E274" s="28" t="s">
        <v>1683</v>
      </c>
      <c r="G274" s="27">
        <v>0</v>
      </c>
      <c r="P274" s="33"/>
    </row>
    <row r="275" spans="1:75" ht="13.5" customHeight="1">
      <c r="A275" s="21" t="s">
        <v>968</v>
      </c>
      <c r="B275" s="37" t="s">
        <v>1842</v>
      </c>
      <c r="C275" s="37" t="s">
        <v>744</v>
      </c>
      <c r="D275" s="578" t="s">
        <v>962</v>
      </c>
      <c r="E275" s="579"/>
      <c r="F275" s="37" t="s">
        <v>2398</v>
      </c>
      <c r="G275" s="14">
        <v>274</v>
      </c>
      <c r="H275" s="569"/>
      <c r="I275" s="55" t="s">
        <v>1720</v>
      </c>
      <c r="J275" s="14">
        <f>G275*AO275</f>
        <v>0</v>
      </c>
      <c r="K275" s="14">
        <f>G275*AP275</f>
        <v>0</v>
      </c>
      <c r="L275" s="14">
        <f>G275*H275</f>
        <v>0</v>
      </c>
      <c r="M275" s="14">
        <f>L275*(1+BW275/100)</f>
        <v>0</v>
      </c>
      <c r="N275" s="14">
        <v>4.9160000000000002E-2</v>
      </c>
      <c r="O275" s="14">
        <f>G275*N275</f>
        <v>13.469840000000001</v>
      </c>
      <c r="P275" s="72" t="s">
        <v>1664</v>
      </c>
      <c r="Z275" s="14">
        <f>IF(AQ275="5",BJ275,0)</f>
        <v>0</v>
      </c>
      <c r="AB275" s="14">
        <f>IF(AQ275="1",BH275,0)</f>
        <v>0</v>
      </c>
      <c r="AC275" s="14">
        <f>IF(AQ275="1",BI275,0)</f>
        <v>0</v>
      </c>
      <c r="AD275" s="14">
        <f>IF(AQ275="7",BH275,0)</f>
        <v>0</v>
      </c>
      <c r="AE275" s="14">
        <f>IF(AQ275="7",BI275,0)</f>
        <v>0</v>
      </c>
      <c r="AF275" s="14">
        <f>IF(AQ275="2",BH275,0)</f>
        <v>0</v>
      </c>
      <c r="AG275" s="14">
        <f>IF(AQ275="2",BI275,0)</f>
        <v>0</v>
      </c>
      <c r="AH275" s="14">
        <f>IF(AQ275="0",BJ275,0)</f>
        <v>0</v>
      </c>
      <c r="AI275" s="15" t="s">
        <v>1842</v>
      </c>
      <c r="AJ275" s="14">
        <f>IF(AN275=0,L275,0)</f>
        <v>0</v>
      </c>
      <c r="AK275" s="14">
        <f>IF(AN275=15,L275,0)</f>
        <v>0</v>
      </c>
      <c r="AL275" s="14">
        <f>IF(AN275=21,L275,0)</f>
        <v>0</v>
      </c>
      <c r="AN275" s="14">
        <v>21</v>
      </c>
      <c r="AO275" s="92">
        <f>H275*0.466469165659008</f>
        <v>0</v>
      </c>
      <c r="AP275" s="92">
        <f>H275*(1-0.466469165659008)</f>
        <v>0</v>
      </c>
      <c r="AQ275" s="55" t="s">
        <v>2422</v>
      </c>
      <c r="AV275" s="14">
        <f>AW275+AX275</f>
        <v>0</v>
      </c>
      <c r="AW275" s="14">
        <f>G275*AO275</f>
        <v>0</v>
      </c>
      <c r="AX275" s="14">
        <f>G275*AP275</f>
        <v>0</v>
      </c>
      <c r="AY275" s="55" t="s">
        <v>1768</v>
      </c>
      <c r="AZ275" s="55" t="s">
        <v>372</v>
      </c>
      <c r="BA275" s="15" t="s">
        <v>1843</v>
      </c>
      <c r="BC275" s="14">
        <f>AW275+AX275</f>
        <v>0</v>
      </c>
      <c r="BD275" s="14">
        <f>H275/(100-BE275)*100</f>
        <v>0</v>
      </c>
      <c r="BE275" s="14">
        <v>0</v>
      </c>
      <c r="BF275" s="14">
        <f>O275</f>
        <v>13.469840000000001</v>
      </c>
      <c r="BH275" s="14">
        <f>G275*AO275</f>
        <v>0</v>
      </c>
      <c r="BI275" s="14">
        <f>G275*AP275</f>
        <v>0</v>
      </c>
      <c r="BJ275" s="14">
        <f>G275*H275</f>
        <v>0</v>
      </c>
      <c r="BK275" s="14"/>
      <c r="BL275" s="14">
        <v>41</v>
      </c>
      <c r="BW275" s="14" t="str">
        <f>I275</f>
        <v>21</v>
      </c>
    </row>
    <row r="276" spans="1:75" ht="15" customHeight="1">
      <c r="A276" s="32"/>
      <c r="D276" s="3" t="s">
        <v>2215</v>
      </c>
      <c r="E276" s="28" t="s">
        <v>1344</v>
      </c>
      <c r="G276" s="27">
        <v>274</v>
      </c>
      <c r="P276" s="33"/>
    </row>
    <row r="277" spans="1:75" ht="13.5" customHeight="1">
      <c r="A277" s="21" t="s">
        <v>1351</v>
      </c>
      <c r="B277" s="37" t="s">
        <v>1842</v>
      </c>
      <c r="C277" s="37" t="s">
        <v>621</v>
      </c>
      <c r="D277" s="578" t="s">
        <v>2012</v>
      </c>
      <c r="E277" s="579"/>
      <c r="F277" s="37" t="s">
        <v>2398</v>
      </c>
      <c r="G277" s="14">
        <v>274</v>
      </c>
      <c r="H277" s="569"/>
      <c r="I277" s="55" t="s">
        <v>1720</v>
      </c>
      <c r="J277" s="14">
        <f>G277*AO277</f>
        <v>0</v>
      </c>
      <c r="K277" s="14">
        <f>G277*AP277</f>
        <v>0</v>
      </c>
      <c r="L277" s="14">
        <f>G277*H277</f>
        <v>0</v>
      </c>
      <c r="M277" s="14">
        <f>L277*(1+BW277/100)</f>
        <v>0</v>
      </c>
      <c r="N277" s="14">
        <v>0</v>
      </c>
      <c r="O277" s="14">
        <f>G277*N277</f>
        <v>0</v>
      </c>
      <c r="P277" s="72" t="s">
        <v>1664</v>
      </c>
      <c r="Z277" s="14">
        <f>IF(AQ277="5",BJ277,0)</f>
        <v>0</v>
      </c>
      <c r="AB277" s="14">
        <f>IF(AQ277="1",BH277,0)</f>
        <v>0</v>
      </c>
      <c r="AC277" s="14">
        <f>IF(AQ277="1",BI277,0)</f>
        <v>0</v>
      </c>
      <c r="AD277" s="14">
        <f>IF(AQ277="7",BH277,0)</f>
        <v>0</v>
      </c>
      <c r="AE277" s="14">
        <f>IF(AQ277="7",BI277,0)</f>
        <v>0</v>
      </c>
      <c r="AF277" s="14">
        <f>IF(AQ277="2",BH277,0)</f>
        <v>0</v>
      </c>
      <c r="AG277" s="14">
        <f>IF(AQ277="2",BI277,0)</f>
        <v>0</v>
      </c>
      <c r="AH277" s="14">
        <f>IF(AQ277="0",BJ277,0)</f>
        <v>0</v>
      </c>
      <c r="AI277" s="15" t="s">
        <v>1842</v>
      </c>
      <c r="AJ277" s="14">
        <f>IF(AN277=0,L277,0)</f>
        <v>0</v>
      </c>
      <c r="AK277" s="14">
        <f>IF(AN277=15,L277,0)</f>
        <v>0</v>
      </c>
      <c r="AL277" s="14">
        <f>IF(AN277=21,L277,0)</f>
        <v>0</v>
      </c>
      <c r="AN277" s="14">
        <v>21</v>
      </c>
      <c r="AO277" s="92">
        <f>H277*0</f>
        <v>0</v>
      </c>
      <c r="AP277" s="92">
        <f>H277*(1-0)</f>
        <v>0</v>
      </c>
      <c r="AQ277" s="55" t="s">
        <v>2422</v>
      </c>
      <c r="AV277" s="14">
        <f>AW277+AX277</f>
        <v>0</v>
      </c>
      <c r="AW277" s="14">
        <f>G277*AO277</f>
        <v>0</v>
      </c>
      <c r="AX277" s="14">
        <f>G277*AP277</f>
        <v>0</v>
      </c>
      <c r="AY277" s="55" t="s">
        <v>1768</v>
      </c>
      <c r="AZ277" s="55" t="s">
        <v>372</v>
      </c>
      <c r="BA277" s="15" t="s">
        <v>1843</v>
      </c>
      <c r="BC277" s="14">
        <f>AW277+AX277</f>
        <v>0</v>
      </c>
      <c r="BD277" s="14">
        <f>H277/(100-BE277)*100</f>
        <v>0</v>
      </c>
      <c r="BE277" s="14">
        <v>0</v>
      </c>
      <c r="BF277" s="14">
        <f>O277</f>
        <v>0</v>
      </c>
      <c r="BH277" s="14">
        <f>G277*AO277</f>
        <v>0</v>
      </c>
      <c r="BI277" s="14">
        <f>G277*AP277</f>
        <v>0</v>
      </c>
      <c r="BJ277" s="14">
        <f>G277*H277</f>
        <v>0</v>
      </c>
      <c r="BK277" s="14"/>
      <c r="BL277" s="14">
        <v>41</v>
      </c>
      <c r="BW277" s="14" t="str">
        <f>I277</f>
        <v>21</v>
      </c>
    </row>
    <row r="278" spans="1:75" ht="15" customHeight="1">
      <c r="A278" s="32"/>
      <c r="D278" s="3" t="s">
        <v>2215</v>
      </c>
      <c r="E278" s="28" t="s">
        <v>1683</v>
      </c>
      <c r="G278" s="27">
        <v>274</v>
      </c>
      <c r="P278" s="33"/>
    </row>
    <row r="279" spans="1:75" ht="13.5" customHeight="1">
      <c r="A279" s="21" t="s">
        <v>273</v>
      </c>
      <c r="B279" s="37" t="s">
        <v>1842</v>
      </c>
      <c r="C279" s="37" t="s">
        <v>375</v>
      </c>
      <c r="D279" s="578" t="s">
        <v>1681</v>
      </c>
      <c r="E279" s="579"/>
      <c r="F279" s="37" t="s">
        <v>2398</v>
      </c>
      <c r="G279" s="14">
        <v>274</v>
      </c>
      <c r="H279" s="569"/>
      <c r="I279" s="55" t="s">
        <v>1720</v>
      </c>
      <c r="J279" s="14">
        <f>G279*AO279</f>
        <v>0</v>
      </c>
      <c r="K279" s="14">
        <f>G279*AP279</f>
        <v>0</v>
      </c>
      <c r="L279" s="14">
        <f>G279*H279</f>
        <v>0</v>
      </c>
      <c r="M279" s="14">
        <f>L279*(1+BW279/100)</f>
        <v>0</v>
      </c>
      <c r="N279" s="14">
        <v>3.8700000000000002E-3</v>
      </c>
      <c r="O279" s="14">
        <f>G279*N279</f>
        <v>1.0603800000000001</v>
      </c>
      <c r="P279" s="72" t="s">
        <v>1664</v>
      </c>
      <c r="Z279" s="14">
        <f>IF(AQ279="5",BJ279,0)</f>
        <v>0</v>
      </c>
      <c r="AB279" s="14">
        <f>IF(AQ279="1",BH279,0)</f>
        <v>0</v>
      </c>
      <c r="AC279" s="14">
        <f>IF(AQ279="1",BI279,0)</f>
        <v>0</v>
      </c>
      <c r="AD279" s="14">
        <f>IF(AQ279="7",BH279,0)</f>
        <v>0</v>
      </c>
      <c r="AE279" s="14">
        <f>IF(AQ279="7",BI279,0)</f>
        <v>0</v>
      </c>
      <c r="AF279" s="14">
        <f>IF(AQ279="2",BH279,0)</f>
        <v>0</v>
      </c>
      <c r="AG279" s="14">
        <f>IF(AQ279="2",BI279,0)</f>
        <v>0</v>
      </c>
      <c r="AH279" s="14">
        <f>IF(AQ279="0",BJ279,0)</f>
        <v>0</v>
      </c>
      <c r="AI279" s="15" t="s">
        <v>1842</v>
      </c>
      <c r="AJ279" s="14">
        <f>IF(AN279=0,L279,0)</f>
        <v>0</v>
      </c>
      <c r="AK279" s="14">
        <f>IF(AN279=15,L279,0)</f>
        <v>0</v>
      </c>
      <c r="AL279" s="14">
        <f>IF(AN279=21,L279,0)</f>
        <v>0</v>
      </c>
      <c r="AN279" s="14">
        <v>21</v>
      </c>
      <c r="AO279" s="92">
        <f>H279*0.137720207253886</f>
        <v>0</v>
      </c>
      <c r="AP279" s="92">
        <f>H279*(1-0.137720207253886)</f>
        <v>0</v>
      </c>
      <c r="AQ279" s="55" t="s">
        <v>2422</v>
      </c>
      <c r="AV279" s="14">
        <f>AW279+AX279</f>
        <v>0</v>
      </c>
      <c r="AW279" s="14">
        <f>G279*AO279</f>
        <v>0</v>
      </c>
      <c r="AX279" s="14">
        <f>G279*AP279</f>
        <v>0</v>
      </c>
      <c r="AY279" s="55" t="s">
        <v>1768</v>
      </c>
      <c r="AZ279" s="55" t="s">
        <v>372</v>
      </c>
      <c r="BA279" s="15" t="s">
        <v>1843</v>
      </c>
      <c r="BC279" s="14">
        <f>AW279+AX279</f>
        <v>0</v>
      </c>
      <c r="BD279" s="14">
        <f>H279/(100-BE279)*100</f>
        <v>0</v>
      </c>
      <c r="BE279" s="14">
        <v>0</v>
      </c>
      <c r="BF279" s="14">
        <f>O279</f>
        <v>1.0603800000000001</v>
      </c>
      <c r="BH279" s="14">
        <f>G279*AO279</f>
        <v>0</v>
      </c>
      <c r="BI279" s="14">
        <f>G279*AP279</f>
        <v>0</v>
      </c>
      <c r="BJ279" s="14">
        <f>G279*H279</f>
        <v>0</v>
      </c>
      <c r="BK279" s="14"/>
      <c r="BL279" s="14">
        <v>41</v>
      </c>
      <c r="BW279" s="14" t="str">
        <f>I279</f>
        <v>21</v>
      </c>
    </row>
    <row r="280" spans="1:75" ht="15" customHeight="1">
      <c r="A280" s="32"/>
      <c r="D280" s="3" t="s">
        <v>2215</v>
      </c>
      <c r="E280" s="28" t="s">
        <v>1683</v>
      </c>
      <c r="G280" s="27">
        <v>274</v>
      </c>
      <c r="P280" s="33"/>
    </row>
    <row r="281" spans="1:75" ht="13.5" customHeight="1">
      <c r="A281" s="21" t="s">
        <v>1713</v>
      </c>
      <c r="B281" s="37" t="s">
        <v>1842</v>
      </c>
      <c r="C281" s="37" t="s">
        <v>1114</v>
      </c>
      <c r="D281" s="578" t="s">
        <v>2566</v>
      </c>
      <c r="E281" s="579"/>
      <c r="F281" s="37" t="s">
        <v>2398</v>
      </c>
      <c r="G281" s="14">
        <v>274</v>
      </c>
      <c r="H281" s="569"/>
      <c r="I281" s="55" t="s">
        <v>1720</v>
      </c>
      <c r="J281" s="14">
        <f>G281*AO281</f>
        <v>0</v>
      </c>
      <c r="K281" s="14">
        <f>G281*AP281</f>
        <v>0</v>
      </c>
      <c r="L281" s="14">
        <f>G281*H281</f>
        <v>0</v>
      </c>
      <c r="M281" s="14">
        <f>L281*(1+BW281/100)</f>
        <v>0</v>
      </c>
      <c r="N281" s="14">
        <v>0</v>
      </c>
      <c r="O281" s="14">
        <f>G281*N281</f>
        <v>0</v>
      </c>
      <c r="P281" s="72" t="s">
        <v>1664</v>
      </c>
      <c r="Z281" s="14">
        <f>IF(AQ281="5",BJ281,0)</f>
        <v>0</v>
      </c>
      <c r="AB281" s="14">
        <f>IF(AQ281="1",BH281,0)</f>
        <v>0</v>
      </c>
      <c r="AC281" s="14">
        <f>IF(AQ281="1",BI281,0)</f>
        <v>0</v>
      </c>
      <c r="AD281" s="14">
        <f>IF(AQ281="7",BH281,0)</f>
        <v>0</v>
      </c>
      <c r="AE281" s="14">
        <f>IF(AQ281="7",BI281,0)</f>
        <v>0</v>
      </c>
      <c r="AF281" s="14">
        <f>IF(AQ281="2",BH281,0)</f>
        <v>0</v>
      </c>
      <c r="AG281" s="14">
        <f>IF(AQ281="2",BI281,0)</f>
        <v>0</v>
      </c>
      <c r="AH281" s="14">
        <f>IF(AQ281="0",BJ281,0)</f>
        <v>0</v>
      </c>
      <c r="AI281" s="15" t="s">
        <v>1842</v>
      </c>
      <c r="AJ281" s="14">
        <f>IF(AN281=0,L281,0)</f>
        <v>0</v>
      </c>
      <c r="AK281" s="14">
        <f>IF(AN281=15,L281,0)</f>
        <v>0</v>
      </c>
      <c r="AL281" s="14">
        <f>IF(AN281=21,L281,0)</f>
        <v>0</v>
      </c>
      <c r="AN281" s="14">
        <v>21</v>
      </c>
      <c r="AO281" s="92">
        <f>H281*0</f>
        <v>0</v>
      </c>
      <c r="AP281" s="92">
        <f>H281*(1-0)</f>
        <v>0</v>
      </c>
      <c r="AQ281" s="55" t="s">
        <v>2422</v>
      </c>
      <c r="AV281" s="14">
        <f>AW281+AX281</f>
        <v>0</v>
      </c>
      <c r="AW281" s="14">
        <f>G281*AO281</f>
        <v>0</v>
      </c>
      <c r="AX281" s="14">
        <f>G281*AP281</f>
        <v>0</v>
      </c>
      <c r="AY281" s="55" t="s">
        <v>1768</v>
      </c>
      <c r="AZ281" s="55" t="s">
        <v>372</v>
      </c>
      <c r="BA281" s="15" t="s">
        <v>1843</v>
      </c>
      <c r="BC281" s="14">
        <f>AW281+AX281</f>
        <v>0</v>
      </c>
      <c r="BD281" s="14">
        <f>H281/(100-BE281)*100</f>
        <v>0</v>
      </c>
      <c r="BE281" s="14">
        <v>0</v>
      </c>
      <c r="BF281" s="14">
        <f>O281</f>
        <v>0</v>
      </c>
      <c r="BH281" s="14">
        <f>G281*AO281</f>
        <v>0</v>
      </c>
      <c r="BI281" s="14">
        <f>G281*AP281</f>
        <v>0</v>
      </c>
      <c r="BJ281" s="14">
        <f>G281*H281</f>
        <v>0</v>
      </c>
      <c r="BK281" s="14"/>
      <c r="BL281" s="14">
        <v>41</v>
      </c>
      <c r="BW281" s="14" t="str">
        <f>I281</f>
        <v>21</v>
      </c>
    </row>
    <row r="282" spans="1:75" ht="15" customHeight="1">
      <c r="A282" s="32"/>
      <c r="D282" s="3" t="s">
        <v>2215</v>
      </c>
      <c r="E282" s="28" t="s">
        <v>1683</v>
      </c>
      <c r="G282" s="27">
        <v>274</v>
      </c>
      <c r="P282" s="33"/>
    </row>
    <row r="283" spans="1:75" ht="13.5" customHeight="1">
      <c r="A283" s="21" t="s">
        <v>1149</v>
      </c>
      <c r="B283" s="37" t="s">
        <v>1842</v>
      </c>
      <c r="C283" s="37" t="s">
        <v>2682</v>
      </c>
      <c r="D283" s="578" t="s">
        <v>2607</v>
      </c>
      <c r="E283" s="579"/>
      <c r="F283" s="37" t="s">
        <v>2359</v>
      </c>
      <c r="G283" s="14">
        <v>54.8</v>
      </c>
      <c r="H283" s="569"/>
      <c r="I283" s="55" t="s">
        <v>1720</v>
      </c>
      <c r="J283" s="14">
        <f>G283*AO283</f>
        <v>0</v>
      </c>
      <c r="K283" s="14">
        <f>G283*AP283</f>
        <v>0</v>
      </c>
      <c r="L283" s="14">
        <f>G283*H283</f>
        <v>0</v>
      </c>
      <c r="M283" s="14">
        <f>L283*(1+BW283/100)</f>
        <v>0</v>
      </c>
      <c r="N283" s="14">
        <v>2.5251399999999999</v>
      </c>
      <c r="O283" s="14">
        <f>G283*N283</f>
        <v>138.37767199999999</v>
      </c>
      <c r="P283" s="72" t="s">
        <v>1664</v>
      </c>
      <c r="Z283" s="14">
        <f>IF(AQ283="5",BJ283,0)</f>
        <v>0</v>
      </c>
      <c r="AB283" s="14">
        <f>IF(AQ283="1",BH283,0)</f>
        <v>0</v>
      </c>
      <c r="AC283" s="14">
        <f>IF(AQ283="1",BI283,0)</f>
        <v>0</v>
      </c>
      <c r="AD283" s="14">
        <f>IF(AQ283="7",BH283,0)</f>
        <v>0</v>
      </c>
      <c r="AE283" s="14">
        <f>IF(AQ283="7",BI283,0)</f>
        <v>0</v>
      </c>
      <c r="AF283" s="14">
        <f>IF(AQ283="2",BH283,0)</f>
        <v>0</v>
      </c>
      <c r="AG283" s="14">
        <f>IF(AQ283="2",BI283,0)</f>
        <v>0</v>
      </c>
      <c r="AH283" s="14">
        <f>IF(AQ283="0",BJ283,0)</f>
        <v>0</v>
      </c>
      <c r="AI283" s="15" t="s">
        <v>1842</v>
      </c>
      <c r="AJ283" s="14">
        <f>IF(AN283=0,L283,0)</f>
        <v>0</v>
      </c>
      <c r="AK283" s="14">
        <f>IF(AN283=15,L283,0)</f>
        <v>0</v>
      </c>
      <c r="AL283" s="14">
        <f>IF(AN283=21,L283,0)</f>
        <v>0</v>
      </c>
      <c r="AN283" s="14">
        <v>21</v>
      </c>
      <c r="AO283" s="92">
        <f>H283*0.84712618724559</f>
        <v>0</v>
      </c>
      <c r="AP283" s="92">
        <f>H283*(1-0.84712618724559)</f>
        <v>0</v>
      </c>
      <c r="AQ283" s="55" t="s">
        <v>2422</v>
      </c>
      <c r="AV283" s="14">
        <f>AW283+AX283</f>
        <v>0</v>
      </c>
      <c r="AW283" s="14">
        <f>G283*AO283</f>
        <v>0</v>
      </c>
      <c r="AX283" s="14">
        <f>G283*AP283</f>
        <v>0</v>
      </c>
      <c r="AY283" s="55" t="s">
        <v>1768</v>
      </c>
      <c r="AZ283" s="55" t="s">
        <v>372</v>
      </c>
      <c r="BA283" s="15" t="s">
        <v>1843</v>
      </c>
      <c r="BC283" s="14">
        <f>AW283+AX283</f>
        <v>0</v>
      </c>
      <c r="BD283" s="14">
        <f>H283/(100-BE283)*100</f>
        <v>0</v>
      </c>
      <c r="BE283" s="14">
        <v>0</v>
      </c>
      <c r="BF283" s="14">
        <f>O283</f>
        <v>138.37767199999999</v>
      </c>
      <c r="BH283" s="14">
        <f>G283*AO283</f>
        <v>0</v>
      </c>
      <c r="BI283" s="14">
        <f>G283*AP283</f>
        <v>0</v>
      </c>
      <c r="BJ283" s="14">
        <f>G283*H283</f>
        <v>0</v>
      </c>
      <c r="BK283" s="14"/>
      <c r="BL283" s="14">
        <v>41</v>
      </c>
      <c r="BW283" s="14" t="str">
        <f>I283</f>
        <v>21</v>
      </c>
    </row>
    <row r="284" spans="1:75" ht="15" customHeight="1">
      <c r="A284" s="32"/>
      <c r="D284" s="3" t="s">
        <v>1224</v>
      </c>
      <c r="E284" s="28" t="s">
        <v>1683</v>
      </c>
      <c r="G284" s="27">
        <v>54.800000000000004</v>
      </c>
      <c r="P284" s="33"/>
    </row>
    <row r="285" spans="1:75" ht="13.5" customHeight="1">
      <c r="A285" s="21" t="s">
        <v>1995</v>
      </c>
      <c r="B285" s="37" t="s">
        <v>1842</v>
      </c>
      <c r="C285" s="37" t="s">
        <v>195</v>
      </c>
      <c r="D285" s="578" t="s">
        <v>306</v>
      </c>
      <c r="E285" s="579"/>
      <c r="F285" s="37" t="s">
        <v>1130</v>
      </c>
      <c r="G285" s="14">
        <v>9.7200000000000006</v>
      </c>
      <c r="H285" s="569"/>
      <c r="I285" s="55" t="s">
        <v>1720</v>
      </c>
      <c r="J285" s="14">
        <f>G285*AO285</f>
        <v>0</v>
      </c>
      <c r="K285" s="14">
        <f>G285*AP285</f>
        <v>0</v>
      </c>
      <c r="L285" s="14">
        <f>G285*H285</f>
        <v>0</v>
      </c>
      <c r="M285" s="14">
        <f>L285*(1+BW285/100)</f>
        <v>0</v>
      </c>
      <c r="N285" s="14">
        <v>1.02139</v>
      </c>
      <c r="O285" s="14">
        <f>G285*N285</f>
        <v>9.9279108000000011</v>
      </c>
      <c r="P285" s="72" t="s">
        <v>1664</v>
      </c>
      <c r="Z285" s="14">
        <f>IF(AQ285="5",BJ285,0)</f>
        <v>0</v>
      </c>
      <c r="AB285" s="14">
        <f>IF(AQ285="1",BH285,0)</f>
        <v>0</v>
      </c>
      <c r="AC285" s="14">
        <f>IF(AQ285="1",BI285,0)</f>
        <v>0</v>
      </c>
      <c r="AD285" s="14">
        <f>IF(AQ285="7",BH285,0)</f>
        <v>0</v>
      </c>
      <c r="AE285" s="14">
        <f>IF(AQ285="7",BI285,0)</f>
        <v>0</v>
      </c>
      <c r="AF285" s="14">
        <f>IF(AQ285="2",BH285,0)</f>
        <v>0</v>
      </c>
      <c r="AG285" s="14">
        <f>IF(AQ285="2",BI285,0)</f>
        <v>0</v>
      </c>
      <c r="AH285" s="14">
        <f>IF(AQ285="0",BJ285,0)</f>
        <v>0</v>
      </c>
      <c r="AI285" s="15" t="s">
        <v>1842</v>
      </c>
      <c r="AJ285" s="14">
        <f>IF(AN285=0,L285,0)</f>
        <v>0</v>
      </c>
      <c r="AK285" s="14">
        <f>IF(AN285=15,L285,0)</f>
        <v>0</v>
      </c>
      <c r="AL285" s="14">
        <f>IF(AN285=21,L285,0)</f>
        <v>0</v>
      </c>
      <c r="AN285" s="14">
        <v>21</v>
      </c>
      <c r="AO285" s="92">
        <f>H285*0.759414511832001</f>
        <v>0</v>
      </c>
      <c r="AP285" s="92">
        <f>H285*(1-0.759414511832001)</f>
        <v>0</v>
      </c>
      <c r="AQ285" s="55" t="s">
        <v>2422</v>
      </c>
      <c r="AV285" s="14">
        <f>AW285+AX285</f>
        <v>0</v>
      </c>
      <c r="AW285" s="14">
        <f>G285*AO285</f>
        <v>0</v>
      </c>
      <c r="AX285" s="14">
        <f>G285*AP285</f>
        <v>0</v>
      </c>
      <c r="AY285" s="55" t="s">
        <v>1768</v>
      </c>
      <c r="AZ285" s="55" t="s">
        <v>372</v>
      </c>
      <c r="BA285" s="15" t="s">
        <v>1843</v>
      </c>
      <c r="BC285" s="14">
        <f>AW285+AX285</f>
        <v>0</v>
      </c>
      <c r="BD285" s="14">
        <f>H285/(100-BE285)*100</f>
        <v>0</v>
      </c>
      <c r="BE285" s="14">
        <v>0</v>
      </c>
      <c r="BF285" s="14">
        <f>O285</f>
        <v>9.9279108000000011</v>
      </c>
      <c r="BH285" s="14">
        <f>G285*AO285</f>
        <v>0</v>
      </c>
      <c r="BI285" s="14">
        <f>G285*AP285</f>
        <v>0</v>
      </c>
      <c r="BJ285" s="14">
        <f>G285*H285</f>
        <v>0</v>
      </c>
      <c r="BK285" s="14"/>
      <c r="BL285" s="14">
        <v>41</v>
      </c>
      <c r="BW285" s="14" t="str">
        <f>I285</f>
        <v>21</v>
      </c>
    </row>
    <row r="286" spans="1:75" ht="15" customHeight="1">
      <c r="A286" s="32"/>
      <c r="D286" s="3" t="s">
        <v>214</v>
      </c>
      <c r="E286" s="28" t="s">
        <v>1683</v>
      </c>
      <c r="G286" s="27">
        <v>9.7200000000000006</v>
      </c>
      <c r="P286" s="33"/>
    </row>
    <row r="287" spans="1:75" ht="13.5" customHeight="1">
      <c r="A287" s="21" t="s">
        <v>2246</v>
      </c>
      <c r="B287" s="37" t="s">
        <v>1842</v>
      </c>
      <c r="C287" s="37" t="s">
        <v>1304</v>
      </c>
      <c r="D287" s="578" t="s">
        <v>407</v>
      </c>
      <c r="E287" s="579"/>
      <c r="F287" s="37" t="s">
        <v>2398</v>
      </c>
      <c r="G287" s="14">
        <v>104.8</v>
      </c>
      <c r="H287" s="569"/>
      <c r="I287" s="55" t="s">
        <v>1720</v>
      </c>
      <c r="J287" s="14">
        <f>G287*AO287</f>
        <v>0</v>
      </c>
      <c r="K287" s="14">
        <f>G287*AP287</f>
        <v>0</v>
      </c>
      <c r="L287" s="14">
        <f>G287*H287</f>
        <v>0</v>
      </c>
      <c r="M287" s="14">
        <f>L287*(1+BW287/100)</f>
        <v>0</v>
      </c>
      <c r="N287" s="14">
        <v>6.0760000000000002E-2</v>
      </c>
      <c r="O287" s="14">
        <f>G287*N287</f>
        <v>6.367648</v>
      </c>
      <c r="P287" s="72" t="s">
        <v>1664</v>
      </c>
      <c r="Z287" s="14">
        <f>IF(AQ287="5",BJ287,0)</f>
        <v>0</v>
      </c>
      <c r="AB287" s="14">
        <f>IF(AQ287="1",BH287,0)</f>
        <v>0</v>
      </c>
      <c r="AC287" s="14">
        <f>IF(AQ287="1",BI287,0)</f>
        <v>0</v>
      </c>
      <c r="AD287" s="14">
        <f>IF(AQ287="7",BH287,0)</f>
        <v>0</v>
      </c>
      <c r="AE287" s="14">
        <f>IF(AQ287="7",BI287,0)</f>
        <v>0</v>
      </c>
      <c r="AF287" s="14">
        <f>IF(AQ287="2",BH287,0)</f>
        <v>0</v>
      </c>
      <c r="AG287" s="14">
        <f>IF(AQ287="2",BI287,0)</f>
        <v>0</v>
      </c>
      <c r="AH287" s="14">
        <f>IF(AQ287="0",BJ287,0)</f>
        <v>0</v>
      </c>
      <c r="AI287" s="15" t="s">
        <v>1842</v>
      </c>
      <c r="AJ287" s="14">
        <f>IF(AN287=0,L287,0)</f>
        <v>0</v>
      </c>
      <c r="AK287" s="14">
        <f>IF(AN287=15,L287,0)</f>
        <v>0</v>
      </c>
      <c r="AL287" s="14">
        <f>IF(AN287=21,L287,0)</f>
        <v>0</v>
      </c>
      <c r="AN287" s="14">
        <v>21</v>
      </c>
      <c r="AO287" s="92">
        <f>H287*0.418726178535607</f>
        <v>0</v>
      </c>
      <c r="AP287" s="92">
        <f>H287*(1-0.418726178535607)</f>
        <v>0</v>
      </c>
      <c r="AQ287" s="55" t="s">
        <v>2422</v>
      </c>
      <c r="AV287" s="14">
        <f>AW287+AX287</f>
        <v>0</v>
      </c>
      <c r="AW287" s="14">
        <f>G287*AO287</f>
        <v>0</v>
      </c>
      <c r="AX287" s="14">
        <f>G287*AP287</f>
        <v>0</v>
      </c>
      <c r="AY287" s="55" t="s">
        <v>1768</v>
      </c>
      <c r="AZ287" s="55" t="s">
        <v>372</v>
      </c>
      <c r="BA287" s="15" t="s">
        <v>1843</v>
      </c>
      <c r="BC287" s="14">
        <f>AW287+AX287</f>
        <v>0</v>
      </c>
      <c r="BD287" s="14">
        <f>H287/(100-BE287)*100</f>
        <v>0</v>
      </c>
      <c r="BE287" s="14">
        <v>0</v>
      </c>
      <c r="BF287" s="14">
        <f>O287</f>
        <v>6.367648</v>
      </c>
      <c r="BH287" s="14">
        <f>G287*AO287</f>
        <v>0</v>
      </c>
      <c r="BI287" s="14">
        <f>G287*AP287</f>
        <v>0</v>
      </c>
      <c r="BJ287" s="14">
        <f>G287*H287</f>
        <v>0</v>
      </c>
      <c r="BK287" s="14"/>
      <c r="BL287" s="14">
        <v>41</v>
      </c>
      <c r="BW287" s="14" t="str">
        <f>I287</f>
        <v>21</v>
      </c>
    </row>
    <row r="288" spans="1:75" ht="15" customHeight="1">
      <c r="A288" s="32"/>
      <c r="D288" s="3" t="s">
        <v>1883</v>
      </c>
      <c r="E288" s="28" t="s">
        <v>1595</v>
      </c>
      <c r="G288" s="27">
        <v>18</v>
      </c>
      <c r="P288" s="33"/>
    </row>
    <row r="289" spans="1:75" ht="15" customHeight="1">
      <c r="A289" s="32"/>
      <c r="D289" s="3" t="s">
        <v>2044</v>
      </c>
      <c r="E289" s="28" t="s">
        <v>2216</v>
      </c>
      <c r="G289" s="27">
        <v>86.800000000000011</v>
      </c>
      <c r="P289" s="33"/>
    </row>
    <row r="290" spans="1:75" ht="13.5" customHeight="1">
      <c r="A290" s="21" t="s">
        <v>2138</v>
      </c>
      <c r="B290" s="37" t="s">
        <v>1842</v>
      </c>
      <c r="C290" s="37" t="s">
        <v>2424</v>
      </c>
      <c r="D290" s="578" t="s">
        <v>1938</v>
      </c>
      <c r="E290" s="579"/>
      <c r="F290" s="37" t="s">
        <v>2398</v>
      </c>
      <c r="G290" s="14">
        <v>105</v>
      </c>
      <c r="H290" s="569"/>
      <c r="I290" s="55" t="s">
        <v>1720</v>
      </c>
      <c r="J290" s="14">
        <f>G290*AO290</f>
        <v>0</v>
      </c>
      <c r="K290" s="14">
        <f>G290*AP290</f>
        <v>0</v>
      </c>
      <c r="L290" s="14">
        <f>G290*H290</f>
        <v>0</v>
      </c>
      <c r="M290" s="14">
        <f>L290*(1+BW290/100)</f>
        <v>0</v>
      </c>
      <c r="N290" s="14">
        <v>0</v>
      </c>
      <c r="O290" s="14">
        <f>G290*N290</f>
        <v>0</v>
      </c>
      <c r="P290" s="72" t="s">
        <v>1664</v>
      </c>
      <c r="Z290" s="14">
        <f>IF(AQ290="5",BJ290,0)</f>
        <v>0</v>
      </c>
      <c r="AB290" s="14">
        <f>IF(AQ290="1",BH290,0)</f>
        <v>0</v>
      </c>
      <c r="AC290" s="14">
        <f>IF(AQ290="1",BI290,0)</f>
        <v>0</v>
      </c>
      <c r="AD290" s="14">
        <f>IF(AQ290="7",BH290,0)</f>
        <v>0</v>
      </c>
      <c r="AE290" s="14">
        <f>IF(AQ290="7",BI290,0)</f>
        <v>0</v>
      </c>
      <c r="AF290" s="14">
        <f>IF(AQ290="2",BH290,0)</f>
        <v>0</v>
      </c>
      <c r="AG290" s="14">
        <f>IF(AQ290="2",BI290,0)</f>
        <v>0</v>
      </c>
      <c r="AH290" s="14">
        <f>IF(AQ290="0",BJ290,0)</f>
        <v>0</v>
      </c>
      <c r="AI290" s="15" t="s">
        <v>1842</v>
      </c>
      <c r="AJ290" s="14">
        <f>IF(AN290=0,L290,0)</f>
        <v>0</v>
      </c>
      <c r="AK290" s="14">
        <f>IF(AN290=15,L290,0)</f>
        <v>0</v>
      </c>
      <c r="AL290" s="14">
        <f>IF(AN290=21,L290,0)</f>
        <v>0</v>
      </c>
      <c r="AN290" s="14">
        <v>21</v>
      </c>
      <c r="AO290" s="92">
        <f>H290*0</f>
        <v>0</v>
      </c>
      <c r="AP290" s="92">
        <f>H290*(1-0)</f>
        <v>0</v>
      </c>
      <c r="AQ290" s="55" t="s">
        <v>2422</v>
      </c>
      <c r="AV290" s="14">
        <f>AW290+AX290</f>
        <v>0</v>
      </c>
      <c r="AW290" s="14">
        <f>G290*AO290</f>
        <v>0</v>
      </c>
      <c r="AX290" s="14">
        <f>G290*AP290</f>
        <v>0</v>
      </c>
      <c r="AY290" s="55" t="s">
        <v>1768</v>
      </c>
      <c r="AZ290" s="55" t="s">
        <v>372</v>
      </c>
      <c r="BA290" s="15" t="s">
        <v>1843</v>
      </c>
      <c r="BC290" s="14">
        <f>AW290+AX290</f>
        <v>0</v>
      </c>
      <c r="BD290" s="14">
        <f>H290/(100-BE290)*100</f>
        <v>0</v>
      </c>
      <c r="BE290" s="14">
        <v>0</v>
      </c>
      <c r="BF290" s="14">
        <f>O290</f>
        <v>0</v>
      </c>
      <c r="BH290" s="14">
        <f>G290*AO290</f>
        <v>0</v>
      </c>
      <c r="BI290" s="14">
        <f>G290*AP290</f>
        <v>0</v>
      </c>
      <c r="BJ290" s="14">
        <f>G290*H290</f>
        <v>0</v>
      </c>
      <c r="BK290" s="14"/>
      <c r="BL290" s="14">
        <v>41</v>
      </c>
      <c r="BW290" s="14" t="str">
        <f>I290</f>
        <v>21</v>
      </c>
    </row>
    <row r="291" spans="1:75" ht="15" customHeight="1">
      <c r="A291" s="32"/>
      <c r="D291" s="3" t="s">
        <v>302</v>
      </c>
      <c r="E291" s="28" t="s">
        <v>1683</v>
      </c>
      <c r="G291" s="27">
        <v>105.00000000000001</v>
      </c>
      <c r="P291" s="33"/>
    </row>
    <row r="292" spans="1:75" ht="13.5" customHeight="1">
      <c r="A292" s="21" t="s">
        <v>58</v>
      </c>
      <c r="B292" s="37" t="s">
        <v>1842</v>
      </c>
      <c r="C292" s="37" t="s">
        <v>2713</v>
      </c>
      <c r="D292" s="578" t="s">
        <v>63</v>
      </c>
      <c r="E292" s="579"/>
      <c r="F292" s="37" t="s">
        <v>2359</v>
      </c>
      <c r="G292" s="14">
        <v>9.99</v>
      </c>
      <c r="H292" s="569"/>
      <c r="I292" s="55" t="s">
        <v>1720</v>
      </c>
      <c r="J292" s="14">
        <f>G292*AO292</f>
        <v>0</v>
      </c>
      <c r="K292" s="14">
        <f>G292*AP292</f>
        <v>0</v>
      </c>
      <c r="L292" s="14">
        <f>G292*H292</f>
        <v>0</v>
      </c>
      <c r="M292" s="14">
        <f>L292*(1+BW292/100)</f>
        <v>0</v>
      </c>
      <c r="N292" s="14">
        <v>2.5251399999999999</v>
      </c>
      <c r="O292" s="14">
        <f>G292*N292</f>
        <v>25.226148599999998</v>
      </c>
      <c r="P292" s="72" t="s">
        <v>1664</v>
      </c>
      <c r="Z292" s="14">
        <f>IF(AQ292="5",BJ292,0)</f>
        <v>0</v>
      </c>
      <c r="AB292" s="14">
        <f>IF(AQ292="1",BH292,0)</f>
        <v>0</v>
      </c>
      <c r="AC292" s="14">
        <f>IF(AQ292="1",BI292,0)</f>
        <v>0</v>
      </c>
      <c r="AD292" s="14">
        <f>IF(AQ292="7",BH292,0)</f>
        <v>0</v>
      </c>
      <c r="AE292" s="14">
        <f>IF(AQ292="7",BI292,0)</f>
        <v>0</v>
      </c>
      <c r="AF292" s="14">
        <f>IF(AQ292="2",BH292,0)</f>
        <v>0</v>
      </c>
      <c r="AG292" s="14">
        <f>IF(AQ292="2",BI292,0)</f>
        <v>0</v>
      </c>
      <c r="AH292" s="14">
        <f>IF(AQ292="0",BJ292,0)</f>
        <v>0</v>
      </c>
      <c r="AI292" s="15" t="s">
        <v>1842</v>
      </c>
      <c r="AJ292" s="14">
        <f>IF(AN292=0,L292,0)</f>
        <v>0</v>
      </c>
      <c r="AK292" s="14">
        <f>IF(AN292=15,L292,0)</f>
        <v>0</v>
      </c>
      <c r="AL292" s="14">
        <f>IF(AN292=21,L292,0)</f>
        <v>0</v>
      </c>
      <c r="AN292" s="14">
        <v>21</v>
      </c>
      <c r="AO292" s="92">
        <f>H292*0.851076294277929</f>
        <v>0</v>
      </c>
      <c r="AP292" s="92">
        <f>H292*(1-0.851076294277929)</f>
        <v>0</v>
      </c>
      <c r="AQ292" s="55" t="s">
        <v>2422</v>
      </c>
      <c r="AV292" s="14">
        <f>AW292+AX292</f>
        <v>0</v>
      </c>
      <c r="AW292" s="14">
        <f>G292*AO292</f>
        <v>0</v>
      </c>
      <c r="AX292" s="14">
        <f>G292*AP292</f>
        <v>0</v>
      </c>
      <c r="AY292" s="55" t="s">
        <v>1768</v>
      </c>
      <c r="AZ292" s="55" t="s">
        <v>372</v>
      </c>
      <c r="BA292" s="15" t="s">
        <v>1843</v>
      </c>
      <c r="BC292" s="14">
        <f>AW292+AX292</f>
        <v>0</v>
      </c>
      <c r="BD292" s="14">
        <f>H292/(100-BE292)*100</f>
        <v>0</v>
      </c>
      <c r="BE292" s="14">
        <v>0</v>
      </c>
      <c r="BF292" s="14">
        <f>O292</f>
        <v>25.226148599999998</v>
      </c>
      <c r="BH292" s="14">
        <f>G292*AO292</f>
        <v>0</v>
      </c>
      <c r="BI292" s="14">
        <f>G292*AP292</f>
        <v>0</v>
      </c>
      <c r="BJ292" s="14">
        <f>G292*H292</f>
        <v>0</v>
      </c>
      <c r="BK292" s="14"/>
      <c r="BL292" s="14">
        <v>41</v>
      </c>
      <c r="BW292" s="14" t="str">
        <f>I292</f>
        <v>21</v>
      </c>
    </row>
    <row r="293" spans="1:75" ht="15" customHeight="1">
      <c r="A293" s="32"/>
      <c r="D293" s="3" t="s">
        <v>1125</v>
      </c>
      <c r="E293" s="28" t="s">
        <v>1683</v>
      </c>
      <c r="G293" s="27">
        <v>2.4000000000000004</v>
      </c>
      <c r="P293" s="33"/>
    </row>
    <row r="294" spans="1:75" ht="15" customHeight="1">
      <c r="A294" s="32"/>
      <c r="D294" s="3" t="s">
        <v>1077</v>
      </c>
      <c r="E294" s="28" t="s">
        <v>1683</v>
      </c>
      <c r="G294" s="27">
        <v>7.5900000000000007</v>
      </c>
      <c r="P294" s="33"/>
    </row>
    <row r="295" spans="1:75" ht="15" customHeight="1">
      <c r="A295" s="65" t="s">
        <v>1683</v>
      </c>
      <c r="B295" s="26" t="s">
        <v>1842</v>
      </c>
      <c r="C295" s="26" t="s">
        <v>808</v>
      </c>
      <c r="D295" s="649" t="s">
        <v>947</v>
      </c>
      <c r="E295" s="650"/>
      <c r="F295" s="74" t="s">
        <v>2262</v>
      </c>
      <c r="G295" s="74" t="s">
        <v>2262</v>
      </c>
      <c r="H295" s="74" t="s">
        <v>2262</v>
      </c>
      <c r="I295" s="74" t="s">
        <v>2262</v>
      </c>
      <c r="J295" s="2">
        <f>SUM(J296:J311)</f>
        <v>0</v>
      </c>
      <c r="K295" s="2">
        <f>SUM(K296:K311)</f>
        <v>0</v>
      </c>
      <c r="L295" s="2">
        <f>SUM(L296:L311)</f>
        <v>0</v>
      </c>
      <c r="M295" s="2">
        <f>SUM(M296:M311)</f>
        <v>0</v>
      </c>
      <c r="N295" s="15" t="s">
        <v>1683</v>
      </c>
      <c r="O295" s="2">
        <f>SUM(O296:O311)</f>
        <v>11.627642399999999</v>
      </c>
      <c r="P295" s="47" t="s">
        <v>1683</v>
      </c>
      <c r="AI295" s="15" t="s">
        <v>1842</v>
      </c>
      <c r="AS295" s="2">
        <f>SUM(AJ296:AJ311)</f>
        <v>0</v>
      </c>
      <c r="AT295" s="2">
        <f>SUM(AK296:AK311)</f>
        <v>0</v>
      </c>
      <c r="AU295" s="2">
        <f>SUM(AL296:AL311)</f>
        <v>0</v>
      </c>
    </row>
    <row r="296" spans="1:75" ht="13.5" customHeight="1">
      <c r="A296" s="21" t="s">
        <v>946</v>
      </c>
      <c r="B296" s="37" t="s">
        <v>1842</v>
      </c>
      <c r="C296" s="37" t="s">
        <v>398</v>
      </c>
      <c r="D296" s="578" t="s">
        <v>2051</v>
      </c>
      <c r="E296" s="579"/>
      <c r="F296" s="37" t="s">
        <v>2359</v>
      </c>
      <c r="G296" s="14">
        <v>3.9</v>
      </c>
      <c r="H296" s="569"/>
      <c r="I296" s="55" t="s">
        <v>1720</v>
      </c>
      <c r="J296" s="14">
        <f>G296*AO296</f>
        <v>0</v>
      </c>
      <c r="K296" s="14">
        <f>G296*AP296</f>
        <v>0</v>
      </c>
      <c r="L296" s="14">
        <f>G296*H296</f>
        <v>0</v>
      </c>
      <c r="M296" s="14">
        <f>L296*(1+BW296/100)</f>
        <v>0</v>
      </c>
      <c r="N296" s="14">
        <v>2.52508</v>
      </c>
      <c r="O296" s="14">
        <f>G296*N296</f>
        <v>9.8478119999999993</v>
      </c>
      <c r="P296" s="72" t="s">
        <v>1664</v>
      </c>
      <c r="Z296" s="14">
        <f>IF(AQ296="5",BJ296,0)</f>
        <v>0</v>
      </c>
      <c r="AB296" s="14">
        <f>IF(AQ296="1",BH296,0)</f>
        <v>0</v>
      </c>
      <c r="AC296" s="14">
        <f>IF(AQ296="1",BI296,0)</f>
        <v>0</v>
      </c>
      <c r="AD296" s="14">
        <f>IF(AQ296="7",BH296,0)</f>
        <v>0</v>
      </c>
      <c r="AE296" s="14">
        <f>IF(AQ296="7",BI296,0)</f>
        <v>0</v>
      </c>
      <c r="AF296" s="14">
        <f>IF(AQ296="2",BH296,0)</f>
        <v>0</v>
      </c>
      <c r="AG296" s="14">
        <f>IF(AQ296="2",BI296,0)</f>
        <v>0</v>
      </c>
      <c r="AH296" s="14">
        <f>IF(AQ296="0",BJ296,0)</f>
        <v>0</v>
      </c>
      <c r="AI296" s="15" t="s">
        <v>1842</v>
      </c>
      <c r="AJ296" s="14">
        <f>IF(AN296=0,L296,0)</f>
        <v>0</v>
      </c>
      <c r="AK296" s="14">
        <f>IF(AN296=15,L296,0)</f>
        <v>0</v>
      </c>
      <c r="AL296" s="14">
        <f>IF(AN296=21,L296,0)</f>
        <v>0</v>
      </c>
      <c r="AN296" s="14">
        <v>21</v>
      </c>
      <c r="AO296" s="92">
        <f>H296*0.61800396432111</f>
        <v>0</v>
      </c>
      <c r="AP296" s="92">
        <f>H296*(1-0.61800396432111)</f>
        <v>0</v>
      </c>
      <c r="AQ296" s="55" t="s">
        <v>2422</v>
      </c>
      <c r="AV296" s="14">
        <f>AW296+AX296</f>
        <v>0</v>
      </c>
      <c r="AW296" s="14">
        <f>G296*AO296</f>
        <v>0</v>
      </c>
      <c r="AX296" s="14">
        <f>G296*AP296</f>
        <v>0</v>
      </c>
      <c r="AY296" s="55" t="s">
        <v>2724</v>
      </c>
      <c r="AZ296" s="55" t="s">
        <v>372</v>
      </c>
      <c r="BA296" s="15" t="s">
        <v>1843</v>
      </c>
      <c r="BC296" s="14">
        <f>AW296+AX296</f>
        <v>0</v>
      </c>
      <c r="BD296" s="14">
        <f>H296/(100-BE296)*100</f>
        <v>0</v>
      </c>
      <c r="BE296" s="14">
        <v>0</v>
      </c>
      <c r="BF296" s="14">
        <f>O296</f>
        <v>9.8478119999999993</v>
      </c>
      <c r="BH296" s="14">
        <f>G296*AO296</f>
        <v>0</v>
      </c>
      <c r="BI296" s="14">
        <f>G296*AP296</f>
        <v>0</v>
      </c>
      <c r="BJ296" s="14">
        <f>G296*H296</f>
        <v>0</v>
      </c>
      <c r="BK296" s="14"/>
      <c r="BL296" s="14">
        <v>43</v>
      </c>
      <c r="BW296" s="14" t="str">
        <f>I296</f>
        <v>21</v>
      </c>
    </row>
    <row r="297" spans="1:75" ht="15" customHeight="1">
      <c r="A297" s="32"/>
      <c r="D297" s="3" t="s">
        <v>2228</v>
      </c>
      <c r="E297" s="28" t="s">
        <v>587</v>
      </c>
      <c r="G297" s="27">
        <v>2.77</v>
      </c>
      <c r="P297" s="33"/>
    </row>
    <row r="298" spans="1:75" ht="15" customHeight="1">
      <c r="A298" s="32"/>
      <c r="D298" s="3" t="s">
        <v>1833</v>
      </c>
      <c r="E298" s="28" t="s">
        <v>1276</v>
      </c>
      <c r="G298" s="27">
        <v>1.1300000000000001</v>
      </c>
      <c r="P298" s="33"/>
    </row>
    <row r="299" spans="1:75" ht="13.5" customHeight="1">
      <c r="A299" s="21" t="s">
        <v>302</v>
      </c>
      <c r="B299" s="37" t="s">
        <v>1842</v>
      </c>
      <c r="C299" s="37" t="s">
        <v>1624</v>
      </c>
      <c r="D299" s="578" t="s">
        <v>451</v>
      </c>
      <c r="E299" s="579"/>
      <c r="F299" s="37" t="s">
        <v>1130</v>
      </c>
      <c r="G299" s="14">
        <v>0.72</v>
      </c>
      <c r="H299" s="569"/>
      <c r="I299" s="55" t="s">
        <v>1720</v>
      </c>
      <c r="J299" s="14">
        <f>G299*AO299</f>
        <v>0</v>
      </c>
      <c r="K299" s="14">
        <f>G299*AP299</f>
        <v>0</v>
      </c>
      <c r="L299" s="14">
        <f>G299*H299</f>
        <v>0</v>
      </c>
      <c r="M299" s="14">
        <f>L299*(1+BW299/100)</f>
        <v>0</v>
      </c>
      <c r="N299" s="14">
        <v>1.02092</v>
      </c>
      <c r="O299" s="14">
        <f>G299*N299</f>
        <v>0.7350624</v>
      </c>
      <c r="P299" s="72" t="s">
        <v>1664</v>
      </c>
      <c r="Z299" s="14">
        <f>IF(AQ299="5",BJ299,0)</f>
        <v>0</v>
      </c>
      <c r="AB299" s="14">
        <f>IF(AQ299="1",BH299,0)</f>
        <v>0</v>
      </c>
      <c r="AC299" s="14">
        <f>IF(AQ299="1",BI299,0)</f>
        <v>0</v>
      </c>
      <c r="AD299" s="14">
        <f>IF(AQ299="7",BH299,0)</f>
        <v>0</v>
      </c>
      <c r="AE299" s="14">
        <f>IF(AQ299="7",BI299,0)</f>
        <v>0</v>
      </c>
      <c r="AF299" s="14">
        <f>IF(AQ299="2",BH299,0)</f>
        <v>0</v>
      </c>
      <c r="AG299" s="14">
        <f>IF(AQ299="2",BI299,0)</f>
        <v>0</v>
      </c>
      <c r="AH299" s="14">
        <f>IF(AQ299="0",BJ299,0)</f>
        <v>0</v>
      </c>
      <c r="AI299" s="15" t="s">
        <v>1842</v>
      </c>
      <c r="AJ299" s="14">
        <f>IF(AN299=0,L299,0)</f>
        <v>0</v>
      </c>
      <c r="AK299" s="14">
        <f>IF(AN299=15,L299,0)</f>
        <v>0</v>
      </c>
      <c r="AL299" s="14">
        <f>IF(AN299=21,L299,0)</f>
        <v>0</v>
      </c>
      <c r="AN299" s="14">
        <v>21</v>
      </c>
      <c r="AO299" s="92">
        <f>H299*0.626876921090017</f>
        <v>0</v>
      </c>
      <c r="AP299" s="92">
        <f>H299*(1-0.626876921090017)</f>
        <v>0</v>
      </c>
      <c r="AQ299" s="55" t="s">
        <v>2422</v>
      </c>
      <c r="AV299" s="14">
        <f>AW299+AX299</f>
        <v>0</v>
      </c>
      <c r="AW299" s="14">
        <f>G299*AO299</f>
        <v>0</v>
      </c>
      <c r="AX299" s="14">
        <f>G299*AP299</f>
        <v>0</v>
      </c>
      <c r="AY299" s="55" t="s">
        <v>2724</v>
      </c>
      <c r="AZ299" s="55" t="s">
        <v>372</v>
      </c>
      <c r="BA299" s="15" t="s">
        <v>1843</v>
      </c>
      <c r="BC299" s="14">
        <f>AW299+AX299</f>
        <v>0</v>
      </c>
      <c r="BD299" s="14">
        <f>H299/(100-BE299)*100</f>
        <v>0</v>
      </c>
      <c r="BE299" s="14">
        <v>0</v>
      </c>
      <c r="BF299" s="14">
        <f>O299</f>
        <v>0.7350624</v>
      </c>
      <c r="BH299" s="14">
        <f>G299*AO299</f>
        <v>0</v>
      </c>
      <c r="BI299" s="14">
        <f>G299*AP299</f>
        <v>0</v>
      </c>
      <c r="BJ299" s="14">
        <f>G299*H299</f>
        <v>0</v>
      </c>
      <c r="BK299" s="14"/>
      <c r="BL299" s="14">
        <v>43</v>
      </c>
      <c r="BW299" s="14" t="str">
        <f>I299</f>
        <v>21</v>
      </c>
    </row>
    <row r="300" spans="1:75" ht="15" customHeight="1">
      <c r="A300" s="32"/>
      <c r="D300" s="3" t="s">
        <v>344</v>
      </c>
      <c r="E300" s="28" t="s">
        <v>1683</v>
      </c>
      <c r="G300" s="27">
        <v>0.72000000000000008</v>
      </c>
      <c r="P300" s="33"/>
    </row>
    <row r="301" spans="1:75" ht="13.5" customHeight="1">
      <c r="A301" s="21" t="s">
        <v>2695</v>
      </c>
      <c r="B301" s="37" t="s">
        <v>1842</v>
      </c>
      <c r="C301" s="37" t="s">
        <v>1630</v>
      </c>
      <c r="D301" s="578" t="s">
        <v>1345</v>
      </c>
      <c r="E301" s="579"/>
      <c r="F301" s="37" t="s">
        <v>2398</v>
      </c>
      <c r="G301" s="14">
        <v>13.74</v>
      </c>
      <c r="H301" s="569"/>
      <c r="I301" s="55" t="s">
        <v>1720</v>
      </c>
      <c r="J301" s="14">
        <f>G301*AO301</f>
        <v>0</v>
      </c>
      <c r="K301" s="14">
        <f>G301*AP301</f>
        <v>0</v>
      </c>
      <c r="L301" s="14">
        <f>G301*H301</f>
        <v>0</v>
      </c>
      <c r="M301" s="14">
        <f>L301*(1+BW301/100)</f>
        <v>0</v>
      </c>
      <c r="N301" s="14">
        <v>4.53E-2</v>
      </c>
      <c r="O301" s="14">
        <f>G301*N301</f>
        <v>0.62242200000000003</v>
      </c>
      <c r="P301" s="72" t="s">
        <v>921</v>
      </c>
      <c r="Z301" s="14">
        <f>IF(AQ301="5",BJ301,0)</f>
        <v>0</v>
      </c>
      <c r="AB301" s="14">
        <f>IF(AQ301="1",BH301,0)</f>
        <v>0</v>
      </c>
      <c r="AC301" s="14">
        <f>IF(AQ301="1",BI301,0)</f>
        <v>0</v>
      </c>
      <c r="AD301" s="14">
        <f>IF(AQ301="7",BH301,0)</f>
        <v>0</v>
      </c>
      <c r="AE301" s="14">
        <f>IF(AQ301="7",BI301,0)</f>
        <v>0</v>
      </c>
      <c r="AF301" s="14">
        <f>IF(AQ301="2",BH301,0)</f>
        <v>0</v>
      </c>
      <c r="AG301" s="14">
        <f>IF(AQ301="2",BI301,0)</f>
        <v>0</v>
      </c>
      <c r="AH301" s="14">
        <f>IF(AQ301="0",BJ301,0)</f>
        <v>0</v>
      </c>
      <c r="AI301" s="15" t="s">
        <v>1842</v>
      </c>
      <c r="AJ301" s="14">
        <f>IF(AN301=0,L301,0)</f>
        <v>0</v>
      </c>
      <c r="AK301" s="14">
        <f>IF(AN301=15,L301,0)</f>
        <v>0</v>
      </c>
      <c r="AL301" s="14">
        <f>IF(AN301=21,L301,0)</f>
        <v>0</v>
      </c>
      <c r="AN301" s="14">
        <v>21</v>
      </c>
      <c r="AO301" s="92">
        <f>H301*0.942958139534884</f>
        <v>0</v>
      </c>
      <c r="AP301" s="92">
        <f>H301*(1-0.942958139534884)</f>
        <v>0</v>
      </c>
      <c r="AQ301" s="55" t="s">
        <v>2422</v>
      </c>
      <c r="AV301" s="14">
        <f>AW301+AX301</f>
        <v>0</v>
      </c>
      <c r="AW301" s="14">
        <f>G301*AO301</f>
        <v>0</v>
      </c>
      <c r="AX301" s="14">
        <f>G301*AP301</f>
        <v>0</v>
      </c>
      <c r="AY301" s="55" t="s">
        <v>2724</v>
      </c>
      <c r="AZ301" s="55" t="s">
        <v>372</v>
      </c>
      <c r="BA301" s="15" t="s">
        <v>1843</v>
      </c>
      <c r="BC301" s="14">
        <f>AW301+AX301</f>
        <v>0</v>
      </c>
      <c r="BD301" s="14">
        <f>H301/(100-BE301)*100</f>
        <v>0</v>
      </c>
      <c r="BE301" s="14">
        <v>0</v>
      </c>
      <c r="BF301" s="14">
        <f>O301</f>
        <v>0.62242200000000003</v>
      </c>
      <c r="BH301" s="14">
        <f>G301*AO301</f>
        <v>0</v>
      </c>
      <c r="BI301" s="14">
        <f>G301*AP301</f>
        <v>0</v>
      </c>
      <c r="BJ301" s="14">
        <f>G301*H301</f>
        <v>0</v>
      </c>
      <c r="BK301" s="14"/>
      <c r="BL301" s="14">
        <v>43</v>
      </c>
      <c r="BW301" s="14" t="str">
        <f>I301</f>
        <v>21</v>
      </c>
    </row>
    <row r="302" spans="1:75" ht="15" customHeight="1">
      <c r="A302" s="32"/>
      <c r="D302" s="3" t="s">
        <v>1573</v>
      </c>
      <c r="E302" s="28" t="s">
        <v>1683</v>
      </c>
      <c r="G302" s="27">
        <v>13.740000000000002</v>
      </c>
      <c r="P302" s="33"/>
    </row>
    <row r="303" spans="1:75" ht="13.5" customHeight="1">
      <c r="A303" s="21" t="s">
        <v>1156</v>
      </c>
      <c r="B303" s="37" t="s">
        <v>1842</v>
      </c>
      <c r="C303" s="37" t="s">
        <v>549</v>
      </c>
      <c r="D303" s="578" t="s">
        <v>695</v>
      </c>
      <c r="E303" s="579"/>
      <c r="F303" s="37" t="s">
        <v>2398</v>
      </c>
      <c r="G303" s="14">
        <v>13.74</v>
      </c>
      <c r="H303" s="569"/>
      <c r="I303" s="55" t="s">
        <v>1720</v>
      </c>
      <c r="J303" s="14">
        <f>G303*AO303</f>
        <v>0</v>
      </c>
      <c r="K303" s="14">
        <f>G303*AP303</f>
        <v>0</v>
      </c>
      <c r="L303" s="14">
        <f>G303*H303</f>
        <v>0</v>
      </c>
      <c r="M303" s="14">
        <f>L303*(1+BW303/100)</f>
        <v>0</v>
      </c>
      <c r="N303" s="14">
        <v>0</v>
      </c>
      <c r="O303" s="14">
        <f>G303*N303</f>
        <v>0</v>
      </c>
      <c r="P303" s="72" t="s">
        <v>1664</v>
      </c>
      <c r="Z303" s="14">
        <f>IF(AQ303="5",BJ303,0)</f>
        <v>0</v>
      </c>
      <c r="AB303" s="14">
        <f>IF(AQ303="1",BH303,0)</f>
        <v>0</v>
      </c>
      <c r="AC303" s="14">
        <f>IF(AQ303="1",BI303,0)</f>
        <v>0</v>
      </c>
      <c r="AD303" s="14">
        <f>IF(AQ303="7",BH303,0)</f>
        <v>0</v>
      </c>
      <c r="AE303" s="14">
        <f>IF(AQ303="7",BI303,0)</f>
        <v>0</v>
      </c>
      <c r="AF303" s="14">
        <f>IF(AQ303="2",BH303,0)</f>
        <v>0</v>
      </c>
      <c r="AG303" s="14">
        <f>IF(AQ303="2",BI303,0)</f>
        <v>0</v>
      </c>
      <c r="AH303" s="14">
        <f>IF(AQ303="0",BJ303,0)</f>
        <v>0</v>
      </c>
      <c r="AI303" s="15" t="s">
        <v>1842</v>
      </c>
      <c r="AJ303" s="14">
        <f>IF(AN303=0,L303,0)</f>
        <v>0</v>
      </c>
      <c r="AK303" s="14">
        <f>IF(AN303=15,L303,0)</f>
        <v>0</v>
      </c>
      <c r="AL303" s="14">
        <f>IF(AN303=21,L303,0)</f>
        <v>0</v>
      </c>
      <c r="AN303" s="14">
        <v>21</v>
      </c>
      <c r="AO303" s="92">
        <f>H303*0</f>
        <v>0</v>
      </c>
      <c r="AP303" s="92">
        <f>H303*(1-0)</f>
        <v>0</v>
      </c>
      <c r="AQ303" s="55" t="s">
        <v>2422</v>
      </c>
      <c r="AV303" s="14">
        <f>AW303+AX303</f>
        <v>0</v>
      </c>
      <c r="AW303" s="14">
        <f>G303*AO303</f>
        <v>0</v>
      </c>
      <c r="AX303" s="14">
        <f>G303*AP303</f>
        <v>0</v>
      </c>
      <c r="AY303" s="55" t="s">
        <v>2724</v>
      </c>
      <c r="AZ303" s="55" t="s">
        <v>372</v>
      </c>
      <c r="BA303" s="15" t="s">
        <v>1843</v>
      </c>
      <c r="BC303" s="14">
        <f>AW303+AX303</f>
        <v>0</v>
      </c>
      <c r="BD303" s="14">
        <f>H303/(100-BE303)*100</f>
        <v>0</v>
      </c>
      <c r="BE303" s="14">
        <v>0</v>
      </c>
      <c r="BF303" s="14">
        <f>O303</f>
        <v>0</v>
      </c>
      <c r="BH303" s="14">
        <f>G303*AO303</f>
        <v>0</v>
      </c>
      <c r="BI303" s="14">
        <f>G303*AP303</f>
        <v>0</v>
      </c>
      <c r="BJ303" s="14">
        <f>G303*H303</f>
        <v>0</v>
      </c>
      <c r="BK303" s="14"/>
      <c r="BL303" s="14">
        <v>43</v>
      </c>
      <c r="BW303" s="14" t="str">
        <f>I303</f>
        <v>21</v>
      </c>
    </row>
    <row r="304" spans="1:75" ht="15" customHeight="1">
      <c r="A304" s="32"/>
      <c r="D304" s="3" t="s">
        <v>177</v>
      </c>
      <c r="E304" s="28" t="s">
        <v>1683</v>
      </c>
      <c r="G304" s="27">
        <v>13.740000000000002</v>
      </c>
      <c r="P304" s="33"/>
    </row>
    <row r="305" spans="1:75" ht="13.5" customHeight="1">
      <c r="A305" s="21" t="s">
        <v>1996</v>
      </c>
      <c r="B305" s="37" t="s">
        <v>1842</v>
      </c>
      <c r="C305" s="37" t="s">
        <v>2252</v>
      </c>
      <c r="D305" s="578" t="s">
        <v>434</v>
      </c>
      <c r="E305" s="579"/>
      <c r="F305" s="37" t="s">
        <v>2398</v>
      </c>
      <c r="G305" s="14">
        <v>12.06</v>
      </c>
      <c r="H305" s="569"/>
      <c r="I305" s="55" t="s">
        <v>1720</v>
      </c>
      <c r="J305" s="14">
        <f>G305*AO305</f>
        <v>0</v>
      </c>
      <c r="K305" s="14">
        <f>G305*AP305</f>
        <v>0</v>
      </c>
      <c r="L305" s="14">
        <f>G305*H305</f>
        <v>0</v>
      </c>
      <c r="M305" s="14">
        <f>L305*(1+BW305/100)</f>
        <v>0</v>
      </c>
      <c r="N305" s="14">
        <v>3.2399999999999998E-2</v>
      </c>
      <c r="O305" s="14">
        <f>G305*N305</f>
        <v>0.39074399999999998</v>
      </c>
      <c r="P305" s="72" t="s">
        <v>1664</v>
      </c>
      <c r="Z305" s="14">
        <f>IF(AQ305="5",BJ305,0)</f>
        <v>0</v>
      </c>
      <c r="AB305" s="14">
        <f>IF(AQ305="1",BH305,0)</f>
        <v>0</v>
      </c>
      <c r="AC305" s="14">
        <f>IF(AQ305="1",BI305,0)</f>
        <v>0</v>
      </c>
      <c r="AD305" s="14">
        <f>IF(AQ305="7",BH305,0)</f>
        <v>0</v>
      </c>
      <c r="AE305" s="14">
        <f>IF(AQ305="7",BI305,0)</f>
        <v>0</v>
      </c>
      <c r="AF305" s="14">
        <f>IF(AQ305="2",BH305,0)</f>
        <v>0</v>
      </c>
      <c r="AG305" s="14">
        <f>IF(AQ305="2",BI305,0)</f>
        <v>0</v>
      </c>
      <c r="AH305" s="14">
        <f>IF(AQ305="0",BJ305,0)</f>
        <v>0</v>
      </c>
      <c r="AI305" s="15" t="s">
        <v>1842</v>
      </c>
      <c r="AJ305" s="14">
        <f>IF(AN305=0,L305,0)</f>
        <v>0</v>
      </c>
      <c r="AK305" s="14">
        <f>IF(AN305=15,L305,0)</f>
        <v>0</v>
      </c>
      <c r="AL305" s="14">
        <f>IF(AN305=21,L305,0)</f>
        <v>0</v>
      </c>
      <c r="AN305" s="14">
        <v>21</v>
      </c>
      <c r="AO305" s="92">
        <f>H305*0.297957881301851</f>
        <v>0</v>
      </c>
      <c r="AP305" s="92">
        <f>H305*(1-0.297957881301851)</f>
        <v>0</v>
      </c>
      <c r="AQ305" s="55" t="s">
        <v>2422</v>
      </c>
      <c r="AV305" s="14">
        <f>AW305+AX305</f>
        <v>0</v>
      </c>
      <c r="AW305" s="14">
        <f>G305*AO305</f>
        <v>0</v>
      </c>
      <c r="AX305" s="14">
        <f>G305*AP305</f>
        <v>0</v>
      </c>
      <c r="AY305" s="55" t="s">
        <v>2724</v>
      </c>
      <c r="AZ305" s="55" t="s">
        <v>372</v>
      </c>
      <c r="BA305" s="15" t="s">
        <v>1843</v>
      </c>
      <c r="BC305" s="14">
        <f>AW305+AX305</f>
        <v>0</v>
      </c>
      <c r="BD305" s="14">
        <f>H305/(100-BE305)*100</f>
        <v>0</v>
      </c>
      <c r="BE305" s="14">
        <v>0</v>
      </c>
      <c r="BF305" s="14">
        <f>O305</f>
        <v>0.39074399999999998</v>
      </c>
      <c r="BH305" s="14">
        <f>G305*AO305</f>
        <v>0</v>
      </c>
      <c r="BI305" s="14">
        <f>G305*AP305</f>
        <v>0</v>
      </c>
      <c r="BJ305" s="14">
        <f>G305*H305</f>
        <v>0</v>
      </c>
      <c r="BK305" s="14"/>
      <c r="BL305" s="14">
        <v>43</v>
      </c>
      <c r="BW305" s="14" t="str">
        <f>I305</f>
        <v>21</v>
      </c>
    </row>
    <row r="306" spans="1:75" ht="15" customHeight="1">
      <c r="A306" s="32"/>
      <c r="D306" s="3" t="s">
        <v>1961</v>
      </c>
      <c r="E306" s="28" t="s">
        <v>1683</v>
      </c>
      <c r="G306" s="27">
        <v>12.06</v>
      </c>
      <c r="P306" s="33"/>
    </row>
    <row r="307" spans="1:75" ht="13.5" customHeight="1">
      <c r="A307" s="21" t="s">
        <v>1128</v>
      </c>
      <c r="B307" s="37" t="s">
        <v>1842</v>
      </c>
      <c r="C307" s="37" t="s">
        <v>1269</v>
      </c>
      <c r="D307" s="578" t="s">
        <v>883</v>
      </c>
      <c r="E307" s="579"/>
      <c r="F307" s="37" t="s">
        <v>2398</v>
      </c>
      <c r="G307" s="14">
        <v>12.06</v>
      </c>
      <c r="H307" s="569"/>
      <c r="I307" s="55" t="s">
        <v>1720</v>
      </c>
      <c r="J307" s="14">
        <f>G307*AO307</f>
        <v>0</v>
      </c>
      <c r="K307" s="14">
        <f>G307*AP307</f>
        <v>0</v>
      </c>
      <c r="L307" s="14">
        <f>G307*H307</f>
        <v>0</v>
      </c>
      <c r="M307" s="14">
        <f>L307*(1+BW307/100)</f>
        <v>0</v>
      </c>
      <c r="N307" s="14">
        <v>0</v>
      </c>
      <c r="O307" s="14">
        <f>G307*N307</f>
        <v>0</v>
      </c>
      <c r="P307" s="72" t="s">
        <v>1664</v>
      </c>
      <c r="Z307" s="14">
        <f>IF(AQ307="5",BJ307,0)</f>
        <v>0</v>
      </c>
      <c r="AB307" s="14">
        <f>IF(AQ307="1",BH307,0)</f>
        <v>0</v>
      </c>
      <c r="AC307" s="14">
        <f>IF(AQ307="1",BI307,0)</f>
        <v>0</v>
      </c>
      <c r="AD307" s="14">
        <f>IF(AQ307="7",BH307,0)</f>
        <v>0</v>
      </c>
      <c r="AE307" s="14">
        <f>IF(AQ307="7",BI307,0)</f>
        <v>0</v>
      </c>
      <c r="AF307" s="14">
        <f>IF(AQ307="2",BH307,0)</f>
        <v>0</v>
      </c>
      <c r="AG307" s="14">
        <f>IF(AQ307="2",BI307,0)</f>
        <v>0</v>
      </c>
      <c r="AH307" s="14">
        <f>IF(AQ307="0",BJ307,0)</f>
        <v>0</v>
      </c>
      <c r="AI307" s="15" t="s">
        <v>1842</v>
      </c>
      <c r="AJ307" s="14">
        <f>IF(AN307=0,L307,0)</f>
        <v>0</v>
      </c>
      <c r="AK307" s="14">
        <f>IF(AN307=15,L307,0)</f>
        <v>0</v>
      </c>
      <c r="AL307" s="14">
        <f>IF(AN307=21,L307,0)</f>
        <v>0</v>
      </c>
      <c r="AN307" s="14">
        <v>21</v>
      </c>
      <c r="AO307" s="92">
        <f>H307*0</f>
        <v>0</v>
      </c>
      <c r="AP307" s="92">
        <f>H307*(1-0)</f>
        <v>0</v>
      </c>
      <c r="AQ307" s="55" t="s">
        <v>2422</v>
      </c>
      <c r="AV307" s="14">
        <f>AW307+AX307</f>
        <v>0</v>
      </c>
      <c r="AW307" s="14">
        <f>G307*AO307</f>
        <v>0</v>
      </c>
      <c r="AX307" s="14">
        <f>G307*AP307</f>
        <v>0</v>
      </c>
      <c r="AY307" s="55" t="s">
        <v>2724</v>
      </c>
      <c r="AZ307" s="55" t="s">
        <v>372</v>
      </c>
      <c r="BA307" s="15" t="s">
        <v>1843</v>
      </c>
      <c r="BC307" s="14">
        <f>AW307+AX307</f>
        <v>0</v>
      </c>
      <c r="BD307" s="14">
        <f>H307/(100-BE307)*100</f>
        <v>0</v>
      </c>
      <c r="BE307" s="14">
        <v>0</v>
      </c>
      <c r="BF307" s="14">
        <f>O307</f>
        <v>0</v>
      </c>
      <c r="BH307" s="14">
        <f>G307*AO307</f>
        <v>0</v>
      </c>
      <c r="BI307" s="14">
        <f>G307*AP307</f>
        <v>0</v>
      </c>
      <c r="BJ307" s="14">
        <f>G307*H307</f>
        <v>0</v>
      </c>
      <c r="BK307" s="14"/>
      <c r="BL307" s="14">
        <v>43</v>
      </c>
      <c r="BW307" s="14" t="str">
        <f>I307</f>
        <v>21</v>
      </c>
    </row>
    <row r="308" spans="1:75" ht="15" customHeight="1">
      <c r="A308" s="32"/>
      <c r="D308" s="3" t="s">
        <v>2342</v>
      </c>
      <c r="E308" s="28" t="s">
        <v>1683</v>
      </c>
      <c r="G308" s="27">
        <v>12.06</v>
      </c>
      <c r="P308" s="33"/>
    </row>
    <row r="309" spans="1:75" ht="27" customHeight="1">
      <c r="A309" s="21" t="s">
        <v>1558</v>
      </c>
      <c r="B309" s="37" t="s">
        <v>1842</v>
      </c>
      <c r="C309" s="37" t="s">
        <v>579</v>
      </c>
      <c r="D309" s="578" t="s">
        <v>1469</v>
      </c>
      <c r="E309" s="579"/>
      <c r="F309" s="37" t="s">
        <v>2398</v>
      </c>
      <c r="G309" s="14">
        <v>13.74</v>
      </c>
      <c r="H309" s="569"/>
      <c r="I309" s="55" t="s">
        <v>1720</v>
      </c>
      <c r="J309" s="14">
        <f>G309*AO309</f>
        <v>0</v>
      </c>
      <c r="K309" s="14">
        <f>G309*AP309</f>
        <v>0</v>
      </c>
      <c r="L309" s="14">
        <f>G309*H309</f>
        <v>0</v>
      </c>
      <c r="M309" s="14">
        <f>L309*(1+BW309/100)</f>
        <v>0</v>
      </c>
      <c r="N309" s="14">
        <v>2.3E-3</v>
      </c>
      <c r="O309" s="14">
        <f>G309*N309</f>
        <v>3.1601999999999998E-2</v>
      </c>
      <c r="P309" s="72" t="s">
        <v>1664</v>
      </c>
      <c r="Z309" s="14">
        <f>IF(AQ309="5",BJ309,0)</f>
        <v>0</v>
      </c>
      <c r="AB309" s="14">
        <f>IF(AQ309="1",BH309,0)</f>
        <v>0</v>
      </c>
      <c r="AC309" s="14">
        <f>IF(AQ309="1",BI309,0)</f>
        <v>0</v>
      </c>
      <c r="AD309" s="14">
        <f>IF(AQ309="7",BH309,0)</f>
        <v>0</v>
      </c>
      <c r="AE309" s="14">
        <f>IF(AQ309="7",BI309,0)</f>
        <v>0</v>
      </c>
      <c r="AF309" s="14">
        <f>IF(AQ309="2",BH309,0)</f>
        <v>0</v>
      </c>
      <c r="AG309" s="14">
        <f>IF(AQ309="2",BI309,0)</f>
        <v>0</v>
      </c>
      <c r="AH309" s="14">
        <f>IF(AQ309="0",BJ309,0)</f>
        <v>0</v>
      </c>
      <c r="AI309" s="15" t="s">
        <v>1842</v>
      </c>
      <c r="AJ309" s="14">
        <f>IF(AN309=0,L309,0)</f>
        <v>0</v>
      </c>
      <c r="AK309" s="14">
        <f>IF(AN309=15,L309,0)</f>
        <v>0</v>
      </c>
      <c r="AL309" s="14">
        <f>IF(AN309=21,L309,0)</f>
        <v>0</v>
      </c>
      <c r="AN309" s="14">
        <v>21</v>
      </c>
      <c r="AO309" s="92">
        <f>H309*0.16151670512955</f>
        <v>0</v>
      </c>
      <c r="AP309" s="92">
        <f>H309*(1-0.16151670512955)</f>
        <v>0</v>
      </c>
      <c r="AQ309" s="55" t="s">
        <v>2422</v>
      </c>
      <c r="AV309" s="14">
        <f>AW309+AX309</f>
        <v>0</v>
      </c>
      <c r="AW309" s="14">
        <f>G309*AO309</f>
        <v>0</v>
      </c>
      <c r="AX309" s="14">
        <f>G309*AP309</f>
        <v>0</v>
      </c>
      <c r="AY309" s="55" t="s">
        <v>2724</v>
      </c>
      <c r="AZ309" s="55" t="s">
        <v>372</v>
      </c>
      <c r="BA309" s="15" t="s">
        <v>1843</v>
      </c>
      <c r="BC309" s="14">
        <f>AW309+AX309</f>
        <v>0</v>
      </c>
      <c r="BD309" s="14">
        <f>H309/(100-BE309)*100</f>
        <v>0</v>
      </c>
      <c r="BE309" s="14">
        <v>0</v>
      </c>
      <c r="BF309" s="14">
        <f>O309</f>
        <v>3.1601999999999998E-2</v>
      </c>
      <c r="BH309" s="14">
        <f>G309*AO309</f>
        <v>0</v>
      </c>
      <c r="BI309" s="14">
        <f>G309*AP309</f>
        <v>0</v>
      </c>
      <c r="BJ309" s="14">
        <f>G309*H309</f>
        <v>0</v>
      </c>
      <c r="BK309" s="14"/>
      <c r="BL309" s="14">
        <v>43</v>
      </c>
      <c r="BW309" s="14" t="str">
        <f>I309</f>
        <v>21</v>
      </c>
    </row>
    <row r="310" spans="1:75" ht="15" customHeight="1">
      <c r="A310" s="32"/>
      <c r="D310" s="3" t="s">
        <v>177</v>
      </c>
      <c r="E310" s="28" t="s">
        <v>1683</v>
      </c>
      <c r="G310" s="27">
        <v>13.740000000000002</v>
      </c>
      <c r="P310" s="33"/>
    </row>
    <row r="311" spans="1:75" ht="13.5" customHeight="1">
      <c r="A311" s="21" t="s">
        <v>2666</v>
      </c>
      <c r="B311" s="37" t="s">
        <v>1842</v>
      </c>
      <c r="C311" s="37" t="s">
        <v>2574</v>
      </c>
      <c r="D311" s="578" t="s">
        <v>735</v>
      </c>
      <c r="E311" s="579"/>
      <c r="F311" s="37" t="s">
        <v>2398</v>
      </c>
      <c r="G311" s="14">
        <v>13.74</v>
      </c>
      <c r="H311" s="569"/>
      <c r="I311" s="55" t="s">
        <v>1720</v>
      </c>
      <c r="J311" s="14">
        <f>G311*AO311</f>
        <v>0</v>
      </c>
      <c r="K311" s="14">
        <f>G311*AP311</f>
        <v>0</v>
      </c>
      <c r="L311" s="14">
        <f>G311*H311</f>
        <v>0</v>
      </c>
      <c r="M311" s="14">
        <f>L311*(1+BW311/100)</f>
        <v>0</v>
      </c>
      <c r="N311" s="14">
        <v>0</v>
      </c>
      <c r="O311" s="14">
        <f>G311*N311</f>
        <v>0</v>
      </c>
      <c r="P311" s="72" t="s">
        <v>1664</v>
      </c>
      <c r="Z311" s="14">
        <f>IF(AQ311="5",BJ311,0)</f>
        <v>0</v>
      </c>
      <c r="AB311" s="14">
        <f>IF(AQ311="1",BH311,0)</f>
        <v>0</v>
      </c>
      <c r="AC311" s="14">
        <f>IF(AQ311="1",BI311,0)</f>
        <v>0</v>
      </c>
      <c r="AD311" s="14">
        <f>IF(AQ311="7",BH311,0)</f>
        <v>0</v>
      </c>
      <c r="AE311" s="14">
        <f>IF(AQ311="7",BI311,0)</f>
        <v>0</v>
      </c>
      <c r="AF311" s="14">
        <f>IF(AQ311="2",BH311,0)</f>
        <v>0</v>
      </c>
      <c r="AG311" s="14">
        <f>IF(AQ311="2",BI311,0)</f>
        <v>0</v>
      </c>
      <c r="AH311" s="14">
        <f>IF(AQ311="0",BJ311,0)</f>
        <v>0</v>
      </c>
      <c r="AI311" s="15" t="s">
        <v>1842</v>
      </c>
      <c r="AJ311" s="14">
        <f>IF(AN311=0,L311,0)</f>
        <v>0</v>
      </c>
      <c r="AK311" s="14">
        <f>IF(AN311=15,L311,0)</f>
        <v>0</v>
      </c>
      <c r="AL311" s="14">
        <f>IF(AN311=21,L311,0)</f>
        <v>0</v>
      </c>
      <c r="AN311" s="14">
        <v>21</v>
      </c>
      <c r="AO311" s="92">
        <f>H311*0</f>
        <v>0</v>
      </c>
      <c r="AP311" s="92">
        <f>H311*(1-0)</f>
        <v>0</v>
      </c>
      <c r="AQ311" s="55" t="s">
        <v>2422</v>
      </c>
      <c r="AV311" s="14">
        <f>AW311+AX311</f>
        <v>0</v>
      </c>
      <c r="AW311" s="14">
        <f>G311*AO311</f>
        <v>0</v>
      </c>
      <c r="AX311" s="14">
        <f>G311*AP311</f>
        <v>0</v>
      </c>
      <c r="AY311" s="55" t="s">
        <v>2724</v>
      </c>
      <c r="AZ311" s="55" t="s">
        <v>372</v>
      </c>
      <c r="BA311" s="15" t="s">
        <v>1843</v>
      </c>
      <c r="BC311" s="14">
        <f>AW311+AX311</f>
        <v>0</v>
      </c>
      <c r="BD311" s="14">
        <f>H311/(100-BE311)*100</f>
        <v>0</v>
      </c>
      <c r="BE311" s="14">
        <v>0</v>
      </c>
      <c r="BF311" s="14">
        <f>O311</f>
        <v>0</v>
      </c>
      <c r="BH311" s="14">
        <f>G311*AO311</f>
        <v>0</v>
      </c>
      <c r="BI311" s="14">
        <f>G311*AP311</f>
        <v>0</v>
      </c>
      <c r="BJ311" s="14">
        <f>G311*H311</f>
        <v>0</v>
      </c>
      <c r="BK311" s="14"/>
      <c r="BL311" s="14">
        <v>43</v>
      </c>
      <c r="BW311" s="14" t="str">
        <f>I311</f>
        <v>21</v>
      </c>
    </row>
    <row r="312" spans="1:75" ht="15" customHeight="1">
      <c r="A312" s="32"/>
      <c r="D312" s="3" t="s">
        <v>177</v>
      </c>
      <c r="E312" s="28" t="s">
        <v>1683</v>
      </c>
      <c r="G312" s="27">
        <v>13.740000000000002</v>
      </c>
      <c r="P312" s="33"/>
    </row>
    <row r="313" spans="1:75" ht="15" customHeight="1">
      <c r="A313" s="65" t="s">
        <v>1683</v>
      </c>
      <c r="B313" s="26" t="s">
        <v>1842</v>
      </c>
      <c r="C313" s="26" t="s">
        <v>865</v>
      </c>
      <c r="D313" s="649" t="s">
        <v>1889</v>
      </c>
      <c r="E313" s="650"/>
      <c r="F313" s="74" t="s">
        <v>2262</v>
      </c>
      <c r="G313" s="74" t="s">
        <v>2262</v>
      </c>
      <c r="H313" s="74" t="s">
        <v>2262</v>
      </c>
      <c r="I313" s="74" t="s">
        <v>2262</v>
      </c>
      <c r="J313" s="2">
        <f>SUM(J314:J314)</f>
        <v>0</v>
      </c>
      <c r="K313" s="2">
        <f>SUM(K314:K314)</f>
        <v>0</v>
      </c>
      <c r="L313" s="2">
        <f>SUM(L314:L314)</f>
        <v>0</v>
      </c>
      <c r="M313" s="2">
        <f>SUM(M314:M314)</f>
        <v>0</v>
      </c>
      <c r="N313" s="15" t="s">
        <v>1683</v>
      </c>
      <c r="O313" s="2">
        <f>SUM(O314:O314)</f>
        <v>98.174999999999997</v>
      </c>
      <c r="P313" s="47" t="s">
        <v>1683</v>
      </c>
      <c r="AI313" s="15" t="s">
        <v>1842</v>
      </c>
      <c r="AS313" s="2">
        <f>SUM(AJ314:AJ314)</f>
        <v>0</v>
      </c>
      <c r="AT313" s="2">
        <f>SUM(AK314:AK314)</f>
        <v>0</v>
      </c>
      <c r="AU313" s="2">
        <f>SUM(AL314:AL314)</f>
        <v>0</v>
      </c>
    </row>
    <row r="314" spans="1:75" ht="13.5" customHeight="1">
      <c r="A314" s="21" t="s">
        <v>1715</v>
      </c>
      <c r="B314" s="37" t="s">
        <v>1842</v>
      </c>
      <c r="C314" s="37" t="s">
        <v>2327</v>
      </c>
      <c r="D314" s="578" t="s">
        <v>166</v>
      </c>
      <c r="E314" s="579"/>
      <c r="F314" s="37" t="s">
        <v>2398</v>
      </c>
      <c r="G314" s="14">
        <v>374</v>
      </c>
      <c r="H314" s="569"/>
      <c r="I314" s="55" t="s">
        <v>1720</v>
      </c>
      <c r="J314" s="14">
        <f>G314*AO314</f>
        <v>0</v>
      </c>
      <c r="K314" s="14">
        <f>G314*AP314</f>
        <v>0</v>
      </c>
      <c r="L314" s="14">
        <f>G314*H314</f>
        <v>0</v>
      </c>
      <c r="M314" s="14">
        <f>L314*(1+BW314/100)</f>
        <v>0</v>
      </c>
      <c r="N314" s="14">
        <v>0.26250000000000001</v>
      </c>
      <c r="O314" s="14">
        <f>G314*N314</f>
        <v>98.174999999999997</v>
      </c>
      <c r="P314" s="72" t="s">
        <v>1664</v>
      </c>
      <c r="Z314" s="14">
        <f>IF(AQ314="5",BJ314,0)</f>
        <v>0</v>
      </c>
      <c r="AB314" s="14">
        <f>IF(AQ314="1",BH314,0)</f>
        <v>0</v>
      </c>
      <c r="AC314" s="14">
        <f>IF(AQ314="1",BI314,0)</f>
        <v>0</v>
      </c>
      <c r="AD314" s="14">
        <f>IF(AQ314="7",BH314,0)</f>
        <v>0</v>
      </c>
      <c r="AE314" s="14">
        <f>IF(AQ314="7",BI314,0)</f>
        <v>0</v>
      </c>
      <c r="AF314" s="14">
        <f>IF(AQ314="2",BH314,0)</f>
        <v>0</v>
      </c>
      <c r="AG314" s="14">
        <f>IF(AQ314="2",BI314,0)</f>
        <v>0</v>
      </c>
      <c r="AH314" s="14">
        <f>IF(AQ314="0",BJ314,0)</f>
        <v>0</v>
      </c>
      <c r="AI314" s="15" t="s">
        <v>1842</v>
      </c>
      <c r="AJ314" s="14">
        <f>IF(AN314=0,L314,0)</f>
        <v>0</v>
      </c>
      <c r="AK314" s="14">
        <f>IF(AN314=15,L314,0)</f>
        <v>0</v>
      </c>
      <c r="AL314" s="14">
        <f>IF(AN314=21,L314,0)</f>
        <v>0</v>
      </c>
      <c r="AN314" s="14">
        <v>21</v>
      </c>
      <c r="AO314" s="92">
        <f>H314*0.771756245446641</f>
        <v>0</v>
      </c>
      <c r="AP314" s="92">
        <f>H314*(1-0.771756245446641)</f>
        <v>0</v>
      </c>
      <c r="AQ314" s="55" t="s">
        <v>2422</v>
      </c>
      <c r="AV314" s="14">
        <f>AW314+AX314</f>
        <v>0</v>
      </c>
      <c r="AW314" s="14">
        <f>G314*AO314</f>
        <v>0</v>
      </c>
      <c r="AX314" s="14">
        <f>G314*AP314</f>
        <v>0</v>
      </c>
      <c r="AY314" s="55" t="s">
        <v>1186</v>
      </c>
      <c r="AZ314" s="55" t="s">
        <v>372</v>
      </c>
      <c r="BA314" s="15" t="s">
        <v>1843</v>
      </c>
      <c r="BC314" s="14">
        <f>AW314+AX314</f>
        <v>0</v>
      </c>
      <c r="BD314" s="14">
        <f>H314/(100-BE314)*100</f>
        <v>0</v>
      </c>
      <c r="BE314" s="14">
        <v>0</v>
      </c>
      <c r="BF314" s="14">
        <f>O314</f>
        <v>98.174999999999997</v>
      </c>
      <c r="BH314" s="14">
        <f>G314*AO314</f>
        <v>0</v>
      </c>
      <c r="BI314" s="14">
        <f>G314*AP314</f>
        <v>0</v>
      </c>
      <c r="BJ314" s="14">
        <f>G314*H314</f>
        <v>0</v>
      </c>
      <c r="BK314" s="14"/>
      <c r="BL314" s="14">
        <v>45</v>
      </c>
      <c r="BW314" s="14" t="str">
        <f>I314</f>
        <v>21</v>
      </c>
    </row>
    <row r="315" spans="1:75" ht="15" customHeight="1">
      <c r="A315" s="32"/>
      <c r="D315" s="3" t="s">
        <v>2042</v>
      </c>
      <c r="E315" s="28" t="s">
        <v>611</v>
      </c>
      <c r="G315" s="27">
        <v>237.00000000000003</v>
      </c>
      <c r="P315" s="33"/>
    </row>
    <row r="316" spans="1:75" ht="15" customHeight="1">
      <c r="A316" s="32"/>
      <c r="D316" s="3" t="s">
        <v>1157</v>
      </c>
      <c r="E316" s="28" t="s">
        <v>1500</v>
      </c>
      <c r="G316" s="27">
        <v>137</v>
      </c>
      <c r="P316" s="33"/>
    </row>
    <row r="317" spans="1:75" ht="15" customHeight="1">
      <c r="A317" s="65" t="s">
        <v>1683</v>
      </c>
      <c r="B317" s="26" t="s">
        <v>1842</v>
      </c>
      <c r="C317" s="26" t="s">
        <v>1769</v>
      </c>
      <c r="D317" s="649" t="s">
        <v>1752</v>
      </c>
      <c r="E317" s="650"/>
      <c r="F317" s="74" t="s">
        <v>2262</v>
      </c>
      <c r="G317" s="74" t="s">
        <v>2262</v>
      </c>
      <c r="H317" s="74" t="s">
        <v>2262</v>
      </c>
      <c r="I317" s="74" t="s">
        <v>2262</v>
      </c>
      <c r="J317" s="2">
        <f>SUM(J318:J318)</f>
        <v>0</v>
      </c>
      <c r="K317" s="2">
        <f>SUM(K318:K318)</f>
        <v>0</v>
      </c>
      <c r="L317" s="2">
        <f>SUM(L318:L318)</f>
        <v>0</v>
      </c>
      <c r="M317" s="2">
        <f>SUM(M318:M318)</f>
        <v>0</v>
      </c>
      <c r="N317" s="15" t="s">
        <v>1683</v>
      </c>
      <c r="O317" s="2">
        <f>SUM(O318:O318)</f>
        <v>0</v>
      </c>
      <c r="P317" s="47" t="s">
        <v>1683</v>
      </c>
      <c r="AI317" s="15" t="s">
        <v>1842</v>
      </c>
      <c r="AS317" s="2">
        <f>SUM(AJ318:AJ318)</f>
        <v>0</v>
      </c>
      <c r="AT317" s="2">
        <f>SUM(AK318:AK318)</f>
        <v>0</v>
      </c>
      <c r="AU317" s="2">
        <f>SUM(AL318:AL318)</f>
        <v>0</v>
      </c>
    </row>
    <row r="318" spans="1:75" ht="13.5" customHeight="1">
      <c r="A318" s="21" t="s">
        <v>2693</v>
      </c>
      <c r="B318" s="573" t="s">
        <v>1842</v>
      </c>
      <c r="C318" s="573" t="s">
        <v>3737</v>
      </c>
      <c r="D318" s="643" t="s">
        <v>3738</v>
      </c>
      <c r="E318" s="644"/>
      <c r="F318" s="37" t="s">
        <v>2398</v>
      </c>
      <c r="G318" s="14">
        <v>185.92</v>
      </c>
      <c r="H318" s="569"/>
      <c r="I318" s="55" t="s">
        <v>1720</v>
      </c>
      <c r="J318" s="14">
        <f>G318*AO318</f>
        <v>0</v>
      </c>
      <c r="K318" s="14">
        <f>G318*AP318</f>
        <v>0</v>
      </c>
      <c r="L318" s="14">
        <f>G318*H318</f>
        <v>0</v>
      </c>
      <c r="M318" s="14">
        <f>L318*(1+BW318/100)</f>
        <v>0</v>
      </c>
      <c r="N318" s="14">
        <v>0</v>
      </c>
      <c r="O318" s="14">
        <f>G318*N318</f>
        <v>0</v>
      </c>
      <c r="P318" s="72" t="s">
        <v>921</v>
      </c>
      <c r="Z318" s="14">
        <f>IF(AQ318="5",BJ318,0)</f>
        <v>0</v>
      </c>
      <c r="AB318" s="14">
        <f>IF(AQ318="1",BH318,0)</f>
        <v>0</v>
      </c>
      <c r="AC318" s="14">
        <f>IF(AQ318="1",BI318,0)</f>
        <v>0</v>
      </c>
      <c r="AD318" s="14">
        <f>IF(AQ318="7",BH318,0)</f>
        <v>0</v>
      </c>
      <c r="AE318" s="14">
        <f>IF(AQ318="7",BI318,0)</f>
        <v>0</v>
      </c>
      <c r="AF318" s="14">
        <f>IF(AQ318="2",BH318,0)</f>
        <v>0</v>
      </c>
      <c r="AG318" s="14">
        <f>IF(AQ318="2",BI318,0)</f>
        <v>0</v>
      </c>
      <c r="AH318" s="14">
        <f>IF(AQ318="0",BJ318,0)</f>
        <v>0</v>
      </c>
      <c r="AI318" s="15" t="s">
        <v>1842</v>
      </c>
      <c r="AJ318" s="14">
        <f>IF(AN318=0,L318,0)</f>
        <v>0</v>
      </c>
      <c r="AK318" s="14">
        <f>IF(AN318=15,L318,0)</f>
        <v>0</v>
      </c>
      <c r="AL318" s="14">
        <f>IF(AN318=21,L318,0)</f>
        <v>0</v>
      </c>
      <c r="AN318" s="14">
        <v>21</v>
      </c>
      <c r="AO318" s="92">
        <f>H318*0</f>
        <v>0</v>
      </c>
      <c r="AP318" s="92">
        <f>H318*(1-0)</f>
        <v>0</v>
      </c>
      <c r="AQ318" s="55" t="s">
        <v>2422</v>
      </c>
      <c r="AV318" s="14">
        <f>AW318+AX318</f>
        <v>0</v>
      </c>
      <c r="AW318" s="14">
        <f>G318*AO318</f>
        <v>0</v>
      </c>
      <c r="AX318" s="14">
        <f>G318*AP318</f>
        <v>0</v>
      </c>
      <c r="AY318" s="55" t="s">
        <v>1536</v>
      </c>
      <c r="AZ318" s="55" t="s">
        <v>246</v>
      </c>
      <c r="BA318" s="15" t="s">
        <v>1843</v>
      </c>
      <c r="BC318" s="14">
        <f>AW318+AX318</f>
        <v>0</v>
      </c>
      <c r="BD318" s="14">
        <f>H318/(100-BE318)*100</f>
        <v>0</v>
      </c>
      <c r="BE318" s="14">
        <v>0</v>
      </c>
      <c r="BF318" s="14">
        <f>O318</f>
        <v>0</v>
      </c>
      <c r="BH318" s="14">
        <f>G318*AO318</f>
        <v>0</v>
      </c>
      <c r="BI318" s="14">
        <f>G318*AP318</f>
        <v>0</v>
      </c>
      <c r="BJ318" s="14">
        <f>G318*H318</f>
        <v>0</v>
      </c>
      <c r="BK318" s="14"/>
      <c r="BL318" s="14">
        <v>61</v>
      </c>
      <c r="BW318" s="14" t="str">
        <f>I318</f>
        <v>21</v>
      </c>
    </row>
    <row r="319" spans="1:75" ht="15" customHeight="1">
      <c r="A319" s="32"/>
      <c r="D319" s="3" t="s">
        <v>1695</v>
      </c>
      <c r="E319" s="28" t="s">
        <v>2128</v>
      </c>
      <c r="G319" s="27">
        <v>185.92000000000002</v>
      </c>
      <c r="P319" s="33"/>
    </row>
    <row r="320" spans="1:75" ht="15" customHeight="1">
      <c r="A320" s="65" t="s">
        <v>1683</v>
      </c>
      <c r="B320" s="26" t="s">
        <v>1842</v>
      </c>
      <c r="C320" s="26" t="s">
        <v>2725</v>
      </c>
      <c r="D320" s="649" t="s">
        <v>1986</v>
      </c>
      <c r="E320" s="650"/>
      <c r="F320" s="74" t="s">
        <v>2262</v>
      </c>
      <c r="G320" s="74" t="s">
        <v>2262</v>
      </c>
      <c r="H320" s="74" t="s">
        <v>2262</v>
      </c>
      <c r="I320" s="74" t="s">
        <v>2262</v>
      </c>
      <c r="J320" s="2">
        <f>SUM(J321:J333)</f>
        <v>0</v>
      </c>
      <c r="K320" s="2">
        <f>SUM(K321:K333)</f>
        <v>0</v>
      </c>
      <c r="L320" s="2">
        <f>SUM(L321:L333)</f>
        <v>0</v>
      </c>
      <c r="M320" s="2">
        <f>SUM(M321:M333)</f>
        <v>0</v>
      </c>
      <c r="N320" s="15" t="s">
        <v>1683</v>
      </c>
      <c r="O320" s="2">
        <f>SUM(O321:O333)</f>
        <v>19.5953628</v>
      </c>
      <c r="P320" s="47" t="s">
        <v>1683</v>
      </c>
      <c r="AI320" s="15" t="s">
        <v>1842</v>
      </c>
      <c r="AS320" s="2">
        <f>SUM(AJ321:AJ333)</f>
        <v>0</v>
      </c>
      <c r="AT320" s="2">
        <f>SUM(AK321:AK333)</f>
        <v>0</v>
      </c>
      <c r="AU320" s="2">
        <f>SUM(AL321:AL333)</f>
        <v>0</v>
      </c>
    </row>
    <row r="321" spans="1:75" ht="40.5" customHeight="1">
      <c r="A321" s="21" t="s">
        <v>2503</v>
      </c>
      <c r="B321" s="37" t="s">
        <v>1842</v>
      </c>
      <c r="C321" s="37" t="s">
        <v>378</v>
      </c>
      <c r="D321" s="578" t="s">
        <v>1614</v>
      </c>
      <c r="E321" s="579"/>
      <c r="F321" s="37" t="s">
        <v>2398</v>
      </c>
      <c r="G321" s="14">
        <v>388.34</v>
      </c>
      <c r="H321" s="569"/>
      <c r="I321" s="55" t="s">
        <v>1720</v>
      </c>
      <c r="J321" s="14">
        <f>G321*AO321</f>
        <v>0</v>
      </c>
      <c r="K321" s="14">
        <f>G321*AP321</f>
        <v>0</v>
      </c>
      <c r="L321" s="14">
        <f>G321*H321</f>
        <v>0</v>
      </c>
      <c r="M321" s="14">
        <f>L321*(1+BW321/100)</f>
        <v>0</v>
      </c>
      <c r="N321" s="14">
        <v>1.542E-2</v>
      </c>
      <c r="O321" s="14">
        <f>G321*N321</f>
        <v>5.9882027999999998</v>
      </c>
      <c r="P321" s="72" t="s">
        <v>1664</v>
      </c>
      <c r="Z321" s="14">
        <f>IF(AQ321="5",BJ321,0)</f>
        <v>0</v>
      </c>
      <c r="AB321" s="14">
        <f>IF(AQ321="1",BH321,0)</f>
        <v>0</v>
      </c>
      <c r="AC321" s="14">
        <f>IF(AQ321="1",BI321,0)</f>
        <v>0</v>
      </c>
      <c r="AD321" s="14">
        <f>IF(AQ321="7",BH321,0)</f>
        <v>0</v>
      </c>
      <c r="AE321" s="14">
        <f>IF(AQ321="7",BI321,0)</f>
        <v>0</v>
      </c>
      <c r="AF321" s="14">
        <f>IF(AQ321="2",BH321,0)</f>
        <v>0</v>
      </c>
      <c r="AG321" s="14">
        <f>IF(AQ321="2",BI321,0)</f>
        <v>0</v>
      </c>
      <c r="AH321" s="14">
        <f>IF(AQ321="0",BJ321,0)</f>
        <v>0</v>
      </c>
      <c r="AI321" s="15" t="s">
        <v>1842</v>
      </c>
      <c r="AJ321" s="14">
        <f>IF(AN321=0,L321,0)</f>
        <v>0</v>
      </c>
      <c r="AK321" s="14">
        <f>IF(AN321=15,L321,0)</f>
        <v>0</v>
      </c>
      <c r="AL321" s="14">
        <f>IF(AN321=21,L321,0)</f>
        <v>0</v>
      </c>
      <c r="AN321" s="14">
        <v>21</v>
      </c>
      <c r="AO321" s="92">
        <f>H321*0.661014925373134</f>
        <v>0</v>
      </c>
      <c r="AP321" s="92">
        <f>H321*(1-0.661014925373134)</f>
        <v>0</v>
      </c>
      <c r="AQ321" s="55" t="s">
        <v>2422</v>
      </c>
      <c r="AV321" s="14">
        <f>AW321+AX321</f>
        <v>0</v>
      </c>
      <c r="AW321" s="14">
        <f>G321*AO321</f>
        <v>0</v>
      </c>
      <c r="AX321" s="14">
        <f>G321*AP321</f>
        <v>0</v>
      </c>
      <c r="AY321" s="55" t="s">
        <v>1075</v>
      </c>
      <c r="AZ321" s="55" t="s">
        <v>246</v>
      </c>
      <c r="BA321" s="15" t="s">
        <v>1843</v>
      </c>
      <c r="BC321" s="14">
        <f>AW321+AX321</f>
        <v>0</v>
      </c>
      <c r="BD321" s="14">
        <f>H321/(100-BE321)*100</f>
        <v>0</v>
      </c>
      <c r="BE321" s="14">
        <v>0</v>
      </c>
      <c r="BF321" s="14">
        <f>O321</f>
        <v>5.9882027999999998</v>
      </c>
      <c r="BH321" s="14">
        <f>G321*AO321</f>
        <v>0</v>
      </c>
      <c r="BI321" s="14">
        <f>G321*AP321</f>
        <v>0</v>
      </c>
      <c r="BJ321" s="14">
        <f>G321*H321</f>
        <v>0</v>
      </c>
      <c r="BK321" s="14"/>
      <c r="BL321" s="14">
        <v>62</v>
      </c>
      <c r="BW321" s="14" t="str">
        <f>I321</f>
        <v>21</v>
      </c>
    </row>
    <row r="322" spans="1:75" ht="15" customHeight="1">
      <c r="A322" s="32"/>
      <c r="D322" s="3" t="s">
        <v>697</v>
      </c>
      <c r="E322" s="28" t="s">
        <v>1897</v>
      </c>
      <c r="G322" s="27">
        <v>386.00000000000006</v>
      </c>
      <c r="P322" s="33"/>
    </row>
    <row r="323" spans="1:75" ht="15" customHeight="1">
      <c r="A323" s="32"/>
      <c r="D323" s="3" t="s">
        <v>14</v>
      </c>
      <c r="E323" s="28" t="s">
        <v>1206</v>
      </c>
      <c r="G323" s="27">
        <v>2.3400000000000003</v>
      </c>
      <c r="P323" s="33"/>
    </row>
    <row r="324" spans="1:75" ht="27" customHeight="1">
      <c r="A324" s="21" t="s">
        <v>2341</v>
      </c>
      <c r="B324" s="37" t="s">
        <v>1842</v>
      </c>
      <c r="C324" s="37" t="s">
        <v>1214</v>
      </c>
      <c r="D324" s="578" t="s">
        <v>290</v>
      </c>
      <c r="E324" s="579"/>
      <c r="F324" s="37" t="s">
        <v>2398</v>
      </c>
      <c r="G324" s="14">
        <v>126</v>
      </c>
      <c r="H324" s="569"/>
      <c r="I324" s="55" t="s">
        <v>1720</v>
      </c>
      <c r="J324" s="14">
        <f>G324*AO324</f>
        <v>0</v>
      </c>
      <c r="K324" s="14">
        <f>G324*AP324</f>
        <v>0</v>
      </c>
      <c r="L324" s="14">
        <f>G324*H324</f>
        <v>0</v>
      </c>
      <c r="M324" s="14">
        <f>L324*(1+BW324/100)</f>
        <v>0</v>
      </c>
      <c r="N324" s="14">
        <v>4.5760000000000002E-2</v>
      </c>
      <c r="O324" s="14">
        <f>G324*N324</f>
        <v>5.7657600000000002</v>
      </c>
      <c r="P324" s="72" t="s">
        <v>1664</v>
      </c>
      <c r="Z324" s="14">
        <f>IF(AQ324="5",BJ324,0)</f>
        <v>0</v>
      </c>
      <c r="AB324" s="14">
        <f>IF(AQ324="1",BH324,0)</f>
        <v>0</v>
      </c>
      <c r="AC324" s="14">
        <f>IF(AQ324="1",BI324,0)</f>
        <v>0</v>
      </c>
      <c r="AD324" s="14">
        <f>IF(AQ324="7",BH324,0)</f>
        <v>0</v>
      </c>
      <c r="AE324" s="14">
        <f>IF(AQ324="7",BI324,0)</f>
        <v>0</v>
      </c>
      <c r="AF324" s="14">
        <f>IF(AQ324="2",BH324,0)</f>
        <v>0</v>
      </c>
      <c r="AG324" s="14">
        <f>IF(AQ324="2",BI324,0)</f>
        <v>0</v>
      </c>
      <c r="AH324" s="14">
        <f>IF(AQ324="0",BJ324,0)</f>
        <v>0</v>
      </c>
      <c r="AI324" s="15" t="s">
        <v>1842</v>
      </c>
      <c r="AJ324" s="14">
        <f>IF(AN324=0,L324,0)</f>
        <v>0</v>
      </c>
      <c r="AK324" s="14">
        <f>IF(AN324=15,L324,0)</f>
        <v>0</v>
      </c>
      <c r="AL324" s="14">
        <f>IF(AN324=21,L324,0)</f>
        <v>0</v>
      </c>
      <c r="AN324" s="14">
        <v>21</v>
      </c>
      <c r="AO324" s="92">
        <f>H324*0.784794520547945</f>
        <v>0</v>
      </c>
      <c r="AP324" s="92">
        <f>H324*(1-0.784794520547945)</f>
        <v>0</v>
      </c>
      <c r="AQ324" s="55" t="s">
        <v>2422</v>
      </c>
      <c r="AV324" s="14">
        <f>AW324+AX324</f>
        <v>0</v>
      </c>
      <c r="AW324" s="14">
        <f>G324*AO324</f>
        <v>0</v>
      </c>
      <c r="AX324" s="14">
        <f>G324*AP324</f>
        <v>0</v>
      </c>
      <c r="AY324" s="55" t="s">
        <v>1075</v>
      </c>
      <c r="AZ324" s="55" t="s">
        <v>246</v>
      </c>
      <c r="BA324" s="15" t="s">
        <v>1843</v>
      </c>
      <c r="BC324" s="14">
        <f>AW324+AX324</f>
        <v>0</v>
      </c>
      <c r="BD324" s="14">
        <f>H324/(100-BE324)*100</f>
        <v>0</v>
      </c>
      <c r="BE324" s="14">
        <v>0</v>
      </c>
      <c r="BF324" s="14">
        <f>O324</f>
        <v>5.7657600000000002</v>
      </c>
      <c r="BH324" s="14">
        <f>G324*AO324</f>
        <v>0</v>
      </c>
      <c r="BI324" s="14">
        <f>G324*AP324</f>
        <v>0</v>
      </c>
      <c r="BJ324" s="14">
        <f>G324*H324</f>
        <v>0</v>
      </c>
      <c r="BK324" s="14"/>
      <c r="BL324" s="14">
        <v>62</v>
      </c>
      <c r="BW324" s="14" t="str">
        <f>I324</f>
        <v>21</v>
      </c>
    </row>
    <row r="325" spans="1:75" ht="15" customHeight="1">
      <c r="A325" s="32"/>
      <c r="D325" s="3" t="s">
        <v>2405</v>
      </c>
      <c r="E325" s="28" t="s">
        <v>1220</v>
      </c>
      <c r="G325" s="27">
        <v>126.00000000000001</v>
      </c>
      <c r="P325" s="33"/>
    </row>
    <row r="326" spans="1:75" ht="13.5" customHeight="1">
      <c r="A326" s="20" t="s">
        <v>1272</v>
      </c>
      <c r="B326" s="84" t="s">
        <v>1842</v>
      </c>
      <c r="C326" s="84" t="s">
        <v>1697</v>
      </c>
      <c r="D326" s="653" t="s">
        <v>2628</v>
      </c>
      <c r="E326" s="654"/>
      <c r="F326" s="84" t="s">
        <v>2398</v>
      </c>
      <c r="G326" s="6">
        <v>132.30000000000001</v>
      </c>
      <c r="H326" s="570"/>
      <c r="I326" s="18" t="s">
        <v>1720</v>
      </c>
      <c r="J326" s="6">
        <f>G326*AO326</f>
        <v>0</v>
      </c>
      <c r="K326" s="6">
        <f>G326*AP326</f>
        <v>0</v>
      </c>
      <c r="L326" s="6">
        <f>G326*H326</f>
        <v>0</v>
      </c>
      <c r="M326" s="6">
        <f>L326*(1+BW326/100)</f>
        <v>0</v>
      </c>
      <c r="N326" s="6">
        <v>5.0000000000000001E-3</v>
      </c>
      <c r="O326" s="6">
        <f>G326*N326</f>
        <v>0.66150000000000009</v>
      </c>
      <c r="P326" s="109" t="s">
        <v>1664</v>
      </c>
      <c r="Z326" s="14">
        <f>IF(AQ326="5",BJ326,0)</f>
        <v>0</v>
      </c>
      <c r="AB326" s="14">
        <f>IF(AQ326="1",BH326,0)</f>
        <v>0</v>
      </c>
      <c r="AC326" s="14">
        <f>IF(AQ326="1",BI326,0)</f>
        <v>0</v>
      </c>
      <c r="AD326" s="14">
        <f>IF(AQ326="7",BH326,0)</f>
        <v>0</v>
      </c>
      <c r="AE326" s="14">
        <f>IF(AQ326="7",BI326,0)</f>
        <v>0</v>
      </c>
      <c r="AF326" s="14">
        <f>IF(AQ326="2",BH326,0)</f>
        <v>0</v>
      </c>
      <c r="AG326" s="14">
        <f>IF(AQ326="2",BI326,0)</f>
        <v>0</v>
      </c>
      <c r="AH326" s="14">
        <f>IF(AQ326="0",BJ326,0)</f>
        <v>0</v>
      </c>
      <c r="AI326" s="15" t="s">
        <v>1842</v>
      </c>
      <c r="AJ326" s="6">
        <f>IF(AN326=0,L326,0)</f>
        <v>0</v>
      </c>
      <c r="AK326" s="6">
        <f>IF(AN326=15,L326,0)</f>
        <v>0</v>
      </c>
      <c r="AL326" s="6">
        <f>IF(AN326=21,L326,0)</f>
        <v>0</v>
      </c>
      <c r="AN326" s="14">
        <v>21</v>
      </c>
      <c r="AO326" s="92">
        <f>H326*1</f>
        <v>0</v>
      </c>
      <c r="AP326" s="92">
        <f>H326*(1-1)</f>
        <v>0</v>
      </c>
      <c r="AQ326" s="18" t="s">
        <v>2422</v>
      </c>
      <c r="AV326" s="14">
        <f>AW326+AX326</f>
        <v>0</v>
      </c>
      <c r="AW326" s="14">
        <f>G326*AO326</f>
        <v>0</v>
      </c>
      <c r="AX326" s="14">
        <f>G326*AP326</f>
        <v>0</v>
      </c>
      <c r="AY326" s="55" t="s">
        <v>1075</v>
      </c>
      <c r="AZ326" s="55" t="s">
        <v>246</v>
      </c>
      <c r="BA326" s="15" t="s">
        <v>1843</v>
      </c>
      <c r="BC326" s="14">
        <f>AW326+AX326</f>
        <v>0</v>
      </c>
      <c r="BD326" s="14">
        <f>H326/(100-BE326)*100</f>
        <v>0</v>
      </c>
      <c r="BE326" s="14">
        <v>0</v>
      </c>
      <c r="BF326" s="14">
        <f>O326</f>
        <v>0.66150000000000009</v>
      </c>
      <c r="BH326" s="6">
        <f>G326*AO326</f>
        <v>0</v>
      </c>
      <c r="BI326" s="6">
        <f>G326*AP326</f>
        <v>0</v>
      </c>
      <c r="BJ326" s="6">
        <f>G326*H326</f>
        <v>0</v>
      </c>
      <c r="BK326" s="6"/>
      <c r="BL326" s="14">
        <v>62</v>
      </c>
      <c r="BW326" s="14" t="str">
        <f>I326</f>
        <v>21</v>
      </c>
    </row>
    <row r="327" spans="1:75" ht="15" customHeight="1">
      <c r="A327" s="32"/>
      <c r="D327" s="3" t="s">
        <v>1776</v>
      </c>
      <c r="E327" s="28" t="s">
        <v>874</v>
      </c>
      <c r="G327" s="27">
        <v>126.00000000000001</v>
      </c>
      <c r="P327" s="33"/>
    </row>
    <row r="328" spans="1:75" ht="15" customHeight="1">
      <c r="A328" s="32"/>
      <c r="D328" s="3" t="s">
        <v>1100</v>
      </c>
      <c r="E328" s="28" t="s">
        <v>1683</v>
      </c>
      <c r="G328" s="27">
        <v>6.3000000000000007</v>
      </c>
      <c r="P328" s="33"/>
    </row>
    <row r="329" spans="1:75" ht="13.5" customHeight="1">
      <c r="A329" s="21" t="s">
        <v>1136</v>
      </c>
      <c r="B329" s="37" t="s">
        <v>1842</v>
      </c>
      <c r="C329" s="37" t="s">
        <v>1069</v>
      </c>
      <c r="D329" s="578" t="s">
        <v>2580</v>
      </c>
      <c r="E329" s="579"/>
      <c r="F329" s="37" t="s">
        <v>2398</v>
      </c>
      <c r="G329" s="14">
        <v>15</v>
      </c>
      <c r="H329" s="569"/>
      <c r="I329" s="55" t="s">
        <v>1720</v>
      </c>
      <c r="J329" s="14">
        <f>G329*AO329</f>
        <v>0</v>
      </c>
      <c r="K329" s="14">
        <f>G329*AP329</f>
        <v>0</v>
      </c>
      <c r="L329" s="14">
        <f>G329*H329</f>
        <v>0</v>
      </c>
      <c r="M329" s="14">
        <f>L329*(1+BW329/100)</f>
        <v>0</v>
      </c>
      <c r="N329" s="14">
        <v>2.4309999999999998E-2</v>
      </c>
      <c r="O329" s="14">
        <f>G329*N329</f>
        <v>0.36464999999999997</v>
      </c>
      <c r="P329" s="72" t="s">
        <v>1664</v>
      </c>
      <c r="Z329" s="14">
        <f>IF(AQ329="5",BJ329,0)</f>
        <v>0</v>
      </c>
      <c r="AB329" s="14">
        <f>IF(AQ329="1",BH329,0)</f>
        <v>0</v>
      </c>
      <c r="AC329" s="14">
        <f>IF(AQ329="1",BI329,0)</f>
        <v>0</v>
      </c>
      <c r="AD329" s="14">
        <f>IF(AQ329="7",BH329,0)</f>
        <v>0</v>
      </c>
      <c r="AE329" s="14">
        <f>IF(AQ329="7",BI329,0)</f>
        <v>0</v>
      </c>
      <c r="AF329" s="14">
        <f>IF(AQ329="2",BH329,0)</f>
        <v>0</v>
      </c>
      <c r="AG329" s="14">
        <f>IF(AQ329="2",BI329,0)</f>
        <v>0</v>
      </c>
      <c r="AH329" s="14">
        <f>IF(AQ329="0",BJ329,0)</f>
        <v>0</v>
      </c>
      <c r="AI329" s="15" t="s">
        <v>1842</v>
      </c>
      <c r="AJ329" s="14">
        <f>IF(AN329=0,L329,0)</f>
        <v>0</v>
      </c>
      <c r="AK329" s="14">
        <f>IF(AN329=15,L329,0)</f>
        <v>0</v>
      </c>
      <c r="AL329" s="14">
        <f>IF(AN329=21,L329,0)</f>
        <v>0</v>
      </c>
      <c r="AN329" s="14">
        <v>21</v>
      </c>
      <c r="AO329" s="92">
        <f>H329*0.411530685920578</f>
        <v>0</v>
      </c>
      <c r="AP329" s="92">
        <f>H329*(1-0.411530685920578)</f>
        <v>0</v>
      </c>
      <c r="AQ329" s="55" t="s">
        <v>2422</v>
      </c>
      <c r="AV329" s="14">
        <f>AW329+AX329</f>
        <v>0</v>
      </c>
      <c r="AW329" s="14">
        <f>G329*AO329</f>
        <v>0</v>
      </c>
      <c r="AX329" s="14">
        <f>G329*AP329</f>
        <v>0</v>
      </c>
      <c r="AY329" s="55" t="s">
        <v>1075</v>
      </c>
      <c r="AZ329" s="55" t="s">
        <v>246</v>
      </c>
      <c r="BA329" s="15" t="s">
        <v>1843</v>
      </c>
      <c r="BC329" s="14">
        <f>AW329+AX329</f>
        <v>0</v>
      </c>
      <c r="BD329" s="14">
        <f>H329/(100-BE329)*100</f>
        <v>0</v>
      </c>
      <c r="BE329" s="14">
        <v>0</v>
      </c>
      <c r="BF329" s="14">
        <f>O329</f>
        <v>0.36464999999999997</v>
      </c>
      <c r="BH329" s="14">
        <f>G329*AO329</f>
        <v>0</v>
      </c>
      <c r="BI329" s="14">
        <f>G329*AP329</f>
        <v>0</v>
      </c>
      <c r="BJ329" s="14">
        <f>G329*H329</f>
        <v>0</v>
      </c>
      <c r="BK329" s="14"/>
      <c r="BL329" s="14">
        <v>62</v>
      </c>
      <c r="BW329" s="14" t="str">
        <f>I329</f>
        <v>21</v>
      </c>
    </row>
    <row r="330" spans="1:75" ht="15" customHeight="1">
      <c r="A330" s="32"/>
      <c r="D330" s="3" t="s">
        <v>957</v>
      </c>
      <c r="E330" s="28" t="s">
        <v>1683</v>
      </c>
      <c r="G330" s="27">
        <v>15.000000000000002</v>
      </c>
      <c r="P330" s="33"/>
    </row>
    <row r="331" spans="1:75" ht="13.5" customHeight="1">
      <c r="A331" s="21" t="s">
        <v>1014</v>
      </c>
      <c r="B331" s="37" t="s">
        <v>1842</v>
      </c>
      <c r="C331" s="37" t="s">
        <v>1234</v>
      </c>
      <c r="D331" s="578" t="s">
        <v>2741</v>
      </c>
      <c r="E331" s="579"/>
      <c r="F331" s="37" t="s">
        <v>2398</v>
      </c>
      <c r="G331" s="14">
        <v>5</v>
      </c>
      <c r="H331" s="569"/>
      <c r="I331" s="55" t="s">
        <v>1720</v>
      </c>
      <c r="J331" s="14">
        <f>G331*AO331</f>
        <v>0</v>
      </c>
      <c r="K331" s="14">
        <f>G331*AP331</f>
        <v>0</v>
      </c>
      <c r="L331" s="14">
        <f>G331*H331</f>
        <v>0</v>
      </c>
      <c r="M331" s="14">
        <f>L331*(1+BW331/100)</f>
        <v>0</v>
      </c>
      <c r="N331" s="14">
        <v>1.8270000000000002E-2</v>
      </c>
      <c r="O331" s="14">
        <f>G331*N331</f>
        <v>9.1350000000000015E-2</v>
      </c>
      <c r="P331" s="72" t="s">
        <v>1664</v>
      </c>
      <c r="Z331" s="14">
        <f>IF(AQ331="5",BJ331,0)</f>
        <v>0</v>
      </c>
      <c r="AB331" s="14">
        <f>IF(AQ331="1",BH331,0)</f>
        <v>0</v>
      </c>
      <c r="AC331" s="14">
        <f>IF(AQ331="1",BI331,0)</f>
        <v>0</v>
      </c>
      <c r="AD331" s="14">
        <f>IF(AQ331="7",BH331,0)</f>
        <v>0</v>
      </c>
      <c r="AE331" s="14">
        <f>IF(AQ331="7",BI331,0)</f>
        <v>0</v>
      </c>
      <c r="AF331" s="14">
        <f>IF(AQ331="2",BH331,0)</f>
        <v>0</v>
      </c>
      <c r="AG331" s="14">
        <f>IF(AQ331="2",BI331,0)</f>
        <v>0</v>
      </c>
      <c r="AH331" s="14">
        <f>IF(AQ331="0",BJ331,0)</f>
        <v>0</v>
      </c>
      <c r="AI331" s="15" t="s">
        <v>1842</v>
      </c>
      <c r="AJ331" s="14">
        <f>IF(AN331=0,L331,0)</f>
        <v>0</v>
      </c>
      <c r="AK331" s="14">
        <f>IF(AN331=15,L331,0)</f>
        <v>0</v>
      </c>
      <c r="AL331" s="14">
        <f>IF(AN331=21,L331,0)</f>
        <v>0</v>
      </c>
      <c r="AN331" s="14">
        <v>21</v>
      </c>
      <c r="AO331" s="92">
        <f>H331*0.482230437461491</f>
        <v>0</v>
      </c>
      <c r="AP331" s="92">
        <f>H331*(1-0.482230437461491)</f>
        <v>0</v>
      </c>
      <c r="AQ331" s="55" t="s">
        <v>2422</v>
      </c>
      <c r="AV331" s="14">
        <f>AW331+AX331</f>
        <v>0</v>
      </c>
      <c r="AW331" s="14">
        <f>G331*AO331</f>
        <v>0</v>
      </c>
      <c r="AX331" s="14">
        <f>G331*AP331</f>
        <v>0</v>
      </c>
      <c r="AY331" s="55" t="s">
        <v>1075</v>
      </c>
      <c r="AZ331" s="55" t="s">
        <v>246</v>
      </c>
      <c r="BA331" s="15" t="s">
        <v>1843</v>
      </c>
      <c r="BC331" s="14">
        <f>AW331+AX331</f>
        <v>0</v>
      </c>
      <c r="BD331" s="14">
        <f>H331/(100-BE331)*100</f>
        <v>0</v>
      </c>
      <c r="BE331" s="14">
        <v>0</v>
      </c>
      <c r="BF331" s="14">
        <f>O331</f>
        <v>9.1350000000000015E-2</v>
      </c>
      <c r="BH331" s="14">
        <f>G331*AO331</f>
        <v>0</v>
      </c>
      <c r="BI331" s="14">
        <f>G331*AP331</f>
        <v>0</v>
      </c>
      <c r="BJ331" s="14">
        <f>G331*H331</f>
        <v>0</v>
      </c>
      <c r="BK331" s="14"/>
      <c r="BL331" s="14">
        <v>62</v>
      </c>
      <c r="BW331" s="14" t="str">
        <f>I331</f>
        <v>21</v>
      </c>
    </row>
    <row r="332" spans="1:75" ht="15" customHeight="1">
      <c r="A332" s="32"/>
      <c r="D332" s="3" t="s">
        <v>696</v>
      </c>
      <c r="E332" s="28" t="s">
        <v>1683</v>
      </c>
      <c r="G332" s="27">
        <v>5</v>
      </c>
      <c r="P332" s="33"/>
    </row>
    <row r="333" spans="1:75" ht="13.5" customHeight="1">
      <c r="A333" s="21" t="s">
        <v>437</v>
      </c>
      <c r="B333" s="37" t="s">
        <v>1842</v>
      </c>
      <c r="C333" s="37" t="s">
        <v>89</v>
      </c>
      <c r="D333" s="578" t="s">
        <v>2596</v>
      </c>
      <c r="E333" s="579"/>
      <c r="F333" s="37" t="s">
        <v>2398</v>
      </c>
      <c r="G333" s="14">
        <v>186</v>
      </c>
      <c r="H333" s="569"/>
      <c r="I333" s="55" t="s">
        <v>1720</v>
      </c>
      <c r="J333" s="14">
        <f>G333*AO333</f>
        <v>0</v>
      </c>
      <c r="K333" s="14">
        <f>G333*AP333</f>
        <v>0</v>
      </c>
      <c r="L333" s="14">
        <f>G333*H333</f>
        <v>0</v>
      </c>
      <c r="M333" s="14">
        <f>L333*(1+BW333/100)</f>
        <v>0</v>
      </c>
      <c r="N333" s="14">
        <v>3.6150000000000002E-2</v>
      </c>
      <c r="O333" s="14">
        <f>G333*N333</f>
        <v>6.7239000000000004</v>
      </c>
      <c r="P333" s="72" t="s">
        <v>1664</v>
      </c>
      <c r="Z333" s="14">
        <f>IF(AQ333="5",BJ333,0)</f>
        <v>0</v>
      </c>
      <c r="AB333" s="14">
        <f>IF(AQ333="1",BH333,0)</f>
        <v>0</v>
      </c>
      <c r="AC333" s="14">
        <f>IF(AQ333="1",BI333,0)</f>
        <v>0</v>
      </c>
      <c r="AD333" s="14">
        <f>IF(AQ333="7",BH333,0)</f>
        <v>0</v>
      </c>
      <c r="AE333" s="14">
        <f>IF(AQ333="7",BI333,0)</f>
        <v>0</v>
      </c>
      <c r="AF333" s="14">
        <f>IF(AQ333="2",BH333,0)</f>
        <v>0</v>
      </c>
      <c r="AG333" s="14">
        <f>IF(AQ333="2",BI333,0)</f>
        <v>0</v>
      </c>
      <c r="AH333" s="14">
        <f>IF(AQ333="0",BJ333,0)</f>
        <v>0</v>
      </c>
      <c r="AI333" s="15" t="s">
        <v>1842</v>
      </c>
      <c r="AJ333" s="14">
        <f>IF(AN333=0,L333,0)</f>
        <v>0</v>
      </c>
      <c r="AK333" s="14">
        <f>IF(AN333=15,L333,0)</f>
        <v>0</v>
      </c>
      <c r="AL333" s="14">
        <f>IF(AN333=21,L333,0)</f>
        <v>0</v>
      </c>
      <c r="AN333" s="14">
        <v>21</v>
      </c>
      <c r="AO333" s="92">
        <f>H333*0.489469598965071</f>
        <v>0</v>
      </c>
      <c r="AP333" s="92">
        <f>H333*(1-0.489469598965071)</f>
        <v>0</v>
      </c>
      <c r="AQ333" s="55" t="s">
        <v>2422</v>
      </c>
      <c r="AV333" s="14">
        <f>AW333+AX333</f>
        <v>0</v>
      </c>
      <c r="AW333" s="14">
        <f>G333*AO333</f>
        <v>0</v>
      </c>
      <c r="AX333" s="14">
        <f>G333*AP333</f>
        <v>0</v>
      </c>
      <c r="AY333" s="55" t="s">
        <v>1075</v>
      </c>
      <c r="AZ333" s="55" t="s">
        <v>246</v>
      </c>
      <c r="BA333" s="15" t="s">
        <v>1843</v>
      </c>
      <c r="BC333" s="14">
        <f>AW333+AX333</f>
        <v>0</v>
      </c>
      <c r="BD333" s="14">
        <f>H333/(100-BE333)*100</f>
        <v>0</v>
      </c>
      <c r="BE333" s="14">
        <v>0</v>
      </c>
      <c r="BF333" s="14">
        <f>O333</f>
        <v>6.7239000000000004</v>
      </c>
      <c r="BH333" s="14">
        <f>G333*AO333</f>
        <v>0</v>
      </c>
      <c r="BI333" s="14">
        <f>G333*AP333</f>
        <v>0</v>
      </c>
      <c r="BJ333" s="14">
        <f>G333*H333</f>
        <v>0</v>
      </c>
      <c r="BK333" s="14"/>
      <c r="BL333" s="14">
        <v>62</v>
      </c>
      <c r="BW333" s="14" t="str">
        <f>I333</f>
        <v>21</v>
      </c>
    </row>
    <row r="334" spans="1:75" ht="15" customHeight="1">
      <c r="A334" s="32"/>
      <c r="D334" s="3" t="s">
        <v>2412</v>
      </c>
      <c r="E334" s="28" t="s">
        <v>345</v>
      </c>
      <c r="G334" s="27">
        <v>186.00000000000003</v>
      </c>
      <c r="P334" s="33"/>
    </row>
    <row r="335" spans="1:75" ht="15" customHeight="1">
      <c r="A335" s="65" t="s">
        <v>1683</v>
      </c>
      <c r="B335" s="26" t="s">
        <v>1842</v>
      </c>
      <c r="C335" s="26" t="s">
        <v>555</v>
      </c>
      <c r="D335" s="649" t="s">
        <v>2466</v>
      </c>
      <c r="E335" s="650"/>
      <c r="F335" s="74" t="s">
        <v>2262</v>
      </c>
      <c r="G335" s="74" t="s">
        <v>2262</v>
      </c>
      <c r="H335" s="74" t="s">
        <v>2262</v>
      </c>
      <c r="I335" s="74" t="s">
        <v>2262</v>
      </c>
      <c r="J335" s="2">
        <f>SUM(J336:J336)</f>
        <v>0</v>
      </c>
      <c r="K335" s="2">
        <f>SUM(K336:K336)</f>
        <v>0</v>
      </c>
      <c r="L335" s="2">
        <f>SUM(L336:L336)</f>
        <v>0</v>
      </c>
      <c r="M335" s="2">
        <f>SUM(M336:M336)</f>
        <v>0</v>
      </c>
      <c r="N335" s="15" t="s">
        <v>1683</v>
      </c>
      <c r="O335" s="2">
        <f>SUM(O336:O336)</f>
        <v>73.369559999999993</v>
      </c>
      <c r="P335" s="47" t="s">
        <v>1683</v>
      </c>
      <c r="AI335" s="15" t="s">
        <v>1842</v>
      </c>
      <c r="AS335" s="2">
        <f>SUM(AJ336:AJ336)</f>
        <v>0</v>
      </c>
      <c r="AT335" s="2">
        <f>SUM(AK336:AK336)</f>
        <v>0</v>
      </c>
      <c r="AU335" s="2">
        <f>SUM(AL336:AL336)</f>
        <v>0</v>
      </c>
    </row>
    <row r="336" spans="1:75" ht="27" customHeight="1">
      <c r="A336" s="21" t="s">
        <v>553</v>
      </c>
      <c r="B336" s="37" t="s">
        <v>1842</v>
      </c>
      <c r="C336" s="37" t="s">
        <v>86</v>
      </c>
      <c r="D336" s="578" t="s">
        <v>990</v>
      </c>
      <c r="E336" s="579"/>
      <c r="F336" s="37" t="s">
        <v>2398</v>
      </c>
      <c r="G336" s="14">
        <v>726</v>
      </c>
      <c r="H336" s="569"/>
      <c r="I336" s="55" t="s">
        <v>1720</v>
      </c>
      <c r="J336" s="14">
        <f>G336*AO336</f>
        <v>0</v>
      </c>
      <c r="K336" s="14">
        <f>G336*AP336</f>
        <v>0</v>
      </c>
      <c r="L336" s="14">
        <f>G336*H336</f>
        <v>0</v>
      </c>
      <c r="M336" s="14">
        <f>L336*(1+BW336/100)</f>
        <v>0</v>
      </c>
      <c r="N336" s="14">
        <v>0.10106</v>
      </c>
      <c r="O336" s="14">
        <f>G336*N336</f>
        <v>73.369559999999993</v>
      </c>
      <c r="P336" s="72" t="s">
        <v>1664</v>
      </c>
      <c r="Z336" s="14">
        <f>IF(AQ336="5",BJ336,0)</f>
        <v>0</v>
      </c>
      <c r="AB336" s="14">
        <f>IF(AQ336="1",BH336,0)</f>
        <v>0</v>
      </c>
      <c r="AC336" s="14">
        <f>IF(AQ336="1",BI336,0)</f>
        <v>0</v>
      </c>
      <c r="AD336" s="14">
        <f>IF(AQ336="7",BH336,0)</f>
        <v>0</v>
      </c>
      <c r="AE336" s="14">
        <f>IF(AQ336="7",BI336,0)</f>
        <v>0</v>
      </c>
      <c r="AF336" s="14">
        <f>IF(AQ336="2",BH336,0)</f>
        <v>0</v>
      </c>
      <c r="AG336" s="14">
        <f>IF(AQ336="2",BI336,0)</f>
        <v>0</v>
      </c>
      <c r="AH336" s="14">
        <f>IF(AQ336="0",BJ336,0)</f>
        <v>0</v>
      </c>
      <c r="AI336" s="15" t="s">
        <v>1842</v>
      </c>
      <c r="AJ336" s="14">
        <f>IF(AN336=0,L336,0)</f>
        <v>0</v>
      </c>
      <c r="AK336" s="14">
        <f>IF(AN336=15,L336,0)</f>
        <v>0</v>
      </c>
      <c r="AL336" s="14">
        <f>IF(AN336=21,L336,0)</f>
        <v>0</v>
      </c>
      <c r="AN336" s="14">
        <v>21</v>
      </c>
      <c r="AO336" s="92">
        <f>H336*0.69320423166577</f>
        <v>0</v>
      </c>
      <c r="AP336" s="92">
        <f>H336*(1-0.69320423166577)</f>
        <v>0</v>
      </c>
      <c r="AQ336" s="55" t="s">
        <v>2422</v>
      </c>
      <c r="AV336" s="14">
        <f>AW336+AX336</f>
        <v>0</v>
      </c>
      <c r="AW336" s="14">
        <f>G336*AO336</f>
        <v>0</v>
      </c>
      <c r="AX336" s="14">
        <f>G336*AP336</f>
        <v>0</v>
      </c>
      <c r="AY336" s="55" t="s">
        <v>2238</v>
      </c>
      <c r="AZ336" s="55" t="s">
        <v>246</v>
      </c>
      <c r="BA336" s="15" t="s">
        <v>1843</v>
      </c>
      <c r="BC336" s="14">
        <f>AW336+AX336</f>
        <v>0</v>
      </c>
      <c r="BD336" s="14">
        <f>H336/(100-BE336)*100</f>
        <v>0</v>
      </c>
      <c r="BE336" s="14">
        <v>0</v>
      </c>
      <c r="BF336" s="14">
        <f>O336</f>
        <v>73.369559999999993</v>
      </c>
      <c r="BH336" s="14">
        <f>G336*AO336</f>
        <v>0</v>
      </c>
      <c r="BI336" s="14">
        <f>G336*AP336</f>
        <v>0</v>
      </c>
      <c r="BJ336" s="14">
        <f>G336*H336</f>
        <v>0</v>
      </c>
      <c r="BK336" s="14"/>
      <c r="BL336" s="14">
        <v>63</v>
      </c>
      <c r="BW336" s="14" t="str">
        <f>I336</f>
        <v>21</v>
      </c>
    </row>
    <row r="337" spans="1:75" ht="15" customHeight="1">
      <c r="A337" s="32"/>
      <c r="D337" s="3" t="s">
        <v>2100</v>
      </c>
      <c r="E337" s="28" t="s">
        <v>564</v>
      </c>
      <c r="G337" s="27">
        <v>726.00000000000011</v>
      </c>
      <c r="P337" s="33"/>
    </row>
    <row r="338" spans="1:75" ht="15" customHeight="1">
      <c r="A338" s="65" t="s">
        <v>1683</v>
      </c>
      <c r="B338" s="26" t="s">
        <v>1842</v>
      </c>
      <c r="C338" s="26" t="s">
        <v>1191</v>
      </c>
      <c r="D338" s="649" t="s">
        <v>2491</v>
      </c>
      <c r="E338" s="650"/>
      <c r="F338" s="74" t="s">
        <v>2262</v>
      </c>
      <c r="G338" s="74" t="s">
        <v>2262</v>
      </c>
      <c r="H338" s="74" t="s">
        <v>2262</v>
      </c>
      <c r="I338" s="74" t="s">
        <v>2262</v>
      </c>
      <c r="J338" s="2">
        <f>SUM(J339:J414)</f>
        <v>0</v>
      </c>
      <c r="K338" s="2">
        <f>SUM(K339:K414)</f>
        <v>0</v>
      </c>
      <c r="L338" s="2">
        <f>SUM(L339:L414)</f>
        <v>0</v>
      </c>
      <c r="M338" s="2">
        <f>SUM(M339:M414)</f>
        <v>0</v>
      </c>
      <c r="N338" s="15" t="s">
        <v>1683</v>
      </c>
      <c r="O338" s="2">
        <f>SUM(O339:O414)</f>
        <v>3.6927999999999996</v>
      </c>
      <c r="P338" s="47" t="s">
        <v>1683</v>
      </c>
      <c r="AI338" s="15" t="s">
        <v>1842</v>
      </c>
      <c r="AS338" s="2">
        <f>SUM(AJ339:AJ414)</f>
        <v>0</v>
      </c>
      <c r="AT338" s="2">
        <f>SUM(AK339:AK414)</f>
        <v>0</v>
      </c>
      <c r="AU338" s="2">
        <f>SUM(AL339:AL414)</f>
        <v>0</v>
      </c>
    </row>
    <row r="339" spans="1:75" ht="13.5" customHeight="1">
      <c r="A339" s="21" t="s">
        <v>275</v>
      </c>
      <c r="B339" s="37" t="s">
        <v>1842</v>
      </c>
      <c r="C339" s="37" t="s">
        <v>2151</v>
      </c>
      <c r="D339" s="578" t="s">
        <v>2223</v>
      </c>
      <c r="E339" s="579"/>
      <c r="F339" s="37" t="s">
        <v>595</v>
      </c>
      <c r="G339" s="14">
        <v>20</v>
      </c>
      <c r="H339" s="569"/>
      <c r="I339" s="55" t="s">
        <v>1720</v>
      </c>
      <c r="J339" s="14">
        <f>G339*AO339</f>
        <v>0</v>
      </c>
      <c r="K339" s="14">
        <f>G339*AP339</f>
        <v>0</v>
      </c>
      <c r="L339" s="14">
        <f>G339*H339</f>
        <v>0</v>
      </c>
      <c r="M339" s="14">
        <f>L339*(1+BW339/100)</f>
        <v>0</v>
      </c>
      <c r="N339" s="14">
        <v>1.8970000000000001E-2</v>
      </c>
      <c r="O339" s="14">
        <f>G339*N339</f>
        <v>0.37940000000000002</v>
      </c>
      <c r="P339" s="72" t="s">
        <v>1664</v>
      </c>
      <c r="Z339" s="14">
        <f>IF(AQ339="5",BJ339,0)</f>
        <v>0</v>
      </c>
      <c r="AB339" s="14">
        <f>IF(AQ339="1",BH339,0)</f>
        <v>0</v>
      </c>
      <c r="AC339" s="14">
        <f>IF(AQ339="1",BI339,0)</f>
        <v>0</v>
      </c>
      <c r="AD339" s="14">
        <f>IF(AQ339="7",BH339,0)</f>
        <v>0</v>
      </c>
      <c r="AE339" s="14">
        <f>IF(AQ339="7",BI339,0)</f>
        <v>0</v>
      </c>
      <c r="AF339" s="14">
        <f>IF(AQ339="2",BH339,0)</f>
        <v>0</v>
      </c>
      <c r="AG339" s="14">
        <f>IF(AQ339="2",BI339,0)</f>
        <v>0</v>
      </c>
      <c r="AH339" s="14">
        <f>IF(AQ339="0",BJ339,0)</f>
        <v>0</v>
      </c>
      <c r="AI339" s="15" t="s">
        <v>1842</v>
      </c>
      <c r="AJ339" s="14">
        <f>IF(AN339=0,L339,0)</f>
        <v>0</v>
      </c>
      <c r="AK339" s="14">
        <f>IF(AN339=15,L339,0)</f>
        <v>0</v>
      </c>
      <c r="AL339" s="14">
        <f>IF(AN339=21,L339,0)</f>
        <v>0</v>
      </c>
      <c r="AN339" s="14">
        <v>21</v>
      </c>
      <c r="AO339" s="92">
        <f>H339*0.0222968906720161</f>
        <v>0</v>
      </c>
      <c r="AP339" s="92">
        <f>H339*(1-0.0222968906720161)</f>
        <v>0</v>
      </c>
      <c r="AQ339" s="55" t="s">
        <v>2422</v>
      </c>
      <c r="AV339" s="14">
        <f>AW339+AX339</f>
        <v>0</v>
      </c>
      <c r="AW339" s="14">
        <f>G339*AO339</f>
        <v>0</v>
      </c>
      <c r="AX339" s="14">
        <f>G339*AP339</f>
        <v>0</v>
      </c>
      <c r="AY339" s="55" t="s">
        <v>1638</v>
      </c>
      <c r="AZ339" s="55" t="s">
        <v>246</v>
      </c>
      <c r="BA339" s="15" t="s">
        <v>1843</v>
      </c>
      <c r="BC339" s="14">
        <f>AW339+AX339</f>
        <v>0</v>
      </c>
      <c r="BD339" s="14">
        <f>H339/(100-BE339)*100</f>
        <v>0</v>
      </c>
      <c r="BE339" s="14">
        <v>0</v>
      </c>
      <c r="BF339" s="14">
        <f>O339</f>
        <v>0.37940000000000002</v>
      </c>
      <c r="BH339" s="14">
        <f>G339*AO339</f>
        <v>0</v>
      </c>
      <c r="BI339" s="14">
        <f>G339*AP339</f>
        <v>0</v>
      </c>
      <c r="BJ339" s="14">
        <f>G339*H339</f>
        <v>0</v>
      </c>
      <c r="BK339" s="14"/>
      <c r="BL339" s="14">
        <v>64</v>
      </c>
      <c r="BW339" s="14" t="str">
        <f>I339</f>
        <v>21</v>
      </c>
    </row>
    <row r="340" spans="1:75" ht="15" customHeight="1">
      <c r="A340" s="32"/>
      <c r="D340" s="3" t="s">
        <v>1817</v>
      </c>
      <c r="E340" s="28" t="s">
        <v>1683</v>
      </c>
      <c r="G340" s="27">
        <v>20</v>
      </c>
      <c r="P340" s="33"/>
    </row>
    <row r="341" spans="1:75" ht="13.5" customHeight="1">
      <c r="A341" s="20" t="s">
        <v>339</v>
      </c>
      <c r="B341" s="84" t="s">
        <v>1842</v>
      </c>
      <c r="C341" s="84" t="s">
        <v>821</v>
      </c>
      <c r="D341" s="653" t="s">
        <v>2387</v>
      </c>
      <c r="E341" s="654"/>
      <c r="F341" s="84" t="s">
        <v>595</v>
      </c>
      <c r="G341" s="6">
        <v>7</v>
      </c>
      <c r="H341" s="570"/>
      <c r="I341" s="18" t="s">
        <v>1720</v>
      </c>
      <c r="J341" s="6">
        <f>G341*AO341</f>
        <v>0</v>
      </c>
      <c r="K341" s="6">
        <f>G341*AP341</f>
        <v>0</v>
      </c>
      <c r="L341" s="6">
        <f>G341*H341</f>
        <v>0</v>
      </c>
      <c r="M341" s="6">
        <f>L341*(1+BW341/100)</f>
        <v>0</v>
      </c>
      <c r="N341" s="6">
        <v>1.056E-2</v>
      </c>
      <c r="O341" s="6">
        <f>G341*N341</f>
        <v>7.392E-2</v>
      </c>
      <c r="P341" s="109" t="s">
        <v>1664</v>
      </c>
      <c r="Z341" s="14">
        <f>IF(AQ341="5",BJ341,0)</f>
        <v>0</v>
      </c>
      <c r="AB341" s="14">
        <f>IF(AQ341="1",BH341,0)</f>
        <v>0</v>
      </c>
      <c r="AC341" s="14">
        <f>IF(AQ341="1",BI341,0)</f>
        <v>0</v>
      </c>
      <c r="AD341" s="14">
        <f>IF(AQ341="7",BH341,0)</f>
        <v>0</v>
      </c>
      <c r="AE341" s="14">
        <f>IF(AQ341="7",BI341,0)</f>
        <v>0</v>
      </c>
      <c r="AF341" s="14">
        <f>IF(AQ341="2",BH341,0)</f>
        <v>0</v>
      </c>
      <c r="AG341" s="14">
        <f>IF(AQ341="2",BI341,0)</f>
        <v>0</v>
      </c>
      <c r="AH341" s="14">
        <f>IF(AQ341="0",BJ341,0)</f>
        <v>0</v>
      </c>
      <c r="AI341" s="15" t="s">
        <v>1842</v>
      </c>
      <c r="AJ341" s="6">
        <f>IF(AN341=0,L341,0)</f>
        <v>0</v>
      </c>
      <c r="AK341" s="6">
        <f>IF(AN341=15,L341,0)</f>
        <v>0</v>
      </c>
      <c r="AL341" s="6">
        <f>IF(AN341=21,L341,0)</f>
        <v>0</v>
      </c>
      <c r="AN341" s="14">
        <v>21</v>
      </c>
      <c r="AO341" s="92">
        <f>H341*1</f>
        <v>0</v>
      </c>
      <c r="AP341" s="92">
        <f>H341*(1-1)</f>
        <v>0</v>
      </c>
      <c r="AQ341" s="18" t="s">
        <v>2422</v>
      </c>
      <c r="AV341" s="14">
        <f>AW341+AX341</f>
        <v>0</v>
      </c>
      <c r="AW341" s="14">
        <f>G341*AO341</f>
        <v>0</v>
      </c>
      <c r="AX341" s="14">
        <f>G341*AP341</f>
        <v>0</v>
      </c>
      <c r="AY341" s="55" t="s">
        <v>1638</v>
      </c>
      <c r="AZ341" s="55" t="s">
        <v>246</v>
      </c>
      <c r="BA341" s="15" t="s">
        <v>1843</v>
      </c>
      <c r="BC341" s="14">
        <f>AW341+AX341</f>
        <v>0</v>
      </c>
      <c r="BD341" s="14">
        <f>H341/(100-BE341)*100</f>
        <v>0</v>
      </c>
      <c r="BE341" s="14">
        <v>0</v>
      </c>
      <c r="BF341" s="14">
        <f>O341</f>
        <v>7.392E-2</v>
      </c>
      <c r="BH341" s="6">
        <f>G341*AO341</f>
        <v>0</v>
      </c>
      <c r="BI341" s="6">
        <f>G341*AP341</f>
        <v>0</v>
      </c>
      <c r="BJ341" s="6">
        <f>G341*H341</f>
        <v>0</v>
      </c>
      <c r="BK341" s="6"/>
      <c r="BL341" s="14">
        <v>64</v>
      </c>
      <c r="BW341" s="14" t="str">
        <f>I341</f>
        <v>21</v>
      </c>
    </row>
    <row r="342" spans="1:75" ht="15" customHeight="1">
      <c r="A342" s="32"/>
      <c r="D342" s="3" t="s">
        <v>2435</v>
      </c>
      <c r="E342" s="28" t="s">
        <v>1683</v>
      </c>
      <c r="G342" s="27">
        <v>7.0000000000000009</v>
      </c>
      <c r="P342" s="33"/>
    </row>
    <row r="343" spans="1:75" ht="13.5" customHeight="1">
      <c r="A343" s="20" t="s">
        <v>2294</v>
      </c>
      <c r="B343" s="84" t="s">
        <v>1842</v>
      </c>
      <c r="C343" s="84" t="s">
        <v>2742</v>
      </c>
      <c r="D343" s="653" t="s">
        <v>2010</v>
      </c>
      <c r="E343" s="654"/>
      <c r="F343" s="84" t="s">
        <v>595</v>
      </c>
      <c r="G343" s="6">
        <v>9</v>
      </c>
      <c r="H343" s="570"/>
      <c r="I343" s="18" t="s">
        <v>1720</v>
      </c>
      <c r="J343" s="6">
        <f>G343*AO343</f>
        <v>0</v>
      </c>
      <c r="K343" s="6">
        <f>G343*AP343</f>
        <v>0</v>
      </c>
      <c r="L343" s="6">
        <f>G343*H343</f>
        <v>0</v>
      </c>
      <c r="M343" s="6">
        <f>L343*(1+BW343/100)</f>
        <v>0</v>
      </c>
      <c r="N343" s="6">
        <v>1.081E-2</v>
      </c>
      <c r="O343" s="6">
        <f>G343*N343</f>
        <v>9.7290000000000001E-2</v>
      </c>
      <c r="P343" s="109" t="s">
        <v>1664</v>
      </c>
      <c r="Z343" s="14">
        <f>IF(AQ343="5",BJ343,0)</f>
        <v>0</v>
      </c>
      <c r="AB343" s="14">
        <f>IF(AQ343="1",BH343,0)</f>
        <v>0</v>
      </c>
      <c r="AC343" s="14">
        <f>IF(AQ343="1",BI343,0)</f>
        <v>0</v>
      </c>
      <c r="AD343" s="14">
        <f>IF(AQ343="7",BH343,0)</f>
        <v>0</v>
      </c>
      <c r="AE343" s="14">
        <f>IF(AQ343="7",BI343,0)</f>
        <v>0</v>
      </c>
      <c r="AF343" s="14">
        <f>IF(AQ343="2",BH343,0)</f>
        <v>0</v>
      </c>
      <c r="AG343" s="14">
        <f>IF(AQ343="2",BI343,0)</f>
        <v>0</v>
      </c>
      <c r="AH343" s="14">
        <f>IF(AQ343="0",BJ343,0)</f>
        <v>0</v>
      </c>
      <c r="AI343" s="15" t="s">
        <v>1842</v>
      </c>
      <c r="AJ343" s="6">
        <f>IF(AN343=0,L343,0)</f>
        <v>0</v>
      </c>
      <c r="AK343" s="6">
        <f>IF(AN343=15,L343,0)</f>
        <v>0</v>
      </c>
      <c r="AL343" s="6">
        <f>IF(AN343=21,L343,0)</f>
        <v>0</v>
      </c>
      <c r="AN343" s="14">
        <v>21</v>
      </c>
      <c r="AO343" s="92">
        <f>H343*1</f>
        <v>0</v>
      </c>
      <c r="AP343" s="92">
        <f>H343*(1-1)</f>
        <v>0</v>
      </c>
      <c r="AQ343" s="18" t="s">
        <v>2422</v>
      </c>
      <c r="AV343" s="14">
        <f>AW343+AX343</f>
        <v>0</v>
      </c>
      <c r="AW343" s="14">
        <f>G343*AO343</f>
        <v>0</v>
      </c>
      <c r="AX343" s="14">
        <f>G343*AP343</f>
        <v>0</v>
      </c>
      <c r="AY343" s="55" t="s">
        <v>1638</v>
      </c>
      <c r="AZ343" s="55" t="s">
        <v>246</v>
      </c>
      <c r="BA343" s="15" t="s">
        <v>1843</v>
      </c>
      <c r="BC343" s="14">
        <f>AW343+AX343</f>
        <v>0</v>
      </c>
      <c r="BD343" s="14">
        <f>H343/(100-BE343)*100</f>
        <v>0</v>
      </c>
      <c r="BE343" s="14">
        <v>0</v>
      </c>
      <c r="BF343" s="14">
        <f>O343</f>
        <v>9.7290000000000001E-2</v>
      </c>
      <c r="BH343" s="6">
        <f>G343*AO343</f>
        <v>0</v>
      </c>
      <c r="BI343" s="6">
        <f>G343*AP343</f>
        <v>0</v>
      </c>
      <c r="BJ343" s="6">
        <f>G343*H343</f>
        <v>0</v>
      </c>
      <c r="BK343" s="6"/>
      <c r="BL343" s="14">
        <v>64</v>
      </c>
      <c r="BW343" s="14" t="str">
        <f>I343</f>
        <v>21</v>
      </c>
    </row>
    <row r="344" spans="1:75" ht="15" customHeight="1">
      <c r="A344" s="32"/>
      <c r="D344" s="3" t="s">
        <v>922</v>
      </c>
      <c r="E344" s="28" t="s">
        <v>1683</v>
      </c>
      <c r="G344" s="27">
        <v>9</v>
      </c>
      <c r="P344" s="33"/>
    </row>
    <row r="345" spans="1:75" ht="13.5" customHeight="1">
      <c r="A345" s="20" t="s">
        <v>1777</v>
      </c>
      <c r="B345" s="84" t="s">
        <v>1842</v>
      </c>
      <c r="C345" s="84" t="s">
        <v>1307</v>
      </c>
      <c r="D345" s="653" t="s">
        <v>23</v>
      </c>
      <c r="E345" s="654"/>
      <c r="F345" s="84" t="s">
        <v>595</v>
      </c>
      <c r="G345" s="6">
        <v>3</v>
      </c>
      <c r="H345" s="570"/>
      <c r="I345" s="18" t="s">
        <v>1720</v>
      </c>
      <c r="J345" s="6">
        <f>G345*AO345</f>
        <v>0</v>
      </c>
      <c r="K345" s="6">
        <f>G345*AP345</f>
        <v>0</v>
      </c>
      <c r="L345" s="6">
        <f>G345*H345</f>
        <v>0</v>
      </c>
      <c r="M345" s="6">
        <f>L345*(1+BW345/100)</f>
        <v>0</v>
      </c>
      <c r="N345" s="6">
        <v>1.107E-2</v>
      </c>
      <c r="O345" s="6">
        <f>G345*N345</f>
        <v>3.3210000000000003E-2</v>
      </c>
      <c r="P345" s="109" t="s">
        <v>1664</v>
      </c>
      <c r="Z345" s="14">
        <f>IF(AQ345="5",BJ345,0)</f>
        <v>0</v>
      </c>
      <c r="AB345" s="14">
        <f>IF(AQ345="1",BH345,0)</f>
        <v>0</v>
      </c>
      <c r="AC345" s="14">
        <f>IF(AQ345="1",BI345,0)</f>
        <v>0</v>
      </c>
      <c r="AD345" s="14">
        <f>IF(AQ345="7",BH345,0)</f>
        <v>0</v>
      </c>
      <c r="AE345" s="14">
        <f>IF(AQ345="7",BI345,0)</f>
        <v>0</v>
      </c>
      <c r="AF345" s="14">
        <f>IF(AQ345="2",BH345,0)</f>
        <v>0</v>
      </c>
      <c r="AG345" s="14">
        <f>IF(AQ345="2",BI345,0)</f>
        <v>0</v>
      </c>
      <c r="AH345" s="14">
        <f>IF(AQ345="0",BJ345,0)</f>
        <v>0</v>
      </c>
      <c r="AI345" s="15" t="s">
        <v>1842</v>
      </c>
      <c r="AJ345" s="6">
        <f>IF(AN345=0,L345,0)</f>
        <v>0</v>
      </c>
      <c r="AK345" s="6">
        <f>IF(AN345=15,L345,0)</f>
        <v>0</v>
      </c>
      <c r="AL345" s="6">
        <f>IF(AN345=21,L345,0)</f>
        <v>0</v>
      </c>
      <c r="AN345" s="14">
        <v>21</v>
      </c>
      <c r="AO345" s="92">
        <f>H345*1</f>
        <v>0</v>
      </c>
      <c r="AP345" s="92">
        <f>H345*(1-1)</f>
        <v>0</v>
      </c>
      <c r="AQ345" s="18" t="s">
        <v>2422</v>
      </c>
      <c r="AV345" s="14">
        <f>AW345+AX345</f>
        <v>0</v>
      </c>
      <c r="AW345" s="14">
        <f>G345*AO345</f>
        <v>0</v>
      </c>
      <c r="AX345" s="14">
        <f>G345*AP345</f>
        <v>0</v>
      </c>
      <c r="AY345" s="55" t="s">
        <v>1638</v>
      </c>
      <c r="AZ345" s="55" t="s">
        <v>246</v>
      </c>
      <c r="BA345" s="15" t="s">
        <v>1843</v>
      </c>
      <c r="BC345" s="14">
        <f>AW345+AX345</f>
        <v>0</v>
      </c>
      <c r="BD345" s="14">
        <f>H345/(100-BE345)*100</f>
        <v>0</v>
      </c>
      <c r="BE345" s="14">
        <v>0</v>
      </c>
      <c r="BF345" s="14">
        <f>O345</f>
        <v>3.3210000000000003E-2</v>
      </c>
      <c r="BH345" s="6">
        <f>G345*AO345</f>
        <v>0</v>
      </c>
      <c r="BI345" s="6">
        <f>G345*AP345</f>
        <v>0</v>
      </c>
      <c r="BJ345" s="6">
        <f>G345*H345</f>
        <v>0</v>
      </c>
      <c r="BK345" s="6"/>
      <c r="BL345" s="14">
        <v>64</v>
      </c>
      <c r="BW345" s="14" t="str">
        <f>I345</f>
        <v>21</v>
      </c>
    </row>
    <row r="346" spans="1:75" ht="15" customHeight="1">
      <c r="A346" s="32"/>
      <c r="D346" s="3" t="s">
        <v>2111</v>
      </c>
      <c r="E346" s="28" t="s">
        <v>1683</v>
      </c>
      <c r="G346" s="27">
        <v>3.0000000000000004</v>
      </c>
      <c r="P346" s="33"/>
    </row>
    <row r="347" spans="1:75" ht="13.5" customHeight="1">
      <c r="A347" s="20" t="s">
        <v>1168</v>
      </c>
      <c r="B347" s="84" t="s">
        <v>1842</v>
      </c>
      <c r="C347" s="84" t="s">
        <v>741</v>
      </c>
      <c r="D347" s="653" t="s">
        <v>2768</v>
      </c>
      <c r="E347" s="654"/>
      <c r="F347" s="84" t="s">
        <v>595</v>
      </c>
      <c r="G347" s="6">
        <v>7</v>
      </c>
      <c r="H347" s="570"/>
      <c r="I347" s="18" t="s">
        <v>1720</v>
      </c>
      <c r="J347" s="6">
        <f>G347*AO347</f>
        <v>0</v>
      </c>
      <c r="K347" s="6">
        <f>G347*AP347</f>
        <v>0</v>
      </c>
      <c r="L347" s="6">
        <f>G347*H347</f>
        <v>0</v>
      </c>
      <c r="M347" s="6">
        <f>L347*(1+BW347/100)</f>
        <v>0</v>
      </c>
      <c r="N347" s="6">
        <v>1.7000000000000001E-2</v>
      </c>
      <c r="O347" s="6">
        <f>G347*N347</f>
        <v>0.11900000000000001</v>
      </c>
      <c r="P347" s="109" t="s">
        <v>1664</v>
      </c>
      <c r="Z347" s="14">
        <f>IF(AQ347="5",BJ347,0)</f>
        <v>0</v>
      </c>
      <c r="AB347" s="14">
        <f>IF(AQ347="1",BH347,0)</f>
        <v>0</v>
      </c>
      <c r="AC347" s="14">
        <f>IF(AQ347="1",BI347,0)</f>
        <v>0</v>
      </c>
      <c r="AD347" s="14">
        <f>IF(AQ347="7",BH347,0)</f>
        <v>0</v>
      </c>
      <c r="AE347" s="14">
        <f>IF(AQ347="7",BI347,0)</f>
        <v>0</v>
      </c>
      <c r="AF347" s="14">
        <f>IF(AQ347="2",BH347,0)</f>
        <v>0</v>
      </c>
      <c r="AG347" s="14">
        <f>IF(AQ347="2",BI347,0)</f>
        <v>0</v>
      </c>
      <c r="AH347" s="14">
        <f>IF(AQ347="0",BJ347,0)</f>
        <v>0</v>
      </c>
      <c r="AI347" s="15" t="s">
        <v>1842</v>
      </c>
      <c r="AJ347" s="6">
        <f>IF(AN347=0,L347,0)</f>
        <v>0</v>
      </c>
      <c r="AK347" s="6">
        <f>IF(AN347=15,L347,0)</f>
        <v>0</v>
      </c>
      <c r="AL347" s="6">
        <f>IF(AN347=21,L347,0)</f>
        <v>0</v>
      </c>
      <c r="AN347" s="14">
        <v>21</v>
      </c>
      <c r="AO347" s="92">
        <f>H347*1</f>
        <v>0</v>
      </c>
      <c r="AP347" s="92">
        <f>H347*(1-1)</f>
        <v>0</v>
      </c>
      <c r="AQ347" s="18" t="s">
        <v>2422</v>
      </c>
      <c r="AV347" s="14">
        <f>AW347+AX347</f>
        <v>0</v>
      </c>
      <c r="AW347" s="14">
        <f>G347*AO347</f>
        <v>0</v>
      </c>
      <c r="AX347" s="14">
        <f>G347*AP347</f>
        <v>0</v>
      </c>
      <c r="AY347" s="55" t="s">
        <v>1638</v>
      </c>
      <c r="AZ347" s="55" t="s">
        <v>246</v>
      </c>
      <c r="BA347" s="15" t="s">
        <v>1843</v>
      </c>
      <c r="BC347" s="14">
        <f>AW347+AX347</f>
        <v>0</v>
      </c>
      <c r="BD347" s="14">
        <f>H347/(100-BE347)*100</f>
        <v>0</v>
      </c>
      <c r="BE347" s="14">
        <v>0</v>
      </c>
      <c r="BF347" s="14">
        <f>O347</f>
        <v>0.11900000000000001</v>
      </c>
      <c r="BH347" s="6">
        <f>G347*AO347</f>
        <v>0</v>
      </c>
      <c r="BI347" s="6">
        <f>G347*AP347</f>
        <v>0</v>
      </c>
      <c r="BJ347" s="6">
        <f>G347*H347</f>
        <v>0</v>
      </c>
      <c r="BK347" s="6"/>
      <c r="BL347" s="14">
        <v>64</v>
      </c>
      <c r="BW347" s="14" t="str">
        <f>I347</f>
        <v>21</v>
      </c>
    </row>
    <row r="348" spans="1:75" ht="15" customHeight="1">
      <c r="A348" s="32"/>
      <c r="D348" s="3" t="s">
        <v>2435</v>
      </c>
      <c r="E348" s="28" t="s">
        <v>1683</v>
      </c>
      <c r="G348" s="27">
        <v>7.0000000000000009</v>
      </c>
      <c r="P348" s="33"/>
    </row>
    <row r="349" spans="1:75" ht="13.5" customHeight="1">
      <c r="A349" s="20" t="s">
        <v>1776</v>
      </c>
      <c r="B349" s="84" t="s">
        <v>1842</v>
      </c>
      <c r="C349" s="84" t="s">
        <v>1812</v>
      </c>
      <c r="D349" s="653" t="s">
        <v>514</v>
      </c>
      <c r="E349" s="654"/>
      <c r="F349" s="84" t="s">
        <v>595</v>
      </c>
      <c r="G349" s="6">
        <v>9</v>
      </c>
      <c r="H349" s="570"/>
      <c r="I349" s="18" t="s">
        <v>1720</v>
      </c>
      <c r="J349" s="6">
        <f>G349*AO349</f>
        <v>0</v>
      </c>
      <c r="K349" s="6">
        <f>G349*AP349</f>
        <v>0</v>
      </c>
      <c r="L349" s="6">
        <f>G349*H349</f>
        <v>0</v>
      </c>
      <c r="M349" s="6">
        <f>L349*(1+BW349/100)</f>
        <v>0</v>
      </c>
      <c r="N349" s="6">
        <v>1.9E-2</v>
      </c>
      <c r="O349" s="6">
        <f>G349*N349</f>
        <v>0.17099999999999999</v>
      </c>
      <c r="P349" s="109" t="s">
        <v>1664</v>
      </c>
      <c r="Z349" s="14">
        <f>IF(AQ349="5",BJ349,0)</f>
        <v>0</v>
      </c>
      <c r="AB349" s="14">
        <f>IF(AQ349="1",BH349,0)</f>
        <v>0</v>
      </c>
      <c r="AC349" s="14">
        <f>IF(AQ349="1",BI349,0)</f>
        <v>0</v>
      </c>
      <c r="AD349" s="14">
        <f>IF(AQ349="7",BH349,0)</f>
        <v>0</v>
      </c>
      <c r="AE349" s="14">
        <f>IF(AQ349="7",BI349,0)</f>
        <v>0</v>
      </c>
      <c r="AF349" s="14">
        <f>IF(AQ349="2",BH349,0)</f>
        <v>0</v>
      </c>
      <c r="AG349" s="14">
        <f>IF(AQ349="2",BI349,0)</f>
        <v>0</v>
      </c>
      <c r="AH349" s="14">
        <f>IF(AQ349="0",BJ349,0)</f>
        <v>0</v>
      </c>
      <c r="AI349" s="15" t="s">
        <v>1842</v>
      </c>
      <c r="AJ349" s="6">
        <f>IF(AN349=0,L349,0)</f>
        <v>0</v>
      </c>
      <c r="AK349" s="6">
        <f>IF(AN349=15,L349,0)</f>
        <v>0</v>
      </c>
      <c r="AL349" s="6">
        <f>IF(AN349=21,L349,0)</f>
        <v>0</v>
      </c>
      <c r="AN349" s="14">
        <v>21</v>
      </c>
      <c r="AO349" s="92">
        <f>H349*1</f>
        <v>0</v>
      </c>
      <c r="AP349" s="92">
        <f>H349*(1-1)</f>
        <v>0</v>
      </c>
      <c r="AQ349" s="18" t="s">
        <v>2422</v>
      </c>
      <c r="AV349" s="14">
        <f>AW349+AX349</f>
        <v>0</v>
      </c>
      <c r="AW349" s="14">
        <f>G349*AO349</f>
        <v>0</v>
      </c>
      <c r="AX349" s="14">
        <f>G349*AP349</f>
        <v>0</v>
      </c>
      <c r="AY349" s="55" t="s">
        <v>1638</v>
      </c>
      <c r="AZ349" s="55" t="s">
        <v>246</v>
      </c>
      <c r="BA349" s="15" t="s">
        <v>1843</v>
      </c>
      <c r="BC349" s="14">
        <f>AW349+AX349</f>
        <v>0</v>
      </c>
      <c r="BD349" s="14">
        <f>H349/(100-BE349)*100</f>
        <v>0</v>
      </c>
      <c r="BE349" s="14">
        <v>0</v>
      </c>
      <c r="BF349" s="14">
        <f>O349</f>
        <v>0.17099999999999999</v>
      </c>
      <c r="BH349" s="6">
        <f>G349*AO349</f>
        <v>0</v>
      </c>
      <c r="BI349" s="6">
        <f>G349*AP349</f>
        <v>0</v>
      </c>
      <c r="BJ349" s="6">
        <f>G349*H349</f>
        <v>0</v>
      </c>
      <c r="BK349" s="6"/>
      <c r="BL349" s="14">
        <v>64</v>
      </c>
      <c r="BW349" s="14" t="str">
        <f>I349</f>
        <v>21</v>
      </c>
    </row>
    <row r="350" spans="1:75" ht="15" customHeight="1">
      <c r="A350" s="32"/>
      <c r="D350" s="3" t="s">
        <v>922</v>
      </c>
      <c r="E350" s="28" t="s">
        <v>1683</v>
      </c>
      <c r="G350" s="27">
        <v>9</v>
      </c>
      <c r="P350" s="33"/>
    </row>
    <row r="351" spans="1:75" ht="13.5" customHeight="1">
      <c r="A351" s="20" t="s">
        <v>793</v>
      </c>
      <c r="B351" s="84" t="s">
        <v>1842</v>
      </c>
      <c r="C351" s="84" t="s">
        <v>2345</v>
      </c>
      <c r="D351" s="653" t="s">
        <v>1314</v>
      </c>
      <c r="E351" s="654"/>
      <c r="F351" s="84" t="s">
        <v>595</v>
      </c>
      <c r="G351" s="6">
        <v>3</v>
      </c>
      <c r="H351" s="570"/>
      <c r="I351" s="18" t="s">
        <v>1720</v>
      </c>
      <c r="J351" s="6">
        <f>G351*AO351</f>
        <v>0</v>
      </c>
      <c r="K351" s="6">
        <f>G351*AP351</f>
        <v>0</v>
      </c>
      <c r="L351" s="6">
        <f>G351*H351</f>
        <v>0</v>
      </c>
      <c r="M351" s="6">
        <f>L351*(1+BW351/100)</f>
        <v>0</v>
      </c>
      <c r="N351" s="6">
        <v>2.1000000000000001E-2</v>
      </c>
      <c r="O351" s="6">
        <f>G351*N351</f>
        <v>6.3E-2</v>
      </c>
      <c r="P351" s="109" t="s">
        <v>1664</v>
      </c>
      <c r="Z351" s="14">
        <f>IF(AQ351="5",BJ351,0)</f>
        <v>0</v>
      </c>
      <c r="AB351" s="14">
        <f>IF(AQ351="1",BH351,0)</f>
        <v>0</v>
      </c>
      <c r="AC351" s="14">
        <f>IF(AQ351="1",BI351,0)</f>
        <v>0</v>
      </c>
      <c r="AD351" s="14">
        <f>IF(AQ351="7",BH351,0)</f>
        <v>0</v>
      </c>
      <c r="AE351" s="14">
        <f>IF(AQ351="7",BI351,0)</f>
        <v>0</v>
      </c>
      <c r="AF351" s="14">
        <f>IF(AQ351="2",BH351,0)</f>
        <v>0</v>
      </c>
      <c r="AG351" s="14">
        <f>IF(AQ351="2",BI351,0)</f>
        <v>0</v>
      </c>
      <c r="AH351" s="14">
        <f>IF(AQ351="0",BJ351,0)</f>
        <v>0</v>
      </c>
      <c r="AI351" s="15" t="s">
        <v>1842</v>
      </c>
      <c r="AJ351" s="6">
        <f>IF(AN351=0,L351,0)</f>
        <v>0</v>
      </c>
      <c r="AK351" s="6">
        <f>IF(AN351=15,L351,0)</f>
        <v>0</v>
      </c>
      <c r="AL351" s="6">
        <f>IF(AN351=21,L351,0)</f>
        <v>0</v>
      </c>
      <c r="AN351" s="14">
        <v>21</v>
      </c>
      <c r="AO351" s="92">
        <f>H351*1</f>
        <v>0</v>
      </c>
      <c r="AP351" s="92">
        <f>H351*(1-1)</f>
        <v>0</v>
      </c>
      <c r="AQ351" s="18" t="s">
        <v>2422</v>
      </c>
      <c r="AV351" s="14">
        <f>AW351+AX351</f>
        <v>0</v>
      </c>
      <c r="AW351" s="14">
        <f>G351*AO351</f>
        <v>0</v>
      </c>
      <c r="AX351" s="14">
        <f>G351*AP351</f>
        <v>0</v>
      </c>
      <c r="AY351" s="55" t="s">
        <v>1638</v>
      </c>
      <c r="AZ351" s="55" t="s">
        <v>246</v>
      </c>
      <c r="BA351" s="15" t="s">
        <v>1843</v>
      </c>
      <c r="BC351" s="14">
        <f>AW351+AX351</f>
        <v>0</v>
      </c>
      <c r="BD351" s="14">
        <f>H351/(100-BE351)*100</f>
        <v>0</v>
      </c>
      <c r="BE351" s="14">
        <v>0</v>
      </c>
      <c r="BF351" s="14">
        <f>O351</f>
        <v>6.3E-2</v>
      </c>
      <c r="BH351" s="6">
        <f>G351*AO351</f>
        <v>0</v>
      </c>
      <c r="BI351" s="6">
        <f>G351*AP351</f>
        <v>0</v>
      </c>
      <c r="BJ351" s="6">
        <f>G351*H351</f>
        <v>0</v>
      </c>
      <c r="BK351" s="6"/>
      <c r="BL351" s="14">
        <v>64</v>
      </c>
      <c r="BW351" s="14" t="str">
        <f>I351</f>
        <v>21</v>
      </c>
    </row>
    <row r="352" spans="1:75" ht="15" customHeight="1">
      <c r="A352" s="32"/>
      <c r="D352" s="3" t="s">
        <v>2111</v>
      </c>
      <c r="E352" s="28" t="s">
        <v>1683</v>
      </c>
      <c r="G352" s="27">
        <v>3.0000000000000004</v>
      </c>
      <c r="P352" s="33"/>
    </row>
    <row r="353" spans="1:75" ht="13.5" customHeight="1">
      <c r="A353" s="20" t="s">
        <v>1101</v>
      </c>
      <c r="B353" s="84" t="s">
        <v>1842</v>
      </c>
      <c r="C353" s="84" t="s">
        <v>1119</v>
      </c>
      <c r="D353" s="653" t="s">
        <v>1067</v>
      </c>
      <c r="E353" s="654"/>
      <c r="F353" s="84" t="s">
        <v>595</v>
      </c>
      <c r="G353" s="6">
        <v>1</v>
      </c>
      <c r="H353" s="570"/>
      <c r="I353" s="18" t="s">
        <v>1720</v>
      </c>
      <c r="J353" s="6">
        <f>G353*AO353</f>
        <v>0</v>
      </c>
      <c r="K353" s="6">
        <f>G353*AP353</f>
        <v>0</v>
      </c>
      <c r="L353" s="6">
        <f>G353*H353</f>
        <v>0</v>
      </c>
      <c r="M353" s="6">
        <f>L353*(1+BW353/100)</f>
        <v>0</v>
      </c>
      <c r="N353" s="6">
        <v>3.7999999999999999E-2</v>
      </c>
      <c r="O353" s="6">
        <f>G353*N353</f>
        <v>3.7999999999999999E-2</v>
      </c>
      <c r="P353" s="109" t="s">
        <v>921</v>
      </c>
      <c r="Z353" s="14">
        <f>IF(AQ353="5",BJ353,0)</f>
        <v>0</v>
      </c>
      <c r="AB353" s="14">
        <f>IF(AQ353="1",BH353,0)</f>
        <v>0</v>
      </c>
      <c r="AC353" s="14">
        <f>IF(AQ353="1",BI353,0)</f>
        <v>0</v>
      </c>
      <c r="AD353" s="14">
        <f>IF(AQ353="7",BH353,0)</f>
        <v>0</v>
      </c>
      <c r="AE353" s="14">
        <f>IF(AQ353="7",BI353,0)</f>
        <v>0</v>
      </c>
      <c r="AF353" s="14">
        <f>IF(AQ353="2",BH353,0)</f>
        <v>0</v>
      </c>
      <c r="AG353" s="14">
        <f>IF(AQ353="2",BI353,0)</f>
        <v>0</v>
      </c>
      <c r="AH353" s="14">
        <f>IF(AQ353="0",BJ353,0)</f>
        <v>0</v>
      </c>
      <c r="AI353" s="15" t="s">
        <v>1842</v>
      </c>
      <c r="AJ353" s="6">
        <f>IF(AN353=0,L353,0)</f>
        <v>0</v>
      </c>
      <c r="AK353" s="6">
        <f>IF(AN353=15,L353,0)</f>
        <v>0</v>
      </c>
      <c r="AL353" s="6">
        <f>IF(AN353=21,L353,0)</f>
        <v>0</v>
      </c>
      <c r="AN353" s="14">
        <v>21</v>
      </c>
      <c r="AO353" s="92">
        <f>H353*1</f>
        <v>0</v>
      </c>
      <c r="AP353" s="92">
        <f>H353*(1-1)</f>
        <v>0</v>
      </c>
      <c r="AQ353" s="18" t="s">
        <v>2422</v>
      </c>
      <c r="AV353" s="14">
        <f>AW353+AX353</f>
        <v>0</v>
      </c>
      <c r="AW353" s="14">
        <f>G353*AO353</f>
        <v>0</v>
      </c>
      <c r="AX353" s="14">
        <f>G353*AP353</f>
        <v>0</v>
      </c>
      <c r="AY353" s="55" t="s">
        <v>1638</v>
      </c>
      <c r="AZ353" s="55" t="s">
        <v>246</v>
      </c>
      <c r="BA353" s="15" t="s">
        <v>1843</v>
      </c>
      <c r="BC353" s="14">
        <f>AW353+AX353</f>
        <v>0</v>
      </c>
      <c r="BD353" s="14">
        <f>H353/(100-BE353)*100</f>
        <v>0</v>
      </c>
      <c r="BE353" s="14">
        <v>0</v>
      </c>
      <c r="BF353" s="14">
        <f>O353</f>
        <v>3.7999999999999999E-2</v>
      </c>
      <c r="BH353" s="6">
        <f>G353*AO353</f>
        <v>0</v>
      </c>
      <c r="BI353" s="6">
        <f>G353*AP353</f>
        <v>0</v>
      </c>
      <c r="BJ353" s="6">
        <f>G353*H353</f>
        <v>0</v>
      </c>
      <c r="BK353" s="6"/>
      <c r="BL353" s="14">
        <v>64</v>
      </c>
      <c r="BW353" s="14" t="str">
        <f>I353</f>
        <v>21</v>
      </c>
    </row>
    <row r="354" spans="1:75" ht="15" customHeight="1">
      <c r="A354" s="32"/>
      <c r="D354" s="3" t="s">
        <v>2422</v>
      </c>
      <c r="E354" s="28" t="s">
        <v>346</v>
      </c>
      <c r="G354" s="27">
        <v>1</v>
      </c>
      <c r="P354" s="33"/>
    </row>
    <row r="355" spans="1:75" ht="13.5" customHeight="1">
      <c r="A355" s="21" t="s">
        <v>690</v>
      </c>
      <c r="B355" s="37" t="s">
        <v>1842</v>
      </c>
      <c r="C355" s="37" t="s">
        <v>1253</v>
      </c>
      <c r="D355" s="578" t="s">
        <v>445</v>
      </c>
      <c r="E355" s="579"/>
      <c r="F355" s="37" t="s">
        <v>595</v>
      </c>
      <c r="G355" s="14">
        <v>8</v>
      </c>
      <c r="H355" s="569"/>
      <c r="I355" s="55" t="s">
        <v>1720</v>
      </c>
      <c r="J355" s="14">
        <f>G355*AO355</f>
        <v>0</v>
      </c>
      <c r="K355" s="14">
        <f>G355*AP355</f>
        <v>0</v>
      </c>
      <c r="L355" s="14">
        <f>G355*H355</f>
        <v>0</v>
      </c>
      <c r="M355" s="14">
        <f>L355*(1+BW355/100)</f>
        <v>0</v>
      </c>
      <c r="N355" s="14">
        <v>3.7719999999999997E-2</v>
      </c>
      <c r="O355" s="14">
        <f>G355*N355</f>
        <v>0.30175999999999997</v>
      </c>
      <c r="P355" s="72" t="s">
        <v>1664</v>
      </c>
      <c r="Z355" s="14">
        <f>IF(AQ355="5",BJ355,0)</f>
        <v>0</v>
      </c>
      <c r="AB355" s="14">
        <f>IF(AQ355="1",BH355,0)</f>
        <v>0</v>
      </c>
      <c r="AC355" s="14">
        <f>IF(AQ355="1",BI355,0)</f>
        <v>0</v>
      </c>
      <c r="AD355" s="14">
        <f>IF(AQ355="7",BH355,0)</f>
        <v>0</v>
      </c>
      <c r="AE355" s="14">
        <f>IF(AQ355="7",BI355,0)</f>
        <v>0</v>
      </c>
      <c r="AF355" s="14">
        <f>IF(AQ355="2",BH355,0)</f>
        <v>0</v>
      </c>
      <c r="AG355" s="14">
        <f>IF(AQ355="2",BI355,0)</f>
        <v>0</v>
      </c>
      <c r="AH355" s="14">
        <f>IF(AQ355="0",BJ355,0)</f>
        <v>0</v>
      </c>
      <c r="AI355" s="15" t="s">
        <v>1842</v>
      </c>
      <c r="AJ355" s="14">
        <f>IF(AN355=0,L355,0)</f>
        <v>0</v>
      </c>
      <c r="AK355" s="14">
        <f>IF(AN355=15,L355,0)</f>
        <v>0</v>
      </c>
      <c r="AL355" s="14">
        <f>IF(AN355=21,L355,0)</f>
        <v>0</v>
      </c>
      <c r="AN355" s="14">
        <v>21</v>
      </c>
      <c r="AO355" s="92">
        <f>H355*0.034762604096809</f>
        <v>0</v>
      </c>
      <c r="AP355" s="92">
        <f>H355*(1-0.034762604096809)</f>
        <v>0</v>
      </c>
      <c r="AQ355" s="55" t="s">
        <v>2422</v>
      </c>
      <c r="AV355" s="14">
        <f>AW355+AX355</f>
        <v>0</v>
      </c>
      <c r="AW355" s="14">
        <f>G355*AO355</f>
        <v>0</v>
      </c>
      <c r="AX355" s="14">
        <f>G355*AP355</f>
        <v>0</v>
      </c>
      <c r="AY355" s="55" t="s">
        <v>1638</v>
      </c>
      <c r="AZ355" s="55" t="s">
        <v>246</v>
      </c>
      <c r="BA355" s="15" t="s">
        <v>1843</v>
      </c>
      <c r="BC355" s="14">
        <f>AW355+AX355</f>
        <v>0</v>
      </c>
      <c r="BD355" s="14">
        <f>H355/(100-BE355)*100</f>
        <v>0</v>
      </c>
      <c r="BE355" s="14">
        <v>0</v>
      </c>
      <c r="BF355" s="14">
        <f>O355</f>
        <v>0.30175999999999997</v>
      </c>
      <c r="BH355" s="14">
        <f>G355*AO355</f>
        <v>0</v>
      </c>
      <c r="BI355" s="14">
        <f>G355*AP355</f>
        <v>0</v>
      </c>
      <c r="BJ355" s="14">
        <f>G355*H355</f>
        <v>0</v>
      </c>
      <c r="BK355" s="14"/>
      <c r="BL355" s="14">
        <v>64</v>
      </c>
      <c r="BW355" s="14" t="str">
        <f>I355</f>
        <v>21</v>
      </c>
    </row>
    <row r="356" spans="1:75" ht="15" customHeight="1">
      <c r="A356" s="32"/>
      <c r="D356" s="3" t="s">
        <v>419</v>
      </c>
      <c r="E356" s="28" t="s">
        <v>1683</v>
      </c>
      <c r="G356" s="27">
        <v>8</v>
      </c>
      <c r="P356" s="33"/>
    </row>
    <row r="357" spans="1:75" ht="13.5" customHeight="1">
      <c r="A357" s="20" t="s">
        <v>648</v>
      </c>
      <c r="B357" s="84" t="s">
        <v>1842</v>
      </c>
      <c r="C357" s="84" t="s">
        <v>2173</v>
      </c>
      <c r="D357" s="653" t="s">
        <v>182</v>
      </c>
      <c r="E357" s="654"/>
      <c r="F357" s="84" t="s">
        <v>595</v>
      </c>
      <c r="G357" s="6">
        <v>1</v>
      </c>
      <c r="H357" s="570"/>
      <c r="I357" s="18" t="s">
        <v>1720</v>
      </c>
      <c r="J357" s="6">
        <f>G357*AO357</f>
        <v>0</v>
      </c>
      <c r="K357" s="6">
        <f>G357*AP357</f>
        <v>0</v>
      </c>
      <c r="L357" s="6">
        <f>G357*H357</f>
        <v>0</v>
      </c>
      <c r="M357" s="6">
        <f>L357*(1+BW357/100)</f>
        <v>0</v>
      </c>
      <c r="N357" s="6">
        <v>1.4489999999999999E-2</v>
      </c>
      <c r="O357" s="6">
        <f>G357*N357</f>
        <v>1.4489999999999999E-2</v>
      </c>
      <c r="P357" s="109" t="s">
        <v>1664</v>
      </c>
      <c r="Z357" s="14">
        <f>IF(AQ357="5",BJ357,0)</f>
        <v>0</v>
      </c>
      <c r="AB357" s="14">
        <f>IF(AQ357="1",BH357,0)</f>
        <v>0</v>
      </c>
      <c r="AC357" s="14">
        <f>IF(AQ357="1",BI357,0)</f>
        <v>0</v>
      </c>
      <c r="AD357" s="14">
        <f>IF(AQ357="7",BH357,0)</f>
        <v>0</v>
      </c>
      <c r="AE357" s="14">
        <f>IF(AQ357="7",BI357,0)</f>
        <v>0</v>
      </c>
      <c r="AF357" s="14">
        <f>IF(AQ357="2",BH357,0)</f>
        <v>0</v>
      </c>
      <c r="AG357" s="14">
        <f>IF(AQ357="2",BI357,0)</f>
        <v>0</v>
      </c>
      <c r="AH357" s="14">
        <f>IF(AQ357="0",BJ357,0)</f>
        <v>0</v>
      </c>
      <c r="AI357" s="15" t="s">
        <v>1842</v>
      </c>
      <c r="AJ357" s="6">
        <f>IF(AN357=0,L357,0)</f>
        <v>0</v>
      </c>
      <c r="AK357" s="6">
        <f>IF(AN357=15,L357,0)</f>
        <v>0</v>
      </c>
      <c r="AL357" s="6">
        <f>IF(AN357=21,L357,0)</f>
        <v>0</v>
      </c>
      <c r="AN357" s="14">
        <v>21</v>
      </c>
      <c r="AO357" s="92">
        <f>H357*1</f>
        <v>0</v>
      </c>
      <c r="AP357" s="92">
        <f>H357*(1-1)</f>
        <v>0</v>
      </c>
      <c r="AQ357" s="18" t="s">
        <v>2422</v>
      </c>
      <c r="AV357" s="14">
        <f>AW357+AX357</f>
        <v>0</v>
      </c>
      <c r="AW357" s="14">
        <f>G357*AO357</f>
        <v>0</v>
      </c>
      <c r="AX357" s="14">
        <f>G357*AP357</f>
        <v>0</v>
      </c>
      <c r="AY357" s="55" t="s">
        <v>1638</v>
      </c>
      <c r="AZ357" s="55" t="s">
        <v>246</v>
      </c>
      <c r="BA357" s="15" t="s">
        <v>1843</v>
      </c>
      <c r="BC357" s="14">
        <f>AW357+AX357</f>
        <v>0</v>
      </c>
      <c r="BD357" s="14">
        <f>H357/(100-BE357)*100</f>
        <v>0</v>
      </c>
      <c r="BE357" s="14">
        <v>0</v>
      </c>
      <c r="BF357" s="14">
        <f>O357</f>
        <v>1.4489999999999999E-2</v>
      </c>
      <c r="BH357" s="6">
        <f>G357*AO357</f>
        <v>0</v>
      </c>
      <c r="BI357" s="6">
        <f>G357*AP357</f>
        <v>0</v>
      </c>
      <c r="BJ357" s="6">
        <f>G357*H357</f>
        <v>0</v>
      </c>
      <c r="BK357" s="6"/>
      <c r="BL357" s="14">
        <v>64</v>
      </c>
      <c r="BW357" s="14" t="str">
        <f>I357</f>
        <v>21</v>
      </c>
    </row>
    <row r="358" spans="1:75" ht="15" customHeight="1">
      <c r="A358" s="32"/>
      <c r="D358" s="3" t="s">
        <v>2422</v>
      </c>
      <c r="E358" s="28" t="s">
        <v>1683</v>
      </c>
      <c r="G358" s="27">
        <v>1</v>
      </c>
      <c r="P358" s="33"/>
    </row>
    <row r="359" spans="1:75" ht="13.5" customHeight="1">
      <c r="A359" s="20" t="s">
        <v>2475</v>
      </c>
      <c r="B359" s="84" t="s">
        <v>1842</v>
      </c>
      <c r="C359" s="84" t="s">
        <v>895</v>
      </c>
      <c r="D359" s="653" t="s">
        <v>1017</v>
      </c>
      <c r="E359" s="654"/>
      <c r="F359" s="84" t="s">
        <v>595</v>
      </c>
      <c r="G359" s="6">
        <v>1</v>
      </c>
      <c r="H359" s="570"/>
      <c r="I359" s="18" t="s">
        <v>1720</v>
      </c>
      <c r="J359" s="6">
        <f>G359*AO359</f>
        <v>0</v>
      </c>
      <c r="K359" s="6">
        <f>G359*AP359</f>
        <v>0</v>
      </c>
      <c r="L359" s="6">
        <f>G359*H359</f>
        <v>0</v>
      </c>
      <c r="M359" s="6">
        <f>L359*(1+BW359/100)</f>
        <v>0</v>
      </c>
      <c r="N359" s="6">
        <v>1.396E-2</v>
      </c>
      <c r="O359" s="6">
        <f>G359*N359</f>
        <v>1.396E-2</v>
      </c>
      <c r="P359" s="109" t="s">
        <v>1664</v>
      </c>
      <c r="Z359" s="14">
        <f>IF(AQ359="5",BJ359,0)</f>
        <v>0</v>
      </c>
      <c r="AB359" s="14">
        <f>IF(AQ359="1",BH359,0)</f>
        <v>0</v>
      </c>
      <c r="AC359" s="14">
        <f>IF(AQ359="1",BI359,0)</f>
        <v>0</v>
      </c>
      <c r="AD359" s="14">
        <f>IF(AQ359="7",BH359,0)</f>
        <v>0</v>
      </c>
      <c r="AE359" s="14">
        <f>IF(AQ359="7",BI359,0)</f>
        <v>0</v>
      </c>
      <c r="AF359" s="14">
        <f>IF(AQ359="2",BH359,0)</f>
        <v>0</v>
      </c>
      <c r="AG359" s="14">
        <f>IF(AQ359="2",BI359,0)</f>
        <v>0</v>
      </c>
      <c r="AH359" s="14">
        <f>IF(AQ359="0",BJ359,0)</f>
        <v>0</v>
      </c>
      <c r="AI359" s="15" t="s">
        <v>1842</v>
      </c>
      <c r="AJ359" s="6">
        <f>IF(AN359=0,L359,0)</f>
        <v>0</v>
      </c>
      <c r="AK359" s="6">
        <f>IF(AN359=15,L359,0)</f>
        <v>0</v>
      </c>
      <c r="AL359" s="6">
        <f>IF(AN359=21,L359,0)</f>
        <v>0</v>
      </c>
      <c r="AN359" s="14">
        <v>21</v>
      </c>
      <c r="AO359" s="92">
        <f>H359*1</f>
        <v>0</v>
      </c>
      <c r="AP359" s="92">
        <f>H359*(1-1)</f>
        <v>0</v>
      </c>
      <c r="AQ359" s="18" t="s">
        <v>2422</v>
      </c>
      <c r="AV359" s="14">
        <f>AW359+AX359</f>
        <v>0</v>
      </c>
      <c r="AW359" s="14">
        <f>G359*AO359</f>
        <v>0</v>
      </c>
      <c r="AX359" s="14">
        <f>G359*AP359</f>
        <v>0</v>
      </c>
      <c r="AY359" s="55" t="s">
        <v>1638</v>
      </c>
      <c r="AZ359" s="55" t="s">
        <v>246</v>
      </c>
      <c r="BA359" s="15" t="s">
        <v>1843</v>
      </c>
      <c r="BC359" s="14">
        <f>AW359+AX359</f>
        <v>0</v>
      </c>
      <c r="BD359" s="14">
        <f>H359/(100-BE359)*100</f>
        <v>0</v>
      </c>
      <c r="BE359" s="14">
        <v>0</v>
      </c>
      <c r="BF359" s="14">
        <f>O359</f>
        <v>1.396E-2</v>
      </c>
      <c r="BH359" s="6">
        <f>G359*AO359</f>
        <v>0</v>
      </c>
      <c r="BI359" s="6">
        <f>G359*AP359</f>
        <v>0</v>
      </c>
      <c r="BJ359" s="6">
        <f>G359*H359</f>
        <v>0</v>
      </c>
      <c r="BK359" s="6"/>
      <c r="BL359" s="14">
        <v>64</v>
      </c>
      <c r="BW359" s="14" t="str">
        <f>I359</f>
        <v>21</v>
      </c>
    </row>
    <row r="360" spans="1:75" ht="15" customHeight="1">
      <c r="A360" s="32"/>
      <c r="D360" s="3" t="s">
        <v>2422</v>
      </c>
      <c r="E360" s="28" t="s">
        <v>1683</v>
      </c>
      <c r="G360" s="27">
        <v>1</v>
      </c>
      <c r="P360" s="33"/>
    </row>
    <row r="361" spans="1:75" ht="13.5" customHeight="1">
      <c r="A361" s="20" t="s">
        <v>889</v>
      </c>
      <c r="B361" s="84" t="s">
        <v>1842</v>
      </c>
      <c r="C361" s="84" t="s">
        <v>1831</v>
      </c>
      <c r="D361" s="653" t="s">
        <v>2472</v>
      </c>
      <c r="E361" s="654"/>
      <c r="F361" s="84" t="s">
        <v>595</v>
      </c>
      <c r="G361" s="6">
        <v>4</v>
      </c>
      <c r="H361" s="570"/>
      <c r="I361" s="18" t="s">
        <v>1720</v>
      </c>
      <c r="J361" s="6">
        <f>G361*AO361</f>
        <v>0</v>
      </c>
      <c r="K361" s="6">
        <f>G361*AP361</f>
        <v>0</v>
      </c>
      <c r="L361" s="6">
        <f>G361*H361</f>
        <v>0</v>
      </c>
      <c r="M361" s="6">
        <f>L361*(1+BW361/100)</f>
        <v>0</v>
      </c>
      <c r="N361" s="6">
        <v>1.324E-2</v>
      </c>
      <c r="O361" s="6">
        <f>G361*N361</f>
        <v>5.296E-2</v>
      </c>
      <c r="P361" s="109" t="s">
        <v>1664</v>
      </c>
      <c r="Z361" s="14">
        <f>IF(AQ361="5",BJ361,0)</f>
        <v>0</v>
      </c>
      <c r="AB361" s="14">
        <f>IF(AQ361="1",BH361,0)</f>
        <v>0</v>
      </c>
      <c r="AC361" s="14">
        <f>IF(AQ361="1",BI361,0)</f>
        <v>0</v>
      </c>
      <c r="AD361" s="14">
        <f>IF(AQ361="7",BH361,0)</f>
        <v>0</v>
      </c>
      <c r="AE361" s="14">
        <f>IF(AQ361="7",BI361,0)</f>
        <v>0</v>
      </c>
      <c r="AF361" s="14">
        <f>IF(AQ361="2",BH361,0)</f>
        <v>0</v>
      </c>
      <c r="AG361" s="14">
        <f>IF(AQ361="2",BI361,0)</f>
        <v>0</v>
      </c>
      <c r="AH361" s="14">
        <f>IF(AQ361="0",BJ361,0)</f>
        <v>0</v>
      </c>
      <c r="AI361" s="15" t="s">
        <v>1842</v>
      </c>
      <c r="AJ361" s="6">
        <f>IF(AN361=0,L361,0)</f>
        <v>0</v>
      </c>
      <c r="AK361" s="6">
        <f>IF(AN361=15,L361,0)</f>
        <v>0</v>
      </c>
      <c r="AL361" s="6">
        <f>IF(AN361=21,L361,0)</f>
        <v>0</v>
      </c>
      <c r="AN361" s="14">
        <v>21</v>
      </c>
      <c r="AO361" s="92">
        <f>H361*1</f>
        <v>0</v>
      </c>
      <c r="AP361" s="92">
        <f>H361*(1-1)</f>
        <v>0</v>
      </c>
      <c r="AQ361" s="18" t="s">
        <v>2422</v>
      </c>
      <c r="AV361" s="14">
        <f>AW361+AX361</f>
        <v>0</v>
      </c>
      <c r="AW361" s="14">
        <f>G361*AO361</f>
        <v>0</v>
      </c>
      <c r="AX361" s="14">
        <f>G361*AP361</f>
        <v>0</v>
      </c>
      <c r="AY361" s="55" t="s">
        <v>1638</v>
      </c>
      <c r="AZ361" s="55" t="s">
        <v>246</v>
      </c>
      <c r="BA361" s="15" t="s">
        <v>1843</v>
      </c>
      <c r="BC361" s="14">
        <f>AW361+AX361</f>
        <v>0</v>
      </c>
      <c r="BD361" s="14">
        <f>H361/(100-BE361)*100</f>
        <v>0</v>
      </c>
      <c r="BE361" s="14">
        <v>0</v>
      </c>
      <c r="BF361" s="14">
        <f>O361</f>
        <v>5.296E-2</v>
      </c>
      <c r="BH361" s="6">
        <f>G361*AO361</f>
        <v>0</v>
      </c>
      <c r="BI361" s="6">
        <f>G361*AP361</f>
        <v>0</v>
      </c>
      <c r="BJ361" s="6">
        <f>G361*H361</f>
        <v>0</v>
      </c>
      <c r="BK361" s="6"/>
      <c r="BL361" s="14">
        <v>64</v>
      </c>
      <c r="BW361" s="14" t="str">
        <f>I361</f>
        <v>21</v>
      </c>
    </row>
    <row r="362" spans="1:75" ht="15" customHeight="1">
      <c r="A362" s="32"/>
      <c r="D362" s="3" t="s">
        <v>272</v>
      </c>
      <c r="E362" s="28" t="s">
        <v>1683</v>
      </c>
      <c r="G362" s="27">
        <v>4</v>
      </c>
      <c r="P362" s="33"/>
    </row>
    <row r="363" spans="1:75" ht="13.5" customHeight="1">
      <c r="A363" s="20" t="s">
        <v>669</v>
      </c>
      <c r="B363" s="84" t="s">
        <v>1842</v>
      </c>
      <c r="C363" s="84" t="s">
        <v>2361</v>
      </c>
      <c r="D363" s="653" t="s">
        <v>2649</v>
      </c>
      <c r="E363" s="654"/>
      <c r="F363" s="84" t="s">
        <v>595</v>
      </c>
      <c r="G363" s="6">
        <v>2</v>
      </c>
      <c r="H363" s="570"/>
      <c r="I363" s="18" t="s">
        <v>1720</v>
      </c>
      <c r="J363" s="6">
        <f>G363*AO363</f>
        <v>0</v>
      </c>
      <c r="K363" s="6">
        <f>G363*AP363</f>
        <v>0</v>
      </c>
      <c r="L363" s="6">
        <f>G363*H363</f>
        <v>0</v>
      </c>
      <c r="M363" s="6">
        <f>L363*(1+BW363/100)</f>
        <v>0</v>
      </c>
      <c r="N363" s="6">
        <v>1.158E-2</v>
      </c>
      <c r="O363" s="6">
        <f>G363*N363</f>
        <v>2.316E-2</v>
      </c>
      <c r="P363" s="109" t="s">
        <v>1664</v>
      </c>
      <c r="Z363" s="14">
        <f>IF(AQ363="5",BJ363,0)</f>
        <v>0</v>
      </c>
      <c r="AB363" s="14">
        <f>IF(AQ363="1",BH363,0)</f>
        <v>0</v>
      </c>
      <c r="AC363" s="14">
        <f>IF(AQ363="1",BI363,0)</f>
        <v>0</v>
      </c>
      <c r="AD363" s="14">
        <f>IF(AQ363="7",BH363,0)</f>
        <v>0</v>
      </c>
      <c r="AE363" s="14">
        <f>IF(AQ363="7",BI363,0)</f>
        <v>0</v>
      </c>
      <c r="AF363" s="14">
        <f>IF(AQ363="2",BH363,0)</f>
        <v>0</v>
      </c>
      <c r="AG363" s="14">
        <f>IF(AQ363="2",BI363,0)</f>
        <v>0</v>
      </c>
      <c r="AH363" s="14">
        <f>IF(AQ363="0",BJ363,0)</f>
        <v>0</v>
      </c>
      <c r="AI363" s="15" t="s">
        <v>1842</v>
      </c>
      <c r="AJ363" s="6">
        <f>IF(AN363=0,L363,0)</f>
        <v>0</v>
      </c>
      <c r="AK363" s="6">
        <f>IF(AN363=15,L363,0)</f>
        <v>0</v>
      </c>
      <c r="AL363" s="6">
        <f>IF(AN363=21,L363,0)</f>
        <v>0</v>
      </c>
      <c r="AN363" s="14">
        <v>21</v>
      </c>
      <c r="AO363" s="92">
        <f>H363*1</f>
        <v>0</v>
      </c>
      <c r="AP363" s="92">
        <f>H363*(1-1)</f>
        <v>0</v>
      </c>
      <c r="AQ363" s="18" t="s">
        <v>2422</v>
      </c>
      <c r="AV363" s="14">
        <f>AW363+AX363</f>
        <v>0</v>
      </c>
      <c r="AW363" s="14">
        <f>G363*AO363</f>
        <v>0</v>
      </c>
      <c r="AX363" s="14">
        <f>G363*AP363</f>
        <v>0</v>
      </c>
      <c r="AY363" s="55" t="s">
        <v>1638</v>
      </c>
      <c r="AZ363" s="55" t="s">
        <v>246</v>
      </c>
      <c r="BA363" s="15" t="s">
        <v>1843</v>
      </c>
      <c r="BC363" s="14">
        <f>AW363+AX363</f>
        <v>0</v>
      </c>
      <c r="BD363" s="14">
        <f>H363/(100-BE363)*100</f>
        <v>0</v>
      </c>
      <c r="BE363" s="14">
        <v>0</v>
      </c>
      <c r="BF363" s="14">
        <f>O363</f>
        <v>2.316E-2</v>
      </c>
      <c r="BH363" s="6">
        <f>G363*AO363</f>
        <v>0</v>
      </c>
      <c r="BI363" s="6">
        <f>G363*AP363</f>
        <v>0</v>
      </c>
      <c r="BJ363" s="6">
        <f>G363*H363</f>
        <v>0</v>
      </c>
      <c r="BK363" s="6"/>
      <c r="BL363" s="14">
        <v>64</v>
      </c>
      <c r="BW363" s="14" t="str">
        <f>I363</f>
        <v>21</v>
      </c>
    </row>
    <row r="364" spans="1:75" ht="15" customHeight="1">
      <c r="A364" s="32"/>
      <c r="D364" s="3" t="s">
        <v>1676</v>
      </c>
      <c r="E364" s="28" t="s">
        <v>1683</v>
      </c>
      <c r="G364" s="27">
        <v>2</v>
      </c>
      <c r="P364" s="33"/>
    </row>
    <row r="365" spans="1:75" ht="13.5" customHeight="1">
      <c r="A365" s="20" t="s">
        <v>1839</v>
      </c>
      <c r="B365" s="84" t="s">
        <v>1842</v>
      </c>
      <c r="C365" s="84" t="s">
        <v>466</v>
      </c>
      <c r="D365" s="653" t="s">
        <v>1298</v>
      </c>
      <c r="E365" s="654"/>
      <c r="F365" s="84" t="s">
        <v>595</v>
      </c>
      <c r="G365" s="6">
        <v>2</v>
      </c>
      <c r="H365" s="570"/>
      <c r="I365" s="18" t="s">
        <v>1720</v>
      </c>
      <c r="J365" s="6">
        <f>G365*AO365</f>
        <v>0</v>
      </c>
      <c r="K365" s="6">
        <f>G365*AP365</f>
        <v>0</v>
      </c>
      <c r="L365" s="6">
        <f>G365*H365</f>
        <v>0</v>
      </c>
      <c r="M365" s="6">
        <f>L365*(1+BW365/100)</f>
        <v>0</v>
      </c>
      <c r="N365" s="6">
        <v>3.2000000000000001E-2</v>
      </c>
      <c r="O365" s="6">
        <f>G365*N365</f>
        <v>6.4000000000000001E-2</v>
      </c>
      <c r="P365" s="109" t="s">
        <v>1664</v>
      </c>
      <c r="Z365" s="14">
        <f>IF(AQ365="5",BJ365,0)</f>
        <v>0</v>
      </c>
      <c r="AB365" s="14">
        <f>IF(AQ365="1",BH365,0)</f>
        <v>0</v>
      </c>
      <c r="AC365" s="14">
        <f>IF(AQ365="1",BI365,0)</f>
        <v>0</v>
      </c>
      <c r="AD365" s="14">
        <f>IF(AQ365="7",BH365,0)</f>
        <v>0</v>
      </c>
      <c r="AE365" s="14">
        <f>IF(AQ365="7",BI365,0)</f>
        <v>0</v>
      </c>
      <c r="AF365" s="14">
        <f>IF(AQ365="2",BH365,0)</f>
        <v>0</v>
      </c>
      <c r="AG365" s="14">
        <f>IF(AQ365="2",BI365,0)</f>
        <v>0</v>
      </c>
      <c r="AH365" s="14">
        <f>IF(AQ365="0",BJ365,0)</f>
        <v>0</v>
      </c>
      <c r="AI365" s="15" t="s">
        <v>1842</v>
      </c>
      <c r="AJ365" s="6">
        <f>IF(AN365=0,L365,0)</f>
        <v>0</v>
      </c>
      <c r="AK365" s="6">
        <f>IF(AN365=15,L365,0)</f>
        <v>0</v>
      </c>
      <c r="AL365" s="6">
        <f>IF(AN365=21,L365,0)</f>
        <v>0</v>
      </c>
      <c r="AN365" s="14">
        <v>21</v>
      </c>
      <c r="AO365" s="92">
        <f>H365*1</f>
        <v>0</v>
      </c>
      <c r="AP365" s="92">
        <f>H365*(1-1)</f>
        <v>0</v>
      </c>
      <c r="AQ365" s="18" t="s">
        <v>2422</v>
      </c>
      <c r="AV365" s="14">
        <f>AW365+AX365</f>
        <v>0</v>
      </c>
      <c r="AW365" s="14">
        <f>G365*AO365</f>
        <v>0</v>
      </c>
      <c r="AX365" s="14">
        <f>G365*AP365</f>
        <v>0</v>
      </c>
      <c r="AY365" s="55" t="s">
        <v>1638</v>
      </c>
      <c r="AZ365" s="55" t="s">
        <v>246</v>
      </c>
      <c r="BA365" s="15" t="s">
        <v>1843</v>
      </c>
      <c r="BC365" s="14">
        <f>AW365+AX365</f>
        <v>0</v>
      </c>
      <c r="BD365" s="14">
        <f>H365/(100-BE365)*100</f>
        <v>0</v>
      </c>
      <c r="BE365" s="14">
        <v>0</v>
      </c>
      <c r="BF365" s="14">
        <f>O365</f>
        <v>6.4000000000000001E-2</v>
      </c>
      <c r="BH365" s="6">
        <f>G365*AO365</f>
        <v>0</v>
      </c>
      <c r="BI365" s="6">
        <f>G365*AP365</f>
        <v>0</v>
      </c>
      <c r="BJ365" s="6">
        <f>G365*H365</f>
        <v>0</v>
      </c>
      <c r="BK365" s="6"/>
      <c r="BL365" s="14">
        <v>64</v>
      </c>
      <c r="BW365" s="14" t="str">
        <f>I365</f>
        <v>21</v>
      </c>
    </row>
    <row r="366" spans="1:75" ht="15" customHeight="1">
      <c r="A366" s="32"/>
      <c r="D366" s="3" t="s">
        <v>1676</v>
      </c>
      <c r="E366" s="28" t="s">
        <v>1683</v>
      </c>
      <c r="G366" s="27">
        <v>2</v>
      </c>
      <c r="P366" s="33"/>
    </row>
    <row r="367" spans="1:75" ht="13.5" customHeight="1">
      <c r="A367" s="20" t="s">
        <v>311</v>
      </c>
      <c r="B367" s="84" t="s">
        <v>1842</v>
      </c>
      <c r="C367" s="84" t="s">
        <v>2071</v>
      </c>
      <c r="D367" s="653" t="s">
        <v>1286</v>
      </c>
      <c r="E367" s="654"/>
      <c r="F367" s="84" t="s">
        <v>595</v>
      </c>
      <c r="G367" s="6">
        <v>4</v>
      </c>
      <c r="H367" s="570"/>
      <c r="I367" s="18" t="s">
        <v>1720</v>
      </c>
      <c r="J367" s="6">
        <f>G367*AO367</f>
        <v>0</v>
      </c>
      <c r="K367" s="6">
        <f>G367*AP367</f>
        <v>0</v>
      </c>
      <c r="L367" s="6">
        <f>G367*H367</f>
        <v>0</v>
      </c>
      <c r="M367" s="6">
        <f>L367*(1+BW367/100)</f>
        <v>0</v>
      </c>
      <c r="N367" s="6">
        <v>3.4000000000000002E-2</v>
      </c>
      <c r="O367" s="6">
        <f>G367*N367</f>
        <v>0.13600000000000001</v>
      </c>
      <c r="P367" s="109" t="s">
        <v>1664</v>
      </c>
      <c r="Z367" s="14">
        <f>IF(AQ367="5",BJ367,0)</f>
        <v>0</v>
      </c>
      <c r="AB367" s="14">
        <f>IF(AQ367="1",BH367,0)</f>
        <v>0</v>
      </c>
      <c r="AC367" s="14">
        <f>IF(AQ367="1",BI367,0)</f>
        <v>0</v>
      </c>
      <c r="AD367" s="14">
        <f>IF(AQ367="7",BH367,0)</f>
        <v>0</v>
      </c>
      <c r="AE367" s="14">
        <f>IF(AQ367="7",BI367,0)</f>
        <v>0</v>
      </c>
      <c r="AF367" s="14">
        <f>IF(AQ367="2",BH367,0)</f>
        <v>0</v>
      </c>
      <c r="AG367" s="14">
        <f>IF(AQ367="2",BI367,0)</f>
        <v>0</v>
      </c>
      <c r="AH367" s="14">
        <f>IF(AQ367="0",BJ367,0)</f>
        <v>0</v>
      </c>
      <c r="AI367" s="15" t="s">
        <v>1842</v>
      </c>
      <c r="AJ367" s="6">
        <f>IF(AN367=0,L367,0)</f>
        <v>0</v>
      </c>
      <c r="AK367" s="6">
        <f>IF(AN367=15,L367,0)</f>
        <v>0</v>
      </c>
      <c r="AL367" s="6">
        <f>IF(AN367=21,L367,0)</f>
        <v>0</v>
      </c>
      <c r="AN367" s="14">
        <v>21</v>
      </c>
      <c r="AO367" s="92">
        <f>H367*1</f>
        <v>0</v>
      </c>
      <c r="AP367" s="92">
        <f>H367*(1-1)</f>
        <v>0</v>
      </c>
      <c r="AQ367" s="18" t="s">
        <v>2422</v>
      </c>
      <c r="AV367" s="14">
        <f>AW367+AX367</f>
        <v>0</v>
      </c>
      <c r="AW367" s="14">
        <f>G367*AO367</f>
        <v>0</v>
      </c>
      <c r="AX367" s="14">
        <f>G367*AP367</f>
        <v>0</v>
      </c>
      <c r="AY367" s="55" t="s">
        <v>1638</v>
      </c>
      <c r="AZ367" s="55" t="s">
        <v>246</v>
      </c>
      <c r="BA367" s="15" t="s">
        <v>1843</v>
      </c>
      <c r="BC367" s="14">
        <f>AW367+AX367</f>
        <v>0</v>
      </c>
      <c r="BD367" s="14">
        <f>H367/(100-BE367)*100</f>
        <v>0</v>
      </c>
      <c r="BE367" s="14">
        <v>0</v>
      </c>
      <c r="BF367" s="14">
        <f>O367</f>
        <v>0.13600000000000001</v>
      </c>
      <c r="BH367" s="6">
        <f>G367*AO367</f>
        <v>0</v>
      </c>
      <c r="BI367" s="6">
        <f>G367*AP367</f>
        <v>0</v>
      </c>
      <c r="BJ367" s="6">
        <f>G367*H367</f>
        <v>0</v>
      </c>
      <c r="BK367" s="6"/>
      <c r="BL367" s="14">
        <v>64</v>
      </c>
      <c r="BW367" s="14" t="str">
        <f>I367</f>
        <v>21</v>
      </c>
    </row>
    <row r="368" spans="1:75" ht="15" customHeight="1">
      <c r="A368" s="32"/>
      <c r="D368" s="3" t="s">
        <v>272</v>
      </c>
      <c r="E368" s="28" t="s">
        <v>1683</v>
      </c>
      <c r="G368" s="27">
        <v>4</v>
      </c>
      <c r="P368" s="33"/>
    </row>
    <row r="369" spans="1:75" ht="27" customHeight="1">
      <c r="A369" s="20" t="s">
        <v>2275</v>
      </c>
      <c r="B369" s="84" t="s">
        <v>1842</v>
      </c>
      <c r="C369" s="84" t="s">
        <v>329</v>
      </c>
      <c r="D369" s="653" t="s">
        <v>2684</v>
      </c>
      <c r="E369" s="654"/>
      <c r="F369" s="84" t="s">
        <v>595</v>
      </c>
      <c r="G369" s="6">
        <v>1</v>
      </c>
      <c r="H369" s="570"/>
      <c r="I369" s="18" t="s">
        <v>1720</v>
      </c>
      <c r="J369" s="6">
        <f>G369*AO369</f>
        <v>0</v>
      </c>
      <c r="K369" s="6">
        <f>G369*AP369</f>
        <v>0</v>
      </c>
      <c r="L369" s="6">
        <f>G369*H369</f>
        <v>0</v>
      </c>
      <c r="M369" s="6">
        <f>L369*(1+BW369/100)</f>
        <v>0</v>
      </c>
      <c r="N369" s="6">
        <v>4.3999999999999997E-2</v>
      </c>
      <c r="O369" s="6">
        <f>G369*N369</f>
        <v>4.3999999999999997E-2</v>
      </c>
      <c r="P369" s="109" t="s">
        <v>1664</v>
      </c>
      <c r="Z369" s="14">
        <f>IF(AQ369="5",BJ369,0)</f>
        <v>0</v>
      </c>
      <c r="AB369" s="14">
        <f>IF(AQ369="1",BH369,0)</f>
        <v>0</v>
      </c>
      <c r="AC369" s="14">
        <f>IF(AQ369="1",BI369,0)</f>
        <v>0</v>
      </c>
      <c r="AD369" s="14">
        <f>IF(AQ369="7",BH369,0)</f>
        <v>0</v>
      </c>
      <c r="AE369" s="14">
        <f>IF(AQ369="7",BI369,0)</f>
        <v>0</v>
      </c>
      <c r="AF369" s="14">
        <f>IF(AQ369="2",BH369,0)</f>
        <v>0</v>
      </c>
      <c r="AG369" s="14">
        <f>IF(AQ369="2",BI369,0)</f>
        <v>0</v>
      </c>
      <c r="AH369" s="14">
        <f>IF(AQ369="0",BJ369,0)</f>
        <v>0</v>
      </c>
      <c r="AI369" s="15" t="s">
        <v>1842</v>
      </c>
      <c r="AJ369" s="6">
        <f>IF(AN369=0,L369,0)</f>
        <v>0</v>
      </c>
      <c r="AK369" s="6">
        <f>IF(AN369=15,L369,0)</f>
        <v>0</v>
      </c>
      <c r="AL369" s="6">
        <f>IF(AN369=21,L369,0)</f>
        <v>0</v>
      </c>
      <c r="AN369" s="14">
        <v>21</v>
      </c>
      <c r="AO369" s="92">
        <f>H369*1</f>
        <v>0</v>
      </c>
      <c r="AP369" s="92">
        <f>H369*(1-1)</f>
        <v>0</v>
      </c>
      <c r="AQ369" s="18" t="s">
        <v>2422</v>
      </c>
      <c r="AV369" s="14">
        <f>AW369+AX369</f>
        <v>0</v>
      </c>
      <c r="AW369" s="14">
        <f>G369*AO369</f>
        <v>0</v>
      </c>
      <c r="AX369" s="14">
        <f>G369*AP369</f>
        <v>0</v>
      </c>
      <c r="AY369" s="55" t="s">
        <v>1638</v>
      </c>
      <c r="AZ369" s="55" t="s">
        <v>246</v>
      </c>
      <c r="BA369" s="15" t="s">
        <v>1843</v>
      </c>
      <c r="BC369" s="14">
        <f>AW369+AX369</f>
        <v>0</v>
      </c>
      <c r="BD369" s="14">
        <f>H369/(100-BE369)*100</f>
        <v>0</v>
      </c>
      <c r="BE369" s="14">
        <v>0</v>
      </c>
      <c r="BF369" s="14">
        <f>O369</f>
        <v>4.3999999999999997E-2</v>
      </c>
      <c r="BH369" s="6">
        <f>G369*AO369</f>
        <v>0</v>
      </c>
      <c r="BI369" s="6">
        <f>G369*AP369</f>
        <v>0</v>
      </c>
      <c r="BJ369" s="6">
        <f>G369*H369</f>
        <v>0</v>
      </c>
      <c r="BK369" s="6"/>
      <c r="BL369" s="14">
        <v>64</v>
      </c>
      <c r="BW369" s="14" t="str">
        <f>I369</f>
        <v>21</v>
      </c>
    </row>
    <row r="370" spans="1:75" ht="15" customHeight="1">
      <c r="A370" s="32"/>
      <c r="D370" s="3" t="s">
        <v>2422</v>
      </c>
      <c r="E370" s="28" t="s">
        <v>1683</v>
      </c>
      <c r="G370" s="27">
        <v>1</v>
      </c>
      <c r="P370" s="33"/>
    </row>
    <row r="371" spans="1:75" ht="13.5" customHeight="1">
      <c r="A371" s="20" t="s">
        <v>578</v>
      </c>
      <c r="B371" s="84" t="s">
        <v>1842</v>
      </c>
      <c r="C371" s="84" t="s">
        <v>1874</v>
      </c>
      <c r="D371" s="653" t="s">
        <v>710</v>
      </c>
      <c r="E371" s="654"/>
      <c r="F371" s="84" t="s">
        <v>595</v>
      </c>
      <c r="G371" s="6">
        <v>1</v>
      </c>
      <c r="H371" s="570"/>
      <c r="I371" s="18" t="s">
        <v>1720</v>
      </c>
      <c r="J371" s="6">
        <f>G371*AO371</f>
        <v>0</v>
      </c>
      <c r="K371" s="6">
        <f>G371*AP371</f>
        <v>0</v>
      </c>
      <c r="L371" s="6">
        <f>G371*H371</f>
        <v>0</v>
      </c>
      <c r="M371" s="6">
        <f>L371*(1+BW371/100)</f>
        <v>0</v>
      </c>
      <c r="N371" s="6">
        <v>4.2999999999999997E-2</v>
      </c>
      <c r="O371" s="6">
        <f>G371*N371</f>
        <v>4.2999999999999997E-2</v>
      </c>
      <c r="P371" s="109" t="s">
        <v>1664</v>
      </c>
      <c r="Z371" s="14">
        <f>IF(AQ371="5",BJ371,0)</f>
        <v>0</v>
      </c>
      <c r="AB371" s="14">
        <f>IF(AQ371="1",BH371,0)</f>
        <v>0</v>
      </c>
      <c r="AC371" s="14">
        <f>IF(AQ371="1",BI371,0)</f>
        <v>0</v>
      </c>
      <c r="AD371" s="14">
        <f>IF(AQ371="7",BH371,0)</f>
        <v>0</v>
      </c>
      <c r="AE371" s="14">
        <f>IF(AQ371="7",BI371,0)</f>
        <v>0</v>
      </c>
      <c r="AF371" s="14">
        <f>IF(AQ371="2",BH371,0)</f>
        <v>0</v>
      </c>
      <c r="AG371" s="14">
        <f>IF(AQ371="2",BI371,0)</f>
        <v>0</v>
      </c>
      <c r="AH371" s="14">
        <f>IF(AQ371="0",BJ371,0)</f>
        <v>0</v>
      </c>
      <c r="AI371" s="15" t="s">
        <v>1842</v>
      </c>
      <c r="AJ371" s="6">
        <f>IF(AN371=0,L371,0)</f>
        <v>0</v>
      </c>
      <c r="AK371" s="6">
        <f>IF(AN371=15,L371,0)</f>
        <v>0</v>
      </c>
      <c r="AL371" s="6">
        <f>IF(AN371=21,L371,0)</f>
        <v>0</v>
      </c>
      <c r="AN371" s="14">
        <v>21</v>
      </c>
      <c r="AO371" s="92">
        <f>H371*1</f>
        <v>0</v>
      </c>
      <c r="AP371" s="92">
        <f>H371*(1-1)</f>
        <v>0</v>
      </c>
      <c r="AQ371" s="18" t="s">
        <v>2422</v>
      </c>
      <c r="AV371" s="14">
        <f>AW371+AX371</f>
        <v>0</v>
      </c>
      <c r="AW371" s="14">
        <f>G371*AO371</f>
        <v>0</v>
      </c>
      <c r="AX371" s="14">
        <f>G371*AP371</f>
        <v>0</v>
      </c>
      <c r="AY371" s="55" t="s">
        <v>1638</v>
      </c>
      <c r="AZ371" s="55" t="s">
        <v>246</v>
      </c>
      <c r="BA371" s="15" t="s">
        <v>1843</v>
      </c>
      <c r="BC371" s="14">
        <f>AW371+AX371</f>
        <v>0</v>
      </c>
      <c r="BD371" s="14">
        <f>H371/(100-BE371)*100</f>
        <v>0</v>
      </c>
      <c r="BE371" s="14">
        <v>0</v>
      </c>
      <c r="BF371" s="14">
        <f>O371</f>
        <v>4.2999999999999997E-2</v>
      </c>
      <c r="BH371" s="6">
        <f>G371*AO371</f>
        <v>0</v>
      </c>
      <c r="BI371" s="6">
        <f>G371*AP371</f>
        <v>0</v>
      </c>
      <c r="BJ371" s="6">
        <f>G371*H371</f>
        <v>0</v>
      </c>
      <c r="BK371" s="6"/>
      <c r="BL371" s="14">
        <v>64</v>
      </c>
      <c r="BW371" s="14" t="str">
        <f>I371</f>
        <v>21</v>
      </c>
    </row>
    <row r="372" spans="1:75" ht="15" customHeight="1">
      <c r="A372" s="32"/>
      <c r="D372" s="3" t="s">
        <v>2422</v>
      </c>
      <c r="E372" s="28" t="s">
        <v>1683</v>
      </c>
      <c r="G372" s="27">
        <v>1</v>
      </c>
      <c r="P372" s="33"/>
    </row>
    <row r="373" spans="1:75" ht="13.5" customHeight="1">
      <c r="A373" s="21" t="s">
        <v>366</v>
      </c>
      <c r="B373" s="37" t="s">
        <v>1842</v>
      </c>
      <c r="C373" s="37" t="s">
        <v>2169</v>
      </c>
      <c r="D373" s="578" t="s">
        <v>665</v>
      </c>
      <c r="E373" s="579"/>
      <c r="F373" s="37" t="s">
        <v>595</v>
      </c>
      <c r="G373" s="14">
        <v>1</v>
      </c>
      <c r="H373" s="569"/>
      <c r="I373" s="55" t="s">
        <v>1720</v>
      </c>
      <c r="J373" s="14">
        <f>G373*AO373</f>
        <v>0</v>
      </c>
      <c r="K373" s="14">
        <f>G373*AP373</f>
        <v>0</v>
      </c>
      <c r="L373" s="14">
        <f>G373*H373</f>
        <v>0</v>
      </c>
      <c r="M373" s="14">
        <f>L373*(1+BW373/100)</f>
        <v>0</v>
      </c>
      <c r="N373" s="14">
        <v>3.04E-2</v>
      </c>
      <c r="O373" s="14">
        <f>G373*N373</f>
        <v>3.04E-2</v>
      </c>
      <c r="P373" s="72" t="s">
        <v>921</v>
      </c>
      <c r="Z373" s="14">
        <f>IF(AQ373="5",BJ373,0)</f>
        <v>0</v>
      </c>
      <c r="AB373" s="14">
        <f>IF(AQ373="1",BH373,0)</f>
        <v>0</v>
      </c>
      <c r="AC373" s="14">
        <f>IF(AQ373="1",BI373,0)</f>
        <v>0</v>
      </c>
      <c r="AD373" s="14">
        <f>IF(AQ373="7",BH373,0)</f>
        <v>0</v>
      </c>
      <c r="AE373" s="14">
        <f>IF(AQ373="7",BI373,0)</f>
        <v>0</v>
      </c>
      <c r="AF373" s="14">
        <f>IF(AQ373="2",BH373,0)</f>
        <v>0</v>
      </c>
      <c r="AG373" s="14">
        <f>IF(AQ373="2",BI373,0)</f>
        <v>0</v>
      </c>
      <c r="AH373" s="14">
        <f>IF(AQ373="0",BJ373,0)</f>
        <v>0</v>
      </c>
      <c r="AI373" s="15" t="s">
        <v>1842</v>
      </c>
      <c r="AJ373" s="14">
        <f>IF(AN373=0,L373,0)</f>
        <v>0</v>
      </c>
      <c r="AK373" s="14">
        <f>IF(AN373=15,L373,0)</f>
        <v>0</v>
      </c>
      <c r="AL373" s="14">
        <f>IF(AN373=21,L373,0)</f>
        <v>0</v>
      </c>
      <c r="AN373" s="14">
        <v>21</v>
      </c>
      <c r="AO373" s="92">
        <f>H373*0.120566388115135</f>
        <v>0</v>
      </c>
      <c r="AP373" s="92">
        <f>H373*(1-0.120566388115135)</f>
        <v>0</v>
      </c>
      <c r="AQ373" s="55" t="s">
        <v>2422</v>
      </c>
      <c r="AV373" s="14">
        <f>AW373+AX373</f>
        <v>0</v>
      </c>
      <c r="AW373" s="14">
        <f>G373*AO373</f>
        <v>0</v>
      </c>
      <c r="AX373" s="14">
        <f>G373*AP373</f>
        <v>0</v>
      </c>
      <c r="AY373" s="55" t="s">
        <v>1638</v>
      </c>
      <c r="AZ373" s="55" t="s">
        <v>246</v>
      </c>
      <c r="BA373" s="15" t="s">
        <v>1843</v>
      </c>
      <c r="BC373" s="14">
        <f>AW373+AX373</f>
        <v>0</v>
      </c>
      <c r="BD373" s="14">
        <f>H373/(100-BE373)*100</f>
        <v>0</v>
      </c>
      <c r="BE373" s="14">
        <v>0</v>
      </c>
      <c r="BF373" s="14">
        <f>O373</f>
        <v>3.04E-2</v>
      </c>
      <c r="BH373" s="14">
        <f>G373*AO373</f>
        <v>0</v>
      </c>
      <c r="BI373" s="14">
        <f>G373*AP373</f>
        <v>0</v>
      </c>
      <c r="BJ373" s="14">
        <f>G373*H373</f>
        <v>0</v>
      </c>
      <c r="BK373" s="14"/>
      <c r="BL373" s="14">
        <v>64</v>
      </c>
      <c r="BW373" s="14" t="str">
        <f>I373</f>
        <v>21</v>
      </c>
    </row>
    <row r="374" spans="1:75" ht="15" customHeight="1">
      <c r="A374" s="32"/>
      <c r="D374" s="3" t="s">
        <v>2422</v>
      </c>
      <c r="E374" s="28" t="s">
        <v>1683</v>
      </c>
      <c r="G374" s="27">
        <v>1</v>
      </c>
      <c r="P374" s="33"/>
    </row>
    <row r="375" spans="1:75" ht="40.5" customHeight="1">
      <c r="A375" s="20" t="s">
        <v>687</v>
      </c>
      <c r="B375" s="84" t="s">
        <v>1842</v>
      </c>
      <c r="C375" s="84" t="s">
        <v>1849</v>
      </c>
      <c r="D375" s="653" t="s">
        <v>1848</v>
      </c>
      <c r="E375" s="654"/>
      <c r="F375" s="84" t="s">
        <v>595</v>
      </c>
      <c r="G375" s="6">
        <v>1</v>
      </c>
      <c r="H375" s="570"/>
      <c r="I375" s="18" t="s">
        <v>1720</v>
      </c>
      <c r="J375" s="6">
        <f>G375*AO375</f>
        <v>0</v>
      </c>
      <c r="K375" s="6">
        <f>G375*AP375</f>
        <v>0</v>
      </c>
      <c r="L375" s="6">
        <f>G375*H375</f>
        <v>0</v>
      </c>
      <c r="M375" s="6">
        <f>L375*(1+BW375/100)</f>
        <v>0</v>
      </c>
      <c r="N375" s="6">
        <v>2.9999999999999997E-4</v>
      </c>
      <c r="O375" s="6">
        <f>G375*N375</f>
        <v>2.9999999999999997E-4</v>
      </c>
      <c r="P375" s="109" t="s">
        <v>921</v>
      </c>
      <c r="Z375" s="14">
        <f>IF(AQ375="5",BJ375,0)</f>
        <v>0</v>
      </c>
      <c r="AB375" s="14">
        <f>IF(AQ375="1",BH375,0)</f>
        <v>0</v>
      </c>
      <c r="AC375" s="14">
        <f>IF(AQ375="1",BI375,0)</f>
        <v>0</v>
      </c>
      <c r="AD375" s="14">
        <f>IF(AQ375="7",BH375,0)</f>
        <v>0</v>
      </c>
      <c r="AE375" s="14">
        <f>IF(AQ375="7",BI375,0)</f>
        <v>0</v>
      </c>
      <c r="AF375" s="14">
        <f>IF(AQ375="2",BH375,0)</f>
        <v>0</v>
      </c>
      <c r="AG375" s="14">
        <f>IF(AQ375="2",BI375,0)</f>
        <v>0</v>
      </c>
      <c r="AH375" s="14">
        <f>IF(AQ375="0",BJ375,0)</f>
        <v>0</v>
      </c>
      <c r="AI375" s="15" t="s">
        <v>1842</v>
      </c>
      <c r="AJ375" s="6">
        <f>IF(AN375=0,L375,0)</f>
        <v>0</v>
      </c>
      <c r="AK375" s="6">
        <f>IF(AN375=15,L375,0)</f>
        <v>0</v>
      </c>
      <c r="AL375" s="6">
        <f>IF(AN375=21,L375,0)</f>
        <v>0</v>
      </c>
      <c r="AN375" s="14">
        <v>21</v>
      </c>
      <c r="AO375" s="92">
        <f>H375*1</f>
        <v>0</v>
      </c>
      <c r="AP375" s="92">
        <f>H375*(1-1)</f>
        <v>0</v>
      </c>
      <c r="AQ375" s="18" t="s">
        <v>2422</v>
      </c>
      <c r="AV375" s="14">
        <f>AW375+AX375</f>
        <v>0</v>
      </c>
      <c r="AW375" s="14">
        <f>G375*AO375</f>
        <v>0</v>
      </c>
      <c r="AX375" s="14">
        <f>G375*AP375</f>
        <v>0</v>
      </c>
      <c r="AY375" s="55" t="s">
        <v>1638</v>
      </c>
      <c r="AZ375" s="55" t="s">
        <v>246</v>
      </c>
      <c r="BA375" s="15" t="s">
        <v>1843</v>
      </c>
      <c r="BC375" s="14">
        <f>AW375+AX375</f>
        <v>0</v>
      </c>
      <c r="BD375" s="14">
        <f>H375/(100-BE375)*100</f>
        <v>0</v>
      </c>
      <c r="BE375" s="14">
        <v>0</v>
      </c>
      <c r="BF375" s="14">
        <f>O375</f>
        <v>2.9999999999999997E-4</v>
      </c>
      <c r="BH375" s="6">
        <f>G375*AO375</f>
        <v>0</v>
      </c>
      <c r="BI375" s="6">
        <f>G375*AP375</f>
        <v>0</v>
      </c>
      <c r="BJ375" s="6">
        <f>G375*H375</f>
        <v>0</v>
      </c>
      <c r="BK375" s="6"/>
      <c r="BL375" s="14">
        <v>64</v>
      </c>
      <c r="BW375" s="14" t="str">
        <f>I375</f>
        <v>21</v>
      </c>
    </row>
    <row r="376" spans="1:75" ht="15" customHeight="1">
      <c r="A376" s="32"/>
      <c r="D376" s="3" t="s">
        <v>2422</v>
      </c>
      <c r="E376" s="28" t="s">
        <v>1471</v>
      </c>
      <c r="G376" s="27">
        <v>1</v>
      </c>
      <c r="P376" s="33"/>
    </row>
    <row r="377" spans="1:75" ht="13.5" customHeight="1">
      <c r="A377" s="21" t="s">
        <v>759</v>
      </c>
      <c r="B377" s="37" t="s">
        <v>1842</v>
      </c>
      <c r="C377" s="37" t="s">
        <v>894</v>
      </c>
      <c r="D377" s="578" t="s">
        <v>2765</v>
      </c>
      <c r="E377" s="579"/>
      <c r="F377" s="37" t="s">
        <v>595</v>
      </c>
      <c r="G377" s="14">
        <v>1</v>
      </c>
      <c r="H377" s="569"/>
      <c r="I377" s="55" t="s">
        <v>1720</v>
      </c>
      <c r="J377" s="14">
        <f>G377*AO377</f>
        <v>0</v>
      </c>
      <c r="K377" s="14">
        <f>G377*AP377</f>
        <v>0</v>
      </c>
      <c r="L377" s="14">
        <f>G377*H377</f>
        <v>0</v>
      </c>
      <c r="M377" s="14">
        <f>L377*(1+BW377/100)</f>
        <v>0</v>
      </c>
      <c r="N377" s="14">
        <v>0.12522</v>
      </c>
      <c r="O377" s="14">
        <f>G377*N377</f>
        <v>0.12522</v>
      </c>
      <c r="P377" s="72" t="s">
        <v>921</v>
      </c>
      <c r="Z377" s="14">
        <f>IF(AQ377="5",BJ377,0)</f>
        <v>0</v>
      </c>
      <c r="AB377" s="14">
        <f>IF(AQ377="1",BH377,0)</f>
        <v>0</v>
      </c>
      <c r="AC377" s="14">
        <f>IF(AQ377="1",BI377,0)</f>
        <v>0</v>
      </c>
      <c r="AD377" s="14">
        <f>IF(AQ377="7",BH377,0)</f>
        <v>0</v>
      </c>
      <c r="AE377" s="14">
        <f>IF(AQ377="7",BI377,0)</f>
        <v>0</v>
      </c>
      <c r="AF377" s="14">
        <f>IF(AQ377="2",BH377,0)</f>
        <v>0</v>
      </c>
      <c r="AG377" s="14">
        <f>IF(AQ377="2",BI377,0)</f>
        <v>0</v>
      </c>
      <c r="AH377" s="14">
        <f>IF(AQ377="0",BJ377,0)</f>
        <v>0</v>
      </c>
      <c r="AI377" s="15" t="s">
        <v>1842</v>
      </c>
      <c r="AJ377" s="14">
        <f>IF(AN377=0,L377,0)</f>
        <v>0</v>
      </c>
      <c r="AK377" s="14">
        <f>IF(AN377=15,L377,0)</f>
        <v>0</v>
      </c>
      <c r="AL377" s="14">
        <f>IF(AN377=21,L377,0)</f>
        <v>0</v>
      </c>
      <c r="AN377" s="14">
        <v>21</v>
      </c>
      <c r="AO377" s="92">
        <f>H377*0.071014312383323</f>
        <v>0</v>
      </c>
      <c r="AP377" s="92">
        <f>H377*(1-0.071014312383323)</f>
        <v>0</v>
      </c>
      <c r="AQ377" s="55" t="s">
        <v>2422</v>
      </c>
      <c r="AV377" s="14">
        <f>AW377+AX377</f>
        <v>0</v>
      </c>
      <c r="AW377" s="14">
        <f>G377*AO377</f>
        <v>0</v>
      </c>
      <c r="AX377" s="14">
        <f>G377*AP377</f>
        <v>0</v>
      </c>
      <c r="AY377" s="55" t="s">
        <v>1638</v>
      </c>
      <c r="AZ377" s="55" t="s">
        <v>246</v>
      </c>
      <c r="BA377" s="15" t="s">
        <v>1843</v>
      </c>
      <c r="BC377" s="14">
        <f>AW377+AX377</f>
        <v>0</v>
      </c>
      <c r="BD377" s="14">
        <f>H377/(100-BE377)*100</f>
        <v>0</v>
      </c>
      <c r="BE377" s="14">
        <v>0</v>
      </c>
      <c r="BF377" s="14">
        <f>O377</f>
        <v>0.12522</v>
      </c>
      <c r="BH377" s="14">
        <f>G377*AO377</f>
        <v>0</v>
      </c>
      <c r="BI377" s="14">
        <f>G377*AP377</f>
        <v>0</v>
      </c>
      <c r="BJ377" s="14">
        <f>G377*H377</f>
        <v>0</v>
      </c>
      <c r="BK377" s="14"/>
      <c r="BL377" s="14">
        <v>64</v>
      </c>
      <c r="BW377" s="14" t="str">
        <f>I377</f>
        <v>21</v>
      </c>
    </row>
    <row r="378" spans="1:75" ht="15" customHeight="1">
      <c r="A378" s="32"/>
      <c r="D378" s="3" t="s">
        <v>2422</v>
      </c>
      <c r="E378" s="28" t="s">
        <v>2032</v>
      </c>
      <c r="G378" s="27">
        <v>1</v>
      </c>
      <c r="P378" s="33"/>
    </row>
    <row r="379" spans="1:75" ht="40.5" customHeight="1">
      <c r="A379" s="85" t="s">
        <v>516</v>
      </c>
      <c r="B379" s="39" t="s">
        <v>1842</v>
      </c>
      <c r="C379" s="39" t="s">
        <v>2049</v>
      </c>
      <c r="D379" s="657" t="s">
        <v>2297</v>
      </c>
      <c r="E379" s="658"/>
      <c r="F379" s="39" t="s">
        <v>595</v>
      </c>
      <c r="G379" s="58">
        <v>1</v>
      </c>
      <c r="H379" s="570"/>
      <c r="I379" s="94" t="s">
        <v>1720</v>
      </c>
      <c r="J379" s="58">
        <f>G379*AO379</f>
        <v>0</v>
      </c>
      <c r="K379" s="58">
        <f>G379*AP379</f>
        <v>0</v>
      </c>
      <c r="L379" s="58">
        <f>G379*H379</f>
        <v>0</v>
      </c>
      <c r="M379" s="58">
        <f>L379*(1+BW379/100)</f>
        <v>0</v>
      </c>
      <c r="N379" s="58">
        <v>6.6000000000000003E-2</v>
      </c>
      <c r="O379" s="58">
        <f>G379*N379</f>
        <v>6.6000000000000003E-2</v>
      </c>
      <c r="P379" s="76" t="s">
        <v>921</v>
      </c>
      <c r="Z379" s="14">
        <f>IF(AQ379="5",BJ379,0)</f>
        <v>0</v>
      </c>
      <c r="AB379" s="14">
        <f>IF(AQ379="1",BH379,0)</f>
        <v>0</v>
      </c>
      <c r="AC379" s="14">
        <f>IF(AQ379="1",BI379,0)</f>
        <v>0</v>
      </c>
      <c r="AD379" s="14">
        <f>IF(AQ379="7",BH379,0)</f>
        <v>0</v>
      </c>
      <c r="AE379" s="14">
        <f>IF(AQ379="7",BI379,0)</f>
        <v>0</v>
      </c>
      <c r="AF379" s="14">
        <f>IF(AQ379="2",BH379,0)</f>
        <v>0</v>
      </c>
      <c r="AG379" s="14">
        <f>IF(AQ379="2",BI379,0)</f>
        <v>0</v>
      </c>
      <c r="AH379" s="14">
        <f>IF(AQ379="0",BJ379,0)</f>
        <v>0</v>
      </c>
      <c r="AI379" s="15" t="s">
        <v>1842</v>
      </c>
      <c r="AJ379" s="6">
        <f>IF(AN379=0,L379,0)</f>
        <v>0</v>
      </c>
      <c r="AK379" s="6">
        <f>IF(AN379=15,L379,0)</f>
        <v>0</v>
      </c>
      <c r="AL379" s="6">
        <f>IF(AN379=21,L379,0)</f>
        <v>0</v>
      </c>
      <c r="AN379" s="14">
        <v>21</v>
      </c>
      <c r="AO379" s="92">
        <f>H379*1</f>
        <v>0</v>
      </c>
      <c r="AP379" s="92">
        <f>H379*(1-1)</f>
        <v>0</v>
      </c>
      <c r="AQ379" s="18" t="s">
        <v>2422</v>
      </c>
      <c r="AV379" s="14">
        <f>AW379+AX379</f>
        <v>0</v>
      </c>
      <c r="AW379" s="14">
        <f>G379*AO379</f>
        <v>0</v>
      </c>
      <c r="AX379" s="14">
        <f>G379*AP379</f>
        <v>0</v>
      </c>
      <c r="AY379" s="55" t="s">
        <v>1638</v>
      </c>
      <c r="AZ379" s="55" t="s">
        <v>246</v>
      </c>
      <c r="BA379" s="15" t="s">
        <v>1843</v>
      </c>
      <c r="BC379" s="14">
        <f>AW379+AX379</f>
        <v>0</v>
      </c>
      <c r="BD379" s="14">
        <f>H379/(100-BE379)*100</f>
        <v>0</v>
      </c>
      <c r="BE379" s="14">
        <v>0</v>
      </c>
      <c r="BF379" s="14">
        <f>O379</f>
        <v>6.6000000000000003E-2</v>
      </c>
      <c r="BH379" s="6">
        <f>G379*AO379</f>
        <v>0</v>
      </c>
      <c r="BI379" s="6">
        <f>G379*AP379</f>
        <v>0</v>
      </c>
      <c r="BJ379" s="6">
        <f>G379*H379</f>
        <v>0</v>
      </c>
      <c r="BK379" s="6"/>
      <c r="BL379" s="14">
        <v>64</v>
      </c>
      <c r="BW379" s="14" t="str">
        <f>I379</f>
        <v>21</v>
      </c>
    </row>
    <row r="380" spans="1:75" ht="15" customHeight="1">
      <c r="A380" s="35"/>
      <c r="B380" s="23"/>
      <c r="C380" s="23"/>
      <c r="D380" s="98" t="s">
        <v>2422</v>
      </c>
      <c r="E380" s="96" t="s">
        <v>1296</v>
      </c>
      <c r="F380" s="23"/>
      <c r="G380" s="75">
        <v>1</v>
      </c>
      <c r="H380" s="23"/>
      <c r="I380" s="23"/>
      <c r="J380" s="23"/>
      <c r="K380" s="23"/>
      <c r="L380" s="23"/>
      <c r="M380" s="23"/>
      <c r="N380" s="23"/>
      <c r="O380" s="23"/>
      <c r="P380" s="95"/>
    </row>
    <row r="381" spans="1:75" ht="13.5" customHeight="1">
      <c r="A381" s="21" t="s">
        <v>979</v>
      </c>
      <c r="B381" s="37" t="s">
        <v>1842</v>
      </c>
      <c r="C381" s="37" t="s">
        <v>894</v>
      </c>
      <c r="D381" s="578" t="s">
        <v>2351</v>
      </c>
      <c r="E381" s="579"/>
      <c r="F381" s="37" t="s">
        <v>595</v>
      </c>
      <c r="G381" s="14">
        <v>4</v>
      </c>
      <c r="H381" s="569"/>
      <c r="I381" s="55" t="s">
        <v>1720</v>
      </c>
      <c r="J381" s="14">
        <f>G381*AO381</f>
        <v>0</v>
      </c>
      <c r="K381" s="14">
        <f>G381*AP381</f>
        <v>0</v>
      </c>
      <c r="L381" s="14">
        <f>G381*H381</f>
        <v>0</v>
      </c>
      <c r="M381" s="14">
        <f>L381*(1+BW381/100)</f>
        <v>0</v>
      </c>
      <c r="N381" s="14">
        <v>0.12522</v>
      </c>
      <c r="O381" s="14">
        <f>G381*N381</f>
        <v>0.50087999999999999</v>
      </c>
      <c r="P381" s="72" t="s">
        <v>921</v>
      </c>
      <c r="Z381" s="14">
        <f>IF(AQ381="5",BJ381,0)</f>
        <v>0</v>
      </c>
      <c r="AB381" s="14">
        <f>IF(AQ381="1",BH381,0)</f>
        <v>0</v>
      </c>
      <c r="AC381" s="14">
        <f>IF(AQ381="1",BI381,0)</f>
        <v>0</v>
      </c>
      <c r="AD381" s="14">
        <f>IF(AQ381="7",BH381,0)</f>
        <v>0</v>
      </c>
      <c r="AE381" s="14">
        <f>IF(AQ381="7",BI381,0)</f>
        <v>0</v>
      </c>
      <c r="AF381" s="14">
        <f>IF(AQ381="2",BH381,0)</f>
        <v>0</v>
      </c>
      <c r="AG381" s="14">
        <f>IF(AQ381="2",BI381,0)</f>
        <v>0</v>
      </c>
      <c r="AH381" s="14">
        <f>IF(AQ381="0",BJ381,0)</f>
        <v>0</v>
      </c>
      <c r="AI381" s="15" t="s">
        <v>1842</v>
      </c>
      <c r="AJ381" s="14">
        <f>IF(AN381=0,L381,0)</f>
        <v>0</v>
      </c>
      <c r="AK381" s="14">
        <f>IF(AN381=15,L381,0)</f>
        <v>0</v>
      </c>
      <c r="AL381" s="14">
        <f>IF(AN381=21,L381,0)</f>
        <v>0</v>
      </c>
      <c r="AN381" s="14">
        <v>21</v>
      </c>
      <c r="AO381" s="92">
        <f>H381*0.071014312383323</f>
        <v>0</v>
      </c>
      <c r="AP381" s="92">
        <f>H381*(1-0.071014312383323)</f>
        <v>0</v>
      </c>
      <c r="AQ381" s="55" t="s">
        <v>2422</v>
      </c>
      <c r="AV381" s="14">
        <f>AW381+AX381</f>
        <v>0</v>
      </c>
      <c r="AW381" s="14">
        <f>G381*AO381</f>
        <v>0</v>
      </c>
      <c r="AX381" s="14">
        <f>G381*AP381</f>
        <v>0</v>
      </c>
      <c r="AY381" s="55" t="s">
        <v>1638</v>
      </c>
      <c r="AZ381" s="55" t="s">
        <v>246</v>
      </c>
      <c r="BA381" s="15" t="s">
        <v>1843</v>
      </c>
      <c r="BC381" s="14">
        <f>AW381+AX381</f>
        <v>0</v>
      </c>
      <c r="BD381" s="14">
        <f>H381/(100-BE381)*100</f>
        <v>0</v>
      </c>
      <c r="BE381" s="14">
        <v>0</v>
      </c>
      <c r="BF381" s="14">
        <f>O381</f>
        <v>0.50087999999999999</v>
      </c>
      <c r="BH381" s="14">
        <f>G381*AO381</f>
        <v>0</v>
      </c>
      <c r="BI381" s="14">
        <f>G381*AP381</f>
        <v>0</v>
      </c>
      <c r="BJ381" s="14">
        <f>G381*H381</f>
        <v>0</v>
      </c>
      <c r="BK381" s="14"/>
      <c r="BL381" s="14">
        <v>64</v>
      </c>
      <c r="BW381" s="14" t="str">
        <f>I381</f>
        <v>21</v>
      </c>
    </row>
    <row r="382" spans="1:75" ht="15" customHeight="1">
      <c r="A382" s="32"/>
      <c r="D382" s="3" t="s">
        <v>2422</v>
      </c>
      <c r="E382" s="28" t="s">
        <v>736</v>
      </c>
      <c r="G382" s="27">
        <v>1</v>
      </c>
      <c r="P382" s="33"/>
    </row>
    <row r="383" spans="1:75" ht="15" customHeight="1">
      <c r="A383" s="32"/>
      <c r="D383" s="3" t="s">
        <v>2422</v>
      </c>
      <c r="E383" s="28" t="s">
        <v>807</v>
      </c>
      <c r="G383" s="27">
        <v>1</v>
      </c>
      <c r="P383" s="33"/>
    </row>
    <row r="384" spans="1:75" ht="15" customHeight="1">
      <c r="A384" s="32"/>
      <c r="D384" s="3" t="s">
        <v>2422</v>
      </c>
      <c r="E384" s="28" t="s">
        <v>413</v>
      </c>
      <c r="G384" s="27">
        <v>1</v>
      </c>
      <c r="P384" s="33"/>
    </row>
    <row r="385" spans="1:75" ht="15" customHeight="1">
      <c r="A385" s="32"/>
      <c r="D385" s="3" t="s">
        <v>2422</v>
      </c>
      <c r="E385" s="28" t="s">
        <v>81</v>
      </c>
      <c r="G385" s="27">
        <v>1</v>
      </c>
      <c r="P385" s="33"/>
    </row>
    <row r="386" spans="1:75" ht="40.5" customHeight="1">
      <c r="A386" s="20" t="s">
        <v>944</v>
      </c>
      <c r="B386" s="84" t="s">
        <v>1842</v>
      </c>
      <c r="C386" s="84" t="s">
        <v>900</v>
      </c>
      <c r="D386" s="653" t="s">
        <v>440</v>
      </c>
      <c r="E386" s="654"/>
      <c r="F386" s="84" t="s">
        <v>595</v>
      </c>
      <c r="G386" s="6">
        <v>1</v>
      </c>
      <c r="H386" s="570"/>
      <c r="I386" s="18" t="s">
        <v>1720</v>
      </c>
      <c r="J386" s="6">
        <f>G386*AO386</f>
        <v>0</v>
      </c>
      <c r="K386" s="6">
        <f>G386*AP386</f>
        <v>0</v>
      </c>
      <c r="L386" s="6">
        <f>G386*H386</f>
        <v>0</v>
      </c>
      <c r="M386" s="6">
        <f>L386*(1+BW386/100)</f>
        <v>0</v>
      </c>
      <c r="N386" s="6">
        <v>6.6000000000000003E-2</v>
      </c>
      <c r="O386" s="6">
        <f>G386*N386</f>
        <v>6.6000000000000003E-2</v>
      </c>
      <c r="P386" s="109" t="s">
        <v>921</v>
      </c>
      <c r="Z386" s="14">
        <f>IF(AQ386="5",BJ386,0)</f>
        <v>0</v>
      </c>
      <c r="AB386" s="14">
        <f>IF(AQ386="1",BH386,0)</f>
        <v>0</v>
      </c>
      <c r="AC386" s="14">
        <f>IF(AQ386="1",BI386,0)</f>
        <v>0</v>
      </c>
      <c r="AD386" s="14">
        <f>IF(AQ386="7",BH386,0)</f>
        <v>0</v>
      </c>
      <c r="AE386" s="14">
        <f>IF(AQ386="7",BI386,0)</f>
        <v>0</v>
      </c>
      <c r="AF386" s="14">
        <f>IF(AQ386="2",BH386,0)</f>
        <v>0</v>
      </c>
      <c r="AG386" s="14">
        <f>IF(AQ386="2",BI386,0)</f>
        <v>0</v>
      </c>
      <c r="AH386" s="14">
        <f>IF(AQ386="0",BJ386,0)</f>
        <v>0</v>
      </c>
      <c r="AI386" s="15" t="s">
        <v>1842</v>
      </c>
      <c r="AJ386" s="6">
        <f>IF(AN386=0,L386,0)</f>
        <v>0</v>
      </c>
      <c r="AK386" s="6">
        <f>IF(AN386=15,L386,0)</f>
        <v>0</v>
      </c>
      <c r="AL386" s="6">
        <f>IF(AN386=21,L386,0)</f>
        <v>0</v>
      </c>
      <c r="AN386" s="14">
        <v>21</v>
      </c>
      <c r="AO386" s="92">
        <f>H386*1</f>
        <v>0</v>
      </c>
      <c r="AP386" s="92">
        <f>H386*(1-1)</f>
        <v>0</v>
      </c>
      <c r="AQ386" s="18" t="s">
        <v>2422</v>
      </c>
      <c r="AV386" s="14">
        <f>AW386+AX386</f>
        <v>0</v>
      </c>
      <c r="AW386" s="14">
        <f>G386*AO386</f>
        <v>0</v>
      </c>
      <c r="AX386" s="14">
        <f>G386*AP386</f>
        <v>0</v>
      </c>
      <c r="AY386" s="55" t="s">
        <v>1638</v>
      </c>
      <c r="AZ386" s="55" t="s">
        <v>246</v>
      </c>
      <c r="BA386" s="15" t="s">
        <v>1843</v>
      </c>
      <c r="BC386" s="14">
        <f>AW386+AX386</f>
        <v>0</v>
      </c>
      <c r="BD386" s="14">
        <f>H386/(100-BE386)*100</f>
        <v>0</v>
      </c>
      <c r="BE386" s="14">
        <v>0</v>
      </c>
      <c r="BF386" s="14">
        <f>O386</f>
        <v>6.6000000000000003E-2</v>
      </c>
      <c r="BH386" s="6">
        <f>G386*AO386</f>
        <v>0</v>
      </c>
      <c r="BI386" s="6">
        <f>G386*AP386</f>
        <v>0</v>
      </c>
      <c r="BJ386" s="6">
        <f>G386*H386</f>
        <v>0</v>
      </c>
      <c r="BK386" s="6"/>
      <c r="BL386" s="14">
        <v>64</v>
      </c>
      <c r="BW386" s="14" t="str">
        <f>I386</f>
        <v>21</v>
      </c>
    </row>
    <row r="387" spans="1:75" ht="15" customHeight="1">
      <c r="A387" s="32"/>
      <c r="D387" s="3" t="s">
        <v>2422</v>
      </c>
      <c r="E387" s="28" t="s">
        <v>517</v>
      </c>
      <c r="G387" s="27">
        <v>1</v>
      </c>
      <c r="P387" s="33"/>
    </row>
    <row r="388" spans="1:75" ht="40.5" customHeight="1">
      <c r="A388" s="20" t="s">
        <v>1319</v>
      </c>
      <c r="B388" s="84" t="s">
        <v>1842</v>
      </c>
      <c r="C388" s="84" t="s">
        <v>652</v>
      </c>
      <c r="D388" s="653" t="s">
        <v>550</v>
      </c>
      <c r="E388" s="654"/>
      <c r="F388" s="84" t="s">
        <v>595</v>
      </c>
      <c r="G388" s="6">
        <v>1</v>
      </c>
      <c r="H388" s="570"/>
      <c r="I388" s="18" t="s">
        <v>1720</v>
      </c>
      <c r="J388" s="6">
        <f>G388*AO388</f>
        <v>0</v>
      </c>
      <c r="K388" s="6">
        <f>G388*AP388</f>
        <v>0</v>
      </c>
      <c r="L388" s="6">
        <f>G388*H388</f>
        <v>0</v>
      </c>
      <c r="M388" s="6">
        <f>L388*(1+BW388/100)</f>
        <v>0</v>
      </c>
      <c r="N388" s="6">
        <v>6.6000000000000003E-2</v>
      </c>
      <c r="O388" s="6">
        <f>G388*N388</f>
        <v>6.6000000000000003E-2</v>
      </c>
      <c r="P388" s="109" t="s">
        <v>921</v>
      </c>
      <c r="Z388" s="14">
        <f>IF(AQ388="5",BJ388,0)</f>
        <v>0</v>
      </c>
      <c r="AB388" s="14">
        <f>IF(AQ388="1",BH388,0)</f>
        <v>0</v>
      </c>
      <c r="AC388" s="14">
        <f>IF(AQ388="1",BI388,0)</f>
        <v>0</v>
      </c>
      <c r="AD388" s="14">
        <f>IF(AQ388="7",BH388,0)</f>
        <v>0</v>
      </c>
      <c r="AE388" s="14">
        <f>IF(AQ388="7",BI388,0)</f>
        <v>0</v>
      </c>
      <c r="AF388" s="14">
        <f>IF(AQ388="2",BH388,0)</f>
        <v>0</v>
      </c>
      <c r="AG388" s="14">
        <f>IF(AQ388="2",BI388,0)</f>
        <v>0</v>
      </c>
      <c r="AH388" s="14">
        <f>IF(AQ388="0",BJ388,0)</f>
        <v>0</v>
      </c>
      <c r="AI388" s="15" t="s">
        <v>1842</v>
      </c>
      <c r="AJ388" s="6">
        <f>IF(AN388=0,L388,0)</f>
        <v>0</v>
      </c>
      <c r="AK388" s="6">
        <f>IF(AN388=15,L388,0)</f>
        <v>0</v>
      </c>
      <c r="AL388" s="6">
        <f>IF(AN388=21,L388,0)</f>
        <v>0</v>
      </c>
      <c r="AN388" s="14">
        <v>21</v>
      </c>
      <c r="AO388" s="92">
        <f>H388*1</f>
        <v>0</v>
      </c>
      <c r="AP388" s="92">
        <f>H388*(1-1)</f>
        <v>0</v>
      </c>
      <c r="AQ388" s="18" t="s">
        <v>2422</v>
      </c>
      <c r="AV388" s="14">
        <f>AW388+AX388</f>
        <v>0</v>
      </c>
      <c r="AW388" s="14">
        <f>G388*AO388</f>
        <v>0</v>
      </c>
      <c r="AX388" s="14">
        <f>G388*AP388</f>
        <v>0</v>
      </c>
      <c r="AY388" s="55" t="s">
        <v>1638</v>
      </c>
      <c r="AZ388" s="55" t="s">
        <v>246</v>
      </c>
      <c r="BA388" s="15" t="s">
        <v>1843</v>
      </c>
      <c r="BC388" s="14">
        <f>AW388+AX388</f>
        <v>0</v>
      </c>
      <c r="BD388" s="14">
        <f>H388/(100-BE388)*100</f>
        <v>0</v>
      </c>
      <c r="BE388" s="14">
        <v>0</v>
      </c>
      <c r="BF388" s="14">
        <f>O388</f>
        <v>6.6000000000000003E-2</v>
      </c>
      <c r="BH388" s="6">
        <f>G388*AO388</f>
        <v>0</v>
      </c>
      <c r="BI388" s="6">
        <f>G388*AP388</f>
        <v>0</v>
      </c>
      <c r="BJ388" s="6">
        <f>G388*H388</f>
        <v>0</v>
      </c>
      <c r="BK388" s="6"/>
      <c r="BL388" s="14">
        <v>64</v>
      </c>
      <c r="BW388" s="14" t="str">
        <f>I388</f>
        <v>21</v>
      </c>
    </row>
    <row r="389" spans="1:75" ht="15" customHeight="1">
      <c r="A389" s="32"/>
      <c r="D389" s="3" t="s">
        <v>2422</v>
      </c>
      <c r="E389" s="28" t="s">
        <v>517</v>
      </c>
      <c r="G389" s="27">
        <v>1</v>
      </c>
      <c r="P389" s="33"/>
    </row>
    <row r="390" spans="1:75" ht="40.5" customHeight="1">
      <c r="A390" s="20" t="s">
        <v>281</v>
      </c>
      <c r="B390" s="84" t="s">
        <v>1842</v>
      </c>
      <c r="C390" s="84" t="s">
        <v>261</v>
      </c>
      <c r="D390" s="653" t="s">
        <v>2025</v>
      </c>
      <c r="E390" s="654"/>
      <c r="F390" s="84" t="s">
        <v>595</v>
      </c>
      <c r="G390" s="6">
        <v>1</v>
      </c>
      <c r="H390" s="570"/>
      <c r="I390" s="18" t="s">
        <v>1720</v>
      </c>
      <c r="J390" s="6">
        <f>G390*AO390</f>
        <v>0</v>
      </c>
      <c r="K390" s="6">
        <f>G390*AP390</f>
        <v>0</v>
      </c>
      <c r="L390" s="6">
        <f>G390*H390</f>
        <v>0</v>
      </c>
      <c r="M390" s="6">
        <f>L390*(1+BW390/100)</f>
        <v>0</v>
      </c>
      <c r="N390" s="6">
        <v>6.6000000000000003E-2</v>
      </c>
      <c r="O390" s="6">
        <f>G390*N390</f>
        <v>6.6000000000000003E-2</v>
      </c>
      <c r="P390" s="109" t="s">
        <v>921</v>
      </c>
      <c r="Z390" s="14">
        <f>IF(AQ390="5",BJ390,0)</f>
        <v>0</v>
      </c>
      <c r="AB390" s="14">
        <f>IF(AQ390="1",BH390,0)</f>
        <v>0</v>
      </c>
      <c r="AC390" s="14">
        <f>IF(AQ390="1",BI390,0)</f>
        <v>0</v>
      </c>
      <c r="AD390" s="14">
        <f>IF(AQ390="7",BH390,0)</f>
        <v>0</v>
      </c>
      <c r="AE390" s="14">
        <f>IF(AQ390="7",BI390,0)</f>
        <v>0</v>
      </c>
      <c r="AF390" s="14">
        <f>IF(AQ390="2",BH390,0)</f>
        <v>0</v>
      </c>
      <c r="AG390" s="14">
        <f>IF(AQ390="2",BI390,0)</f>
        <v>0</v>
      </c>
      <c r="AH390" s="14">
        <f>IF(AQ390="0",BJ390,0)</f>
        <v>0</v>
      </c>
      <c r="AI390" s="15" t="s">
        <v>1842</v>
      </c>
      <c r="AJ390" s="6">
        <f>IF(AN390=0,L390,0)</f>
        <v>0</v>
      </c>
      <c r="AK390" s="6">
        <f>IF(AN390=15,L390,0)</f>
        <v>0</v>
      </c>
      <c r="AL390" s="6">
        <f>IF(AN390=21,L390,0)</f>
        <v>0</v>
      </c>
      <c r="AN390" s="14">
        <v>21</v>
      </c>
      <c r="AO390" s="92">
        <f>H390*1</f>
        <v>0</v>
      </c>
      <c r="AP390" s="92">
        <f>H390*(1-1)</f>
        <v>0</v>
      </c>
      <c r="AQ390" s="18" t="s">
        <v>2422</v>
      </c>
      <c r="AV390" s="14">
        <f>AW390+AX390</f>
        <v>0</v>
      </c>
      <c r="AW390" s="14">
        <f>G390*AO390</f>
        <v>0</v>
      </c>
      <c r="AX390" s="14">
        <f>G390*AP390</f>
        <v>0</v>
      </c>
      <c r="AY390" s="55" t="s">
        <v>1638</v>
      </c>
      <c r="AZ390" s="55" t="s">
        <v>246</v>
      </c>
      <c r="BA390" s="15" t="s">
        <v>1843</v>
      </c>
      <c r="BC390" s="14">
        <f>AW390+AX390</f>
        <v>0</v>
      </c>
      <c r="BD390" s="14">
        <f>H390/(100-BE390)*100</f>
        <v>0</v>
      </c>
      <c r="BE390" s="14">
        <v>0</v>
      </c>
      <c r="BF390" s="14">
        <f>O390</f>
        <v>6.6000000000000003E-2</v>
      </c>
      <c r="BH390" s="6">
        <f>G390*AO390</f>
        <v>0</v>
      </c>
      <c r="BI390" s="6">
        <f>G390*AP390</f>
        <v>0</v>
      </c>
      <c r="BJ390" s="6">
        <f>G390*H390</f>
        <v>0</v>
      </c>
      <c r="BK390" s="6"/>
      <c r="BL390" s="14">
        <v>64</v>
      </c>
      <c r="BW390" s="14" t="str">
        <f>I390</f>
        <v>21</v>
      </c>
    </row>
    <row r="391" spans="1:75" ht="15" customHeight="1">
      <c r="A391" s="32"/>
      <c r="D391" s="3" t="s">
        <v>2422</v>
      </c>
      <c r="E391" s="28" t="s">
        <v>1553</v>
      </c>
      <c r="G391" s="27">
        <v>1</v>
      </c>
      <c r="P391" s="33"/>
    </row>
    <row r="392" spans="1:75" ht="54" customHeight="1">
      <c r="A392" s="20" t="s">
        <v>1274</v>
      </c>
      <c r="B392" s="84" t="s">
        <v>1842</v>
      </c>
      <c r="C392" s="84" t="s">
        <v>68</v>
      </c>
      <c r="D392" s="653" t="s">
        <v>2421</v>
      </c>
      <c r="E392" s="654"/>
      <c r="F392" s="84" t="s">
        <v>595</v>
      </c>
      <c r="G392" s="6">
        <v>1</v>
      </c>
      <c r="H392" s="570"/>
      <c r="I392" s="18" t="s">
        <v>1720</v>
      </c>
      <c r="J392" s="6">
        <f>G392*AO392</f>
        <v>0</v>
      </c>
      <c r="K392" s="6">
        <f>G392*AP392</f>
        <v>0</v>
      </c>
      <c r="L392" s="6">
        <f>G392*H392</f>
        <v>0</v>
      </c>
      <c r="M392" s="6">
        <f>L392*(1+BW392/100)</f>
        <v>0</v>
      </c>
      <c r="N392" s="6">
        <v>6.6000000000000003E-2</v>
      </c>
      <c r="O392" s="6">
        <f>G392*N392</f>
        <v>6.6000000000000003E-2</v>
      </c>
      <c r="P392" s="109" t="s">
        <v>921</v>
      </c>
      <c r="Z392" s="14">
        <f>IF(AQ392="5",BJ392,0)</f>
        <v>0</v>
      </c>
      <c r="AB392" s="14">
        <f>IF(AQ392="1",BH392,0)</f>
        <v>0</v>
      </c>
      <c r="AC392" s="14">
        <f>IF(AQ392="1",BI392,0)</f>
        <v>0</v>
      </c>
      <c r="AD392" s="14">
        <f>IF(AQ392="7",BH392,0)</f>
        <v>0</v>
      </c>
      <c r="AE392" s="14">
        <f>IF(AQ392="7",BI392,0)</f>
        <v>0</v>
      </c>
      <c r="AF392" s="14">
        <f>IF(AQ392="2",BH392,0)</f>
        <v>0</v>
      </c>
      <c r="AG392" s="14">
        <f>IF(AQ392="2",BI392,0)</f>
        <v>0</v>
      </c>
      <c r="AH392" s="14">
        <f>IF(AQ392="0",BJ392,0)</f>
        <v>0</v>
      </c>
      <c r="AI392" s="15" t="s">
        <v>1842</v>
      </c>
      <c r="AJ392" s="6">
        <f>IF(AN392=0,L392,0)</f>
        <v>0</v>
      </c>
      <c r="AK392" s="6">
        <f>IF(AN392=15,L392,0)</f>
        <v>0</v>
      </c>
      <c r="AL392" s="6">
        <f>IF(AN392=21,L392,0)</f>
        <v>0</v>
      </c>
      <c r="AN392" s="14">
        <v>21</v>
      </c>
      <c r="AO392" s="92">
        <f>H392*1</f>
        <v>0</v>
      </c>
      <c r="AP392" s="92">
        <f>H392*(1-1)</f>
        <v>0</v>
      </c>
      <c r="AQ392" s="18" t="s">
        <v>2422</v>
      </c>
      <c r="AV392" s="14">
        <f>AW392+AX392</f>
        <v>0</v>
      </c>
      <c r="AW392" s="14">
        <f>G392*AO392</f>
        <v>0</v>
      </c>
      <c r="AX392" s="14">
        <f>G392*AP392</f>
        <v>0</v>
      </c>
      <c r="AY392" s="55" t="s">
        <v>1638</v>
      </c>
      <c r="AZ392" s="55" t="s">
        <v>246</v>
      </c>
      <c r="BA392" s="15" t="s">
        <v>1843</v>
      </c>
      <c r="BC392" s="14">
        <f>AW392+AX392</f>
        <v>0</v>
      </c>
      <c r="BD392" s="14">
        <f>H392/(100-BE392)*100</f>
        <v>0</v>
      </c>
      <c r="BE392" s="14">
        <v>0</v>
      </c>
      <c r="BF392" s="14">
        <f>O392</f>
        <v>6.6000000000000003E-2</v>
      </c>
      <c r="BH392" s="6">
        <f>G392*AO392</f>
        <v>0</v>
      </c>
      <c r="BI392" s="6">
        <f>G392*AP392</f>
        <v>0</v>
      </c>
      <c r="BJ392" s="6">
        <f>G392*H392</f>
        <v>0</v>
      </c>
      <c r="BK392" s="6"/>
      <c r="BL392" s="14">
        <v>64</v>
      </c>
      <c r="BW392" s="14" t="str">
        <f>I392</f>
        <v>21</v>
      </c>
    </row>
    <row r="393" spans="1:75" ht="15" customHeight="1">
      <c r="A393" s="32"/>
      <c r="D393" s="3" t="s">
        <v>2422</v>
      </c>
      <c r="E393" s="28" t="s">
        <v>517</v>
      </c>
      <c r="G393" s="27">
        <v>1</v>
      </c>
      <c r="P393" s="33"/>
    </row>
    <row r="394" spans="1:75" ht="13.5" customHeight="1">
      <c r="A394" s="21" t="s">
        <v>175</v>
      </c>
      <c r="B394" s="37" t="s">
        <v>1842</v>
      </c>
      <c r="C394" s="37" t="s">
        <v>2386</v>
      </c>
      <c r="D394" s="578" t="s">
        <v>510</v>
      </c>
      <c r="E394" s="579"/>
      <c r="F394" s="37" t="s">
        <v>595</v>
      </c>
      <c r="G394" s="14">
        <v>5</v>
      </c>
      <c r="H394" s="569"/>
      <c r="I394" s="55" t="s">
        <v>1720</v>
      </c>
      <c r="J394" s="14">
        <f>G394*AO394</f>
        <v>0</v>
      </c>
      <c r="K394" s="14">
        <f>G394*AP394</f>
        <v>0</v>
      </c>
      <c r="L394" s="14">
        <f>G394*H394</f>
        <v>0</v>
      </c>
      <c r="M394" s="14">
        <f>L394*(1+BW394/100)</f>
        <v>0</v>
      </c>
      <c r="N394" s="14">
        <v>1.8970000000000001E-2</v>
      </c>
      <c r="O394" s="14">
        <f>G394*N394</f>
        <v>9.4850000000000004E-2</v>
      </c>
      <c r="P394" s="72" t="s">
        <v>921</v>
      </c>
      <c r="Z394" s="14">
        <f>IF(AQ394="5",BJ394,0)</f>
        <v>0</v>
      </c>
      <c r="AB394" s="14">
        <f>IF(AQ394="1",BH394,0)</f>
        <v>0</v>
      </c>
      <c r="AC394" s="14">
        <f>IF(AQ394="1",BI394,0)</f>
        <v>0</v>
      </c>
      <c r="AD394" s="14">
        <f>IF(AQ394="7",BH394,0)</f>
        <v>0</v>
      </c>
      <c r="AE394" s="14">
        <f>IF(AQ394="7",BI394,0)</f>
        <v>0</v>
      </c>
      <c r="AF394" s="14">
        <f>IF(AQ394="2",BH394,0)</f>
        <v>0</v>
      </c>
      <c r="AG394" s="14">
        <f>IF(AQ394="2",BI394,0)</f>
        <v>0</v>
      </c>
      <c r="AH394" s="14">
        <f>IF(AQ394="0",BJ394,0)</f>
        <v>0</v>
      </c>
      <c r="AI394" s="15" t="s">
        <v>1842</v>
      </c>
      <c r="AJ394" s="14">
        <f>IF(AN394=0,L394,0)</f>
        <v>0</v>
      </c>
      <c r="AK394" s="14">
        <f>IF(AN394=15,L394,0)</f>
        <v>0</v>
      </c>
      <c r="AL394" s="14">
        <f>IF(AN394=21,L394,0)</f>
        <v>0</v>
      </c>
      <c r="AN394" s="14">
        <v>21</v>
      </c>
      <c r="AO394" s="92">
        <f>H394*0.020925341745531</f>
        <v>0</v>
      </c>
      <c r="AP394" s="92">
        <f>H394*(1-0.020925341745531)</f>
        <v>0</v>
      </c>
      <c r="AQ394" s="55" t="s">
        <v>2422</v>
      </c>
      <c r="AV394" s="14">
        <f>AW394+AX394</f>
        <v>0</v>
      </c>
      <c r="AW394" s="14">
        <f>G394*AO394</f>
        <v>0</v>
      </c>
      <c r="AX394" s="14">
        <f>G394*AP394</f>
        <v>0</v>
      </c>
      <c r="AY394" s="55" t="s">
        <v>1638</v>
      </c>
      <c r="AZ394" s="55" t="s">
        <v>246</v>
      </c>
      <c r="BA394" s="15" t="s">
        <v>1843</v>
      </c>
      <c r="BC394" s="14">
        <f>AW394+AX394</f>
        <v>0</v>
      </c>
      <c r="BD394" s="14">
        <f>H394/(100-BE394)*100</f>
        <v>0</v>
      </c>
      <c r="BE394" s="14">
        <v>0</v>
      </c>
      <c r="BF394" s="14">
        <f>O394</f>
        <v>9.4850000000000004E-2</v>
      </c>
      <c r="BH394" s="14">
        <f>G394*AO394</f>
        <v>0</v>
      </c>
      <c r="BI394" s="14">
        <f>G394*AP394</f>
        <v>0</v>
      </c>
      <c r="BJ394" s="14">
        <f>G394*H394</f>
        <v>0</v>
      </c>
      <c r="BK394" s="14"/>
      <c r="BL394" s="14">
        <v>64</v>
      </c>
      <c r="BW394" s="14" t="str">
        <f>I394</f>
        <v>21</v>
      </c>
    </row>
    <row r="395" spans="1:75" ht="15" customHeight="1">
      <c r="A395" s="32"/>
      <c r="D395" s="3" t="s">
        <v>1729</v>
      </c>
      <c r="E395" s="28" t="s">
        <v>1683</v>
      </c>
      <c r="G395" s="27">
        <v>5</v>
      </c>
      <c r="P395" s="33"/>
    </row>
    <row r="396" spans="1:75" ht="27" customHeight="1">
      <c r="A396" s="20" t="s">
        <v>2654</v>
      </c>
      <c r="B396" s="84" t="s">
        <v>1842</v>
      </c>
      <c r="C396" s="84" t="s">
        <v>2171</v>
      </c>
      <c r="D396" s="653" t="s">
        <v>618</v>
      </c>
      <c r="E396" s="654"/>
      <c r="F396" s="84" t="s">
        <v>595</v>
      </c>
      <c r="G396" s="6">
        <v>1</v>
      </c>
      <c r="H396" s="570"/>
      <c r="I396" s="18" t="s">
        <v>1720</v>
      </c>
      <c r="J396" s="6">
        <f>G396*AO396</f>
        <v>0</v>
      </c>
      <c r="K396" s="6">
        <f>G396*AP396</f>
        <v>0</v>
      </c>
      <c r="L396" s="6">
        <f>G396*H396</f>
        <v>0</v>
      </c>
      <c r="M396" s="6">
        <f>L396*(1+BW396/100)</f>
        <v>0</v>
      </c>
      <c r="N396" s="6">
        <v>3.5999999999999997E-2</v>
      </c>
      <c r="O396" s="6">
        <f>G396*N396</f>
        <v>3.5999999999999997E-2</v>
      </c>
      <c r="P396" s="109" t="s">
        <v>921</v>
      </c>
      <c r="Z396" s="14">
        <f>IF(AQ396="5",BJ396,0)</f>
        <v>0</v>
      </c>
      <c r="AB396" s="14">
        <f>IF(AQ396="1",BH396,0)</f>
        <v>0</v>
      </c>
      <c r="AC396" s="14">
        <f>IF(AQ396="1",BI396,0)</f>
        <v>0</v>
      </c>
      <c r="AD396" s="14">
        <f>IF(AQ396="7",BH396,0)</f>
        <v>0</v>
      </c>
      <c r="AE396" s="14">
        <f>IF(AQ396="7",BI396,0)</f>
        <v>0</v>
      </c>
      <c r="AF396" s="14">
        <f>IF(AQ396="2",BH396,0)</f>
        <v>0</v>
      </c>
      <c r="AG396" s="14">
        <f>IF(AQ396="2",BI396,0)</f>
        <v>0</v>
      </c>
      <c r="AH396" s="14">
        <f>IF(AQ396="0",BJ396,0)</f>
        <v>0</v>
      </c>
      <c r="AI396" s="15" t="s">
        <v>1842</v>
      </c>
      <c r="AJ396" s="6">
        <f>IF(AN396=0,L396,0)</f>
        <v>0</v>
      </c>
      <c r="AK396" s="6">
        <f>IF(AN396=15,L396,0)</f>
        <v>0</v>
      </c>
      <c r="AL396" s="6">
        <f>IF(AN396=21,L396,0)</f>
        <v>0</v>
      </c>
      <c r="AN396" s="14">
        <v>21</v>
      </c>
      <c r="AO396" s="92">
        <f>H396*1</f>
        <v>0</v>
      </c>
      <c r="AP396" s="92">
        <f>H396*(1-1)</f>
        <v>0</v>
      </c>
      <c r="AQ396" s="18" t="s">
        <v>2422</v>
      </c>
      <c r="AV396" s="14">
        <f>AW396+AX396</f>
        <v>0</v>
      </c>
      <c r="AW396" s="14">
        <f>G396*AO396</f>
        <v>0</v>
      </c>
      <c r="AX396" s="14">
        <f>G396*AP396</f>
        <v>0</v>
      </c>
      <c r="AY396" s="55" t="s">
        <v>1638</v>
      </c>
      <c r="AZ396" s="55" t="s">
        <v>246</v>
      </c>
      <c r="BA396" s="15" t="s">
        <v>1843</v>
      </c>
      <c r="BC396" s="14">
        <f>AW396+AX396</f>
        <v>0</v>
      </c>
      <c r="BD396" s="14">
        <f>H396/(100-BE396)*100</f>
        <v>0</v>
      </c>
      <c r="BE396" s="14">
        <v>0</v>
      </c>
      <c r="BF396" s="14">
        <f>O396</f>
        <v>3.5999999999999997E-2</v>
      </c>
      <c r="BH396" s="6">
        <f>G396*AO396</f>
        <v>0</v>
      </c>
      <c r="BI396" s="6">
        <f>G396*AP396</f>
        <v>0</v>
      </c>
      <c r="BJ396" s="6">
        <f>G396*H396</f>
        <v>0</v>
      </c>
      <c r="BK396" s="6"/>
      <c r="BL396" s="14">
        <v>64</v>
      </c>
      <c r="BW396" s="14" t="str">
        <f>I396</f>
        <v>21</v>
      </c>
    </row>
    <row r="397" spans="1:75" ht="15" customHeight="1">
      <c r="A397" s="32"/>
      <c r="D397" s="3" t="s">
        <v>2422</v>
      </c>
      <c r="E397" s="28" t="s">
        <v>73</v>
      </c>
      <c r="G397" s="27">
        <v>1</v>
      </c>
      <c r="P397" s="33"/>
    </row>
    <row r="398" spans="1:75" ht="27" customHeight="1">
      <c r="A398" s="20" t="s">
        <v>1419</v>
      </c>
      <c r="B398" s="84" t="s">
        <v>1842</v>
      </c>
      <c r="C398" s="84" t="s">
        <v>2085</v>
      </c>
      <c r="D398" s="653" t="s">
        <v>1063</v>
      </c>
      <c r="E398" s="654"/>
      <c r="F398" s="84" t="s">
        <v>595</v>
      </c>
      <c r="G398" s="6">
        <v>1</v>
      </c>
      <c r="H398" s="570"/>
      <c r="I398" s="18" t="s">
        <v>1720</v>
      </c>
      <c r="J398" s="6">
        <f>G398*AO398</f>
        <v>0</v>
      </c>
      <c r="K398" s="6">
        <f>G398*AP398</f>
        <v>0</v>
      </c>
      <c r="L398" s="6">
        <f>G398*H398</f>
        <v>0</v>
      </c>
      <c r="M398" s="6">
        <f>L398*(1+BW398/100)</f>
        <v>0</v>
      </c>
      <c r="N398" s="6">
        <v>6.6000000000000003E-2</v>
      </c>
      <c r="O398" s="6">
        <f>G398*N398</f>
        <v>6.6000000000000003E-2</v>
      </c>
      <c r="P398" s="109" t="s">
        <v>921</v>
      </c>
      <c r="Z398" s="14">
        <f>IF(AQ398="5",BJ398,0)</f>
        <v>0</v>
      </c>
      <c r="AB398" s="14">
        <f>IF(AQ398="1",BH398,0)</f>
        <v>0</v>
      </c>
      <c r="AC398" s="14">
        <f>IF(AQ398="1",BI398,0)</f>
        <v>0</v>
      </c>
      <c r="AD398" s="14">
        <f>IF(AQ398="7",BH398,0)</f>
        <v>0</v>
      </c>
      <c r="AE398" s="14">
        <f>IF(AQ398="7",BI398,0)</f>
        <v>0</v>
      </c>
      <c r="AF398" s="14">
        <f>IF(AQ398="2",BH398,0)</f>
        <v>0</v>
      </c>
      <c r="AG398" s="14">
        <f>IF(AQ398="2",BI398,0)</f>
        <v>0</v>
      </c>
      <c r="AH398" s="14">
        <f>IF(AQ398="0",BJ398,0)</f>
        <v>0</v>
      </c>
      <c r="AI398" s="15" t="s">
        <v>1842</v>
      </c>
      <c r="AJ398" s="6">
        <f>IF(AN398=0,L398,0)</f>
        <v>0</v>
      </c>
      <c r="AK398" s="6">
        <f>IF(AN398=15,L398,0)</f>
        <v>0</v>
      </c>
      <c r="AL398" s="6">
        <f>IF(AN398=21,L398,0)</f>
        <v>0</v>
      </c>
      <c r="AN398" s="14">
        <v>21</v>
      </c>
      <c r="AO398" s="92">
        <f>H398*1</f>
        <v>0</v>
      </c>
      <c r="AP398" s="92">
        <f>H398*(1-1)</f>
        <v>0</v>
      </c>
      <c r="AQ398" s="18" t="s">
        <v>2422</v>
      </c>
      <c r="AV398" s="14">
        <f>AW398+AX398</f>
        <v>0</v>
      </c>
      <c r="AW398" s="14">
        <f>G398*AO398</f>
        <v>0</v>
      </c>
      <c r="AX398" s="14">
        <f>G398*AP398</f>
        <v>0</v>
      </c>
      <c r="AY398" s="55" t="s">
        <v>1638</v>
      </c>
      <c r="AZ398" s="55" t="s">
        <v>246</v>
      </c>
      <c r="BA398" s="15" t="s">
        <v>1843</v>
      </c>
      <c r="BC398" s="14">
        <f>AW398+AX398</f>
        <v>0</v>
      </c>
      <c r="BD398" s="14">
        <f>H398/(100-BE398)*100</f>
        <v>0</v>
      </c>
      <c r="BE398" s="14">
        <v>0</v>
      </c>
      <c r="BF398" s="14">
        <f>O398</f>
        <v>6.6000000000000003E-2</v>
      </c>
      <c r="BH398" s="6">
        <f>G398*AO398</f>
        <v>0</v>
      </c>
      <c r="BI398" s="6">
        <f>G398*AP398</f>
        <v>0</v>
      </c>
      <c r="BJ398" s="6">
        <f>G398*H398</f>
        <v>0</v>
      </c>
      <c r="BK398" s="6"/>
      <c r="BL398" s="14">
        <v>64</v>
      </c>
      <c r="BW398" s="14" t="str">
        <f>I398</f>
        <v>21</v>
      </c>
    </row>
    <row r="399" spans="1:75" ht="15" customHeight="1">
      <c r="A399" s="32"/>
      <c r="D399" s="3" t="s">
        <v>2422</v>
      </c>
      <c r="E399" s="28" t="s">
        <v>2520</v>
      </c>
      <c r="G399" s="27">
        <v>1</v>
      </c>
      <c r="P399" s="33"/>
    </row>
    <row r="400" spans="1:75" ht="40.5" customHeight="1">
      <c r="A400" s="20" t="s">
        <v>989</v>
      </c>
      <c r="B400" s="84" t="s">
        <v>1842</v>
      </c>
      <c r="C400" s="84" t="s">
        <v>1334</v>
      </c>
      <c r="D400" s="653" t="s">
        <v>1122</v>
      </c>
      <c r="E400" s="654"/>
      <c r="F400" s="84" t="s">
        <v>595</v>
      </c>
      <c r="G400" s="6">
        <v>1</v>
      </c>
      <c r="H400" s="570"/>
      <c r="I400" s="18" t="s">
        <v>1720</v>
      </c>
      <c r="J400" s="6">
        <f>G400*AO400</f>
        <v>0</v>
      </c>
      <c r="K400" s="6">
        <f>G400*AP400</f>
        <v>0</v>
      </c>
      <c r="L400" s="6">
        <f>G400*H400</f>
        <v>0</v>
      </c>
      <c r="M400" s="6">
        <f>L400*(1+BW400/100)</f>
        <v>0</v>
      </c>
      <c r="N400" s="6">
        <v>5.8999999999999997E-2</v>
      </c>
      <c r="O400" s="6">
        <f>G400*N400</f>
        <v>5.8999999999999997E-2</v>
      </c>
      <c r="P400" s="109" t="s">
        <v>921</v>
      </c>
      <c r="Z400" s="14">
        <f>IF(AQ400="5",BJ400,0)</f>
        <v>0</v>
      </c>
      <c r="AB400" s="14">
        <f>IF(AQ400="1",BH400,0)</f>
        <v>0</v>
      </c>
      <c r="AC400" s="14">
        <f>IF(AQ400="1",BI400,0)</f>
        <v>0</v>
      </c>
      <c r="AD400" s="14">
        <f>IF(AQ400="7",BH400,0)</f>
        <v>0</v>
      </c>
      <c r="AE400" s="14">
        <f>IF(AQ400="7",BI400,0)</f>
        <v>0</v>
      </c>
      <c r="AF400" s="14">
        <f>IF(AQ400="2",BH400,0)</f>
        <v>0</v>
      </c>
      <c r="AG400" s="14">
        <f>IF(AQ400="2",BI400,0)</f>
        <v>0</v>
      </c>
      <c r="AH400" s="14">
        <f>IF(AQ400="0",BJ400,0)</f>
        <v>0</v>
      </c>
      <c r="AI400" s="15" t="s">
        <v>1842</v>
      </c>
      <c r="AJ400" s="6">
        <f>IF(AN400=0,L400,0)</f>
        <v>0</v>
      </c>
      <c r="AK400" s="6">
        <f>IF(AN400=15,L400,0)</f>
        <v>0</v>
      </c>
      <c r="AL400" s="6">
        <f>IF(AN400=21,L400,0)</f>
        <v>0</v>
      </c>
      <c r="AN400" s="14">
        <v>21</v>
      </c>
      <c r="AO400" s="92">
        <f>H400*1</f>
        <v>0</v>
      </c>
      <c r="AP400" s="92">
        <f>H400*(1-1)</f>
        <v>0</v>
      </c>
      <c r="AQ400" s="18" t="s">
        <v>2422</v>
      </c>
      <c r="AV400" s="14">
        <f>AW400+AX400</f>
        <v>0</v>
      </c>
      <c r="AW400" s="14">
        <f>G400*AO400</f>
        <v>0</v>
      </c>
      <c r="AX400" s="14">
        <f>G400*AP400</f>
        <v>0</v>
      </c>
      <c r="AY400" s="55" t="s">
        <v>1638</v>
      </c>
      <c r="AZ400" s="55" t="s">
        <v>246</v>
      </c>
      <c r="BA400" s="15" t="s">
        <v>1843</v>
      </c>
      <c r="BC400" s="14">
        <f>AW400+AX400</f>
        <v>0</v>
      </c>
      <c r="BD400" s="14">
        <f>H400/(100-BE400)*100</f>
        <v>0</v>
      </c>
      <c r="BE400" s="14">
        <v>0</v>
      </c>
      <c r="BF400" s="14">
        <f>O400</f>
        <v>5.8999999999999997E-2</v>
      </c>
      <c r="BH400" s="6">
        <f>G400*AO400</f>
        <v>0</v>
      </c>
      <c r="BI400" s="6">
        <f>G400*AP400</f>
        <v>0</v>
      </c>
      <c r="BJ400" s="6">
        <f>G400*H400</f>
        <v>0</v>
      </c>
      <c r="BK400" s="6"/>
      <c r="BL400" s="14">
        <v>64</v>
      </c>
      <c r="BW400" s="14" t="str">
        <f>I400</f>
        <v>21</v>
      </c>
    </row>
    <row r="401" spans="1:75" ht="15" customHeight="1">
      <c r="A401" s="32"/>
      <c r="D401" s="3" t="s">
        <v>2422</v>
      </c>
      <c r="E401" s="28" t="s">
        <v>1683</v>
      </c>
      <c r="G401" s="27">
        <v>1</v>
      </c>
      <c r="P401" s="33"/>
    </row>
    <row r="402" spans="1:75" ht="40.5" customHeight="1">
      <c r="A402" s="20" t="s">
        <v>694</v>
      </c>
      <c r="B402" s="84" t="s">
        <v>1842</v>
      </c>
      <c r="C402" s="84" t="s">
        <v>2483</v>
      </c>
      <c r="D402" s="653" t="s">
        <v>506</v>
      </c>
      <c r="E402" s="654"/>
      <c r="F402" s="84" t="s">
        <v>595</v>
      </c>
      <c r="G402" s="6">
        <v>1</v>
      </c>
      <c r="H402" s="570"/>
      <c r="I402" s="18" t="s">
        <v>1720</v>
      </c>
      <c r="J402" s="6">
        <f>G402*AO402</f>
        <v>0</v>
      </c>
      <c r="K402" s="6">
        <f>G402*AP402</f>
        <v>0</v>
      </c>
      <c r="L402" s="6">
        <f>G402*H402</f>
        <v>0</v>
      </c>
      <c r="M402" s="6">
        <f>L402*(1+BW402/100)</f>
        <v>0</v>
      </c>
      <c r="N402" s="6">
        <v>3.5999999999999997E-2</v>
      </c>
      <c r="O402" s="6">
        <f>G402*N402</f>
        <v>3.5999999999999997E-2</v>
      </c>
      <c r="P402" s="109" t="s">
        <v>921</v>
      </c>
      <c r="Z402" s="14">
        <f>IF(AQ402="5",BJ402,0)</f>
        <v>0</v>
      </c>
      <c r="AB402" s="14">
        <f>IF(AQ402="1",BH402,0)</f>
        <v>0</v>
      </c>
      <c r="AC402" s="14">
        <f>IF(AQ402="1",BI402,0)</f>
        <v>0</v>
      </c>
      <c r="AD402" s="14">
        <f>IF(AQ402="7",BH402,0)</f>
        <v>0</v>
      </c>
      <c r="AE402" s="14">
        <f>IF(AQ402="7",BI402,0)</f>
        <v>0</v>
      </c>
      <c r="AF402" s="14">
        <f>IF(AQ402="2",BH402,0)</f>
        <v>0</v>
      </c>
      <c r="AG402" s="14">
        <f>IF(AQ402="2",BI402,0)</f>
        <v>0</v>
      </c>
      <c r="AH402" s="14">
        <f>IF(AQ402="0",BJ402,0)</f>
        <v>0</v>
      </c>
      <c r="AI402" s="15" t="s">
        <v>1842</v>
      </c>
      <c r="AJ402" s="6">
        <f>IF(AN402=0,L402,0)</f>
        <v>0</v>
      </c>
      <c r="AK402" s="6">
        <f>IF(AN402=15,L402,0)</f>
        <v>0</v>
      </c>
      <c r="AL402" s="6">
        <f>IF(AN402=21,L402,0)</f>
        <v>0</v>
      </c>
      <c r="AN402" s="14">
        <v>21</v>
      </c>
      <c r="AO402" s="92">
        <f>H402*1</f>
        <v>0</v>
      </c>
      <c r="AP402" s="92">
        <f>H402*(1-1)</f>
        <v>0</v>
      </c>
      <c r="AQ402" s="18" t="s">
        <v>2422</v>
      </c>
      <c r="AV402" s="14">
        <f>AW402+AX402</f>
        <v>0</v>
      </c>
      <c r="AW402" s="14">
        <f>G402*AO402</f>
        <v>0</v>
      </c>
      <c r="AX402" s="14">
        <f>G402*AP402</f>
        <v>0</v>
      </c>
      <c r="AY402" s="55" t="s">
        <v>1638</v>
      </c>
      <c r="AZ402" s="55" t="s">
        <v>246</v>
      </c>
      <c r="BA402" s="15" t="s">
        <v>1843</v>
      </c>
      <c r="BC402" s="14">
        <f>AW402+AX402</f>
        <v>0</v>
      </c>
      <c r="BD402" s="14">
        <f>H402/(100-BE402)*100</f>
        <v>0</v>
      </c>
      <c r="BE402" s="14">
        <v>0</v>
      </c>
      <c r="BF402" s="14">
        <f>O402</f>
        <v>3.5999999999999997E-2</v>
      </c>
      <c r="BH402" s="6">
        <f>G402*AO402</f>
        <v>0</v>
      </c>
      <c r="BI402" s="6">
        <f>G402*AP402</f>
        <v>0</v>
      </c>
      <c r="BJ402" s="6">
        <f>G402*H402</f>
        <v>0</v>
      </c>
      <c r="BK402" s="6"/>
      <c r="BL402" s="14">
        <v>64</v>
      </c>
      <c r="BW402" s="14" t="str">
        <f>I402</f>
        <v>21</v>
      </c>
    </row>
    <row r="403" spans="1:75" ht="15" customHeight="1">
      <c r="A403" s="32"/>
      <c r="D403" s="3" t="s">
        <v>2422</v>
      </c>
      <c r="E403" s="28" t="s">
        <v>1683</v>
      </c>
      <c r="G403" s="27">
        <v>1</v>
      </c>
      <c r="P403" s="33"/>
    </row>
    <row r="404" spans="1:75" ht="40.5" customHeight="1">
      <c r="A404" s="20" t="s">
        <v>1689</v>
      </c>
      <c r="B404" s="84" t="s">
        <v>1842</v>
      </c>
      <c r="C404" s="84" t="s">
        <v>1586</v>
      </c>
      <c r="D404" s="653" t="s">
        <v>2393</v>
      </c>
      <c r="E404" s="654"/>
      <c r="F404" s="84" t="s">
        <v>595</v>
      </c>
      <c r="G404" s="6">
        <v>1</v>
      </c>
      <c r="H404" s="570"/>
      <c r="I404" s="18" t="s">
        <v>1720</v>
      </c>
      <c r="J404" s="6">
        <f>G404*AO404</f>
        <v>0</v>
      </c>
      <c r="K404" s="6">
        <f>G404*AP404</f>
        <v>0</v>
      </c>
      <c r="L404" s="6">
        <f>G404*H404</f>
        <v>0</v>
      </c>
      <c r="M404" s="6">
        <f>L404*(1+BW404/100)</f>
        <v>0</v>
      </c>
      <c r="N404" s="6">
        <v>5.8999999999999997E-2</v>
      </c>
      <c r="O404" s="6">
        <f>G404*N404</f>
        <v>5.8999999999999997E-2</v>
      </c>
      <c r="P404" s="109" t="s">
        <v>921</v>
      </c>
      <c r="Z404" s="14">
        <f>IF(AQ404="5",BJ404,0)</f>
        <v>0</v>
      </c>
      <c r="AB404" s="14">
        <f>IF(AQ404="1",BH404,0)</f>
        <v>0</v>
      </c>
      <c r="AC404" s="14">
        <f>IF(AQ404="1",BI404,0)</f>
        <v>0</v>
      </c>
      <c r="AD404" s="14">
        <f>IF(AQ404="7",BH404,0)</f>
        <v>0</v>
      </c>
      <c r="AE404" s="14">
        <f>IF(AQ404="7",BI404,0)</f>
        <v>0</v>
      </c>
      <c r="AF404" s="14">
        <f>IF(AQ404="2",BH404,0)</f>
        <v>0</v>
      </c>
      <c r="AG404" s="14">
        <f>IF(AQ404="2",BI404,0)</f>
        <v>0</v>
      </c>
      <c r="AH404" s="14">
        <f>IF(AQ404="0",BJ404,0)</f>
        <v>0</v>
      </c>
      <c r="AI404" s="15" t="s">
        <v>1842</v>
      </c>
      <c r="AJ404" s="6">
        <f>IF(AN404=0,L404,0)</f>
        <v>0</v>
      </c>
      <c r="AK404" s="6">
        <f>IF(AN404=15,L404,0)</f>
        <v>0</v>
      </c>
      <c r="AL404" s="6">
        <f>IF(AN404=21,L404,0)</f>
        <v>0</v>
      </c>
      <c r="AN404" s="14">
        <v>21</v>
      </c>
      <c r="AO404" s="92">
        <f>H404*1</f>
        <v>0</v>
      </c>
      <c r="AP404" s="92">
        <f>H404*(1-1)</f>
        <v>0</v>
      </c>
      <c r="AQ404" s="18" t="s">
        <v>2422</v>
      </c>
      <c r="AV404" s="14">
        <f>AW404+AX404</f>
        <v>0</v>
      </c>
      <c r="AW404" s="14">
        <f>G404*AO404</f>
        <v>0</v>
      </c>
      <c r="AX404" s="14">
        <f>G404*AP404</f>
        <v>0</v>
      </c>
      <c r="AY404" s="55" t="s">
        <v>1638</v>
      </c>
      <c r="AZ404" s="55" t="s">
        <v>246</v>
      </c>
      <c r="BA404" s="15" t="s">
        <v>1843</v>
      </c>
      <c r="BC404" s="14">
        <f>AW404+AX404</f>
        <v>0</v>
      </c>
      <c r="BD404" s="14">
        <f>H404/(100-BE404)*100</f>
        <v>0</v>
      </c>
      <c r="BE404" s="14">
        <v>0</v>
      </c>
      <c r="BF404" s="14">
        <f>O404</f>
        <v>5.8999999999999997E-2</v>
      </c>
      <c r="BH404" s="6">
        <f>G404*AO404</f>
        <v>0</v>
      </c>
      <c r="BI404" s="6">
        <f>G404*AP404</f>
        <v>0</v>
      </c>
      <c r="BJ404" s="6">
        <f>G404*H404</f>
        <v>0</v>
      </c>
      <c r="BK404" s="6"/>
      <c r="BL404" s="14">
        <v>64</v>
      </c>
      <c r="BW404" s="14" t="str">
        <f>I404</f>
        <v>21</v>
      </c>
    </row>
    <row r="405" spans="1:75" ht="15" customHeight="1">
      <c r="A405" s="32"/>
      <c r="D405" s="3" t="s">
        <v>2422</v>
      </c>
      <c r="E405" s="28" t="s">
        <v>1683</v>
      </c>
      <c r="G405" s="27">
        <v>1</v>
      </c>
      <c r="P405" s="33"/>
    </row>
    <row r="406" spans="1:75" ht="13.5" customHeight="1">
      <c r="A406" s="21" t="s">
        <v>2279</v>
      </c>
      <c r="B406" s="37" t="s">
        <v>1842</v>
      </c>
      <c r="C406" s="37" t="s">
        <v>1804</v>
      </c>
      <c r="D406" s="578" t="s">
        <v>2207</v>
      </c>
      <c r="E406" s="579"/>
      <c r="F406" s="37" t="s">
        <v>595</v>
      </c>
      <c r="G406" s="14">
        <v>5</v>
      </c>
      <c r="H406" s="569"/>
      <c r="I406" s="55" t="s">
        <v>1720</v>
      </c>
      <c r="J406" s="14">
        <f>G406*AO406</f>
        <v>0</v>
      </c>
      <c r="K406" s="14">
        <f>G406*AP406</f>
        <v>0</v>
      </c>
      <c r="L406" s="14">
        <f>G406*H406</f>
        <v>0</v>
      </c>
      <c r="M406" s="14">
        <f>L406*(1+BW406/100)</f>
        <v>0</v>
      </c>
      <c r="N406" s="14">
        <v>6.0600000000000001E-2</v>
      </c>
      <c r="O406" s="14">
        <f>G406*N406</f>
        <v>0.30299999999999999</v>
      </c>
      <c r="P406" s="72" t="s">
        <v>1664</v>
      </c>
      <c r="Z406" s="14">
        <f>IF(AQ406="5",BJ406,0)</f>
        <v>0</v>
      </c>
      <c r="AB406" s="14">
        <f>IF(AQ406="1",BH406,0)</f>
        <v>0</v>
      </c>
      <c r="AC406" s="14">
        <f>IF(AQ406="1",BI406,0)</f>
        <v>0</v>
      </c>
      <c r="AD406" s="14">
        <f>IF(AQ406="7",BH406,0)</f>
        <v>0</v>
      </c>
      <c r="AE406" s="14">
        <f>IF(AQ406="7",BI406,0)</f>
        <v>0</v>
      </c>
      <c r="AF406" s="14">
        <f>IF(AQ406="2",BH406,0)</f>
        <v>0</v>
      </c>
      <c r="AG406" s="14">
        <f>IF(AQ406="2",BI406,0)</f>
        <v>0</v>
      </c>
      <c r="AH406" s="14">
        <f>IF(AQ406="0",BJ406,0)</f>
        <v>0</v>
      </c>
      <c r="AI406" s="15" t="s">
        <v>1842</v>
      </c>
      <c r="AJ406" s="14">
        <f>IF(AN406=0,L406,0)</f>
        <v>0</v>
      </c>
      <c r="AK406" s="14">
        <f>IF(AN406=15,L406,0)</f>
        <v>0</v>
      </c>
      <c r="AL406" s="14">
        <f>IF(AN406=21,L406,0)</f>
        <v>0</v>
      </c>
      <c r="AN406" s="14">
        <v>21</v>
      </c>
      <c r="AO406" s="92">
        <f>H406*0.271333333333333</f>
        <v>0</v>
      </c>
      <c r="AP406" s="92">
        <f>H406*(1-0.271333333333333)</f>
        <v>0</v>
      </c>
      <c r="AQ406" s="55" t="s">
        <v>2422</v>
      </c>
      <c r="AV406" s="14">
        <f>AW406+AX406</f>
        <v>0</v>
      </c>
      <c r="AW406" s="14">
        <f>G406*AO406</f>
        <v>0</v>
      </c>
      <c r="AX406" s="14">
        <f>G406*AP406</f>
        <v>0</v>
      </c>
      <c r="AY406" s="55" t="s">
        <v>1638</v>
      </c>
      <c r="AZ406" s="55" t="s">
        <v>246</v>
      </c>
      <c r="BA406" s="15" t="s">
        <v>1843</v>
      </c>
      <c r="BC406" s="14">
        <f>AW406+AX406</f>
        <v>0</v>
      </c>
      <c r="BD406" s="14">
        <f>H406/(100-BE406)*100</f>
        <v>0</v>
      </c>
      <c r="BE406" s="14">
        <v>0</v>
      </c>
      <c r="BF406" s="14">
        <f>O406</f>
        <v>0.30299999999999999</v>
      </c>
      <c r="BH406" s="14">
        <f>G406*AO406</f>
        <v>0</v>
      </c>
      <c r="BI406" s="14">
        <f>G406*AP406</f>
        <v>0</v>
      </c>
      <c r="BJ406" s="14">
        <f>G406*H406</f>
        <v>0</v>
      </c>
      <c r="BK406" s="14"/>
      <c r="BL406" s="14">
        <v>64</v>
      </c>
      <c r="BW406" s="14" t="str">
        <f>I406</f>
        <v>21</v>
      </c>
    </row>
    <row r="407" spans="1:75" ht="15" customHeight="1">
      <c r="A407" s="32"/>
      <c r="D407" s="3" t="s">
        <v>2389</v>
      </c>
      <c r="E407" s="28" t="s">
        <v>1683</v>
      </c>
      <c r="G407" s="27">
        <v>5</v>
      </c>
      <c r="P407" s="33"/>
    </row>
    <row r="408" spans="1:75" ht="27" customHeight="1">
      <c r="A408" s="20" t="s">
        <v>567</v>
      </c>
      <c r="B408" s="84" t="s">
        <v>1842</v>
      </c>
      <c r="C408" s="84" t="s">
        <v>1666</v>
      </c>
      <c r="D408" s="653" t="s">
        <v>2270</v>
      </c>
      <c r="E408" s="654"/>
      <c r="F408" s="84" t="s">
        <v>595</v>
      </c>
      <c r="G408" s="6">
        <v>1</v>
      </c>
      <c r="H408" s="570"/>
      <c r="I408" s="18" t="s">
        <v>1720</v>
      </c>
      <c r="J408" s="6">
        <f>G408*AO408</f>
        <v>0</v>
      </c>
      <c r="K408" s="6">
        <f>G408*AP408</f>
        <v>0</v>
      </c>
      <c r="L408" s="6">
        <f>G408*H408</f>
        <v>0</v>
      </c>
      <c r="M408" s="6">
        <f>L408*(1+BW408/100)</f>
        <v>0</v>
      </c>
      <c r="N408" s="6">
        <v>8.8999999999999996E-2</v>
      </c>
      <c r="O408" s="6">
        <f>G408*N408</f>
        <v>8.8999999999999996E-2</v>
      </c>
      <c r="P408" s="109" t="s">
        <v>921</v>
      </c>
      <c r="Z408" s="14">
        <f>IF(AQ408="5",BJ408,0)</f>
        <v>0</v>
      </c>
      <c r="AB408" s="14">
        <f>IF(AQ408="1",BH408,0)</f>
        <v>0</v>
      </c>
      <c r="AC408" s="14">
        <f>IF(AQ408="1",BI408,0)</f>
        <v>0</v>
      </c>
      <c r="AD408" s="14">
        <f>IF(AQ408="7",BH408,0)</f>
        <v>0</v>
      </c>
      <c r="AE408" s="14">
        <f>IF(AQ408="7",BI408,0)</f>
        <v>0</v>
      </c>
      <c r="AF408" s="14">
        <f>IF(AQ408="2",BH408,0)</f>
        <v>0</v>
      </c>
      <c r="AG408" s="14">
        <f>IF(AQ408="2",BI408,0)</f>
        <v>0</v>
      </c>
      <c r="AH408" s="14">
        <f>IF(AQ408="0",BJ408,0)</f>
        <v>0</v>
      </c>
      <c r="AI408" s="15" t="s">
        <v>1842</v>
      </c>
      <c r="AJ408" s="6">
        <f>IF(AN408=0,L408,0)</f>
        <v>0</v>
      </c>
      <c r="AK408" s="6">
        <f>IF(AN408=15,L408,0)</f>
        <v>0</v>
      </c>
      <c r="AL408" s="6">
        <f>IF(AN408=21,L408,0)</f>
        <v>0</v>
      </c>
      <c r="AN408" s="14">
        <v>21</v>
      </c>
      <c r="AO408" s="92">
        <f>H408*1</f>
        <v>0</v>
      </c>
      <c r="AP408" s="92">
        <f>H408*(1-1)</f>
        <v>0</v>
      </c>
      <c r="AQ408" s="18" t="s">
        <v>2422</v>
      </c>
      <c r="AV408" s="14">
        <f>AW408+AX408</f>
        <v>0</v>
      </c>
      <c r="AW408" s="14">
        <f>G408*AO408</f>
        <v>0</v>
      </c>
      <c r="AX408" s="14">
        <f>G408*AP408</f>
        <v>0</v>
      </c>
      <c r="AY408" s="55" t="s">
        <v>1638</v>
      </c>
      <c r="AZ408" s="55" t="s">
        <v>246</v>
      </c>
      <c r="BA408" s="15" t="s">
        <v>1843</v>
      </c>
      <c r="BC408" s="14">
        <f>AW408+AX408</f>
        <v>0</v>
      </c>
      <c r="BD408" s="14">
        <f>H408/(100-BE408)*100</f>
        <v>0</v>
      </c>
      <c r="BE408" s="14">
        <v>0</v>
      </c>
      <c r="BF408" s="14">
        <f>O408</f>
        <v>8.8999999999999996E-2</v>
      </c>
      <c r="BH408" s="6">
        <f>G408*AO408</f>
        <v>0</v>
      </c>
      <c r="BI408" s="6">
        <f>G408*AP408</f>
        <v>0</v>
      </c>
      <c r="BJ408" s="6">
        <f>G408*H408</f>
        <v>0</v>
      </c>
      <c r="BK408" s="6"/>
      <c r="BL408" s="14">
        <v>64</v>
      </c>
      <c r="BW408" s="14" t="str">
        <f>I408</f>
        <v>21</v>
      </c>
    </row>
    <row r="409" spans="1:75" ht="15" customHeight="1">
      <c r="A409" s="32"/>
      <c r="D409" s="3" t="s">
        <v>2422</v>
      </c>
      <c r="E409" s="28" t="s">
        <v>517</v>
      </c>
      <c r="G409" s="27">
        <v>1</v>
      </c>
      <c r="P409" s="33"/>
    </row>
    <row r="410" spans="1:75" ht="40.5" customHeight="1">
      <c r="A410" s="20" t="s">
        <v>2593</v>
      </c>
      <c r="B410" s="84" t="s">
        <v>1842</v>
      </c>
      <c r="C410" s="84" t="s">
        <v>2411</v>
      </c>
      <c r="D410" s="653" t="s">
        <v>603</v>
      </c>
      <c r="E410" s="654"/>
      <c r="F410" s="84" t="s">
        <v>595</v>
      </c>
      <c r="G410" s="6">
        <v>1</v>
      </c>
      <c r="H410" s="570"/>
      <c r="I410" s="18" t="s">
        <v>1720</v>
      </c>
      <c r="J410" s="6">
        <f>G410*AO410</f>
        <v>0</v>
      </c>
      <c r="K410" s="6">
        <f>G410*AP410</f>
        <v>0</v>
      </c>
      <c r="L410" s="6">
        <f>G410*H410</f>
        <v>0</v>
      </c>
      <c r="M410" s="6">
        <f>L410*(1+BW410/100)</f>
        <v>0</v>
      </c>
      <c r="N410" s="6">
        <v>7.3999999999999996E-2</v>
      </c>
      <c r="O410" s="6">
        <f>G410*N410</f>
        <v>7.3999999999999996E-2</v>
      </c>
      <c r="P410" s="109" t="s">
        <v>921</v>
      </c>
      <c r="Z410" s="14">
        <f>IF(AQ410="5",BJ410,0)</f>
        <v>0</v>
      </c>
      <c r="AB410" s="14">
        <f>IF(AQ410="1",BH410,0)</f>
        <v>0</v>
      </c>
      <c r="AC410" s="14">
        <f>IF(AQ410="1",BI410,0)</f>
        <v>0</v>
      </c>
      <c r="AD410" s="14">
        <f>IF(AQ410="7",BH410,0)</f>
        <v>0</v>
      </c>
      <c r="AE410" s="14">
        <f>IF(AQ410="7",BI410,0)</f>
        <v>0</v>
      </c>
      <c r="AF410" s="14">
        <f>IF(AQ410="2",BH410,0)</f>
        <v>0</v>
      </c>
      <c r="AG410" s="14">
        <f>IF(AQ410="2",BI410,0)</f>
        <v>0</v>
      </c>
      <c r="AH410" s="14">
        <f>IF(AQ410="0",BJ410,0)</f>
        <v>0</v>
      </c>
      <c r="AI410" s="15" t="s">
        <v>1842</v>
      </c>
      <c r="AJ410" s="6">
        <f>IF(AN410=0,L410,0)</f>
        <v>0</v>
      </c>
      <c r="AK410" s="6">
        <f>IF(AN410=15,L410,0)</f>
        <v>0</v>
      </c>
      <c r="AL410" s="6">
        <f>IF(AN410=21,L410,0)</f>
        <v>0</v>
      </c>
      <c r="AN410" s="14">
        <v>21</v>
      </c>
      <c r="AO410" s="92">
        <f>H410*1</f>
        <v>0</v>
      </c>
      <c r="AP410" s="92">
        <f>H410*(1-1)</f>
        <v>0</v>
      </c>
      <c r="AQ410" s="18" t="s">
        <v>2422</v>
      </c>
      <c r="AV410" s="14">
        <f>AW410+AX410</f>
        <v>0</v>
      </c>
      <c r="AW410" s="14">
        <f>G410*AO410</f>
        <v>0</v>
      </c>
      <c r="AX410" s="14">
        <f>G410*AP410</f>
        <v>0</v>
      </c>
      <c r="AY410" s="55" t="s">
        <v>1638</v>
      </c>
      <c r="AZ410" s="55" t="s">
        <v>246</v>
      </c>
      <c r="BA410" s="15" t="s">
        <v>1843</v>
      </c>
      <c r="BC410" s="14">
        <f>AW410+AX410</f>
        <v>0</v>
      </c>
      <c r="BD410" s="14">
        <f>H410/(100-BE410)*100</f>
        <v>0</v>
      </c>
      <c r="BE410" s="14">
        <v>0</v>
      </c>
      <c r="BF410" s="14">
        <f>O410</f>
        <v>7.3999999999999996E-2</v>
      </c>
      <c r="BH410" s="6">
        <f>G410*AO410</f>
        <v>0</v>
      </c>
      <c r="BI410" s="6">
        <f>G410*AP410</f>
        <v>0</v>
      </c>
      <c r="BJ410" s="6">
        <f>G410*H410</f>
        <v>0</v>
      </c>
      <c r="BK410" s="6"/>
      <c r="BL410" s="14">
        <v>64</v>
      </c>
      <c r="BW410" s="14" t="str">
        <f>I410</f>
        <v>21</v>
      </c>
    </row>
    <row r="411" spans="1:75" ht="15" customHeight="1">
      <c r="A411" s="32"/>
      <c r="D411" s="3" t="s">
        <v>2422</v>
      </c>
      <c r="E411" s="28" t="s">
        <v>2130</v>
      </c>
      <c r="G411" s="27">
        <v>1</v>
      </c>
      <c r="P411" s="33"/>
    </row>
    <row r="412" spans="1:75" ht="27" customHeight="1">
      <c r="A412" s="20" t="s">
        <v>983</v>
      </c>
      <c r="B412" s="84" t="s">
        <v>1842</v>
      </c>
      <c r="C412" s="84" t="s">
        <v>1860</v>
      </c>
      <c r="D412" s="653" t="s">
        <v>152</v>
      </c>
      <c r="E412" s="654"/>
      <c r="F412" s="84" t="s">
        <v>595</v>
      </c>
      <c r="G412" s="6">
        <v>2</v>
      </c>
      <c r="H412" s="570"/>
      <c r="I412" s="18" t="s">
        <v>1720</v>
      </c>
      <c r="J412" s="6">
        <f>G412*AO412</f>
        <v>0</v>
      </c>
      <c r="K412" s="6">
        <f>G412*AP412</f>
        <v>0</v>
      </c>
      <c r="L412" s="6">
        <f>G412*H412</f>
        <v>0</v>
      </c>
      <c r="M412" s="6">
        <f>L412*(1+BW412/100)</f>
        <v>0</v>
      </c>
      <c r="N412" s="6">
        <v>7.0000000000000007E-2</v>
      </c>
      <c r="O412" s="6">
        <f>G412*N412</f>
        <v>0.14000000000000001</v>
      </c>
      <c r="P412" s="109" t="s">
        <v>921</v>
      </c>
      <c r="Z412" s="14">
        <f>IF(AQ412="5",BJ412,0)</f>
        <v>0</v>
      </c>
      <c r="AB412" s="14">
        <f>IF(AQ412="1",BH412,0)</f>
        <v>0</v>
      </c>
      <c r="AC412" s="14">
        <f>IF(AQ412="1",BI412,0)</f>
        <v>0</v>
      </c>
      <c r="AD412" s="14">
        <f>IF(AQ412="7",BH412,0)</f>
        <v>0</v>
      </c>
      <c r="AE412" s="14">
        <f>IF(AQ412="7",BI412,0)</f>
        <v>0</v>
      </c>
      <c r="AF412" s="14">
        <f>IF(AQ412="2",BH412,0)</f>
        <v>0</v>
      </c>
      <c r="AG412" s="14">
        <f>IF(AQ412="2",BI412,0)</f>
        <v>0</v>
      </c>
      <c r="AH412" s="14">
        <f>IF(AQ412="0",BJ412,0)</f>
        <v>0</v>
      </c>
      <c r="AI412" s="15" t="s">
        <v>1842</v>
      </c>
      <c r="AJ412" s="6">
        <f>IF(AN412=0,L412,0)</f>
        <v>0</v>
      </c>
      <c r="AK412" s="6">
        <f>IF(AN412=15,L412,0)</f>
        <v>0</v>
      </c>
      <c r="AL412" s="6">
        <f>IF(AN412=21,L412,0)</f>
        <v>0</v>
      </c>
      <c r="AN412" s="14">
        <v>21</v>
      </c>
      <c r="AO412" s="92">
        <f>H412*1</f>
        <v>0</v>
      </c>
      <c r="AP412" s="92">
        <f>H412*(1-1)</f>
        <v>0</v>
      </c>
      <c r="AQ412" s="18" t="s">
        <v>2422</v>
      </c>
      <c r="AV412" s="14">
        <f>AW412+AX412</f>
        <v>0</v>
      </c>
      <c r="AW412" s="14">
        <f>G412*AO412</f>
        <v>0</v>
      </c>
      <c r="AX412" s="14">
        <f>G412*AP412</f>
        <v>0</v>
      </c>
      <c r="AY412" s="55" t="s">
        <v>1638</v>
      </c>
      <c r="AZ412" s="55" t="s">
        <v>246</v>
      </c>
      <c r="BA412" s="15" t="s">
        <v>1843</v>
      </c>
      <c r="BC412" s="14">
        <f>AW412+AX412</f>
        <v>0</v>
      </c>
      <c r="BD412" s="14">
        <f>H412/(100-BE412)*100</f>
        <v>0</v>
      </c>
      <c r="BE412" s="14">
        <v>0</v>
      </c>
      <c r="BF412" s="14">
        <f>O412</f>
        <v>0.14000000000000001</v>
      </c>
      <c r="BH412" s="6">
        <f>G412*AO412</f>
        <v>0</v>
      </c>
      <c r="BI412" s="6">
        <f>G412*AP412</f>
        <v>0</v>
      </c>
      <c r="BJ412" s="6">
        <f>G412*H412</f>
        <v>0</v>
      </c>
      <c r="BK412" s="6"/>
      <c r="BL412" s="14">
        <v>64</v>
      </c>
      <c r="BW412" s="14" t="str">
        <f>I412</f>
        <v>21</v>
      </c>
    </row>
    <row r="413" spans="1:75" ht="15" customHeight="1">
      <c r="A413" s="32"/>
      <c r="D413" s="3" t="s">
        <v>1676</v>
      </c>
      <c r="E413" s="28" t="s">
        <v>1683</v>
      </c>
      <c r="G413" s="27">
        <v>2</v>
      </c>
      <c r="P413" s="33"/>
    </row>
    <row r="414" spans="1:75" ht="40.5" customHeight="1">
      <c r="A414" s="20" t="s">
        <v>2240</v>
      </c>
      <c r="B414" s="84" t="s">
        <v>1842</v>
      </c>
      <c r="C414" s="84" t="s">
        <v>2095</v>
      </c>
      <c r="D414" s="653" t="s">
        <v>323</v>
      </c>
      <c r="E414" s="654"/>
      <c r="F414" s="84" t="s">
        <v>595</v>
      </c>
      <c r="G414" s="6">
        <v>1</v>
      </c>
      <c r="H414" s="570"/>
      <c r="I414" s="18" t="s">
        <v>1720</v>
      </c>
      <c r="J414" s="6">
        <f>G414*AO414</f>
        <v>0</v>
      </c>
      <c r="K414" s="6">
        <f>G414*AP414</f>
        <v>0</v>
      </c>
      <c r="L414" s="6">
        <f>G414*H414</f>
        <v>0</v>
      </c>
      <c r="M414" s="6">
        <f>L414*(1+BW414/100)</f>
        <v>0</v>
      </c>
      <c r="N414" s="6">
        <v>8.1000000000000003E-2</v>
      </c>
      <c r="O414" s="6">
        <f>G414*N414</f>
        <v>8.1000000000000003E-2</v>
      </c>
      <c r="P414" s="109" t="s">
        <v>1664</v>
      </c>
      <c r="Z414" s="14">
        <f>IF(AQ414="5",BJ414,0)</f>
        <v>0</v>
      </c>
      <c r="AB414" s="14">
        <f>IF(AQ414="1",BH414,0)</f>
        <v>0</v>
      </c>
      <c r="AC414" s="14">
        <f>IF(AQ414="1",BI414,0)</f>
        <v>0</v>
      </c>
      <c r="AD414" s="14">
        <f>IF(AQ414="7",BH414,0)</f>
        <v>0</v>
      </c>
      <c r="AE414" s="14">
        <f>IF(AQ414="7",BI414,0)</f>
        <v>0</v>
      </c>
      <c r="AF414" s="14">
        <f>IF(AQ414="2",BH414,0)</f>
        <v>0</v>
      </c>
      <c r="AG414" s="14">
        <f>IF(AQ414="2",BI414,0)</f>
        <v>0</v>
      </c>
      <c r="AH414" s="14">
        <f>IF(AQ414="0",BJ414,0)</f>
        <v>0</v>
      </c>
      <c r="AI414" s="15" t="s">
        <v>1842</v>
      </c>
      <c r="AJ414" s="6">
        <f>IF(AN414=0,L414,0)</f>
        <v>0</v>
      </c>
      <c r="AK414" s="6">
        <f>IF(AN414=15,L414,0)</f>
        <v>0</v>
      </c>
      <c r="AL414" s="6">
        <f>IF(AN414=21,L414,0)</f>
        <v>0</v>
      </c>
      <c r="AN414" s="14">
        <v>21</v>
      </c>
      <c r="AO414" s="92">
        <f>H414*1</f>
        <v>0</v>
      </c>
      <c r="AP414" s="92">
        <f>H414*(1-1)</f>
        <v>0</v>
      </c>
      <c r="AQ414" s="18" t="s">
        <v>2422</v>
      </c>
      <c r="AV414" s="14">
        <f>AW414+AX414</f>
        <v>0</v>
      </c>
      <c r="AW414" s="14">
        <f>G414*AO414</f>
        <v>0</v>
      </c>
      <c r="AX414" s="14">
        <f>G414*AP414</f>
        <v>0</v>
      </c>
      <c r="AY414" s="55" t="s">
        <v>1638</v>
      </c>
      <c r="AZ414" s="55" t="s">
        <v>246</v>
      </c>
      <c r="BA414" s="15" t="s">
        <v>1843</v>
      </c>
      <c r="BC414" s="14">
        <f>AW414+AX414</f>
        <v>0</v>
      </c>
      <c r="BD414" s="14">
        <f>H414/(100-BE414)*100</f>
        <v>0</v>
      </c>
      <c r="BE414" s="14">
        <v>0</v>
      </c>
      <c r="BF414" s="14">
        <f>O414</f>
        <v>8.1000000000000003E-2</v>
      </c>
      <c r="BH414" s="6">
        <f>G414*AO414</f>
        <v>0</v>
      </c>
      <c r="BI414" s="6">
        <f>G414*AP414</f>
        <v>0</v>
      </c>
      <c r="BJ414" s="6">
        <f>G414*H414</f>
        <v>0</v>
      </c>
      <c r="BK414" s="6"/>
      <c r="BL414" s="14">
        <v>64</v>
      </c>
      <c r="BW414" s="14" t="str">
        <f>I414</f>
        <v>21</v>
      </c>
    </row>
    <row r="415" spans="1:75" ht="15" customHeight="1">
      <c r="A415" s="32"/>
      <c r="D415" s="3" t="s">
        <v>2422</v>
      </c>
      <c r="E415" s="28" t="s">
        <v>1646</v>
      </c>
      <c r="G415" s="27">
        <v>1</v>
      </c>
      <c r="P415" s="33"/>
    </row>
    <row r="416" spans="1:75" ht="15" customHeight="1">
      <c r="A416" s="65" t="s">
        <v>1683</v>
      </c>
      <c r="B416" s="26" t="s">
        <v>1842</v>
      </c>
      <c r="C416" s="26" t="s">
        <v>153</v>
      </c>
      <c r="D416" s="649" t="s">
        <v>2753</v>
      </c>
      <c r="E416" s="650"/>
      <c r="F416" s="74" t="s">
        <v>2262</v>
      </c>
      <c r="G416" s="74" t="s">
        <v>2262</v>
      </c>
      <c r="H416" s="74" t="s">
        <v>2262</v>
      </c>
      <c r="I416" s="74" t="s">
        <v>2262</v>
      </c>
      <c r="J416" s="2">
        <f>SUM(J417:J448)</f>
        <v>0</v>
      </c>
      <c r="K416" s="2">
        <f>SUM(K417:K448)</f>
        <v>0</v>
      </c>
      <c r="L416" s="2">
        <f>SUM(L417:L448)</f>
        <v>0</v>
      </c>
      <c r="M416" s="2">
        <f>SUM(M417:M448)</f>
        <v>0</v>
      </c>
      <c r="N416" s="15" t="s">
        <v>1683</v>
      </c>
      <c r="O416" s="2">
        <f>SUM(O417:O448)</f>
        <v>1.8484465999999999</v>
      </c>
      <c r="P416" s="47" t="s">
        <v>1683</v>
      </c>
      <c r="AI416" s="15" t="s">
        <v>1842</v>
      </c>
      <c r="AS416" s="2">
        <f>SUM(AJ417:AJ448)</f>
        <v>0</v>
      </c>
      <c r="AT416" s="2">
        <f>SUM(AK417:AK448)</f>
        <v>0</v>
      </c>
      <c r="AU416" s="2">
        <f>SUM(AL417:AL448)</f>
        <v>0</v>
      </c>
    </row>
    <row r="417" spans="1:75" ht="13.5" customHeight="1">
      <c r="A417" s="21" t="s">
        <v>1785</v>
      </c>
      <c r="B417" s="37" t="s">
        <v>1842</v>
      </c>
      <c r="C417" s="37" t="s">
        <v>966</v>
      </c>
      <c r="D417" s="578" t="s">
        <v>2504</v>
      </c>
      <c r="E417" s="579"/>
      <c r="F417" s="37" t="s">
        <v>2398</v>
      </c>
      <c r="G417" s="14">
        <v>525.73</v>
      </c>
      <c r="H417" s="569"/>
      <c r="I417" s="55" t="s">
        <v>1720</v>
      </c>
      <c r="J417" s="14">
        <f>G417*AO417</f>
        <v>0</v>
      </c>
      <c r="K417" s="14">
        <f>G417*AP417</f>
        <v>0</v>
      </c>
      <c r="L417" s="14">
        <f>G417*H417</f>
        <v>0</v>
      </c>
      <c r="M417" s="14">
        <f>L417*(1+BW417/100)</f>
        <v>0</v>
      </c>
      <c r="N417" s="14">
        <v>0</v>
      </c>
      <c r="O417" s="14">
        <f>G417*N417</f>
        <v>0</v>
      </c>
      <c r="P417" s="72" t="s">
        <v>921</v>
      </c>
      <c r="Z417" s="14">
        <f>IF(AQ417="5",BJ417,0)</f>
        <v>0</v>
      </c>
      <c r="AB417" s="14">
        <f>IF(AQ417="1",BH417,0)</f>
        <v>0</v>
      </c>
      <c r="AC417" s="14">
        <f>IF(AQ417="1",BI417,0)</f>
        <v>0</v>
      </c>
      <c r="AD417" s="14">
        <f>IF(AQ417="7",BH417,0)</f>
        <v>0</v>
      </c>
      <c r="AE417" s="14">
        <f>IF(AQ417="7",BI417,0)</f>
        <v>0</v>
      </c>
      <c r="AF417" s="14">
        <f>IF(AQ417="2",BH417,0)</f>
        <v>0</v>
      </c>
      <c r="AG417" s="14">
        <f>IF(AQ417="2",BI417,0)</f>
        <v>0</v>
      </c>
      <c r="AH417" s="14">
        <f>IF(AQ417="0",BJ417,0)</f>
        <v>0</v>
      </c>
      <c r="AI417" s="15" t="s">
        <v>1842</v>
      </c>
      <c r="AJ417" s="14">
        <f>IF(AN417=0,L417,0)</f>
        <v>0</v>
      </c>
      <c r="AK417" s="14">
        <f>IF(AN417=15,L417,0)</f>
        <v>0</v>
      </c>
      <c r="AL417" s="14">
        <f>IF(AN417=21,L417,0)</f>
        <v>0</v>
      </c>
      <c r="AN417" s="14">
        <v>21</v>
      </c>
      <c r="AO417" s="92">
        <f>H417*0</f>
        <v>0</v>
      </c>
      <c r="AP417" s="92">
        <f>H417*(1-0)</f>
        <v>0</v>
      </c>
      <c r="AQ417" s="55" t="s">
        <v>2435</v>
      </c>
      <c r="AV417" s="14">
        <f>AW417+AX417</f>
        <v>0</v>
      </c>
      <c r="AW417" s="14">
        <f>G417*AO417</f>
        <v>0</v>
      </c>
      <c r="AX417" s="14">
        <f>G417*AP417</f>
        <v>0</v>
      </c>
      <c r="AY417" s="55" t="s">
        <v>2124</v>
      </c>
      <c r="AZ417" s="55" t="s">
        <v>295</v>
      </c>
      <c r="BA417" s="15" t="s">
        <v>1843</v>
      </c>
      <c r="BC417" s="14">
        <f>AW417+AX417</f>
        <v>0</v>
      </c>
      <c r="BD417" s="14">
        <f>H417/(100-BE417)*100</f>
        <v>0</v>
      </c>
      <c r="BE417" s="14">
        <v>0</v>
      </c>
      <c r="BF417" s="14">
        <f>O417</f>
        <v>0</v>
      </c>
      <c r="BH417" s="14">
        <f>G417*AO417</f>
        <v>0</v>
      </c>
      <c r="BI417" s="14">
        <f>G417*AP417</f>
        <v>0</v>
      </c>
      <c r="BJ417" s="14">
        <f>G417*H417</f>
        <v>0</v>
      </c>
      <c r="BK417" s="14"/>
      <c r="BL417" s="14">
        <v>711</v>
      </c>
      <c r="BW417" s="14" t="str">
        <f>I417</f>
        <v>21</v>
      </c>
    </row>
    <row r="418" spans="1:75" ht="15" customHeight="1">
      <c r="A418" s="32"/>
      <c r="D418" s="3" t="s">
        <v>1462</v>
      </c>
      <c r="E418" s="28" t="s">
        <v>581</v>
      </c>
      <c r="G418" s="27">
        <v>243.03000000000003</v>
      </c>
      <c r="P418" s="33"/>
    </row>
    <row r="419" spans="1:75" ht="15" customHeight="1">
      <c r="A419" s="32"/>
      <c r="D419" s="3" t="s">
        <v>2125</v>
      </c>
      <c r="E419" s="28" t="s">
        <v>2782</v>
      </c>
      <c r="G419" s="27">
        <v>14.700000000000001</v>
      </c>
      <c r="P419" s="33"/>
    </row>
    <row r="420" spans="1:75" ht="15" customHeight="1">
      <c r="A420" s="32"/>
      <c r="D420" s="3" t="s">
        <v>352</v>
      </c>
      <c r="E420" s="28" t="s">
        <v>1745</v>
      </c>
      <c r="G420" s="27">
        <v>268</v>
      </c>
      <c r="P420" s="33"/>
    </row>
    <row r="421" spans="1:75" ht="13.5" customHeight="1">
      <c r="A421" s="20" t="s">
        <v>2296</v>
      </c>
      <c r="B421" s="84" t="s">
        <v>1842</v>
      </c>
      <c r="C421" s="84" t="s">
        <v>2527</v>
      </c>
      <c r="D421" s="653" t="s">
        <v>1313</v>
      </c>
      <c r="E421" s="654"/>
      <c r="F421" s="84" t="s">
        <v>2398</v>
      </c>
      <c r="G421" s="6">
        <v>631.20000000000005</v>
      </c>
      <c r="H421" s="570"/>
      <c r="I421" s="18" t="s">
        <v>1720</v>
      </c>
      <c r="J421" s="6">
        <f>G421*AO421</f>
        <v>0</v>
      </c>
      <c r="K421" s="6">
        <f>G421*AP421</f>
        <v>0</v>
      </c>
      <c r="L421" s="6">
        <f>G421*H421</f>
        <v>0</v>
      </c>
      <c r="M421" s="6">
        <f>L421*(1+BW421/100)</f>
        <v>0</v>
      </c>
      <c r="N421" s="6">
        <v>2.9999999999999997E-4</v>
      </c>
      <c r="O421" s="6">
        <f>G421*N421</f>
        <v>0.18936</v>
      </c>
      <c r="P421" s="109" t="s">
        <v>1664</v>
      </c>
      <c r="Z421" s="14">
        <f>IF(AQ421="5",BJ421,0)</f>
        <v>0</v>
      </c>
      <c r="AB421" s="14">
        <f>IF(AQ421="1",BH421,0)</f>
        <v>0</v>
      </c>
      <c r="AC421" s="14">
        <f>IF(AQ421="1",BI421,0)</f>
        <v>0</v>
      </c>
      <c r="AD421" s="14">
        <f>IF(AQ421="7",BH421,0)</f>
        <v>0</v>
      </c>
      <c r="AE421" s="14">
        <f>IF(AQ421="7",BI421,0)</f>
        <v>0</v>
      </c>
      <c r="AF421" s="14">
        <f>IF(AQ421="2",BH421,0)</f>
        <v>0</v>
      </c>
      <c r="AG421" s="14">
        <f>IF(AQ421="2",BI421,0)</f>
        <v>0</v>
      </c>
      <c r="AH421" s="14">
        <f>IF(AQ421="0",BJ421,0)</f>
        <v>0</v>
      </c>
      <c r="AI421" s="15" t="s">
        <v>1842</v>
      </c>
      <c r="AJ421" s="6">
        <f>IF(AN421=0,L421,0)</f>
        <v>0</v>
      </c>
      <c r="AK421" s="6">
        <f>IF(AN421=15,L421,0)</f>
        <v>0</v>
      </c>
      <c r="AL421" s="6">
        <f>IF(AN421=21,L421,0)</f>
        <v>0</v>
      </c>
      <c r="AN421" s="14">
        <v>21</v>
      </c>
      <c r="AO421" s="92">
        <f>H421*1</f>
        <v>0</v>
      </c>
      <c r="AP421" s="92">
        <f>H421*(1-1)</f>
        <v>0</v>
      </c>
      <c r="AQ421" s="18" t="s">
        <v>2435</v>
      </c>
      <c r="AV421" s="14">
        <f>AW421+AX421</f>
        <v>0</v>
      </c>
      <c r="AW421" s="14">
        <f>G421*AO421</f>
        <v>0</v>
      </c>
      <c r="AX421" s="14">
        <f>G421*AP421</f>
        <v>0</v>
      </c>
      <c r="AY421" s="55" t="s">
        <v>2124</v>
      </c>
      <c r="AZ421" s="55" t="s">
        <v>295</v>
      </c>
      <c r="BA421" s="15" t="s">
        <v>1843</v>
      </c>
      <c r="BC421" s="14">
        <f>AW421+AX421</f>
        <v>0</v>
      </c>
      <c r="BD421" s="14">
        <f>H421/(100-BE421)*100</f>
        <v>0</v>
      </c>
      <c r="BE421" s="14">
        <v>0</v>
      </c>
      <c r="BF421" s="14">
        <f>O421</f>
        <v>0.18936</v>
      </c>
      <c r="BH421" s="6">
        <f>G421*AO421</f>
        <v>0</v>
      </c>
      <c r="BI421" s="6">
        <f>G421*AP421</f>
        <v>0</v>
      </c>
      <c r="BJ421" s="6">
        <f>G421*H421</f>
        <v>0</v>
      </c>
      <c r="BK421" s="6"/>
      <c r="BL421" s="14">
        <v>711</v>
      </c>
      <c r="BW421" s="14" t="str">
        <f>I421</f>
        <v>21</v>
      </c>
    </row>
    <row r="422" spans="1:75" ht="15" customHeight="1">
      <c r="A422" s="32"/>
      <c r="D422" s="3" t="s">
        <v>2029</v>
      </c>
      <c r="E422" s="28" t="s">
        <v>1683</v>
      </c>
      <c r="G422" s="27">
        <v>526</v>
      </c>
      <c r="P422" s="33"/>
    </row>
    <row r="423" spans="1:75" ht="15" customHeight="1">
      <c r="A423" s="32"/>
      <c r="D423" s="3" t="s">
        <v>1030</v>
      </c>
      <c r="E423" s="28" t="s">
        <v>1683</v>
      </c>
      <c r="G423" s="27">
        <v>105.2</v>
      </c>
      <c r="P423" s="33"/>
    </row>
    <row r="424" spans="1:75" ht="13.5" customHeight="1">
      <c r="A424" s="21" t="s">
        <v>439</v>
      </c>
      <c r="B424" s="37" t="s">
        <v>1842</v>
      </c>
      <c r="C424" s="37" t="s">
        <v>692</v>
      </c>
      <c r="D424" s="578" t="s">
        <v>399</v>
      </c>
      <c r="E424" s="579"/>
      <c r="F424" s="37" t="s">
        <v>2398</v>
      </c>
      <c r="G424" s="14">
        <v>480</v>
      </c>
      <c r="H424" s="569"/>
      <c r="I424" s="55" t="s">
        <v>1720</v>
      </c>
      <c r="J424" s="14">
        <f>G424*AO424</f>
        <v>0</v>
      </c>
      <c r="K424" s="14">
        <f>G424*AP424</f>
        <v>0</v>
      </c>
      <c r="L424" s="14">
        <f>G424*H424</f>
        <v>0</v>
      </c>
      <c r="M424" s="14">
        <f>L424*(1+BW424/100)</f>
        <v>0</v>
      </c>
      <c r="N424" s="14">
        <v>0</v>
      </c>
      <c r="O424" s="14">
        <f>G424*N424</f>
        <v>0</v>
      </c>
      <c r="P424" s="72" t="s">
        <v>1664</v>
      </c>
      <c r="Z424" s="14">
        <f>IF(AQ424="5",BJ424,0)</f>
        <v>0</v>
      </c>
      <c r="AB424" s="14">
        <f>IF(AQ424="1",BH424,0)</f>
        <v>0</v>
      </c>
      <c r="AC424" s="14">
        <f>IF(AQ424="1",BI424,0)</f>
        <v>0</v>
      </c>
      <c r="AD424" s="14">
        <f>IF(AQ424="7",BH424,0)</f>
        <v>0</v>
      </c>
      <c r="AE424" s="14">
        <f>IF(AQ424="7",BI424,0)</f>
        <v>0</v>
      </c>
      <c r="AF424" s="14">
        <f>IF(AQ424="2",BH424,0)</f>
        <v>0</v>
      </c>
      <c r="AG424" s="14">
        <f>IF(AQ424="2",BI424,0)</f>
        <v>0</v>
      </c>
      <c r="AH424" s="14">
        <f>IF(AQ424="0",BJ424,0)</f>
        <v>0</v>
      </c>
      <c r="AI424" s="15" t="s">
        <v>1842</v>
      </c>
      <c r="AJ424" s="14">
        <f>IF(AN424=0,L424,0)</f>
        <v>0</v>
      </c>
      <c r="AK424" s="14">
        <f>IF(AN424=15,L424,0)</f>
        <v>0</v>
      </c>
      <c r="AL424" s="14">
        <f>IF(AN424=21,L424,0)</f>
        <v>0</v>
      </c>
      <c r="AN424" s="14">
        <v>21</v>
      </c>
      <c r="AO424" s="92">
        <f>H424*0</f>
        <v>0</v>
      </c>
      <c r="AP424" s="92">
        <f>H424*(1-0)</f>
        <v>0</v>
      </c>
      <c r="AQ424" s="55" t="s">
        <v>2435</v>
      </c>
      <c r="AV424" s="14">
        <f>AW424+AX424</f>
        <v>0</v>
      </c>
      <c r="AW424" s="14">
        <f>G424*AO424</f>
        <v>0</v>
      </c>
      <c r="AX424" s="14">
        <f>G424*AP424</f>
        <v>0</v>
      </c>
      <c r="AY424" s="55" t="s">
        <v>2124</v>
      </c>
      <c r="AZ424" s="55" t="s">
        <v>295</v>
      </c>
      <c r="BA424" s="15" t="s">
        <v>1843</v>
      </c>
      <c r="BC424" s="14">
        <f>AW424+AX424</f>
        <v>0</v>
      </c>
      <c r="BD424" s="14">
        <f>H424/(100-BE424)*100</f>
        <v>0</v>
      </c>
      <c r="BE424" s="14">
        <v>0</v>
      </c>
      <c r="BF424" s="14">
        <f>O424</f>
        <v>0</v>
      </c>
      <c r="BH424" s="14">
        <f>G424*AO424</f>
        <v>0</v>
      </c>
      <c r="BI424" s="14">
        <f>G424*AP424</f>
        <v>0</v>
      </c>
      <c r="BJ424" s="14">
        <f>G424*H424</f>
        <v>0</v>
      </c>
      <c r="BK424" s="14"/>
      <c r="BL424" s="14">
        <v>711</v>
      </c>
      <c r="BW424" s="14" t="str">
        <f>I424</f>
        <v>21</v>
      </c>
    </row>
    <row r="425" spans="1:75" ht="15" customHeight="1">
      <c r="A425" s="32"/>
      <c r="D425" s="3" t="s">
        <v>1158</v>
      </c>
      <c r="E425" s="28" t="s">
        <v>78</v>
      </c>
      <c r="G425" s="27">
        <v>243.00000000000003</v>
      </c>
      <c r="P425" s="33"/>
    </row>
    <row r="426" spans="1:75" ht="15" customHeight="1">
      <c r="A426" s="32"/>
      <c r="D426" s="3" t="s">
        <v>123</v>
      </c>
      <c r="E426" s="28" t="s">
        <v>1717</v>
      </c>
      <c r="G426" s="27">
        <v>237.00000000000003</v>
      </c>
      <c r="P426" s="33"/>
    </row>
    <row r="427" spans="1:75" ht="13.5" customHeight="1">
      <c r="A427" s="20" t="s">
        <v>1150</v>
      </c>
      <c r="B427" s="84" t="s">
        <v>1842</v>
      </c>
      <c r="C427" s="84" t="s">
        <v>2559</v>
      </c>
      <c r="D427" s="653" t="s">
        <v>1071</v>
      </c>
      <c r="E427" s="654"/>
      <c r="F427" s="84" t="s">
        <v>595</v>
      </c>
      <c r="G427" s="6">
        <v>60</v>
      </c>
      <c r="H427" s="570"/>
      <c r="I427" s="18" t="s">
        <v>1720</v>
      </c>
      <c r="J427" s="6">
        <f>G427*AO427</f>
        <v>0</v>
      </c>
      <c r="K427" s="6">
        <f>G427*AP427</f>
        <v>0</v>
      </c>
      <c r="L427" s="6">
        <f>G427*H427</f>
        <v>0</v>
      </c>
      <c r="M427" s="6">
        <f>L427*(1+BW427/100)</f>
        <v>0</v>
      </c>
      <c r="N427" s="6">
        <v>5.4000000000000001E-4</v>
      </c>
      <c r="O427" s="6">
        <f>G427*N427</f>
        <v>3.2399999999999998E-2</v>
      </c>
      <c r="P427" s="109" t="s">
        <v>921</v>
      </c>
      <c r="Z427" s="14">
        <f>IF(AQ427="5",BJ427,0)</f>
        <v>0</v>
      </c>
      <c r="AB427" s="14">
        <f>IF(AQ427="1",BH427,0)</f>
        <v>0</v>
      </c>
      <c r="AC427" s="14">
        <f>IF(AQ427="1",BI427,0)</f>
        <v>0</v>
      </c>
      <c r="AD427" s="14">
        <f>IF(AQ427="7",BH427,0)</f>
        <v>0</v>
      </c>
      <c r="AE427" s="14">
        <f>IF(AQ427="7",BI427,0)</f>
        <v>0</v>
      </c>
      <c r="AF427" s="14">
        <f>IF(AQ427="2",BH427,0)</f>
        <v>0</v>
      </c>
      <c r="AG427" s="14">
        <f>IF(AQ427="2",BI427,0)</f>
        <v>0</v>
      </c>
      <c r="AH427" s="14">
        <f>IF(AQ427="0",BJ427,0)</f>
        <v>0</v>
      </c>
      <c r="AI427" s="15" t="s">
        <v>1842</v>
      </c>
      <c r="AJ427" s="6">
        <f>IF(AN427=0,L427,0)</f>
        <v>0</v>
      </c>
      <c r="AK427" s="6">
        <f>IF(AN427=15,L427,0)</f>
        <v>0</v>
      </c>
      <c r="AL427" s="6">
        <f>IF(AN427=21,L427,0)</f>
        <v>0</v>
      </c>
      <c r="AN427" s="14">
        <v>21</v>
      </c>
      <c r="AO427" s="92">
        <f>H427*1</f>
        <v>0</v>
      </c>
      <c r="AP427" s="92">
        <f>H427*(1-1)</f>
        <v>0</v>
      </c>
      <c r="AQ427" s="18" t="s">
        <v>2435</v>
      </c>
      <c r="AV427" s="14">
        <f>AW427+AX427</f>
        <v>0</v>
      </c>
      <c r="AW427" s="14">
        <f>G427*AO427</f>
        <v>0</v>
      </c>
      <c r="AX427" s="14">
        <f>G427*AP427</f>
        <v>0</v>
      </c>
      <c r="AY427" s="55" t="s">
        <v>2124</v>
      </c>
      <c r="AZ427" s="55" t="s">
        <v>295</v>
      </c>
      <c r="BA427" s="15" t="s">
        <v>1843</v>
      </c>
      <c r="BC427" s="14">
        <f>AW427+AX427</f>
        <v>0</v>
      </c>
      <c r="BD427" s="14">
        <f>H427/(100-BE427)*100</f>
        <v>0</v>
      </c>
      <c r="BE427" s="14">
        <v>0</v>
      </c>
      <c r="BF427" s="14">
        <f>O427</f>
        <v>3.2399999999999998E-2</v>
      </c>
      <c r="BH427" s="6">
        <f>G427*AO427</f>
        <v>0</v>
      </c>
      <c r="BI427" s="6">
        <f>G427*AP427</f>
        <v>0</v>
      </c>
      <c r="BJ427" s="6">
        <f>G427*H427</f>
        <v>0</v>
      </c>
      <c r="BK427" s="6"/>
      <c r="BL427" s="14">
        <v>711</v>
      </c>
      <c r="BW427" s="14" t="str">
        <f>I427</f>
        <v>21</v>
      </c>
    </row>
    <row r="428" spans="1:75" ht="15" customHeight="1">
      <c r="A428" s="32"/>
      <c r="D428" s="3" t="s">
        <v>1815</v>
      </c>
      <c r="E428" s="28" t="s">
        <v>1683</v>
      </c>
      <c r="G428" s="27">
        <v>60.000000000000007</v>
      </c>
      <c r="P428" s="33"/>
    </row>
    <row r="429" spans="1:75" ht="13.5" customHeight="1">
      <c r="A429" s="20" t="s">
        <v>1342</v>
      </c>
      <c r="B429" s="84" t="s">
        <v>1842</v>
      </c>
      <c r="C429" s="84" t="s">
        <v>1098</v>
      </c>
      <c r="D429" s="653" t="s">
        <v>4</v>
      </c>
      <c r="E429" s="654"/>
      <c r="F429" s="84" t="s">
        <v>2398</v>
      </c>
      <c r="G429" s="6">
        <v>552</v>
      </c>
      <c r="H429" s="570"/>
      <c r="I429" s="18" t="s">
        <v>1720</v>
      </c>
      <c r="J429" s="6">
        <f>G429*AO429</f>
        <v>0</v>
      </c>
      <c r="K429" s="6">
        <f>G429*AP429</f>
        <v>0</v>
      </c>
      <c r="L429" s="6">
        <f>G429*H429</f>
        <v>0</v>
      </c>
      <c r="M429" s="6">
        <f>L429*(1+BW429/100)</f>
        <v>0</v>
      </c>
      <c r="N429" s="6">
        <v>1.2700000000000001E-3</v>
      </c>
      <c r="O429" s="6">
        <f>G429*N429</f>
        <v>0.70104</v>
      </c>
      <c r="P429" s="109" t="s">
        <v>1664</v>
      </c>
      <c r="Z429" s="14">
        <f>IF(AQ429="5",BJ429,0)</f>
        <v>0</v>
      </c>
      <c r="AB429" s="14">
        <f>IF(AQ429="1",BH429,0)</f>
        <v>0</v>
      </c>
      <c r="AC429" s="14">
        <f>IF(AQ429="1",BI429,0)</f>
        <v>0</v>
      </c>
      <c r="AD429" s="14">
        <f>IF(AQ429="7",BH429,0)</f>
        <v>0</v>
      </c>
      <c r="AE429" s="14">
        <f>IF(AQ429="7",BI429,0)</f>
        <v>0</v>
      </c>
      <c r="AF429" s="14">
        <f>IF(AQ429="2",BH429,0)</f>
        <v>0</v>
      </c>
      <c r="AG429" s="14">
        <f>IF(AQ429="2",BI429,0)</f>
        <v>0</v>
      </c>
      <c r="AH429" s="14">
        <f>IF(AQ429="0",BJ429,0)</f>
        <v>0</v>
      </c>
      <c r="AI429" s="15" t="s">
        <v>1842</v>
      </c>
      <c r="AJ429" s="6">
        <f>IF(AN429=0,L429,0)</f>
        <v>0</v>
      </c>
      <c r="AK429" s="6">
        <f>IF(AN429=15,L429,0)</f>
        <v>0</v>
      </c>
      <c r="AL429" s="6">
        <f>IF(AN429=21,L429,0)</f>
        <v>0</v>
      </c>
      <c r="AN429" s="14">
        <v>21</v>
      </c>
      <c r="AO429" s="92">
        <f>H429*1</f>
        <v>0</v>
      </c>
      <c r="AP429" s="92">
        <f>H429*(1-1)</f>
        <v>0</v>
      </c>
      <c r="AQ429" s="18" t="s">
        <v>2435</v>
      </c>
      <c r="AV429" s="14">
        <f>AW429+AX429</f>
        <v>0</v>
      </c>
      <c r="AW429" s="14">
        <f>G429*AO429</f>
        <v>0</v>
      </c>
      <c r="AX429" s="14">
        <f>G429*AP429</f>
        <v>0</v>
      </c>
      <c r="AY429" s="55" t="s">
        <v>2124</v>
      </c>
      <c r="AZ429" s="55" t="s">
        <v>295</v>
      </c>
      <c r="BA429" s="15" t="s">
        <v>1843</v>
      </c>
      <c r="BC429" s="14">
        <f>AW429+AX429</f>
        <v>0</v>
      </c>
      <c r="BD429" s="14">
        <f>H429/(100-BE429)*100</f>
        <v>0</v>
      </c>
      <c r="BE429" s="14">
        <v>0</v>
      </c>
      <c r="BF429" s="14">
        <f>O429</f>
        <v>0.70104</v>
      </c>
      <c r="BH429" s="6">
        <f>G429*AO429</f>
        <v>0</v>
      </c>
      <c r="BI429" s="6">
        <f>G429*AP429</f>
        <v>0</v>
      </c>
      <c r="BJ429" s="6">
        <f>G429*H429</f>
        <v>0</v>
      </c>
      <c r="BK429" s="6"/>
      <c r="BL429" s="14">
        <v>711</v>
      </c>
      <c r="BW429" s="14" t="str">
        <f>I429</f>
        <v>21</v>
      </c>
    </row>
    <row r="430" spans="1:75" ht="15" customHeight="1">
      <c r="A430" s="32"/>
      <c r="D430" s="3" t="s">
        <v>1575</v>
      </c>
      <c r="E430" s="28" t="s">
        <v>1683</v>
      </c>
      <c r="G430" s="27">
        <v>480.00000000000006</v>
      </c>
      <c r="P430" s="33"/>
    </row>
    <row r="431" spans="1:75" ht="15" customHeight="1">
      <c r="A431" s="32"/>
      <c r="D431" s="3" t="s">
        <v>1549</v>
      </c>
      <c r="E431" s="28" t="s">
        <v>1683</v>
      </c>
      <c r="G431" s="27">
        <v>72</v>
      </c>
      <c r="P431" s="33"/>
    </row>
    <row r="432" spans="1:75" ht="13.5" customHeight="1">
      <c r="A432" s="21" t="s">
        <v>2201</v>
      </c>
      <c r="B432" s="37" t="s">
        <v>1842</v>
      </c>
      <c r="C432" s="37" t="s">
        <v>864</v>
      </c>
      <c r="D432" s="578" t="s">
        <v>2196</v>
      </c>
      <c r="E432" s="579"/>
      <c r="F432" s="37" t="s">
        <v>2398</v>
      </c>
      <c r="G432" s="14">
        <v>37.5</v>
      </c>
      <c r="H432" s="569"/>
      <c r="I432" s="55" t="s">
        <v>1720</v>
      </c>
      <c r="J432" s="14">
        <f>G432*AO432</f>
        <v>0</v>
      </c>
      <c r="K432" s="14">
        <f>G432*AP432</f>
        <v>0</v>
      </c>
      <c r="L432" s="14">
        <f>G432*H432</f>
        <v>0</v>
      </c>
      <c r="M432" s="14">
        <f>L432*(1+BW432/100)</f>
        <v>0</v>
      </c>
      <c r="N432" s="14">
        <v>0</v>
      </c>
      <c r="O432" s="14">
        <f>G432*N432</f>
        <v>0</v>
      </c>
      <c r="P432" s="72" t="s">
        <v>1664</v>
      </c>
      <c r="Z432" s="14">
        <f>IF(AQ432="5",BJ432,0)</f>
        <v>0</v>
      </c>
      <c r="AB432" s="14">
        <f>IF(AQ432="1",BH432,0)</f>
        <v>0</v>
      </c>
      <c r="AC432" s="14">
        <f>IF(AQ432="1",BI432,0)</f>
        <v>0</v>
      </c>
      <c r="AD432" s="14">
        <f>IF(AQ432="7",BH432,0)</f>
        <v>0</v>
      </c>
      <c r="AE432" s="14">
        <f>IF(AQ432="7",BI432,0)</f>
        <v>0</v>
      </c>
      <c r="AF432" s="14">
        <f>IF(AQ432="2",BH432,0)</f>
        <v>0</v>
      </c>
      <c r="AG432" s="14">
        <f>IF(AQ432="2",BI432,0)</f>
        <v>0</v>
      </c>
      <c r="AH432" s="14">
        <f>IF(AQ432="0",BJ432,0)</f>
        <v>0</v>
      </c>
      <c r="AI432" s="15" t="s">
        <v>1842</v>
      </c>
      <c r="AJ432" s="14">
        <f>IF(AN432=0,L432,0)</f>
        <v>0</v>
      </c>
      <c r="AK432" s="14">
        <f>IF(AN432=15,L432,0)</f>
        <v>0</v>
      </c>
      <c r="AL432" s="14">
        <f>IF(AN432=21,L432,0)</f>
        <v>0</v>
      </c>
      <c r="AN432" s="14">
        <v>21</v>
      </c>
      <c r="AO432" s="92">
        <f>H432*0</f>
        <v>0</v>
      </c>
      <c r="AP432" s="92">
        <f>H432*(1-0)</f>
        <v>0</v>
      </c>
      <c r="AQ432" s="55" t="s">
        <v>2435</v>
      </c>
      <c r="AV432" s="14">
        <f>AW432+AX432</f>
        <v>0</v>
      </c>
      <c r="AW432" s="14">
        <f>G432*AO432</f>
        <v>0</v>
      </c>
      <c r="AX432" s="14">
        <f>G432*AP432</f>
        <v>0</v>
      </c>
      <c r="AY432" s="55" t="s">
        <v>2124</v>
      </c>
      <c r="AZ432" s="55" t="s">
        <v>295</v>
      </c>
      <c r="BA432" s="15" t="s">
        <v>1843</v>
      </c>
      <c r="BC432" s="14">
        <f>AW432+AX432</f>
        <v>0</v>
      </c>
      <c r="BD432" s="14">
        <f>H432/(100-BE432)*100</f>
        <v>0</v>
      </c>
      <c r="BE432" s="14">
        <v>0</v>
      </c>
      <c r="BF432" s="14">
        <f>O432</f>
        <v>0</v>
      </c>
      <c r="BH432" s="14">
        <f>G432*AO432</f>
        <v>0</v>
      </c>
      <c r="BI432" s="14">
        <f>G432*AP432</f>
        <v>0</v>
      </c>
      <c r="BJ432" s="14">
        <f>G432*H432</f>
        <v>0</v>
      </c>
      <c r="BK432" s="14"/>
      <c r="BL432" s="14">
        <v>711</v>
      </c>
      <c r="BW432" s="14" t="str">
        <f>I432</f>
        <v>21</v>
      </c>
    </row>
    <row r="433" spans="1:75" ht="15" customHeight="1">
      <c r="A433" s="32"/>
      <c r="D433" s="3" t="s">
        <v>2313</v>
      </c>
      <c r="E433" s="28" t="s">
        <v>1683</v>
      </c>
      <c r="G433" s="27">
        <v>37.5</v>
      </c>
      <c r="P433" s="33"/>
    </row>
    <row r="434" spans="1:75" ht="13.5" customHeight="1">
      <c r="A434" s="20" t="s">
        <v>2470</v>
      </c>
      <c r="B434" s="84" t="s">
        <v>1842</v>
      </c>
      <c r="C434" s="84" t="s">
        <v>1098</v>
      </c>
      <c r="D434" s="653" t="s">
        <v>4</v>
      </c>
      <c r="E434" s="654"/>
      <c r="F434" s="84" t="s">
        <v>2398</v>
      </c>
      <c r="G434" s="6">
        <v>47.5</v>
      </c>
      <c r="H434" s="570"/>
      <c r="I434" s="18" t="s">
        <v>1720</v>
      </c>
      <c r="J434" s="6">
        <f>G434*AO434</f>
        <v>0</v>
      </c>
      <c r="K434" s="6">
        <f>G434*AP434</f>
        <v>0</v>
      </c>
      <c r="L434" s="6">
        <f>G434*H434</f>
        <v>0</v>
      </c>
      <c r="M434" s="6">
        <f>L434*(1+BW434/100)</f>
        <v>0</v>
      </c>
      <c r="N434" s="6">
        <v>1.2700000000000001E-3</v>
      </c>
      <c r="O434" s="6">
        <f>G434*N434</f>
        <v>6.0325000000000004E-2</v>
      </c>
      <c r="P434" s="109" t="s">
        <v>1664</v>
      </c>
      <c r="Z434" s="14">
        <f>IF(AQ434="5",BJ434,0)</f>
        <v>0</v>
      </c>
      <c r="AB434" s="14">
        <f>IF(AQ434="1",BH434,0)</f>
        <v>0</v>
      </c>
      <c r="AC434" s="14">
        <f>IF(AQ434="1",BI434,0)</f>
        <v>0</v>
      </c>
      <c r="AD434" s="14">
        <f>IF(AQ434="7",BH434,0)</f>
        <v>0</v>
      </c>
      <c r="AE434" s="14">
        <f>IF(AQ434="7",BI434,0)</f>
        <v>0</v>
      </c>
      <c r="AF434" s="14">
        <f>IF(AQ434="2",BH434,0)</f>
        <v>0</v>
      </c>
      <c r="AG434" s="14">
        <f>IF(AQ434="2",BI434,0)</f>
        <v>0</v>
      </c>
      <c r="AH434" s="14">
        <f>IF(AQ434="0",BJ434,0)</f>
        <v>0</v>
      </c>
      <c r="AI434" s="15" t="s">
        <v>1842</v>
      </c>
      <c r="AJ434" s="6">
        <f>IF(AN434=0,L434,0)</f>
        <v>0</v>
      </c>
      <c r="AK434" s="6">
        <f>IF(AN434=15,L434,0)</f>
        <v>0</v>
      </c>
      <c r="AL434" s="6">
        <f>IF(AN434=21,L434,0)</f>
        <v>0</v>
      </c>
      <c r="AN434" s="14">
        <v>21</v>
      </c>
      <c r="AO434" s="92">
        <f>H434*1</f>
        <v>0</v>
      </c>
      <c r="AP434" s="92">
        <f>H434*(1-1)</f>
        <v>0</v>
      </c>
      <c r="AQ434" s="18" t="s">
        <v>2435</v>
      </c>
      <c r="AV434" s="14">
        <f>AW434+AX434</f>
        <v>0</v>
      </c>
      <c r="AW434" s="14">
        <f>G434*AO434</f>
        <v>0</v>
      </c>
      <c r="AX434" s="14">
        <f>G434*AP434</f>
        <v>0</v>
      </c>
      <c r="AY434" s="55" t="s">
        <v>2124</v>
      </c>
      <c r="AZ434" s="55" t="s">
        <v>295</v>
      </c>
      <c r="BA434" s="15" t="s">
        <v>1843</v>
      </c>
      <c r="BC434" s="14">
        <f>AW434+AX434</f>
        <v>0</v>
      </c>
      <c r="BD434" s="14">
        <f>H434/(100-BE434)*100</f>
        <v>0</v>
      </c>
      <c r="BE434" s="14">
        <v>0</v>
      </c>
      <c r="BF434" s="14">
        <f>O434</f>
        <v>6.0325000000000004E-2</v>
      </c>
      <c r="BH434" s="6">
        <f>G434*AO434</f>
        <v>0</v>
      </c>
      <c r="BI434" s="6">
        <f>G434*AP434</f>
        <v>0</v>
      </c>
      <c r="BJ434" s="6">
        <f>G434*H434</f>
        <v>0</v>
      </c>
      <c r="BK434" s="6"/>
      <c r="BL434" s="14">
        <v>711</v>
      </c>
      <c r="BW434" s="14" t="str">
        <f>I434</f>
        <v>21</v>
      </c>
    </row>
    <row r="435" spans="1:75" ht="15" customHeight="1">
      <c r="A435" s="32"/>
      <c r="D435" s="3" t="s">
        <v>1470</v>
      </c>
      <c r="E435" s="28" t="s">
        <v>1683</v>
      </c>
      <c r="G435" s="27">
        <v>38</v>
      </c>
      <c r="P435" s="33"/>
    </row>
    <row r="436" spans="1:75" ht="15" customHeight="1">
      <c r="A436" s="32"/>
      <c r="D436" s="3" t="s">
        <v>2217</v>
      </c>
      <c r="E436" s="28" t="s">
        <v>1683</v>
      </c>
      <c r="G436" s="27">
        <v>9.5</v>
      </c>
      <c r="P436" s="33"/>
    </row>
    <row r="437" spans="1:75" ht="13.5" customHeight="1">
      <c r="A437" s="20" t="s">
        <v>11</v>
      </c>
      <c r="B437" s="84" t="s">
        <v>1842</v>
      </c>
      <c r="C437" s="84" t="s">
        <v>1049</v>
      </c>
      <c r="D437" s="653" t="s">
        <v>1397</v>
      </c>
      <c r="E437" s="654"/>
      <c r="F437" s="84" t="s">
        <v>595</v>
      </c>
      <c r="G437" s="6">
        <v>60</v>
      </c>
      <c r="H437" s="570"/>
      <c r="I437" s="18" t="s">
        <v>1720</v>
      </c>
      <c r="J437" s="6">
        <f>G437*AO437</f>
        <v>0</v>
      </c>
      <c r="K437" s="6">
        <f>G437*AP437</f>
        <v>0</v>
      </c>
      <c r="L437" s="6">
        <f>G437*H437</f>
        <v>0</v>
      </c>
      <c r="M437" s="6">
        <f>L437*(1+BW437/100)</f>
        <v>0</v>
      </c>
      <c r="N437" s="6">
        <v>5.4000000000000001E-4</v>
      </c>
      <c r="O437" s="6">
        <f>G437*N437</f>
        <v>3.2399999999999998E-2</v>
      </c>
      <c r="P437" s="109" t="s">
        <v>921</v>
      </c>
      <c r="Z437" s="14">
        <f>IF(AQ437="5",BJ437,0)</f>
        <v>0</v>
      </c>
      <c r="AB437" s="14">
        <f>IF(AQ437="1",BH437,0)</f>
        <v>0</v>
      </c>
      <c r="AC437" s="14">
        <f>IF(AQ437="1",BI437,0)</f>
        <v>0</v>
      </c>
      <c r="AD437" s="14">
        <f>IF(AQ437="7",BH437,0)</f>
        <v>0</v>
      </c>
      <c r="AE437" s="14">
        <f>IF(AQ437="7",BI437,0)</f>
        <v>0</v>
      </c>
      <c r="AF437" s="14">
        <f>IF(AQ437="2",BH437,0)</f>
        <v>0</v>
      </c>
      <c r="AG437" s="14">
        <f>IF(AQ437="2",BI437,0)</f>
        <v>0</v>
      </c>
      <c r="AH437" s="14">
        <f>IF(AQ437="0",BJ437,0)</f>
        <v>0</v>
      </c>
      <c r="AI437" s="15" t="s">
        <v>1842</v>
      </c>
      <c r="AJ437" s="6">
        <f>IF(AN437=0,L437,0)</f>
        <v>0</v>
      </c>
      <c r="AK437" s="6">
        <f>IF(AN437=15,L437,0)</f>
        <v>0</v>
      </c>
      <c r="AL437" s="6">
        <f>IF(AN437=21,L437,0)</f>
        <v>0</v>
      </c>
      <c r="AN437" s="14">
        <v>21</v>
      </c>
      <c r="AO437" s="92">
        <f>H437*1</f>
        <v>0</v>
      </c>
      <c r="AP437" s="92">
        <f>H437*(1-1)</f>
        <v>0</v>
      </c>
      <c r="AQ437" s="18" t="s">
        <v>2435</v>
      </c>
      <c r="AV437" s="14">
        <f>AW437+AX437</f>
        <v>0</v>
      </c>
      <c r="AW437" s="14">
        <f>G437*AO437</f>
        <v>0</v>
      </c>
      <c r="AX437" s="14">
        <f>G437*AP437</f>
        <v>0</v>
      </c>
      <c r="AY437" s="55" t="s">
        <v>2124</v>
      </c>
      <c r="AZ437" s="55" t="s">
        <v>295</v>
      </c>
      <c r="BA437" s="15" t="s">
        <v>1843</v>
      </c>
      <c r="BC437" s="14">
        <f>AW437+AX437</f>
        <v>0</v>
      </c>
      <c r="BD437" s="14">
        <f>H437/(100-BE437)*100</f>
        <v>0</v>
      </c>
      <c r="BE437" s="14">
        <v>0</v>
      </c>
      <c r="BF437" s="14">
        <f>O437</f>
        <v>3.2399999999999998E-2</v>
      </c>
      <c r="BH437" s="6">
        <f>G437*AO437</f>
        <v>0</v>
      </c>
      <c r="BI437" s="6">
        <f>G437*AP437</f>
        <v>0</v>
      </c>
      <c r="BJ437" s="6">
        <f>G437*H437</f>
        <v>0</v>
      </c>
      <c r="BK437" s="6"/>
      <c r="BL437" s="14">
        <v>711</v>
      </c>
      <c r="BW437" s="14" t="str">
        <f>I437</f>
        <v>21</v>
      </c>
    </row>
    <row r="438" spans="1:75" ht="15" customHeight="1">
      <c r="A438" s="32"/>
      <c r="D438" s="3" t="s">
        <v>1815</v>
      </c>
      <c r="E438" s="28" t="s">
        <v>1683</v>
      </c>
      <c r="G438" s="27">
        <v>60.000000000000007</v>
      </c>
      <c r="P438" s="33"/>
    </row>
    <row r="439" spans="1:75" ht="27" customHeight="1">
      <c r="A439" s="21" t="s">
        <v>90</v>
      </c>
      <c r="B439" s="37" t="s">
        <v>1842</v>
      </c>
      <c r="C439" s="37" t="s">
        <v>692</v>
      </c>
      <c r="D439" s="578" t="s">
        <v>2214</v>
      </c>
      <c r="E439" s="579"/>
      <c r="F439" s="37" t="s">
        <v>2398</v>
      </c>
      <c r="G439" s="14">
        <v>268.39999999999998</v>
      </c>
      <c r="H439" s="569"/>
      <c r="I439" s="55" t="s">
        <v>1720</v>
      </c>
      <c r="J439" s="14">
        <f>G439*AO439</f>
        <v>0</v>
      </c>
      <c r="K439" s="14">
        <f>G439*AP439</f>
        <v>0</v>
      </c>
      <c r="L439" s="14">
        <f>G439*H439</f>
        <v>0</v>
      </c>
      <c r="M439" s="14">
        <f>L439*(1+BW439/100)</f>
        <v>0</v>
      </c>
      <c r="N439" s="14">
        <v>0</v>
      </c>
      <c r="O439" s="14">
        <f>G439*N439</f>
        <v>0</v>
      </c>
      <c r="P439" s="72" t="s">
        <v>1664</v>
      </c>
      <c r="Z439" s="14">
        <f>IF(AQ439="5",BJ439,0)</f>
        <v>0</v>
      </c>
      <c r="AB439" s="14">
        <f>IF(AQ439="1",BH439,0)</f>
        <v>0</v>
      </c>
      <c r="AC439" s="14">
        <f>IF(AQ439="1",BI439,0)</f>
        <v>0</v>
      </c>
      <c r="AD439" s="14">
        <f>IF(AQ439="7",BH439,0)</f>
        <v>0</v>
      </c>
      <c r="AE439" s="14">
        <f>IF(AQ439="7",BI439,0)</f>
        <v>0</v>
      </c>
      <c r="AF439" s="14">
        <f>IF(AQ439="2",BH439,0)</f>
        <v>0</v>
      </c>
      <c r="AG439" s="14">
        <f>IF(AQ439="2",BI439,0)</f>
        <v>0</v>
      </c>
      <c r="AH439" s="14">
        <f>IF(AQ439="0",BJ439,0)</f>
        <v>0</v>
      </c>
      <c r="AI439" s="15" t="s">
        <v>1842</v>
      </c>
      <c r="AJ439" s="14">
        <f>IF(AN439=0,L439,0)</f>
        <v>0</v>
      </c>
      <c r="AK439" s="14">
        <f>IF(AN439=15,L439,0)</f>
        <v>0</v>
      </c>
      <c r="AL439" s="14">
        <f>IF(AN439=21,L439,0)</f>
        <v>0</v>
      </c>
      <c r="AN439" s="14">
        <v>21</v>
      </c>
      <c r="AO439" s="92">
        <f>H439*0</f>
        <v>0</v>
      </c>
      <c r="AP439" s="92">
        <f>H439*(1-0)</f>
        <v>0</v>
      </c>
      <c r="AQ439" s="55" t="s">
        <v>2435</v>
      </c>
      <c r="AV439" s="14">
        <f>AW439+AX439</f>
        <v>0</v>
      </c>
      <c r="AW439" s="14">
        <f>G439*AO439</f>
        <v>0</v>
      </c>
      <c r="AX439" s="14">
        <f>G439*AP439</f>
        <v>0</v>
      </c>
      <c r="AY439" s="55" t="s">
        <v>2124</v>
      </c>
      <c r="AZ439" s="55" t="s">
        <v>295</v>
      </c>
      <c r="BA439" s="15" t="s">
        <v>1843</v>
      </c>
      <c r="BC439" s="14">
        <f>AW439+AX439</f>
        <v>0</v>
      </c>
      <c r="BD439" s="14">
        <f>H439/(100-BE439)*100</f>
        <v>0</v>
      </c>
      <c r="BE439" s="14">
        <v>0</v>
      </c>
      <c r="BF439" s="14">
        <f>O439</f>
        <v>0</v>
      </c>
      <c r="BH439" s="14">
        <f>G439*AO439</f>
        <v>0</v>
      </c>
      <c r="BI439" s="14">
        <f>G439*AP439</f>
        <v>0</v>
      </c>
      <c r="BJ439" s="14">
        <f>G439*H439</f>
        <v>0</v>
      </c>
      <c r="BK439" s="14"/>
      <c r="BL439" s="14">
        <v>711</v>
      </c>
      <c r="BW439" s="14" t="str">
        <f>I439</f>
        <v>21</v>
      </c>
    </row>
    <row r="440" spans="1:75" ht="15" customHeight="1">
      <c r="A440" s="32"/>
      <c r="D440" s="3" t="s">
        <v>798</v>
      </c>
      <c r="E440" s="28" t="s">
        <v>2506</v>
      </c>
      <c r="G440" s="27">
        <v>268.40000000000003</v>
      </c>
      <c r="P440" s="33"/>
    </row>
    <row r="441" spans="1:75" ht="13.5" customHeight="1">
      <c r="A441" s="20" t="s">
        <v>150</v>
      </c>
      <c r="B441" s="84" t="s">
        <v>1842</v>
      </c>
      <c r="C441" s="84" t="s">
        <v>2099</v>
      </c>
      <c r="D441" s="653" t="s">
        <v>1632</v>
      </c>
      <c r="E441" s="654"/>
      <c r="F441" s="84" t="s">
        <v>1117</v>
      </c>
      <c r="G441" s="6">
        <v>1.24</v>
      </c>
      <c r="H441" s="570"/>
      <c r="I441" s="18" t="s">
        <v>1720</v>
      </c>
      <c r="J441" s="6">
        <f>G441*AO441</f>
        <v>0</v>
      </c>
      <c r="K441" s="6">
        <f>G441*AP441</f>
        <v>0</v>
      </c>
      <c r="L441" s="6">
        <f>G441*H441</f>
        <v>0</v>
      </c>
      <c r="M441" s="6">
        <f>L441*(1+BW441/100)</f>
        <v>0</v>
      </c>
      <c r="N441" s="6">
        <v>2.8400000000000001E-3</v>
      </c>
      <c r="O441" s="6">
        <f>G441*N441</f>
        <v>3.5216000000000002E-3</v>
      </c>
      <c r="P441" s="109" t="s">
        <v>1664</v>
      </c>
      <c r="Z441" s="14">
        <f>IF(AQ441="5",BJ441,0)</f>
        <v>0</v>
      </c>
      <c r="AB441" s="14">
        <f>IF(AQ441="1",BH441,0)</f>
        <v>0</v>
      </c>
      <c r="AC441" s="14">
        <f>IF(AQ441="1",BI441,0)</f>
        <v>0</v>
      </c>
      <c r="AD441" s="14">
        <f>IF(AQ441="7",BH441,0)</f>
        <v>0</v>
      </c>
      <c r="AE441" s="14">
        <f>IF(AQ441="7",BI441,0)</f>
        <v>0</v>
      </c>
      <c r="AF441" s="14">
        <f>IF(AQ441="2",BH441,0)</f>
        <v>0</v>
      </c>
      <c r="AG441" s="14">
        <f>IF(AQ441="2",BI441,0)</f>
        <v>0</v>
      </c>
      <c r="AH441" s="14">
        <f>IF(AQ441="0",BJ441,0)</f>
        <v>0</v>
      </c>
      <c r="AI441" s="15" t="s">
        <v>1842</v>
      </c>
      <c r="AJ441" s="6">
        <f>IF(AN441=0,L441,0)</f>
        <v>0</v>
      </c>
      <c r="AK441" s="6">
        <f>IF(AN441=15,L441,0)</f>
        <v>0</v>
      </c>
      <c r="AL441" s="6">
        <f>IF(AN441=21,L441,0)</f>
        <v>0</v>
      </c>
      <c r="AN441" s="14">
        <v>21</v>
      </c>
      <c r="AO441" s="92">
        <f>H441*1</f>
        <v>0</v>
      </c>
      <c r="AP441" s="92">
        <f>H441*(1-1)</f>
        <v>0</v>
      </c>
      <c r="AQ441" s="18" t="s">
        <v>2435</v>
      </c>
      <c r="AV441" s="14">
        <f>AW441+AX441</f>
        <v>0</v>
      </c>
      <c r="AW441" s="14">
        <f>G441*AO441</f>
        <v>0</v>
      </c>
      <c r="AX441" s="14">
        <f>G441*AP441</f>
        <v>0</v>
      </c>
      <c r="AY441" s="55" t="s">
        <v>2124</v>
      </c>
      <c r="AZ441" s="55" t="s">
        <v>295</v>
      </c>
      <c r="BA441" s="15" t="s">
        <v>1843</v>
      </c>
      <c r="BC441" s="14">
        <f>AW441+AX441</f>
        <v>0</v>
      </c>
      <c r="BD441" s="14">
        <f>H441/(100-BE441)*100</f>
        <v>0</v>
      </c>
      <c r="BE441" s="14">
        <v>0</v>
      </c>
      <c r="BF441" s="14">
        <f>O441</f>
        <v>3.5216000000000002E-3</v>
      </c>
      <c r="BH441" s="6">
        <f>G441*AO441</f>
        <v>0</v>
      </c>
      <c r="BI441" s="6">
        <f>G441*AP441</f>
        <v>0</v>
      </c>
      <c r="BJ441" s="6">
        <f>G441*H441</f>
        <v>0</v>
      </c>
      <c r="BK441" s="6"/>
      <c r="BL441" s="14">
        <v>711</v>
      </c>
      <c r="BW441" s="14" t="str">
        <f>I441</f>
        <v>21</v>
      </c>
    </row>
    <row r="442" spans="1:75" ht="15" customHeight="1">
      <c r="A442" s="32"/>
      <c r="D442" s="3" t="s">
        <v>1290</v>
      </c>
      <c r="E442" s="28" t="s">
        <v>726</v>
      </c>
      <c r="G442" s="27">
        <v>1.24</v>
      </c>
      <c r="P442" s="33"/>
    </row>
    <row r="443" spans="1:75" ht="13.5" customHeight="1">
      <c r="A443" s="20" t="s">
        <v>1811</v>
      </c>
      <c r="B443" s="84" t="s">
        <v>1842</v>
      </c>
      <c r="C443" s="84" t="s">
        <v>2497</v>
      </c>
      <c r="D443" s="653" t="s">
        <v>522</v>
      </c>
      <c r="E443" s="654"/>
      <c r="F443" s="84" t="s">
        <v>2398</v>
      </c>
      <c r="G443" s="6">
        <v>308.2</v>
      </c>
      <c r="H443" s="570"/>
      <c r="I443" s="18" t="s">
        <v>1720</v>
      </c>
      <c r="J443" s="6">
        <f>G443*AO443</f>
        <v>0</v>
      </c>
      <c r="K443" s="6">
        <f>G443*AP443</f>
        <v>0</v>
      </c>
      <c r="L443" s="6">
        <f>G443*H443</f>
        <v>0</v>
      </c>
      <c r="M443" s="6">
        <f>L443*(1+BW443/100)</f>
        <v>0</v>
      </c>
      <c r="N443" s="6">
        <v>2.3E-3</v>
      </c>
      <c r="O443" s="6">
        <f>G443*N443</f>
        <v>0.70885999999999993</v>
      </c>
      <c r="P443" s="109" t="s">
        <v>1664</v>
      </c>
      <c r="Z443" s="14">
        <f>IF(AQ443="5",BJ443,0)</f>
        <v>0</v>
      </c>
      <c r="AB443" s="14">
        <f>IF(AQ443="1",BH443,0)</f>
        <v>0</v>
      </c>
      <c r="AC443" s="14">
        <f>IF(AQ443="1",BI443,0)</f>
        <v>0</v>
      </c>
      <c r="AD443" s="14">
        <f>IF(AQ443="7",BH443,0)</f>
        <v>0</v>
      </c>
      <c r="AE443" s="14">
        <f>IF(AQ443="7",BI443,0)</f>
        <v>0</v>
      </c>
      <c r="AF443" s="14">
        <f>IF(AQ443="2",BH443,0)</f>
        <v>0</v>
      </c>
      <c r="AG443" s="14">
        <f>IF(AQ443="2",BI443,0)</f>
        <v>0</v>
      </c>
      <c r="AH443" s="14">
        <f>IF(AQ443="0",BJ443,0)</f>
        <v>0</v>
      </c>
      <c r="AI443" s="15" t="s">
        <v>1842</v>
      </c>
      <c r="AJ443" s="6">
        <f>IF(AN443=0,L443,0)</f>
        <v>0</v>
      </c>
      <c r="AK443" s="6">
        <f>IF(AN443=15,L443,0)</f>
        <v>0</v>
      </c>
      <c r="AL443" s="6">
        <f>IF(AN443=21,L443,0)</f>
        <v>0</v>
      </c>
      <c r="AN443" s="14">
        <v>21</v>
      </c>
      <c r="AO443" s="92">
        <f>H443*1</f>
        <v>0</v>
      </c>
      <c r="AP443" s="92">
        <f>H443*(1-1)</f>
        <v>0</v>
      </c>
      <c r="AQ443" s="18" t="s">
        <v>2435</v>
      </c>
      <c r="AV443" s="14">
        <f>AW443+AX443</f>
        <v>0</v>
      </c>
      <c r="AW443" s="14">
        <f>G443*AO443</f>
        <v>0</v>
      </c>
      <c r="AX443" s="14">
        <f>G443*AP443</f>
        <v>0</v>
      </c>
      <c r="AY443" s="55" t="s">
        <v>2124</v>
      </c>
      <c r="AZ443" s="55" t="s">
        <v>295</v>
      </c>
      <c r="BA443" s="15" t="s">
        <v>1843</v>
      </c>
      <c r="BC443" s="14">
        <f>AW443+AX443</f>
        <v>0</v>
      </c>
      <c r="BD443" s="14">
        <f>H443/(100-BE443)*100</f>
        <v>0</v>
      </c>
      <c r="BE443" s="14">
        <v>0</v>
      </c>
      <c r="BF443" s="14">
        <f>O443</f>
        <v>0.70885999999999993</v>
      </c>
      <c r="BH443" s="6">
        <f>G443*AO443</f>
        <v>0</v>
      </c>
      <c r="BI443" s="6">
        <f>G443*AP443</f>
        <v>0</v>
      </c>
      <c r="BJ443" s="6">
        <f>G443*H443</f>
        <v>0</v>
      </c>
      <c r="BK443" s="6"/>
      <c r="BL443" s="14">
        <v>711</v>
      </c>
      <c r="BW443" s="14" t="str">
        <f>I443</f>
        <v>21</v>
      </c>
    </row>
    <row r="444" spans="1:75" ht="15" customHeight="1">
      <c r="A444" s="32"/>
      <c r="D444" s="3" t="s">
        <v>352</v>
      </c>
      <c r="E444" s="28" t="s">
        <v>1683</v>
      </c>
      <c r="G444" s="27">
        <v>268</v>
      </c>
      <c r="P444" s="33"/>
    </row>
    <row r="445" spans="1:75" ht="15" customHeight="1">
      <c r="A445" s="32"/>
      <c r="D445" s="3" t="s">
        <v>96</v>
      </c>
      <c r="E445" s="28" t="s">
        <v>1683</v>
      </c>
      <c r="G445" s="27">
        <v>40.200000000000003</v>
      </c>
      <c r="P445" s="33"/>
    </row>
    <row r="446" spans="1:75" ht="13.5" customHeight="1">
      <c r="A446" s="21" t="s">
        <v>2720</v>
      </c>
      <c r="B446" s="37" t="s">
        <v>1842</v>
      </c>
      <c r="C446" s="37" t="s">
        <v>2629</v>
      </c>
      <c r="D446" s="578" t="s">
        <v>1707</v>
      </c>
      <c r="E446" s="579"/>
      <c r="F446" s="37" t="s">
        <v>2398</v>
      </c>
      <c r="G446" s="14">
        <v>82</v>
      </c>
      <c r="H446" s="569"/>
      <c r="I446" s="55" t="s">
        <v>1720</v>
      </c>
      <c r="J446" s="14">
        <f>G446*AO446</f>
        <v>0</v>
      </c>
      <c r="K446" s="14">
        <f>G446*AP446</f>
        <v>0</v>
      </c>
      <c r="L446" s="14">
        <f>G446*H446</f>
        <v>0</v>
      </c>
      <c r="M446" s="14">
        <f>L446*(1+BW446/100)</f>
        <v>0</v>
      </c>
      <c r="N446" s="14">
        <v>2.1000000000000001E-4</v>
      </c>
      <c r="O446" s="14">
        <f>G446*N446</f>
        <v>1.7219999999999999E-2</v>
      </c>
      <c r="P446" s="72" t="s">
        <v>1664</v>
      </c>
      <c r="Z446" s="14">
        <f>IF(AQ446="5",BJ446,0)</f>
        <v>0</v>
      </c>
      <c r="AB446" s="14">
        <f>IF(AQ446="1",BH446,0)</f>
        <v>0</v>
      </c>
      <c r="AC446" s="14">
        <f>IF(AQ446="1",BI446,0)</f>
        <v>0</v>
      </c>
      <c r="AD446" s="14">
        <f>IF(AQ446="7",BH446,0)</f>
        <v>0</v>
      </c>
      <c r="AE446" s="14">
        <f>IF(AQ446="7",BI446,0)</f>
        <v>0</v>
      </c>
      <c r="AF446" s="14">
        <f>IF(AQ446="2",BH446,0)</f>
        <v>0</v>
      </c>
      <c r="AG446" s="14">
        <f>IF(AQ446="2",BI446,0)</f>
        <v>0</v>
      </c>
      <c r="AH446" s="14">
        <f>IF(AQ446="0",BJ446,0)</f>
        <v>0</v>
      </c>
      <c r="AI446" s="15" t="s">
        <v>1842</v>
      </c>
      <c r="AJ446" s="14">
        <f>IF(AN446=0,L446,0)</f>
        <v>0</v>
      </c>
      <c r="AK446" s="14">
        <f>IF(AN446=15,L446,0)</f>
        <v>0</v>
      </c>
      <c r="AL446" s="14">
        <f>IF(AN446=21,L446,0)</f>
        <v>0</v>
      </c>
      <c r="AN446" s="14">
        <v>21</v>
      </c>
      <c r="AO446" s="92">
        <f>H446*0.345867768595041</f>
        <v>0</v>
      </c>
      <c r="AP446" s="92">
        <f>H446*(1-0.345867768595041)</f>
        <v>0</v>
      </c>
      <c r="AQ446" s="55" t="s">
        <v>2435</v>
      </c>
      <c r="AV446" s="14">
        <f>AW446+AX446</f>
        <v>0</v>
      </c>
      <c r="AW446" s="14">
        <f>G446*AO446</f>
        <v>0</v>
      </c>
      <c r="AX446" s="14">
        <f>G446*AP446</f>
        <v>0</v>
      </c>
      <c r="AY446" s="55" t="s">
        <v>2124</v>
      </c>
      <c r="AZ446" s="55" t="s">
        <v>295</v>
      </c>
      <c r="BA446" s="15" t="s">
        <v>1843</v>
      </c>
      <c r="BC446" s="14">
        <f>AW446+AX446</f>
        <v>0</v>
      </c>
      <c r="BD446" s="14">
        <f>H446/(100-BE446)*100</f>
        <v>0</v>
      </c>
      <c r="BE446" s="14">
        <v>0</v>
      </c>
      <c r="BF446" s="14">
        <f>O446</f>
        <v>1.7219999999999999E-2</v>
      </c>
      <c r="BH446" s="14">
        <f>G446*AO446</f>
        <v>0</v>
      </c>
      <c r="BI446" s="14">
        <f>G446*AP446</f>
        <v>0</v>
      </c>
      <c r="BJ446" s="14">
        <f>G446*H446</f>
        <v>0</v>
      </c>
      <c r="BK446" s="14"/>
      <c r="BL446" s="14">
        <v>711</v>
      </c>
      <c r="BW446" s="14" t="str">
        <f>I446</f>
        <v>21</v>
      </c>
    </row>
    <row r="447" spans="1:75" ht="15" customHeight="1">
      <c r="A447" s="32"/>
      <c r="D447" s="3" t="s">
        <v>456</v>
      </c>
      <c r="E447" s="28" t="s">
        <v>1683</v>
      </c>
      <c r="G447" s="27">
        <v>82</v>
      </c>
      <c r="P447" s="33"/>
    </row>
    <row r="448" spans="1:75" ht="13.5" customHeight="1">
      <c r="A448" s="21" t="s">
        <v>678</v>
      </c>
      <c r="B448" s="37" t="s">
        <v>1842</v>
      </c>
      <c r="C448" s="37" t="s">
        <v>908</v>
      </c>
      <c r="D448" s="578" t="s">
        <v>1787</v>
      </c>
      <c r="E448" s="579"/>
      <c r="F448" s="37" t="s">
        <v>2398</v>
      </c>
      <c r="G448" s="14">
        <v>82</v>
      </c>
      <c r="H448" s="569"/>
      <c r="I448" s="55" t="s">
        <v>1720</v>
      </c>
      <c r="J448" s="14">
        <f>G448*AO448</f>
        <v>0</v>
      </c>
      <c r="K448" s="14">
        <f>G448*AP448</f>
        <v>0</v>
      </c>
      <c r="L448" s="14">
        <f>G448*H448</f>
        <v>0</v>
      </c>
      <c r="M448" s="14">
        <f>L448*(1+BW448/100)</f>
        <v>0</v>
      </c>
      <c r="N448" s="14">
        <v>1.2600000000000001E-3</v>
      </c>
      <c r="O448" s="14">
        <f>G448*N448</f>
        <v>0.10332000000000001</v>
      </c>
      <c r="P448" s="72" t="s">
        <v>1664</v>
      </c>
      <c r="Z448" s="14">
        <f>IF(AQ448="5",BJ448,0)</f>
        <v>0</v>
      </c>
      <c r="AB448" s="14">
        <f>IF(AQ448="1",BH448,0)</f>
        <v>0</v>
      </c>
      <c r="AC448" s="14">
        <f>IF(AQ448="1",BI448,0)</f>
        <v>0</v>
      </c>
      <c r="AD448" s="14">
        <f>IF(AQ448="7",BH448,0)</f>
        <v>0</v>
      </c>
      <c r="AE448" s="14">
        <f>IF(AQ448="7",BI448,0)</f>
        <v>0</v>
      </c>
      <c r="AF448" s="14">
        <f>IF(AQ448="2",BH448,0)</f>
        <v>0</v>
      </c>
      <c r="AG448" s="14">
        <f>IF(AQ448="2",BI448,0)</f>
        <v>0</v>
      </c>
      <c r="AH448" s="14">
        <f>IF(AQ448="0",BJ448,0)</f>
        <v>0</v>
      </c>
      <c r="AI448" s="15" t="s">
        <v>1842</v>
      </c>
      <c r="AJ448" s="14">
        <f>IF(AN448=0,L448,0)</f>
        <v>0</v>
      </c>
      <c r="AK448" s="14">
        <f>IF(AN448=15,L448,0)</f>
        <v>0</v>
      </c>
      <c r="AL448" s="14">
        <f>IF(AN448=21,L448,0)</f>
        <v>0</v>
      </c>
      <c r="AN448" s="14">
        <v>21</v>
      </c>
      <c r="AO448" s="92">
        <f>H448*0.635066059607274</f>
        <v>0</v>
      </c>
      <c r="AP448" s="92">
        <f>H448*(1-0.635066059607274)</f>
        <v>0</v>
      </c>
      <c r="AQ448" s="55" t="s">
        <v>2435</v>
      </c>
      <c r="AV448" s="14">
        <f>AW448+AX448</f>
        <v>0</v>
      </c>
      <c r="AW448" s="14">
        <f>G448*AO448</f>
        <v>0</v>
      </c>
      <c r="AX448" s="14">
        <f>G448*AP448</f>
        <v>0</v>
      </c>
      <c r="AY448" s="55" t="s">
        <v>2124</v>
      </c>
      <c r="AZ448" s="55" t="s">
        <v>295</v>
      </c>
      <c r="BA448" s="15" t="s">
        <v>1843</v>
      </c>
      <c r="BC448" s="14">
        <f>AW448+AX448</f>
        <v>0</v>
      </c>
      <c r="BD448" s="14">
        <f>H448/(100-BE448)*100</f>
        <v>0</v>
      </c>
      <c r="BE448" s="14">
        <v>0</v>
      </c>
      <c r="BF448" s="14">
        <f>O448</f>
        <v>0.10332000000000001</v>
      </c>
      <c r="BH448" s="14">
        <f>G448*AO448</f>
        <v>0</v>
      </c>
      <c r="BI448" s="14">
        <f>G448*AP448</f>
        <v>0</v>
      </c>
      <c r="BJ448" s="14">
        <f>G448*H448</f>
        <v>0</v>
      </c>
      <c r="BK448" s="14"/>
      <c r="BL448" s="14">
        <v>711</v>
      </c>
      <c r="BW448" s="14" t="str">
        <f>I448</f>
        <v>21</v>
      </c>
    </row>
    <row r="449" spans="1:75" ht="15" customHeight="1">
      <c r="A449" s="32"/>
      <c r="D449" s="3" t="s">
        <v>456</v>
      </c>
      <c r="E449" s="28" t="s">
        <v>703</v>
      </c>
      <c r="G449" s="27">
        <v>82</v>
      </c>
      <c r="P449" s="33"/>
    </row>
    <row r="450" spans="1:75" ht="15" customHeight="1">
      <c r="A450" s="65" t="s">
        <v>1683</v>
      </c>
      <c r="B450" s="26" t="s">
        <v>1842</v>
      </c>
      <c r="C450" s="26" t="s">
        <v>1955</v>
      </c>
      <c r="D450" s="649" t="s">
        <v>2096</v>
      </c>
      <c r="E450" s="650"/>
      <c r="F450" s="74" t="s">
        <v>2262</v>
      </c>
      <c r="G450" s="74" t="s">
        <v>2262</v>
      </c>
      <c r="H450" s="74" t="s">
        <v>2262</v>
      </c>
      <c r="I450" s="74" t="s">
        <v>2262</v>
      </c>
      <c r="J450" s="2">
        <f>SUM(J451:J482)</f>
        <v>0</v>
      </c>
      <c r="K450" s="2">
        <f>SUM(K451:K482)</f>
        <v>0</v>
      </c>
      <c r="L450" s="2">
        <f>SUM(L451:L482)</f>
        <v>0</v>
      </c>
      <c r="M450" s="2">
        <f>SUM(M451:M482)</f>
        <v>0</v>
      </c>
      <c r="N450" s="15" t="s">
        <v>1683</v>
      </c>
      <c r="O450" s="2">
        <f>SUM(O451:O482)</f>
        <v>4.7626400000000002</v>
      </c>
      <c r="P450" s="47" t="s">
        <v>1683</v>
      </c>
      <c r="AI450" s="15" t="s">
        <v>1842</v>
      </c>
      <c r="AS450" s="2">
        <f>SUM(AJ451:AJ482)</f>
        <v>0</v>
      </c>
      <c r="AT450" s="2">
        <f>SUM(AK451:AK482)</f>
        <v>0</v>
      </c>
      <c r="AU450" s="2">
        <f>SUM(AL451:AL482)</f>
        <v>0</v>
      </c>
    </row>
    <row r="451" spans="1:75" ht="27" customHeight="1">
      <c r="A451" s="21" t="s">
        <v>174</v>
      </c>
      <c r="B451" s="37" t="s">
        <v>1842</v>
      </c>
      <c r="C451" s="37" t="s">
        <v>1939</v>
      </c>
      <c r="D451" s="578" t="s">
        <v>268</v>
      </c>
      <c r="E451" s="579"/>
      <c r="F451" s="37" t="s">
        <v>2398</v>
      </c>
      <c r="G451" s="14">
        <v>275</v>
      </c>
      <c r="H451" s="569"/>
      <c r="I451" s="55" t="s">
        <v>1720</v>
      </c>
      <c r="J451" s="14">
        <f>G451*AO451</f>
        <v>0</v>
      </c>
      <c r="K451" s="14">
        <f>G451*AP451</f>
        <v>0</v>
      </c>
      <c r="L451" s="14">
        <f>G451*H451</f>
        <v>0</v>
      </c>
      <c r="M451" s="14">
        <f>L451*(1+BW451/100)</f>
        <v>0</v>
      </c>
      <c r="N451" s="14">
        <v>0</v>
      </c>
      <c r="O451" s="14">
        <f>G451*N451</f>
        <v>0</v>
      </c>
      <c r="P451" s="72" t="s">
        <v>1664</v>
      </c>
      <c r="Z451" s="14">
        <f>IF(AQ451="5",BJ451,0)</f>
        <v>0</v>
      </c>
      <c r="AB451" s="14">
        <f>IF(AQ451="1",BH451,0)</f>
        <v>0</v>
      </c>
      <c r="AC451" s="14">
        <f>IF(AQ451="1",BI451,0)</f>
        <v>0</v>
      </c>
      <c r="AD451" s="14">
        <f>IF(AQ451="7",BH451,0)</f>
        <v>0</v>
      </c>
      <c r="AE451" s="14">
        <f>IF(AQ451="7",BI451,0)</f>
        <v>0</v>
      </c>
      <c r="AF451" s="14">
        <f>IF(AQ451="2",BH451,0)</f>
        <v>0</v>
      </c>
      <c r="AG451" s="14">
        <f>IF(AQ451="2",BI451,0)</f>
        <v>0</v>
      </c>
      <c r="AH451" s="14">
        <f>IF(AQ451="0",BJ451,0)</f>
        <v>0</v>
      </c>
      <c r="AI451" s="15" t="s">
        <v>1842</v>
      </c>
      <c r="AJ451" s="14">
        <f>IF(AN451=0,L451,0)</f>
        <v>0</v>
      </c>
      <c r="AK451" s="14">
        <f>IF(AN451=15,L451,0)</f>
        <v>0</v>
      </c>
      <c r="AL451" s="14">
        <f>IF(AN451=21,L451,0)</f>
        <v>0</v>
      </c>
      <c r="AN451" s="14">
        <v>21</v>
      </c>
      <c r="AO451" s="92">
        <f>H451*0</f>
        <v>0</v>
      </c>
      <c r="AP451" s="92">
        <f>H451*(1-0)</f>
        <v>0</v>
      </c>
      <c r="AQ451" s="55" t="s">
        <v>2435</v>
      </c>
      <c r="AV451" s="14">
        <f>AW451+AX451</f>
        <v>0</v>
      </c>
      <c r="AW451" s="14">
        <f>G451*AO451</f>
        <v>0</v>
      </c>
      <c r="AX451" s="14">
        <f>G451*AP451</f>
        <v>0</v>
      </c>
      <c r="AY451" s="55" t="s">
        <v>1898</v>
      </c>
      <c r="AZ451" s="55" t="s">
        <v>295</v>
      </c>
      <c r="BA451" s="15" t="s">
        <v>1843</v>
      </c>
      <c r="BC451" s="14">
        <f>AW451+AX451</f>
        <v>0</v>
      </c>
      <c r="BD451" s="14">
        <f>H451/(100-BE451)*100</f>
        <v>0</v>
      </c>
      <c r="BE451" s="14">
        <v>0</v>
      </c>
      <c r="BF451" s="14">
        <f>O451</f>
        <v>0</v>
      </c>
      <c r="BH451" s="14">
        <f>G451*AO451</f>
        <v>0</v>
      </c>
      <c r="BI451" s="14">
        <f>G451*AP451</f>
        <v>0</v>
      </c>
      <c r="BJ451" s="14">
        <f>G451*H451</f>
        <v>0</v>
      </c>
      <c r="BK451" s="14"/>
      <c r="BL451" s="14">
        <v>713</v>
      </c>
      <c r="BW451" s="14" t="str">
        <f>I451</f>
        <v>21</v>
      </c>
    </row>
    <row r="452" spans="1:75" ht="15" customHeight="1">
      <c r="A452" s="32"/>
      <c r="D452" s="3" t="s">
        <v>1899</v>
      </c>
      <c r="E452" s="28" t="s">
        <v>66</v>
      </c>
      <c r="G452" s="27">
        <v>275</v>
      </c>
      <c r="P452" s="33"/>
    </row>
    <row r="453" spans="1:75" ht="27" customHeight="1">
      <c r="A453" s="20" t="s">
        <v>379</v>
      </c>
      <c r="B453" s="84" t="s">
        <v>1842</v>
      </c>
      <c r="C453" s="84" t="s">
        <v>1535</v>
      </c>
      <c r="D453" s="653" t="s">
        <v>1413</v>
      </c>
      <c r="E453" s="654"/>
      <c r="F453" s="84" t="s">
        <v>2359</v>
      </c>
      <c r="G453" s="6">
        <v>66.55</v>
      </c>
      <c r="H453" s="570"/>
      <c r="I453" s="18" t="s">
        <v>1720</v>
      </c>
      <c r="J453" s="6">
        <f>G453*AO453</f>
        <v>0</v>
      </c>
      <c r="K453" s="6">
        <f>G453*AP453</f>
        <v>0</v>
      </c>
      <c r="L453" s="6">
        <f>G453*H453</f>
        <v>0</v>
      </c>
      <c r="M453" s="6">
        <f>L453*(1+BW453/100)</f>
        <v>0</v>
      </c>
      <c r="N453" s="6">
        <v>3.5000000000000003E-2</v>
      </c>
      <c r="O453" s="6">
        <f>G453*N453</f>
        <v>2.32925</v>
      </c>
      <c r="P453" s="109" t="s">
        <v>1664</v>
      </c>
      <c r="Z453" s="14">
        <f>IF(AQ453="5",BJ453,0)</f>
        <v>0</v>
      </c>
      <c r="AB453" s="14">
        <f>IF(AQ453="1",BH453,0)</f>
        <v>0</v>
      </c>
      <c r="AC453" s="14">
        <f>IF(AQ453="1",BI453,0)</f>
        <v>0</v>
      </c>
      <c r="AD453" s="14">
        <f>IF(AQ453="7",BH453,0)</f>
        <v>0</v>
      </c>
      <c r="AE453" s="14">
        <f>IF(AQ453="7",BI453,0)</f>
        <v>0</v>
      </c>
      <c r="AF453" s="14">
        <f>IF(AQ453="2",BH453,0)</f>
        <v>0</v>
      </c>
      <c r="AG453" s="14">
        <f>IF(AQ453="2",BI453,0)</f>
        <v>0</v>
      </c>
      <c r="AH453" s="14">
        <f>IF(AQ453="0",BJ453,0)</f>
        <v>0</v>
      </c>
      <c r="AI453" s="15" t="s">
        <v>1842</v>
      </c>
      <c r="AJ453" s="6">
        <f>IF(AN453=0,L453,0)</f>
        <v>0</v>
      </c>
      <c r="AK453" s="6">
        <f>IF(AN453=15,L453,0)</f>
        <v>0</v>
      </c>
      <c r="AL453" s="6">
        <f>IF(AN453=21,L453,0)</f>
        <v>0</v>
      </c>
      <c r="AN453" s="14">
        <v>21</v>
      </c>
      <c r="AO453" s="92">
        <f>H453*1</f>
        <v>0</v>
      </c>
      <c r="AP453" s="92">
        <f>H453*(1-1)</f>
        <v>0</v>
      </c>
      <c r="AQ453" s="18" t="s">
        <v>2435</v>
      </c>
      <c r="AV453" s="14">
        <f>AW453+AX453</f>
        <v>0</v>
      </c>
      <c r="AW453" s="14">
        <f>G453*AO453</f>
        <v>0</v>
      </c>
      <c r="AX453" s="14">
        <f>G453*AP453</f>
        <v>0</v>
      </c>
      <c r="AY453" s="55" t="s">
        <v>1898</v>
      </c>
      <c r="AZ453" s="55" t="s">
        <v>295</v>
      </c>
      <c r="BA453" s="15" t="s">
        <v>1843</v>
      </c>
      <c r="BC453" s="14">
        <f>AW453+AX453</f>
        <v>0</v>
      </c>
      <c r="BD453" s="14">
        <f>H453/(100-BE453)*100</f>
        <v>0</v>
      </c>
      <c r="BE453" s="14">
        <v>0</v>
      </c>
      <c r="BF453" s="14">
        <f>O453</f>
        <v>2.32925</v>
      </c>
      <c r="BH453" s="6">
        <f>G453*AO453</f>
        <v>0</v>
      </c>
      <c r="BI453" s="6">
        <f>G453*AP453</f>
        <v>0</v>
      </c>
      <c r="BJ453" s="6">
        <f>G453*H453</f>
        <v>0</v>
      </c>
      <c r="BK453" s="6"/>
      <c r="BL453" s="14">
        <v>713</v>
      </c>
      <c r="BW453" s="14" t="str">
        <f>I453</f>
        <v>21</v>
      </c>
    </row>
    <row r="454" spans="1:75" ht="15" customHeight="1">
      <c r="A454" s="32"/>
      <c r="D454" s="3" t="s">
        <v>108</v>
      </c>
      <c r="E454" s="28" t="s">
        <v>1683</v>
      </c>
      <c r="G454" s="27">
        <v>60.500000000000007</v>
      </c>
      <c r="P454" s="33"/>
    </row>
    <row r="455" spans="1:75" ht="15" customHeight="1">
      <c r="A455" s="32"/>
      <c r="D455" s="3" t="s">
        <v>2589</v>
      </c>
      <c r="E455" s="28" t="s">
        <v>1683</v>
      </c>
      <c r="G455" s="27">
        <v>6.0500000000000007</v>
      </c>
      <c r="P455" s="33"/>
    </row>
    <row r="456" spans="1:75" ht="27" customHeight="1">
      <c r="A456" s="21" t="s">
        <v>2233</v>
      </c>
      <c r="B456" s="37" t="s">
        <v>1842</v>
      </c>
      <c r="C456" s="37" t="s">
        <v>2640</v>
      </c>
      <c r="D456" s="578" t="s">
        <v>2230</v>
      </c>
      <c r="E456" s="579"/>
      <c r="F456" s="37" t="s">
        <v>2398</v>
      </c>
      <c r="G456" s="14">
        <v>43.4</v>
      </c>
      <c r="H456" s="569"/>
      <c r="I456" s="55" t="s">
        <v>1720</v>
      </c>
      <c r="J456" s="14">
        <f>G456*AO456</f>
        <v>0</v>
      </c>
      <c r="K456" s="14">
        <f>G456*AP456</f>
        <v>0</v>
      </c>
      <c r="L456" s="14">
        <f>G456*H456</f>
        <v>0</v>
      </c>
      <c r="M456" s="14">
        <f>L456*(1+BW456/100)</f>
        <v>0</v>
      </c>
      <c r="N456" s="14">
        <v>0</v>
      </c>
      <c r="O456" s="14">
        <f>G456*N456</f>
        <v>0</v>
      </c>
      <c r="P456" s="72" t="s">
        <v>1664</v>
      </c>
      <c r="Z456" s="14">
        <f>IF(AQ456="5",BJ456,0)</f>
        <v>0</v>
      </c>
      <c r="AB456" s="14">
        <f>IF(AQ456="1",BH456,0)</f>
        <v>0</v>
      </c>
      <c r="AC456" s="14">
        <f>IF(AQ456="1",BI456,0)</f>
        <v>0</v>
      </c>
      <c r="AD456" s="14">
        <f>IF(AQ456="7",BH456,0)</f>
        <v>0</v>
      </c>
      <c r="AE456" s="14">
        <f>IF(AQ456="7",BI456,0)</f>
        <v>0</v>
      </c>
      <c r="AF456" s="14">
        <f>IF(AQ456="2",BH456,0)</f>
        <v>0</v>
      </c>
      <c r="AG456" s="14">
        <f>IF(AQ456="2",BI456,0)</f>
        <v>0</v>
      </c>
      <c r="AH456" s="14">
        <f>IF(AQ456="0",BJ456,0)</f>
        <v>0</v>
      </c>
      <c r="AI456" s="15" t="s">
        <v>1842</v>
      </c>
      <c r="AJ456" s="14">
        <f>IF(AN456=0,L456,0)</f>
        <v>0</v>
      </c>
      <c r="AK456" s="14">
        <f>IF(AN456=15,L456,0)</f>
        <v>0</v>
      </c>
      <c r="AL456" s="14">
        <f>IF(AN456=21,L456,0)</f>
        <v>0</v>
      </c>
      <c r="AN456" s="14">
        <v>21</v>
      </c>
      <c r="AO456" s="92">
        <f>H456*0</f>
        <v>0</v>
      </c>
      <c r="AP456" s="92">
        <f>H456*(1-0)</f>
        <v>0</v>
      </c>
      <c r="AQ456" s="55" t="s">
        <v>2435</v>
      </c>
      <c r="AV456" s="14">
        <f>AW456+AX456</f>
        <v>0</v>
      </c>
      <c r="AW456" s="14">
        <f>G456*AO456</f>
        <v>0</v>
      </c>
      <c r="AX456" s="14">
        <f>G456*AP456</f>
        <v>0</v>
      </c>
      <c r="AY456" s="55" t="s">
        <v>1898</v>
      </c>
      <c r="AZ456" s="55" t="s">
        <v>295</v>
      </c>
      <c r="BA456" s="15" t="s">
        <v>1843</v>
      </c>
      <c r="BC456" s="14">
        <f>AW456+AX456</f>
        <v>0</v>
      </c>
      <c r="BD456" s="14">
        <f>H456/(100-BE456)*100</f>
        <v>0</v>
      </c>
      <c r="BE456" s="14">
        <v>0</v>
      </c>
      <c r="BF456" s="14">
        <f>O456</f>
        <v>0</v>
      </c>
      <c r="BH456" s="14">
        <f>G456*AO456</f>
        <v>0</v>
      </c>
      <c r="BI456" s="14">
        <f>G456*AP456</f>
        <v>0</v>
      </c>
      <c r="BJ456" s="14">
        <f>G456*H456</f>
        <v>0</v>
      </c>
      <c r="BK456" s="14"/>
      <c r="BL456" s="14">
        <v>713</v>
      </c>
      <c r="BW456" s="14" t="str">
        <f>I456</f>
        <v>21</v>
      </c>
    </row>
    <row r="457" spans="1:75" ht="15" customHeight="1">
      <c r="A457" s="32"/>
      <c r="D457" s="3" t="s">
        <v>800</v>
      </c>
      <c r="E457" s="28" t="s">
        <v>1671</v>
      </c>
      <c r="G457" s="27">
        <v>43.400000000000006</v>
      </c>
      <c r="P457" s="33"/>
    </row>
    <row r="458" spans="1:75" ht="27" customHeight="1">
      <c r="A458" s="20" t="s">
        <v>1487</v>
      </c>
      <c r="B458" s="84" t="s">
        <v>1842</v>
      </c>
      <c r="C458" s="84" t="s">
        <v>1535</v>
      </c>
      <c r="D458" s="653" t="s">
        <v>1413</v>
      </c>
      <c r="E458" s="654"/>
      <c r="F458" s="84" t="s">
        <v>2359</v>
      </c>
      <c r="G458" s="6">
        <v>10.119999999999999</v>
      </c>
      <c r="H458" s="570"/>
      <c r="I458" s="18" t="s">
        <v>1720</v>
      </c>
      <c r="J458" s="6">
        <f>G458*AO458</f>
        <v>0</v>
      </c>
      <c r="K458" s="6">
        <f>G458*AP458</f>
        <v>0</v>
      </c>
      <c r="L458" s="6">
        <f>G458*H458</f>
        <v>0</v>
      </c>
      <c r="M458" s="6">
        <f>L458*(1+BW458/100)</f>
        <v>0</v>
      </c>
      <c r="N458" s="6">
        <v>3.5000000000000003E-2</v>
      </c>
      <c r="O458" s="6">
        <f>G458*N458</f>
        <v>0.35420000000000001</v>
      </c>
      <c r="P458" s="109" t="s">
        <v>1664</v>
      </c>
      <c r="Z458" s="14">
        <f>IF(AQ458="5",BJ458,0)</f>
        <v>0</v>
      </c>
      <c r="AB458" s="14">
        <f>IF(AQ458="1",BH458,0)</f>
        <v>0</v>
      </c>
      <c r="AC458" s="14">
        <f>IF(AQ458="1",BI458,0)</f>
        <v>0</v>
      </c>
      <c r="AD458" s="14">
        <f>IF(AQ458="7",BH458,0)</f>
        <v>0</v>
      </c>
      <c r="AE458" s="14">
        <f>IF(AQ458="7",BI458,0)</f>
        <v>0</v>
      </c>
      <c r="AF458" s="14">
        <f>IF(AQ458="2",BH458,0)</f>
        <v>0</v>
      </c>
      <c r="AG458" s="14">
        <f>IF(AQ458="2",BI458,0)</f>
        <v>0</v>
      </c>
      <c r="AH458" s="14">
        <f>IF(AQ458="0",BJ458,0)</f>
        <v>0</v>
      </c>
      <c r="AI458" s="15" t="s">
        <v>1842</v>
      </c>
      <c r="AJ458" s="6">
        <f>IF(AN458=0,L458,0)</f>
        <v>0</v>
      </c>
      <c r="AK458" s="6">
        <f>IF(AN458=15,L458,0)</f>
        <v>0</v>
      </c>
      <c r="AL458" s="6">
        <f>IF(AN458=21,L458,0)</f>
        <v>0</v>
      </c>
      <c r="AN458" s="14">
        <v>21</v>
      </c>
      <c r="AO458" s="92">
        <f>H458*1</f>
        <v>0</v>
      </c>
      <c r="AP458" s="92">
        <f>H458*(1-1)</f>
        <v>0</v>
      </c>
      <c r="AQ458" s="18" t="s">
        <v>2435</v>
      </c>
      <c r="AV458" s="14">
        <f>AW458+AX458</f>
        <v>0</v>
      </c>
      <c r="AW458" s="14">
        <f>G458*AO458</f>
        <v>0</v>
      </c>
      <c r="AX458" s="14">
        <f>G458*AP458</f>
        <v>0</v>
      </c>
      <c r="AY458" s="55" t="s">
        <v>1898</v>
      </c>
      <c r="AZ458" s="55" t="s">
        <v>295</v>
      </c>
      <c r="BA458" s="15" t="s">
        <v>1843</v>
      </c>
      <c r="BC458" s="14">
        <f>AW458+AX458</f>
        <v>0</v>
      </c>
      <c r="BD458" s="14">
        <f>H458/(100-BE458)*100</f>
        <v>0</v>
      </c>
      <c r="BE458" s="14">
        <v>0</v>
      </c>
      <c r="BF458" s="14">
        <f>O458</f>
        <v>0.35420000000000001</v>
      </c>
      <c r="BH458" s="6">
        <f>G458*AO458</f>
        <v>0</v>
      </c>
      <c r="BI458" s="6">
        <f>G458*AP458</f>
        <v>0</v>
      </c>
      <c r="BJ458" s="6">
        <f>G458*H458</f>
        <v>0</v>
      </c>
      <c r="BK458" s="6"/>
      <c r="BL458" s="14">
        <v>713</v>
      </c>
      <c r="BW458" s="14" t="str">
        <f>I458</f>
        <v>21</v>
      </c>
    </row>
    <row r="459" spans="1:75" ht="15" customHeight="1">
      <c r="A459" s="32"/>
      <c r="D459" s="3" t="s">
        <v>2146</v>
      </c>
      <c r="E459" s="28" t="s">
        <v>1683</v>
      </c>
      <c r="G459" s="27">
        <v>8.8000000000000007</v>
      </c>
      <c r="P459" s="33"/>
    </row>
    <row r="460" spans="1:75" ht="15" customHeight="1">
      <c r="A460" s="32"/>
      <c r="D460" s="3" t="s">
        <v>453</v>
      </c>
      <c r="E460" s="28" t="s">
        <v>1683</v>
      </c>
      <c r="G460" s="27">
        <v>1.32</v>
      </c>
      <c r="P460" s="33"/>
    </row>
    <row r="461" spans="1:75" ht="13.5" customHeight="1">
      <c r="A461" s="21" t="s">
        <v>675</v>
      </c>
      <c r="B461" s="37" t="s">
        <v>1842</v>
      </c>
      <c r="C461" s="37" t="s">
        <v>1189</v>
      </c>
      <c r="D461" s="578" t="s">
        <v>390</v>
      </c>
      <c r="E461" s="579"/>
      <c r="F461" s="37" t="s">
        <v>2398</v>
      </c>
      <c r="G461" s="14">
        <v>470</v>
      </c>
      <c r="H461" s="569"/>
      <c r="I461" s="55" t="s">
        <v>1720</v>
      </c>
      <c r="J461" s="14">
        <f>G461*AO461</f>
        <v>0</v>
      </c>
      <c r="K461" s="14">
        <f>G461*AP461</f>
        <v>0</v>
      </c>
      <c r="L461" s="14">
        <f>G461*H461</f>
        <v>0</v>
      </c>
      <c r="M461" s="14">
        <f>L461*(1+BW461/100)</f>
        <v>0</v>
      </c>
      <c r="N461" s="14">
        <v>0</v>
      </c>
      <c r="O461" s="14">
        <f>G461*N461</f>
        <v>0</v>
      </c>
      <c r="P461" s="72" t="s">
        <v>1664</v>
      </c>
      <c r="Z461" s="14">
        <f>IF(AQ461="5",BJ461,0)</f>
        <v>0</v>
      </c>
      <c r="AB461" s="14">
        <f>IF(AQ461="1",BH461,0)</f>
        <v>0</v>
      </c>
      <c r="AC461" s="14">
        <f>IF(AQ461="1",BI461,0)</f>
        <v>0</v>
      </c>
      <c r="AD461" s="14">
        <f>IF(AQ461="7",BH461,0)</f>
        <v>0</v>
      </c>
      <c r="AE461" s="14">
        <f>IF(AQ461="7",BI461,0)</f>
        <v>0</v>
      </c>
      <c r="AF461" s="14">
        <f>IF(AQ461="2",BH461,0)</f>
        <v>0</v>
      </c>
      <c r="AG461" s="14">
        <f>IF(AQ461="2",BI461,0)</f>
        <v>0</v>
      </c>
      <c r="AH461" s="14">
        <f>IF(AQ461="0",BJ461,0)</f>
        <v>0</v>
      </c>
      <c r="AI461" s="15" t="s">
        <v>1842</v>
      </c>
      <c r="AJ461" s="14">
        <f>IF(AN461=0,L461,0)</f>
        <v>0</v>
      </c>
      <c r="AK461" s="14">
        <f>IF(AN461=15,L461,0)</f>
        <v>0</v>
      </c>
      <c r="AL461" s="14">
        <f>IF(AN461=21,L461,0)</f>
        <v>0</v>
      </c>
      <c r="AN461" s="14">
        <v>21</v>
      </c>
      <c r="AO461" s="92">
        <f>H461*0</f>
        <v>0</v>
      </c>
      <c r="AP461" s="92">
        <f>H461*(1-0)</f>
        <v>0</v>
      </c>
      <c r="AQ461" s="55" t="s">
        <v>2435</v>
      </c>
      <c r="AV461" s="14">
        <f>AW461+AX461</f>
        <v>0</v>
      </c>
      <c r="AW461" s="14">
        <f>G461*AO461</f>
        <v>0</v>
      </c>
      <c r="AX461" s="14">
        <f>G461*AP461</f>
        <v>0</v>
      </c>
      <c r="AY461" s="55" t="s">
        <v>1898</v>
      </c>
      <c r="AZ461" s="55" t="s">
        <v>295</v>
      </c>
      <c r="BA461" s="15" t="s">
        <v>1843</v>
      </c>
      <c r="BC461" s="14">
        <f>AW461+AX461</f>
        <v>0</v>
      </c>
      <c r="BD461" s="14">
        <f>H461/(100-BE461)*100</f>
        <v>0</v>
      </c>
      <c r="BE461" s="14">
        <v>0</v>
      </c>
      <c r="BF461" s="14">
        <f>O461</f>
        <v>0</v>
      </c>
      <c r="BH461" s="14">
        <f>G461*AO461</f>
        <v>0</v>
      </c>
      <c r="BI461" s="14">
        <f>G461*AP461</f>
        <v>0</v>
      </c>
      <c r="BJ461" s="14">
        <f>G461*H461</f>
        <v>0</v>
      </c>
      <c r="BK461" s="14"/>
      <c r="BL461" s="14">
        <v>713</v>
      </c>
      <c r="BW461" s="14" t="str">
        <f>I461</f>
        <v>21</v>
      </c>
    </row>
    <row r="462" spans="1:75" ht="15" customHeight="1">
      <c r="A462" s="32"/>
      <c r="D462" s="3" t="s">
        <v>996</v>
      </c>
      <c r="E462" s="28" t="s">
        <v>2142</v>
      </c>
      <c r="G462" s="27">
        <v>260</v>
      </c>
      <c r="P462" s="33"/>
    </row>
    <row r="463" spans="1:75" ht="15" customHeight="1">
      <c r="A463" s="32"/>
      <c r="D463" s="3" t="s">
        <v>2602</v>
      </c>
      <c r="E463" s="28" t="s">
        <v>2263</v>
      </c>
      <c r="G463" s="27">
        <v>210.00000000000003</v>
      </c>
      <c r="P463" s="33"/>
    </row>
    <row r="464" spans="1:75" ht="13.5" customHeight="1">
      <c r="A464" s="20" t="s">
        <v>1984</v>
      </c>
      <c r="B464" s="84" t="s">
        <v>1842</v>
      </c>
      <c r="C464" s="84" t="s">
        <v>1659</v>
      </c>
      <c r="D464" s="653" t="s">
        <v>1807</v>
      </c>
      <c r="E464" s="654"/>
      <c r="F464" s="84" t="s">
        <v>2398</v>
      </c>
      <c r="G464" s="6">
        <v>231</v>
      </c>
      <c r="H464" s="570"/>
      <c r="I464" s="18" t="s">
        <v>1720</v>
      </c>
      <c r="J464" s="6">
        <f>G464*AO464</f>
        <v>0</v>
      </c>
      <c r="K464" s="6">
        <f>G464*AP464</f>
        <v>0</v>
      </c>
      <c r="L464" s="6">
        <f>G464*H464</f>
        <v>0</v>
      </c>
      <c r="M464" s="6">
        <f>L464*(1+BW464/100)</f>
        <v>0</v>
      </c>
      <c r="N464" s="6">
        <v>8.0000000000000004E-4</v>
      </c>
      <c r="O464" s="6">
        <f>G464*N464</f>
        <v>0.18480000000000002</v>
      </c>
      <c r="P464" s="109" t="s">
        <v>1664</v>
      </c>
      <c r="Z464" s="14">
        <f>IF(AQ464="5",BJ464,0)</f>
        <v>0</v>
      </c>
      <c r="AB464" s="14">
        <f>IF(AQ464="1",BH464,0)</f>
        <v>0</v>
      </c>
      <c r="AC464" s="14">
        <f>IF(AQ464="1",BI464,0)</f>
        <v>0</v>
      </c>
      <c r="AD464" s="14">
        <f>IF(AQ464="7",BH464,0)</f>
        <v>0</v>
      </c>
      <c r="AE464" s="14">
        <f>IF(AQ464="7",BI464,0)</f>
        <v>0</v>
      </c>
      <c r="AF464" s="14">
        <f>IF(AQ464="2",BH464,0)</f>
        <v>0</v>
      </c>
      <c r="AG464" s="14">
        <f>IF(AQ464="2",BI464,0)</f>
        <v>0</v>
      </c>
      <c r="AH464" s="14">
        <f>IF(AQ464="0",BJ464,0)</f>
        <v>0</v>
      </c>
      <c r="AI464" s="15" t="s">
        <v>1842</v>
      </c>
      <c r="AJ464" s="6">
        <f>IF(AN464=0,L464,0)</f>
        <v>0</v>
      </c>
      <c r="AK464" s="6">
        <f>IF(AN464=15,L464,0)</f>
        <v>0</v>
      </c>
      <c r="AL464" s="6">
        <f>IF(AN464=21,L464,0)</f>
        <v>0</v>
      </c>
      <c r="AN464" s="14">
        <v>21</v>
      </c>
      <c r="AO464" s="92">
        <f>H464*1</f>
        <v>0</v>
      </c>
      <c r="AP464" s="92">
        <f>H464*(1-1)</f>
        <v>0</v>
      </c>
      <c r="AQ464" s="18" t="s">
        <v>2435</v>
      </c>
      <c r="AV464" s="14">
        <f>AW464+AX464</f>
        <v>0</v>
      </c>
      <c r="AW464" s="14">
        <f>G464*AO464</f>
        <v>0</v>
      </c>
      <c r="AX464" s="14">
        <f>G464*AP464</f>
        <v>0</v>
      </c>
      <c r="AY464" s="55" t="s">
        <v>1898</v>
      </c>
      <c r="AZ464" s="55" t="s">
        <v>295</v>
      </c>
      <c r="BA464" s="15" t="s">
        <v>1843</v>
      </c>
      <c r="BC464" s="14">
        <f>AW464+AX464</f>
        <v>0</v>
      </c>
      <c r="BD464" s="14">
        <f>H464/(100-BE464)*100</f>
        <v>0</v>
      </c>
      <c r="BE464" s="14">
        <v>0</v>
      </c>
      <c r="BF464" s="14">
        <f>O464</f>
        <v>0.18480000000000002</v>
      </c>
      <c r="BH464" s="6">
        <f>G464*AO464</f>
        <v>0</v>
      </c>
      <c r="BI464" s="6">
        <f>G464*AP464</f>
        <v>0</v>
      </c>
      <c r="BJ464" s="6">
        <f>G464*H464</f>
        <v>0</v>
      </c>
      <c r="BK464" s="6"/>
      <c r="BL464" s="14">
        <v>713</v>
      </c>
      <c r="BW464" s="14" t="str">
        <f>I464</f>
        <v>21</v>
      </c>
    </row>
    <row r="465" spans="1:75" ht="15" customHeight="1">
      <c r="A465" s="32"/>
      <c r="D465" s="3" t="s">
        <v>2602</v>
      </c>
      <c r="E465" s="28" t="s">
        <v>1683</v>
      </c>
      <c r="G465" s="27">
        <v>210.00000000000003</v>
      </c>
      <c r="P465" s="33"/>
    </row>
    <row r="466" spans="1:75" ht="15" customHeight="1">
      <c r="A466" s="32"/>
      <c r="D466" s="3" t="s">
        <v>1748</v>
      </c>
      <c r="E466" s="28" t="s">
        <v>1683</v>
      </c>
      <c r="G466" s="27">
        <v>21</v>
      </c>
      <c r="P466" s="33"/>
    </row>
    <row r="467" spans="1:75" ht="13.5" customHeight="1">
      <c r="A467" s="20" t="s">
        <v>2552</v>
      </c>
      <c r="B467" s="84" t="s">
        <v>1842</v>
      </c>
      <c r="C467" s="84" t="s">
        <v>216</v>
      </c>
      <c r="D467" s="653" t="s">
        <v>298</v>
      </c>
      <c r="E467" s="654"/>
      <c r="F467" s="84" t="s">
        <v>2398</v>
      </c>
      <c r="G467" s="6">
        <v>231</v>
      </c>
      <c r="H467" s="570"/>
      <c r="I467" s="18" t="s">
        <v>1720</v>
      </c>
      <c r="J467" s="6">
        <f>G467*AO467</f>
        <v>0</v>
      </c>
      <c r="K467" s="6">
        <f>G467*AP467</f>
        <v>0</v>
      </c>
      <c r="L467" s="6">
        <f>G467*H467</f>
        <v>0</v>
      </c>
      <c r="M467" s="6">
        <f>L467*(1+BW467/100)</f>
        <v>0</v>
      </c>
      <c r="N467" s="6">
        <v>2.0999999999999999E-3</v>
      </c>
      <c r="O467" s="6">
        <f>G467*N467</f>
        <v>0.48509999999999998</v>
      </c>
      <c r="P467" s="109" t="s">
        <v>1664</v>
      </c>
      <c r="Z467" s="14">
        <f>IF(AQ467="5",BJ467,0)</f>
        <v>0</v>
      </c>
      <c r="AB467" s="14">
        <f>IF(AQ467="1",BH467,0)</f>
        <v>0</v>
      </c>
      <c r="AC467" s="14">
        <f>IF(AQ467="1",BI467,0)</f>
        <v>0</v>
      </c>
      <c r="AD467" s="14">
        <f>IF(AQ467="7",BH467,0)</f>
        <v>0</v>
      </c>
      <c r="AE467" s="14">
        <f>IF(AQ467="7",BI467,0)</f>
        <v>0</v>
      </c>
      <c r="AF467" s="14">
        <f>IF(AQ467="2",BH467,0)</f>
        <v>0</v>
      </c>
      <c r="AG467" s="14">
        <f>IF(AQ467="2",BI467,0)</f>
        <v>0</v>
      </c>
      <c r="AH467" s="14">
        <f>IF(AQ467="0",BJ467,0)</f>
        <v>0</v>
      </c>
      <c r="AI467" s="15" t="s">
        <v>1842</v>
      </c>
      <c r="AJ467" s="6">
        <f>IF(AN467=0,L467,0)</f>
        <v>0</v>
      </c>
      <c r="AK467" s="6">
        <f>IF(AN467=15,L467,0)</f>
        <v>0</v>
      </c>
      <c r="AL467" s="6">
        <f>IF(AN467=21,L467,0)</f>
        <v>0</v>
      </c>
      <c r="AN467" s="14">
        <v>21</v>
      </c>
      <c r="AO467" s="92">
        <f>H467*1</f>
        <v>0</v>
      </c>
      <c r="AP467" s="92">
        <f>H467*(1-1)</f>
        <v>0</v>
      </c>
      <c r="AQ467" s="18" t="s">
        <v>2435</v>
      </c>
      <c r="AV467" s="14">
        <f>AW467+AX467</f>
        <v>0</v>
      </c>
      <c r="AW467" s="14">
        <f>G467*AO467</f>
        <v>0</v>
      </c>
      <c r="AX467" s="14">
        <f>G467*AP467</f>
        <v>0</v>
      </c>
      <c r="AY467" s="55" t="s">
        <v>1898</v>
      </c>
      <c r="AZ467" s="55" t="s">
        <v>295</v>
      </c>
      <c r="BA467" s="15" t="s">
        <v>1843</v>
      </c>
      <c r="BC467" s="14">
        <f>AW467+AX467</f>
        <v>0</v>
      </c>
      <c r="BD467" s="14">
        <f>H467/(100-BE467)*100</f>
        <v>0</v>
      </c>
      <c r="BE467" s="14">
        <v>0</v>
      </c>
      <c r="BF467" s="14">
        <f>O467</f>
        <v>0.48509999999999998</v>
      </c>
      <c r="BH467" s="6">
        <f>G467*AO467</f>
        <v>0</v>
      </c>
      <c r="BI467" s="6">
        <f>G467*AP467</f>
        <v>0</v>
      </c>
      <c r="BJ467" s="6">
        <f>G467*H467</f>
        <v>0</v>
      </c>
      <c r="BK467" s="6"/>
      <c r="BL467" s="14">
        <v>713</v>
      </c>
      <c r="BW467" s="14" t="str">
        <f>I467</f>
        <v>21</v>
      </c>
    </row>
    <row r="468" spans="1:75" ht="15" customHeight="1">
      <c r="A468" s="32"/>
      <c r="D468" s="3" t="s">
        <v>2602</v>
      </c>
      <c r="E468" s="28" t="s">
        <v>1683</v>
      </c>
      <c r="G468" s="27">
        <v>210.00000000000003</v>
      </c>
      <c r="P468" s="33"/>
    </row>
    <row r="469" spans="1:75" ht="15" customHeight="1">
      <c r="A469" s="32"/>
      <c r="D469" s="3" t="s">
        <v>1748</v>
      </c>
      <c r="E469" s="28" t="s">
        <v>1683</v>
      </c>
      <c r="G469" s="27">
        <v>21</v>
      </c>
      <c r="P469" s="33"/>
    </row>
    <row r="470" spans="1:75" ht="13.5" customHeight="1">
      <c r="A470" s="21" t="s">
        <v>585</v>
      </c>
      <c r="B470" s="37" t="s">
        <v>1842</v>
      </c>
      <c r="C470" s="37" t="s">
        <v>1292</v>
      </c>
      <c r="D470" s="578" t="s">
        <v>498</v>
      </c>
      <c r="E470" s="579"/>
      <c r="F470" s="37" t="s">
        <v>2398</v>
      </c>
      <c r="G470" s="14">
        <v>632</v>
      </c>
      <c r="H470" s="569"/>
      <c r="I470" s="55" t="s">
        <v>1720</v>
      </c>
      <c r="J470" s="14">
        <f>G470*AO470</f>
        <v>0</v>
      </c>
      <c r="K470" s="14">
        <f>G470*AP470</f>
        <v>0</v>
      </c>
      <c r="L470" s="14">
        <f>G470*H470</f>
        <v>0</v>
      </c>
      <c r="M470" s="14">
        <f>L470*(1+BW470/100)</f>
        <v>0</v>
      </c>
      <c r="N470" s="14">
        <v>0</v>
      </c>
      <c r="O470" s="14">
        <f>G470*N470</f>
        <v>0</v>
      </c>
      <c r="P470" s="72" t="s">
        <v>1664</v>
      </c>
      <c r="Z470" s="14">
        <f>IF(AQ470="5",BJ470,0)</f>
        <v>0</v>
      </c>
      <c r="AB470" s="14">
        <f>IF(AQ470="1",BH470,0)</f>
        <v>0</v>
      </c>
      <c r="AC470" s="14">
        <f>IF(AQ470="1",BI470,0)</f>
        <v>0</v>
      </c>
      <c r="AD470" s="14">
        <f>IF(AQ470="7",BH470,0)</f>
        <v>0</v>
      </c>
      <c r="AE470" s="14">
        <f>IF(AQ470="7",BI470,0)</f>
        <v>0</v>
      </c>
      <c r="AF470" s="14">
        <f>IF(AQ470="2",BH470,0)</f>
        <v>0</v>
      </c>
      <c r="AG470" s="14">
        <f>IF(AQ470="2",BI470,0)</f>
        <v>0</v>
      </c>
      <c r="AH470" s="14">
        <f>IF(AQ470="0",BJ470,0)</f>
        <v>0</v>
      </c>
      <c r="AI470" s="15" t="s">
        <v>1842</v>
      </c>
      <c r="AJ470" s="14">
        <f>IF(AN470=0,L470,0)</f>
        <v>0</v>
      </c>
      <c r="AK470" s="14">
        <f>IF(AN470=15,L470,0)</f>
        <v>0</v>
      </c>
      <c r="AL470" s="14">
        <f>IF(AN470=21,L470,0)</f>
        <v>0</v>
      </c>
      <c r="AN470" s="14">
        <v>21</v>
      </c>
      <c r="AO470" s="92">
        <f>H470*0</f>
        <v>0</v>
      </c>
      <c r="AP470" s="92">
        <f>H470*(1-0)</f>
        <v>0</v>
      </c>
      <c r="AQ470" s="55" t="s">
        <v>2435</v>
      </c>
      <c r="AV470" s="14">
        <f>AW470+AX470</f>
        <v>0</v>
      </c>
      <c r="AW470" s="14">
        <f>G470*AO470</f>
        <v>0</v>
      </c>
      <c r="AX470" s="14">
        <f>G470*AP470</f>
        <v>0</v>
      </c>
      <c r="AY470" s="55" t="s">
        <v>1898</v>
      </c>
      <c r="AZ470" s="55" t="s">
        <v>295</v>
      </c>
      <c r="BA470" s="15" t="s">
        <v>1843</v>
      </c>
      <c r="BC470" s="14">
        <f>AW470+AX470</f>
        <v>0</v>
      </c>
      <c r="BD470" s="14">
        <f>H470/(100-BE470)*100</f>
        <v>0</v>
      </c>
      <c r="BE470" s="14">
        <v>0</v>
      </c>
      <c r="BF470" s="14">
        <f>O470</f>
        <v>0</v>
      </c>
      <c r="BH470" s="14">
        <f>G470*AO470</f>
        <v>0</v>
      </c>
      <c r="BI470" s="14">
        <f>G470*AP470</f>
        <v>0</v>
      </c>
      <c r="BJ470" s="14">
        <f>G470*H470</f>
        <v>0</v>
      </c>
      <c r="BK470" s="14"/>
      <c r="BL470" s="14">
        <v>713</v>
      </c>
      <c r="BW470" s="14" t="str">
        <f>I470</f>
        <v>21</v>
      </c>
    </row>
    <row r="471" spans="1:75" ht="15" customHeight="1">
      <c r="A471" s="32"/>
      <c r="D471" s="3" t="s">
        <v>2245</v>
      </c>
      <c r="E471" s="28" t="s">
        <v>1683</v>
      </c>
      <c r="G471" s="27">
        <v>632</v>
      </c>
      <c r="P471" s="33"/>
    </row>
    <row r="472" spans="1:75" ht="13.5" customHeight="1">
      <c r="A472" s="20" t="s">
        <v>2626</v>
      </c>
      <c r="B472" s="84" t="s">
        <v>1842</v>
      </c>
      <c r="C472" s="84" t="s">
        <v>483</v>
      </c>
      <c r="D472" s="653" t="s">
        <v>2568</v>
      </c>
      <c r="E472" s="654"/>
      <c r="F472" s="84" t="s">
        <v>2398</v>
      </c>
      <c r="G472" s="6">
        <v>587.5</v>
      </c>
      <c r="H472" s="570"/>
      <c r="I472" s="18" t="s">
        <v>1720</v>
      </c>
      <c r="J472" s="6">
        <f>G472*AO472</f>
        <v>0</v>
      </c>
      <c r="K472" s="6">
        <f>G472*AP472</f>
        <v>0</v>
      </c>
      <c r="L472" s="6">
        <f>G472*H472</f>
        <v>0</v>
      </c>
      <c r="M472" s="6">
        <f>L472*(1+BW472/100)</f>
        <v>0</v>
      </c>
      <c r="N472" s="6">
        <v>1E-4</v>
      </c>
      <c r="O472" s="6">
        <f>G472*N472</f>
        <v>5.8750000000000004E-2</v>
      </c>
      <c r="P472" s="109" t="s">
        <v>1664</v>
      </c>
      <c r="Z472" s="14">
        <f>IF(AQ472="5",BJ472,0)</f>
        <v>0</v>
      </c>
      <c r="AB472" s="14">
        <f>IF(AQ472="1",BH472,0)</f>
        <v>0</v>
      </c>
      <c r="AC472" s="14">
        <f>IF(AQ472="1",BI472,0)</f>
        <v>0</v>
      </c>
      <c r="AD472" s="14">
        <f>IF(AQ472="7",BH472,0)</f>
        <v>0</v>
      </c>
      <c r="AE472" s="14">
        <f>IF(AQ472="7",BI472,0)</f>
        <v>0</v>
      </c>
      <c r="AF472" s="14">
        <f>IF(AQ472="2",BH472,0)</f>
        <v>0</v>
      </c>
      <c r="AG472" s="14">
        <f>IF(AQ472="2",BI472,0)</f>
        <v>0</v>
      </c>
      <c r="AH472" s="14">
        <f>IF(AQ472="0",BJ472,0)</f>
        <v>0</v>
      </c>
      <c r="AI472" s="15" t="s">
        <v>1842</v>
      </c>
      <c r="AJ472" s="6">
        <f>IF(AN472=0,L472,0)</f>
        <v>0</v>
      </c>
      <c r="AK472" s="6">
        <f>IF(AN472=15,L472,0)</f>
        <v>0</v>
      </c>
      <c r="AL472" s="6">
        <f>IF(AN472=21,L472,0)</f>
        <v>0</v>
      </c>
      <c r="AN472" s="14">
        <v>21</v>
      </c>
      <c r="AO472" s="92">
        <f>H472*1</f>
        <v>0</v>
      </c>
      <c r="AP472" s="92">
        <f>H472*(1-1)</f>
        <v>0</v>
      </c>
      <c r="AQ472" s="18" t="s">
        <v>2435</v>
      </c>
      <c r="AV472" s="14">
        <f>AW472+AX472</f>
        <v>0</v>
      </c>
      <c r="AW472" s="14">
        <f>G472*AO472</f>
        <v>0</v>
      </c>
      <c r="AX472" s="14">
        <f>G472*AP472</f>
        <v>0</v>
      </c>
      <c r="AY472" s="55" t="s">
        <v>1898</v>
      </c>
      <c r="AZ472" s="55" t="s">
        <v>295</v>
      </c>
      <c r="BA472" s="15" t="s">
        <v>1843</v>
      </c>
      <c r="BC472" s="14">
        <f>AW472+AX472</f>
        <v>0</v>
      </c>
      <c r="BD472" s="14">
        <f>H472/(100-BE472)*100</f>
        <v>0</v>
      </c>
      <c r="BE472" s="14">
        <v>0</v>
      </c>
      <c r="BF472" s="14">
        <f>O472</f>
        <v>5.8750000000000004E-2</v>
      </c>
      <c r="BH472" s="6">
        <f>G472*AO472</f>
        <v>0</v>
      </c>
      <c r="BI472" s="6">
        <f>G472*AP472</f>
        <v>0</v>
      </c>
      <c r="BJ472" s="6">
        <f>G472*H472</f>
        <v>0</v>
      </c>
      <c r="BK472" s="6"/>
      <c r="BL472" s="14">
        <v>713</v>
      </c>
      <c r="BW472" s="14" t="str">
        <f>I472</f>
        <v>21</v>
      </c>
    </row>
    <row r="473" spans="1:75" ht="15" customHeight="1">
      <c r="A473" s="32"/>
      <c r="D473" s="3" t="s">
        <v>2705</v>
      </c>
      <c r="E473" s="28" t="s">
        <v>2752</v>
      </c>
      <c r="G473" s="27">
        <v>470.00000000000006</v>
      </c>
      <c r="P473" s="33"/>
    </row>
    <row r="474" spans="1:75" ht="15" customHeight="1">
      <c r="A474" s="32"/>
      <c r="D474" s="3" t="s">
        <v>2260</v>
      </c>
      <c r="E474" s="28" t="s">
        <v>1683</v>
      </c>
      <c r="G474" s="27">
        <v>117.50000000000001</v>
      </c>
      <c r="P474" s="33"/>
    </row>
    <row r="475" spans="1:75" ht="13.5" customHeight="1">
      <c r="A475" s="21" t="s">
        <v>775</v>
      </c>
      <c r="B475" s="37" t="s">
        <v>1842</v>
      </c>
      <c r="C475" s="37" t="s">
        <v>637</v>
      </c>
      <c r="D475" s="578" t="s">
        <v>661</v>
      </c>
      <c r="E475" s="579"/>
      <c r="F475" s="37" t="s">
        <v>2398</v>
      </c>
      <c r="G475" s="14">
        <v>324</v>
      </c>
      <c r="H475" s="569"/>
      <c r="I475" s="55" t="s">
        <v>1720</v>
      </c>
      <c r="J475" s="14">
        <f>G475*AO475</f>
        <v>0</v>
      </c>
      <c r="K475" s="14">
        <f>G475*AP475</f>
        <v>0</v>
      </c>
      <c r="L475" s="14">
        <f>G475*H475</f>
        <v>0</v>
      </c>
      <c r="M475" s="14">
        <f>L475*(1+BW475/100)</f>
        <v>0</v>
      </c>
      <c r="N475" s="14">
        <v>0</v>
      </c>
      <c r="O475" s="14">
        <f>G475*N475</f>
        <v>0</v>
      </c>
      <c r="P475" s="72" t="s">
        <v>1664</v>
      </c>
      <c r="Z475" s="14">
        <f>IF(AQ475="5",BJ475,0)</f>
        <v>0</v>
      </c>
      <c r="AB475" s="14">
        <f>IF(AQ475="1",BH475,0)</f>
        <v>0</v>
      </c>
      <c r="AC475" s="14">
        <f>IF(AQ475="1",BI475,0)</f>
        <v>0</v>
      </c>
      <c r="AD475" s="14">
        <f>IF(AQ475="7",BH475,0)</f>
        <v>0</v>
      </c>
      <c r="AE475" s="14">
        <f>IF(AQ475="7",BI475,0)</f>
        <v>0</v>
      </c>
      <c r="AF475" s="14">
        <f>IF(AQ475="2",BH475,0)</f>
        <v>0</v>
      </c>
      <c r="AG475" s="14">
        <f>IF(AQ475="2",BI475,0)</f>
        <v>0</v>
      </c>
      <c r="AH475" s="14">
        <f>IF(AQ475="0",BJ475,0)</f>
        <v>0</v>
      </c>
      <c r="AI475" s="15" t="s">
        <v>1842</v>
      </c>
      <c r="AJ475" s="14">
        <f>IF(AN475=0,L475,0)</f>
        <v>0</v>
      </c>
      <c r="AK475" s="14">
        <f>IF(AN475=15,L475,0)</f>
        <v>0</v>
      </c>
      <c r="AL475" s="14">
        <f>IF(AN475=21,L475,0)</f>
        <v>0</v>
      </c>
      <c r="AN475" s="14">
        <v>21</v>
      </c>
      <c r="AO475" s="92">
        <f>H475*0</f>
        <v>0</v>
      </c>
      <c r="AP475" s="92">
        <f>H475*(1-0)</f>
        <v>0</v>
      </c>
      <c r="AQ475" s="55" t="s">
        <v>2435</v>
      </c>
      <c r="AV475" s="14">
        <f>AW475+AX475</f>
        <v>0</v>
      </c>
      <c r="AW475" s="14">
        <f>G475*AO475</f>
        <v>0</v>
      </c>
      <c r="AX475" s="14">
        <f>G475*AP475</f>
        <v>0</v>
      </c>
      <c r="AY475" s="55" t="s">
        <v>1898</v>
      </c>
      <c r="AZ475" s="55" t="s">
        <v>295</v>
      </c>
      <c r="BA475" s="15" t="s">
        <v>1843</v>
      </c>
      <c r="BC475" s="14">
        <f>AW475+AX475</f>
        <v>0</v>
      </c>
      <c r="BD475" s="14">
        <f>H475/(100-BE475)*100</f>
        <v>0</v>
      </c>
      <c r="BE475" s="14">
        <v>0</v>
      </c>
      <c r="BF475" s="14">
        <f>O475</f>
        <v>0</v>
      </c>
      <c r="BH475" s="14">
        <f>G475*AO475</f>
        <v>0</v>
      </c>
      <c r="BI475" s="14">
        <f>G475*AP475</f>
        <v>0</v>
      </c>
      <c r="BJ475" s="14">
        <f>G475*H475</f>
        <v>0</v>
      </c>
      <c r="BK475" s="14"/>
      <c r="BL475" s="14">
        <v>713</v>
      </c>
      <c r="BW475" s="14" t="str">
        <f>I475</f>
        <v>21</v>
      </c>
    </row>
    <row r="476" spans="1:75" ht="15" customHeight="1">
      <c r="A476" s="32"/>
      <c r="D476" s="3" t="s">
        <v>1365</v>
      </c>
      <c r="E476" s="28" t="s">
        <v>2453</v>
      </c>
      <c r="G476" s="27">
        <v>324</v>
      </c>
      <c r="P476" s="33"/>
    </row>
    <row r="477" spans="1:75" ht="13.5" customHeight="1">
      <c r="A477" s="20" t="s">
        <v>1956</v>
      </c>
      <c r="B477" s="84" t="s">
        <v>1842</v>
      </c>
      <c r="C477" s="84" t="s">
        <v>1800</v>
      </c>
      <c r="D477" s="653" t="s">
        <v>2154</v>
      </c>
      <c r="E477" s="654"/>
      <c r="F477" s="84" t="s">
        <v>2398</v>
      </c>
      <c r="G477" s="6">
        <v>330.48</v>
      </c>
      <c r="H477" s="570"/>
      <c r="I477" s="18" t="s">
        <v>1720</v>
      </c>
      <c r="J477" s="6">
        <f>G477*AO477</f>
        <v>0</v>
      </c>
      <c r="K477" s="6">
        <f>G477*AP477</f>
        <v>0</v>
      </c>
      <c r="L477" s="6">
        <f>G477*H477</f>
        <v>0</v>
      </c>
      <c r="M477" s="6">
        <f>L477*(1+BW477/100)</f>
        <v>0</v>
      </c>
      <c r="N477" s="6">
        <v>3.0000000000000001E-3</v>
      </c>
      <c r="O477" s="6">
        <f>G477*N477</f>
        <v>0.9914400000000001</v>
      </c>
      <c r="P477" s="109" t="s">
        <v>1664</v>
      </c>
      <c r="Z477" s="14">
        <f>IF(AQ477="5",BJ477,0)</f>
        <v>0</v>
      </c>
      <c r="AB477" s="14">
        <f>IF(AQ477="1",BH477,0)</f>
        <v>0</v>
      </c>
      <c r="AC477" s="14">
        <f>IF(AQ477="1",BI477,0)</f>
        <v>0</v>
      </c>
      <c r="AD477" s="14">
        <f>IF(AQ477="7",BH477,0)</f>
        <v>0</v>
      </c>
      <c r="AE477" s="14">
        <f>IF(AQ477="7",BI477,0)</f>
        <v>0</v>
      </c>
      <c r="AF477" s="14">
        <f>IF(AQ477="2",BH477,0)</f>
        <v>0</v>
      </c>
      <c r="AG477" s="14">
        <f>IF(AQ477="2",BI477,0)</f>
        <v>0</v>
      </c>
      <c r="AH477" s="14">
        <f>IF(AQ477="0",BJ477,0)</f>
        <v>0</v>
      </c>
      <c r="AI477" s="15" t="s">
        <v>1842</v>
      </c>
      <c r="AJ477" s="6">
        <f>IF(AN477=0,L477,0)</f>
        <v>0</v>
      </c>
      <c r="AK477" s="6">
        <f>IF(AN477=15,L477,0)</f>
        <v>0</v>
      </c>
      <c r="AL477" s="6">
        <f>IF(AN477=21,L477,0)</f>
        <v>0</v>
      </c>
      <c r="AN477" s="14">
        <v>21</v>
      </c>
      <c r="AO477" s="92">
        <f>H477*1</f>
        <v>0</v>
      </c>
      <c r="AP477" s="92">
        <f>H477*(1-1)</f>
        <v>0</v>
      </c>
      <c r="AQ477" s="18" t="s">
        <v>2435</v>
      </c>
      <c r="AV477" s="14">
        <f>AW477+AX477</f>
        <v>0</v>
      </c>
      <c r="AW477" s="14">
        <f>G477*AO477</f>
        <v>0</v>
      </c>
      <c r="AX477" s="14">
        <f>G477*AP477</f>
        <v>0</v>
      </c>
      <c r="AY477" s="55" t="s">
        <v>1898</v>
      </c>
      <c r="AZ477" s="55" t="s">
        <v>295</v>
      </c>
      <c r="BA477" s="15" t="s">
        <v>1843</v>
      </c>
      <c r="BC477" s="14">
        <f>AW477+AX477</f>
        <v>0</v>
      </c>
      <c r="BD477" s="14">
        <f>H477/(100-BE477)*100</f>
        <v>0</v>
      </c>
      <c r="BE477" s="14">
        <v>0</v>
      </c>
      <c r="BF477" s="14">
        <f>O477</f>
        <v>0.9914400000000001</v>
      </c>
      <c r="BH477" s="6">
        <f>G477*AO477</f>
        <v>0</v>
      </c>
      <c r="BI477" s="6">
        <f>G477*AP477</f>
        <v>0</v>
      </c>
      <c r="BJ477" s="6">
        <f>G477*H477</f>
        <v>0</v>
      </c>
      <c r="BK477" s="6"/>
      <c r="BL477" s="14">
        <v>713</v>
      </c>
      <c r="BW477" s="14" t="str">
        <f>I477</f>
        <v>21</v>
      </c>
    </row>
    <row r="478" spans="1:75" ht="15" customHeight="1">
      <c r="A478" s="32"/>
      <c r="D478" s="3" t="s">
        <v>1365</v>
      </c>
      <c r="E478" s="28" t="s">
        <v>1683</v>
      </c>
      <c r="G478" s="27">
        <v>324</v>
      </c>
      <c r="P478" s="33"/>
    </row>
    <row r="479" spans="1:75" ht="15" customHeight="1">
      <c r="A479" s="32"/>
      <c r="D479" s="3" t="s">
        <v>2733</v>
      </c>
      <c r="E479" s="28" t="s">
        <v>1683</v>
      </c>
      <c r="G479" s="27">
        <v>6.48</v>
      </c>
      <c r="P479" s="33"/>
    </row>
    <row r="480" spans="1:75" ht="13.5" customHeight="1">
      <c r="A480" s="21" t="s">
        <v>1280</v>
      </c>
      <c r="B480" s="37" t="s">
        <v>1842</v>
      </c>
      <c r="C480" s="37" t="s">
        <v>1189</v>
      </c>
      <c r="D480" s="578" t="s">
        <v>1725</v>
      </c>
      <c r="E480" s="579"/>
      <c r="F480" s="37" t="s">
        <v>2398</v>
      </c>
      <c r="G480" s="14">
        <v>114</v>
      </c>
      <c r="H480" s="569"/>
      <c r="I480" s="55" t="s">
        <v>1720</v>
      </c>
      <c r="J480" s="14">
        <f>G480*AO480</f>
        <v>0</v>
      </c>
      <c r="K480" s="14">
        <f>G480*AP480</f>
        <v>0</v>
      </c>
      <c r="L480" s="14">
        <f>G480*H480</f>
        <v>0</v>
      </c>
      <c r="M480" s="14">
        <f>L480*(1+BW480/100)</f>
        <v>0</v>
      </c>
      <c r="N480" s="14">
        <v>0</v>
      </c>
      <c r="O480" s="14">
        <f>G480*N480</f>
        <v>0</v>
      </c>
      <c r="P480" s="72" t="s">
        <v>1664</v>
      </c>
      <c r="Z480" s="14">
        <f>IF(AQ480="5",BJ480,0)</f>
        <v>0</v>
      </c>
      <c r="AB480" s="14">
        <f>IF(AQ480="1",BH480,0)</f>
        <v>0</v>
      </c>
      <c r="AC480" s="14">
        <f>IF(AQ480="1",BI480,0)</f>
        <v>0</v>
      </c>
      <c r="AD480" s="14">
        <f>IF(AQ480="7",BH480,0)</f>
        <v>0</v>
      </c>
      <c r="AE480" s="14">
        <f>IF(AQ480="7",BI480,0)</f>
        <v>0</v>
      </c>
      <c r="AF480" s="14">
        <f>IF(AQ480="2",BH480,0)</f>
        <v>0</v>
      </c>
      <c r="AG480" s="14">
        <f>IF(AQ480="2",BI480,0)</f>
        <v>0</v>
      </c>
      <c r="AH480" s="14">
        <f>IF(AQ480="0",BJ480,0)</f>
        <v>0</v>
      </c>
      <c r="AI480" s="15" t="s">
        <v>1842</v>
      </c>
      <c r="AJ480" s="14">
        <f>IF(AN480=0,L480,0)</f>
        <v>0</v>
      </c>
      <c r="AK480" s="14">
        <f>IF(AN480=15,L480,0)</f>
        <v>0</v>
      </c>
      <c r="AL480" s="14">
        <f>IF(AN480=21,L480,0)</f>
        <v>0</v>
      </c>
      <c r="AN480" s="14">
        <v>21</v>
      </c>
      <c r="AO480" s="92">
        <f>H480*0</f>
        <v>0</v>
      </c>
      <c r="AP480" s="92">
        <f>H480*(1-0)</f>
        <v>0</v>
      </c>
      <c r="AQ480" s="55" t="s">
        <v>2435</v>
      </c>
      <c r="AV480" s="14">
        <f>AW480+AX480</f>
        <v>0</v>
      </c>
      <c r="AW480" s="14">
        <f>G480*AO480</f>
        <v>0</v>
      </c>
      <c r="AX480" s="14">
        <f>G480*AP480</f>
        <v>0</v>
      </c>
      <c r="AY480" s="55" t="s">
        <v>1898</v>
      </c>
      <c r="AZ480" s="55" t="s">
        <v>295</v>
      </c>
      <c r="BA480" s="15" t="s">
        <v>1843</v>
      </c>
      <c r="BC480" s="14">
        <f>AW480+AX480</f>
        <v>0</v>
      </c>
      <c r="BD480" s="14">
        <f>H480/(100-BE480)*100</f>
        <v>0</v>
      </c>
      <c r="BE480" s="14">
        <v>0</v>
      </c>
      <c r="BF480" s="14">
        <f>O480</f>
        <v>0</v>
      </c>
      <c r="BH480" s="14">
        <f>G480*AO480</f>
        <v>0</v>
      </c>
      <c r="BI480" s="14">
        <f>G480*AP480</f>
        <v>0</v>
      </c>
      <c r="BJ480" s="14">
        <f>G480*H480</f>
        <v>0</v>
      </c>
      <c r="BK480" s="14"/>
      <c r="BL480" s="14">
        <v>713</v>
      </c>
      <c r="BW480" s="14" t="str">
        <f>I480</f>
        <v>21</v>
      </c>
    </row>
    <row r="481" spans="1:75" ht="15" customHeight="1">
      <c r="A481" s="32"/>
      <c r="D481" s="3" t="s">
        <v>2503</v>
      </c>
      <c r="E481" s="28" t="s">
        <v>2378</v>
      </c>
      <c r="G481" s="27">
        <v>114.00000000000001</v>
      </c>
      <c r="P481" s="33"/>
    </row>
    <row r="482" spans="1:75" ht="13.5" customHeight="1">
      <c r="A482" s="20" t="s">
        <v>46</v>
      </c>
      <c r="B482" s="84" t="s">
        <v>1842</v>
      </c>
      <c r="C482" s="84" t="s">
        <v>792</v>
      </c>
      <c r="D482" s="653" t="s">
        <v>1178</v>
      </c>
      <c r="E482" s="654"/>
      <c r="F482" s="84" t="s">
        <v>2398</v>
      </c>
      <c r="G482" s="6">
        <v>239.4</v>
      </c>
      <c r="H482" s="570"/>
      <c r="I482" s="18" t="s">
        <v>1720</v>
      </c>
      <c r="J482" s="6">
        <f>G482*AO482</f>
        <v>0</v>
      </c>
      <c r="K482" s="6">
        <f>G482*AP482</f>
        <v>0</v>
      </c>
      <c r="L482" s="6">
        <f>G482*H482</f>
        <v>0</v>
      </c>
      <c r="M482" s="6">
        <f>L482*(1+BW482/100)</f>
        <v>0</v>
      </c>
      <c r="N482" s="6">
        <v>1.5E-3</v>
      </c>
      <c r="O482" s="6">
        <f>G482*N482</f>
        <v>0.35910000000000003</v>
      </c>
      <c r="P482" s="109" t="s">
        <v>1664</v>
      </c>
      <c r="Z482" s="14">
        <f>IF(AQ482="5",BJ482,0)</f>
        <v>0</v>
      </c>
      <c r="AB482" s="14">
        <f>IF(AQ482="1",BH482,0)</f>
        <v>0</v>
      </c>
      <c r="AC482" s="14">
        <f>IF(AQ482="1",BI482,0)</f>
        <v>0</v>
      </c>
      <c r="AD482" s="14">
        <f>IF(AQ482="7",BH482,0)</f>
        <v>0</v>
      </c>
      <c r="AE482" s="14">
        <f>IF(AQ482="7",BI482,0)</f>
        <v>0</v>
      </c>
      <c r="AF482" s="14">
        <f>IF(AQ482="2",BH482,0)</f>
        <v>0</v>
      </c>
      <c r="AG482" s="14">
        <f>IF(AQ482="2",BI482,0)</f>
        <v>0</v>
      </c>
      <c r="AH482" s="14">
        <f>IF(AQ482="0",BJ482,0)</f>
        <v>0</v>
      </c>
      <c r="AI482" s="15" t="s">
        <v>1842</v>
      </c>
      <c r="AJ482" s="6">
        <f>IF(AN482=0,L482,0)</f>
        <v>0</v>
      </c>
      <c r="AK482" s="6">
        <f>IF(AN482=15,L482,0)</f>
        <v>0</v>
      </c>
      <c r="AL482" s="6">
        <f>IF(AN482=21,L482,0)</f>
        <v>0</v>
      </c>
      <c r="AN482" s="14">
        <v>21</v>
      </c>
      <c r="AO482" s="92">
        <f>H482*1</f>
        <v>0</v>
      </c>
      <c r="AP482" s="92">
        <f>H482*(1-1)</f>
        <v>0</v>
      </c>
      <c r="AQ482" s="18" t="s">
        <v>2435</v>
      </c>
      <c r="AV482" s="14">
        <f>AW482+AX482</f>
        <v>0</v>
      </c>
      <c r="AW482" s="14">
        <f>G482*AO482</f>
        <v>0</v>
      </c>
      <c r="AX482" s="14">
        <f>G482*AP482</f>
        <v>0</v>
      </c>
      <c r="AY482" s="55" t="s">
        <v>1898</v>
      </c>
      <c r="AZ482" s="55" t="s">
        <v>295</v>
      </c>
      <c r="BA482" s="15" t="s">
        <v>1843</v>
      </c>
      <c r="BC482" s="14">
        <f>AW482+AX482</f>
        <v>0</v>
      </c>
      <c r="BD482" s="14">
        <f>H482/(100-BE482)*100</f>
        <v>0</v>
      </c>
      <c r="BE482" s="14">
        <v>0</v>
      </c>
      <c r="BF482" s="14">
        <f>O482</f>
        <v>0.35910000000000003</v>
      </c>
      <c r="BH482" s="6">
        <f>G482*AO482</f>
        <v>0</v>
      </c>
      <c r="BI482" s="6">
        <f>G482*AP482</f>
        <v>0</v>
      </c>
      <c r="BJ482" s="6">
        <f>G482*H482</f>
        <v>0</v>
      </c>
      <c r="BK482" s="6"/>
      <c r="BL482" s="14">
        <v>713</v>
      </c>
      <c r="BW482" s="14" t="str">
        <f>I482</f>
        <v>21</v>
      </c>
    </row>
    <row r="483" spans="1:75" ht="15" customHeight="1">
      <c r="A483" s="32"/>
      <c r="D483" s="3" t="s">
        <v>1952</v>
      </c>
      <c r="E483" s="28" t="s">
        <v>1683</v>
      </c>
      <c r="G483" s="27">
        <v>228.00000000000003</v>
      </c>
      <c r="P483" s="33"/>
    </row>
    <row r="484" spans="1:75" ht="15" customHeight="1">
      <c r="A484" s="32"/>
      <c r="D484" s="3" t="s">
        <v>2743</v>
      </c>
      <c r="E484" s="28" t="s">
        <v>1683</v>
      </c>
      <c r="G484" s="27">
        <v>11.4</v>
      </c>
      <c r="P484" s="33"/>
    </row>
    <row r="485" spans="1:75" ht="15" customHeight="1">
      <c r="A485" s="65" t="s">
        <v>1683</v>
      </c>
      <c r="B485" s="26" t="s">
        <v>1842</v>
      </c>
      <c r="C485" s="26" t="s">
        <v>1512</v>
      </c>
      <c r="D485" s="649" t="s">
        <v>2590</v>
      </c>
      <c r="E485" s="650"/>
      <c r="F485" s="74" t="s">
        <v>2262</v>
      </c>
      <c r="G485" s="74" t="s">
        <v>2262</v>
      </c>
      <c r="H485" s="74" t="s">
        <v>2262</v>
      </c>
      <c r="I485" s="74" t="s">
        <v>2262</v>
      </c>
      <c r="J485" s="2">
        <f>SUM(J486:J507)</f>
        <v>0</v>
      </c>
      <c r="K485" s="2">
        <f>SUM(K486:K507)</f>
        <v>0</v>
      </c>
      <c r="L485" s="2">
        <f>SUM(L486:L507)</f>
        <v>0</v>
      </c>
      <c r="M485" s="2">
        <f>SUM(M486:M507)</f>
        <v>0</v>
      </c>
      <c r="N485" s="15" t="s">
        <v>1683</v>
      </c>
      <c r="O485" s="2">
        <f>SUM(O486:O507)</f>
        <v>11.3144492</v>
      </c>
      <c r="P485" s="47" t="s">
        <v>1683</v>
      </c>
      <c r="AI485" s="15" t="s">
        <v>1842</v>
      </c>
      <c r="AS485" s="2">
        <f>SUM(AJ486:AJ507)</f>
        <v>0</v>
      </c>
      <c r="AT485" s="2">
        <f>SUM(AK486:AK507)</f>
        <v>0</v>
      </c>
      <c r="AU485" s="2">
        <f>SUM(AL486:AL507)</f>
        <v>0</v>
      </c>
    </row>
    <row r="486" spans="1:75" ht="13.5" customHeight="1">
      <c r="A486" s="21" t="s">
        <v>1832</v>
      </c>
      <c r="B486" s="37" t="s">
        <v>1842</v>
      </c>
      <c r="C486" s="37" t="s">
        <v>1429</v>
      </c>
      <c r="D486" s="578" t="s">
        <v>721</v>
      </c>
      <c r="E486" s="579"/>
      <c r="F486" s="37" t="s">
        <v>2398</v>
      </c>
      <c r="G486" s="14">
        <v>162</v>
      </c>
      <c r="H486" s="569"/>
      <c r="I486" s="55" t="s">
        <v>1720</v>
      </c>
      <c r="J486" s="14">
        <f>G486*AO486</f>
        <v>0</v>
      </c>
      <c r="K486" s="14">
        <f>G486*AP486</f>
        <v>0</v>
      </c>
      <c r="L486" s="14">
        <f>G486*H486</f>
        <v>0</v>
      </c>
      <c r="M486" s="14">
        <f>L486*(1+BW486/100)</f>
        <v>0</v>
      </c>
      <c r="N486" s="14">
        <v>0</v>
      </c>
      <c r="O486" s="14">
        <f>G486*N486</f>
        <v>0</v>
      </c>
      <c r="P486" s="72" t="s">
        <v>1664</v>
      </c>
      <c r="Z486" s="14">
        <f>IF(AQ486="5",BJ486,0)</f>
        <v>0</v>
      </c>
      <c r="AB486" s="14">
        <f>IF(AQ486="1",BH486,0)</f>
        <v>0</v>
      </c>
      <c r="AC486" s="14">
        <f>IF(AQ486="1",BI486,0)</f>
        <v>0</v>
      </c>
      <c r="AD486" s="14">
        <f>IF(AQ486="7",BH486,0)</f>
        <v>0</v>
      </c>
      <c r="AE486" s="14">
        <f>IF(AQ486="7",BI486,0)</f>
        <v>0</v>
      </c>
      <c r="AF486" s="14">
        <f>IF(AQ486="2",BH486,0)</f>
        <v>0</v>
      </c>
      <c r="AG486" s="14">
        <f>IF(AQ486="2",BI486,0)</f>
        <v>0</v>
      </c>
      <c r="AH486" s="14">
        <f>IF(AQ486="0",BJ486,0)</f>
        <v>0</v>
      </c>
      <c r="AI486" s="15" t="s">
        <v>1842</v>
      </c>
      <c r="AJ486" s="14">
        <f>IF(AN486=0,L486,0)</f>
        <v>0</v>
      </c>
      <c r="AK486" s="14">
        <f>IF(AN486=15,L486,0)</f>
        <v>0</v>
      </c>
      <c r="AL486" s="14">
        <f>IF(AN486=21,L486,0)</f>
        <v>0</v>
      </c>
      <c r="AN486" s="14">
        <v>21</v>
      </c>
      <c r="AO486" s="92">
        <f>H486*0</f>
        <v>0</v>
      </c>
      <c r="AP486" s="92">
        <f>H486*(1-0)</f>
        <v>0</v>
      </c>
      <c r="AQ486" s="55" t="s">
        <v>2435</v>
      </c>
      <c r="AV486" s="14">
        <f>AW486+AX486</f>
        <v>0</v>
      </c>
      <c r="AW486" s="14">
        <f>G486*AO486</f>
        <v>0</v>
      </c>
      <c r="AX486" s="14">
        <f>G486*AP486</f>
        <v>0</v>
      </c>
      <c r="AY486" s="55" t="s">
        <v>1526</v>
      </c>
      <c r="AZ486" s="55" t="s">
        <v>1095</v>
      </c>
      <c r="BA486" s="15" t="s">
        <v>1843</v>
      </c>
      <c r="BC486" s="14">
        <f>AW486+AX486</f>
        <v>0</v>
      </c>
      <c r="BD486" s="14">
        <f>H486/(100-BE486)*100</f>
        <v>0</v>
      </c>
      <c r="BE486" s="14">
        <v>0</v>
      </c>
      <c r="BF486" s="14">
        <f>O486</f>
        <v>0</v>
      </c>
      <c r="BH486" s="14">
        <f>G486*AO486</f>
        <v>0</v>
      </c>
      <c r="BI486" s="14">
        <f>G486*AP486</f>
        <v>0</v>
      </c>
      <c r="BJ486" s="14">
        <f>G486*H486</f>
        <v>0</v>
      </c>
      <c r="BK486" s="14"/>
      <c r="BL486" s="14">
        <v>762</v>
      </c>
      <c r="BW486" s="14" t="str">
        <f>I486</f>
        <v>21</v>
      </c>
    </row>
    <row r="487" spans="1:75" ht="15" customHeight="1">
      <c r="A487" s="32"/>
      <c r="D487" s="3" t="s">
        <v>1342</v>
      </c>
      <c r="E487" s="28" t="s">
        <v>113</v>
      </c>
      <c r="G487" s="27">
        <v>162</v>
      </c>
      <c r="P487" s="33"/>
    </row>
    <row r="488" spans="1:75" ht="13.5" customHeight="1">
      <c r="A488" s="20" t="s">
        <v>2638</v>
      </c>
      <c r="B488" s="84" t="s">
        <v>1842</v>
      </c>
      <c r="C488" s="84" t="s">
        <v>193</v>
      </c>
      <c r="D488" s="653" t="s">
        <v>1829</v>
      </c>
      <c r="E488" s="654"/>
      <c r="F488" s="84" t="s">
        <v>2398</v>
      </c>
      <c r="G488" s="6">
        <v>178.2</v>
      </c>
      <c r="H488" s="570"/>
      <c r="I488" s="18" t="s">
        <v>1720</v>
      </c>
      <c r="J488" s="6">
        <f>G488*AO488</f>
        <v>0</v>
      </c>
      <c r="K488" s="6">
        <f>G488*AP488</f>
        <v>0</v>
      </c>
      <c r="L488" s="6">
        <f>G488*H488</f>
        <v>0</v>
      </c>
      <c r="M488" s="6">
        <f>L488*(1+BW488/100)</f>
        <v>0</v>
      </c>
      <c r="N488" s="6">
        <v>1.09E-2</v>
      </c>
      <c r="O488" s="6">
        <f>G488*N488</f>
        <v>1.9423799999999998</v>
      </c>
      <c r="P488" s="109" t="s">
        <v>1664</v>
      </c>
      <c r="Z488" s="14">
        <f>IF(AQ488="5",BJ488,0)</f>
        <v>0</v>
      </c>
      <c r="AB488" s="14">
        <f>IF(AQ488="1",BH488,0)</f>
        <v>0</v>
      </c>
      <c r="AC488" s="14">
        <f>IF(AQ488="1",BI488,0)</f>
        <v>0</v>
      </c>
      <c r="AD488" s="14">
        <f>IF(AQ488="7",BH488,0)</f>
        <v>0</v>
      </c>
      <c r="AE488" s="14">
        <f>IF(AQ488="7",BI488,0)</f>
        <v>0</v>
      </c>
      <c r="AF488" s="14">
        <f>IF(AQ488="2",BH488,0)</f>
        <v>0</v>
      </c>
      <c r="AG488" s="14">
        <f>IF(AQ488="2",BI488,0)</f>
        <v>0</v>
      </c>
      <c r="AH488" s="14">
        <f>IF(AQ488="0",BJ488,0)</f>
        <v>0</v>
      </c>
      <c r="AI488" s="15" t="s">
        <v>1842</v>
      </c>
      <c r="AJ488" s="6">
        <f>IF(AN488=0,L488,0)</f>
        <v>0</v>
      </c>
      <c r="AK488" s="6">
        <f>IF(AN488=15,L488,0)</f>
        <v>0</v>
      </c>
      <c r="AL488" s="6">
        <f>IF(AN488=21,L488,0)</f>
        <v>0</v>
      </c>
      <c r="AN488" s="14">
        <v>21</v>
      </c>
      <c r="AO488" s="92">
        <f>H488*1</f>
        <v>0</v>
      </c>
      <c r="AP488" s="92">
        <f>H488*(1-1)</f>
        <v>0</v>
      </c>
      <c r="AQ488" s="18" t="s">
        <v>2435</v>
      </c>
      <c r="AV488" s="14">
        <f>AW488+AX488</f>
        <v>0</v>
      </c>
      <c r="AW488" s="14">
        <f>G488*AO488</f>
        <v>0</v>
      </c>
      <c r="AX488" s="14">
        <f>G488*AP488</f>
        <v>0</v>
      </c>
      <c r="AY488" s="55" t="s">
        <v>1526</v>
      </c>
      <c r="AZ488" s="55" t="s">
        <v>1095</v>
      </c>
      <c r="BA488" s="15" t="s">
        <v>1843</v>
      </c>
      <c r="BC488" s="14">
        <f>AW488+AX488</f>
        <v>0</v>
      </c>
      <c r="BD488" s="14">
        <f>H488/(100-BE488)*100</f>
        <v>0</v>
      </c>
      <c r="BE488" s="14">
        <v>0</v>
      </c>
      <c r="BF488" s="14">
        <f>O488</f>
        <v>1.9423799999999998</v>
      </c>
      <c r="BH488" s="6">
        <f>G488*AO488</f>
        <v>0</v>
      </c>
      <c r="BI488" s="6">
        <f>G488*AP488</f>
        <v>0</v>
      </c>
      <c r="BJ488" s="6">
        <f>G488*H488</f>
        <v>0</v>
      </c>
      <c r="BK488" s="6"/>
      <c r="BL488" s="14">
        <v>762</v>
      </c>
      <c r="BW488" s="14" t="str">
        <f>I488</f>
        <v>21</v>
      </c>
    </row>
    <row r="489" spans="1:75" ht="15" customHeight="1">
      <c r="A489" s="32"/>
      <c r="D489" s="3" t="s">
        <v>1342</v>
      </c>
      <c r="E489" s="28" t="s">
        <v>1683</v>
      </c>
      <c r="G489" s="27">
        <v>162</v>
      </c>
      <c r="P489" s="33"/>
    </row>
    <row r="490" spans="1:75" ht="15" customHeight="1">
      <c r="A490" s="32"/>
      <c r="D490" s="3" t="s">
        <v>1877</v>
      </c>
      <c r="E490" s="28" t="s">
        <v>1683</v>
      </c>
      <c r="G490" s="27">
        <v>16.200000000000003</v>
      </c>
      <c r="P490" s="33"/>
    </row>
    <row r="491" spans="1:75" ht="13.5" customHeight="1">
      <c r="A491" s="21" t="s">
        <v>2412</v>
      </c>
      <c r="B491" s="37" t="s">
        <v>1842</v>
      </c>
      <c r="C491" s="37" t="s">
        <v>2492</v>
      </c>
      <c r="D491" s="578" t="s">
        <v>171</v>
      </c>
      <c r="E491" s="579"/>
      <c r="F491" s="37" t="s">
        <v>2398</v>
      </c>
      <c r="G491" s="14">
        <v>162</v>
      </c>
      <c r="H491" s="569"/>
      <c r="I491" s="55" t="s">
        <v>1720</v>
      </c>
      <c r="J491" s="14">
        <f>G491*AO491</f>
        <v>0</v>
      </c>
      <c r="K491" s="14">
        <f>G491*AP491</f>
        <v>0</v>
      </c>
      <c r="L491" s="14">
        <f>G491*H491</f>
        <v>0</v>
      </c>
      <c r="M491" s="14">
        <f>L491*(1+BW491/100)</f>
        <v>0</v>
      </c>
      <c r="N491" s="14">
        <v>0</v>
      </c>
      <c r="O491" s="14">
        <f>G491*N491</f>
        <v>0</v>
      </c>
      <c r="P491" s="72" t="s">
        <v>1664</v>
      </c>
      <c r="Z491" s="14">
        <f>IF(AQ491="5",BJ491,0)</f>
        <v>0</v>
      </c>
      <c r="AB491" s="14">
        <f>IF(AQ491="1",BH491,0)</f>
        <v>0</v>
      </c>
      <c r="AC491" s="14">
        <f>IF(AQ491="1",BI491,0)</f>
        <v>0</v>
      </c>
      <c r="AD491" s="14">
        <f>IF(AQ491="7",BH491,0)</f>
        <v>0</v>
      </c>
      <c r="AE491" s="14">
        <f>IF(AQ491="7",BI491,0)</f>
        <v>0</v>
      </c>
      <c r="AF491" s="14">
        <f>IF(AQ491="2",BH491,0)</f>
        <v>0</v>
      </c>
      <c r="AG491" s="14">
        <f>IF(AQ491="2",BI491,0)</f>
        <v>0</v>
      </c>
      <c r="AH491" s="14">
        <f>IF(AQ491="0",BJ491,0)</f>
        <v>0</v>
      </c>
      <c r="AI491" s="15" t="s">
        <v>1842</v>
      </c>
      <c r="AJ491" s="14">
        <f>IF(AN491=0,L491,0)</f>
        <v>0</v>
      </c>
      <c r="AK491" s="14">
        <f>IF(AN491=15,L491,0)</f>
        <v>0</v>
      </c>
      <c r="AL491" s="14">
        <f>IF(AN491=21,L491,0)</f>
        <v>0</v>
      </c>
      <c r="AN491" s="14">
        <v>21</v>
      </c>
      <c r="AO491" s="92">
        <f>H491*0</f>
        <v>0</v>
      </c>
      <c r="AP491" s="92">
        <f>H491*(1-0)</f>
        <v>0</v>
      </c>
      <c r="AQ491" s="55" t="s">
        <v>2435</v>
      </c>
      <c r="AV491" s="14">
        <f>AW491+AX491</f>
        <v>0</v>
      </c>
      <c r="AW491" s="14">
        <f>G491*AO491</f>
        <v>0</v>
      </c>
      <c r="AX491" s="14">
        <f>G491*AP491</f>
        <v>0</v>
      </c>
      <c r="AY491" s="55" t="s">
        <v>1526</v>
      </c>
      <c r="AZ491" s="55" t="s">
        <v>1095</v>
      </c>
      <c r="BA491" s="15" t="s">
        <v>1843</v>
      </c>
      <c r="BC491" s="14">
        <f>AW491+AX491</f>
        <v>0</v>
      </c>
      <c r="BD491" s="14">
        <f>H491/(100-BE491)*100</f>
        <v>0</v>
      </c>
      <c r="BE491" s="14">
        <v>0</v>
      </c>
      <c r="BF491" s="14">
        <f>O491</f>
        <v>0</v>
      </c>
      <c r="BH491" s="14">
        <f>G491*AO491</f>
        <v>0</v>
      </c>
      <c r="BI491" s="14">
        <f>G491*AP491</f>
        <v>0</v>
      </c>
      <c r="BJ491" s="14">
        <f>G491*H491</f>
        <v>0</v>
      </c>
      <c r="BK491" s="14"/>
      <c r="BL491" s="14">
        <v>762</v>
      </c>
      <c r="BW491" s="14" t="str">
        <f>I491</f>
        <v>21</v>
      </c>
    </row>
    <row r="492" spans="1:75" ht="15" customHeight="1">
      <c r="A492" s="32"/>
      <c r="D492" s="3" t="s">
        <v>1342</v>
      </c>
      <c r="E492" s="28" t="s">
        <v>113</v>
      </c>
      <c r="G492" s="27">
        <v>162</v>
      </c>
      <c r="P492" s="33"/>
    </row>
    <row r="493" spans="1:75" ht="13.5" customHeight="1">
      <c r="A493" s="20" t="s">
        <v>1872</v>
      </c>
      <c r="B493" s="84" t="s">
        <v>1842</v>
      </c>
      <c r="C493" s="84" t="s">
        <v>689</v>
      </c>
      <c r="D493" s="653" t="s">
        <v>2599</v>
      </c>
      <c r="E493" s="654"/>
      <c r="F493" s="84" t="s">
        <v>2398</v>
      </c>
      <c r="G493" s="6">
        <v>356.4</v>
      </c>
      <c r="H493" s="570"/>
      <c r="I493" s="18" t="s">
        <v>1720</v>
      </c>
      <c r="J493" s="6">
        <f>G493*AO493</f>
        <v>0</v>
      </c>
      <c r="K493" s="6">
        <f>G493*AP493</f>
        <v>0</v>
      </c>
      <c r="L493" s="6">
        <f>G493*H493</f>
        <v>0</v>
      </c>
      <c r="M493" s="6">
        <f>L493*(1+BW493/100)</f>
        <v>0</v>
      </c>
      <c r="N493" s="6">
        <v>8.2500000000000004E-3</v>
      </c>
      <c r="O493" s="6">
        <f>G493*N493</f>
        <v>2.9403000000000001</v>
      </c>
      <c r="P493" s="109" t="s">
        <v>1664</v>
      </c>
      <c r="Z493" s="14">
        <f>IF(AQ493="5",BJ493,0)</f>
        <v>0</v>
      </c>
      <c r="AB493" s="14">
        <f>IF(AQ493="1",BH493,0)</f>
        <v>0</v>
      </c>
      <c r="AC493" s="14">
        <f>IF(AQ493="1",BI493,0)</f>
        <v>0</v>
      </c>
      <c r="AD493" s="14">
        <f>IF(AQ493="7",BH493,0)</f>
        <v>0</v>
      </c>
      <c r="AE493" s="14">
        <f>IF(AQ493="7",BI493,0)</f>
        <v>0</v>
      </c>
      <c r="AF493" s="14">
        <f>IF(AQ493="2",BH493,0)</f>
        <v>0</v>
      </c>
      <c r="AG493" s="14">
        <f>IF(AQ493="2",BI493,0)</f>
        <v>0</v>
      </c>
      <c r="AH493" s="14">
        <f>IF(AQ493="0",BJ493,0)</f>
        <v>0</v>
      </c>
      <c r="AI493" s="15" t="s">
        <v>1842</v>
      </c>
      <c r="AJ493" s="6">
        <f>IF(AN493=0,L493,0)</f>
        <v>0</v>
      </c>
      <c r="AK493" s="6">
        <f>IF(AN493=15,L493,0)</f>
        <v>0</v>
      </c>
      <c r="AL493" s="6">
        <f>IF(AN493=21,L493,0)</f>
        <v>0</v>
      </c>
      <c r="AN493" s="14">
        <v>21</v>
      </c>
      <c r="AO493" s="92">
        <f>H493*1</f>
        <v>0</v>
      </c>
      <c r="AP493" s="92">
        <f>H493*(1-1)</f>
        <v>0</v>
      </c>
      <c r="AQ493" s="18" t="s">
        <v>2435</v>
      </c>
      <c r="AV493" s="14">
        <f>AW493+AX493</f>
        <v>0</v>
      </c>
      <c r="AW493" s="14">
        <f>G493*AO493</f>
        <v>0</v>
      </c>
      <c r="AX493" s="14">
        <f>G493*AP493</f>
        <v>0</v>
      </c>
      <c r="AY493" s="55" t="s">
        <v>1526</v>
      </c>
      <c r="AZ493" s="55" t="s">
        <v>1095</v>
      </c>
      <c r="BA493" s="15" t="s">
        <v>1843</v>
      </c>
      <c r="BC493" s="14">
        <f>AW493+AX493</f>
        <v>0</v>
      </c>
      <c r="BD493" s="14">
        <f>H493/(100-BE493)*100</f>
        <v>0</v>
      </c>
      <c r="BE493" s="14">
        <v>0</v>
      </c>
      <c r="BF493" s="14">
        <f>O493</f>
        <v>2.9403000000000001</v>
      </c>
      <c r="BH493" s="6">
        <f>G493*AO493</f>
        <v>0</v>
      </c>
      <c r="BI493" s="6">
        <f>G493*AP493</f>
        <v>0</v>
      </c>
      <c r="BJ493" s="6">
        <f>G493*H493</f>
        <v>0</v>
      </c>
      <c r="BK493" s="6"/>
      <c r="BL493" s="14">
        <v>762</v>
      </c>
      <c r="BW493" s="14" t="str">
        <f>I493</f>
        <v>21</v>
      </c>
    </row>
    <row r="494" spans="1:75" ht="15" customHeight="1">
      <c r="A494" s="32"/>
      <c r="D494" s="3" t="s">
        <v>1365</v>
      </c>
      <c r="E494" s="28" t="s">
        <v>1683</v>
      </c>
      <c r="G494" s="27">
        <v>324</v>
      </c>
      <c r="P494" s="33"/>
    </row>
    <row r="495" spans="1:75" ht="15" customHeight="1">
      <c r="A495" s="32"/>
      <c r="D495" s="3" t="s">
        <v>2116</v>
      </c>
      <c r="E495" s="28" t="s">
        <v>1683</v>
      </c>
      <c r="G495" s="27">
        <v>32.400000000000006</v>
      </c>
      <c r="P495" s="33"/>
    </row>
    <row r="496" spans="1:75" ht="13.5" customHeight="1">
      <c r="A496" s="21" t="s">
        <v>1538</v>
      </c>
      <c r="B496" s="37" t="s">
        <v>1842</v>
      </c>
      <c r="C496" s="37" t="s">
        <v>2492</v>
      </c>
      <c r="D496" s="578" t="s">
        <v>171</v>
      </c>
      <c r="E496" s="579"/>
      <c r="F496" s="37" t="s">
        <v>2398</v>
      </c>
      <c r="G496" s="14">
        <v>228</v>
      </c>
      <c r="H496" s="569"/>
      <c r="I496" s="55" t="s">
        <v>1720</v>
      </c>
      <c r="J496" s="14">
        <f>G496*AO496</f>
        <v>0</v>
      </c>
      <c r="K496" s="14">
        <f>G496*AP496</f>
        <v>0</v>
      </c>
      <c r="L496" s="14">
        <f>G496*H496</f>
        <v>0</v>
      </c>
      <c r="M496" s="14">
        <f>L496*(1+BW496/100)</f>
        <v>0</v>
      </c>
      <c r="N496" s="14">
        <v>0</v>
      </c>
      <c r="O496" s="14">
        <f>G496*N496</f>
        <v>0</v>
      </c>
      <c r="P496" s="72" t="s">
        <v>1664</v>
      </c>
      <c r="Z496" s="14">
        <f>IF(AQ496="5",BJ496,0)</f>
        <v>0</v>
      </c>
      <c r="AB496" s="14">
        <f>IF(AQ496="1",BH496,0)</f>
        <v>0</v>
      </c>
      <c r="AC496" s="14">
        <f>IF(AQ496="1",BI496,0)</f>
        <v>0</v>
      </c>
      <c r="AD496" s="14">
        <f>IF(AQ496="7",BH496,0)</f>
        <v>0</v>
      </c>
      <c r="AE496" s="14">
        <f>IF(AQ496="7",BI496,0)</f>
        <v>0</v>
      </c>
      <c r="AF496" s="14">
        <f>IF(AQ496="2",BH496,0)</f>
        <v>0</v>
      </c>
      <c r="AG496" s="14">
        <f>IF(AQ496="2",BI496,0)</f>
        <v>0</v>
      </c>
      <c r="AH496" s="14">
        <f>IF(AQ496="0",BJ496,0)</f>
        <v>0</v>
      </c>
      <c r="AI496" s="15" t="s">
        <v>1842</v>
      </c>
      <c r="AJ496" s="14">
        <f>IF(AN496=0,L496,0)</f>
        <v>0</v>
      </c>
      <c r="AK496" s="14">
        <f>IF(AN496=15,L496,0)</f>
        <v>0</v>
      </c>
      <c r="AL496" s="14">
        <f>IF(AN496=21,L496,0)</f>
        <v>0</v>
      </c>
      <c r="AN496" s="14">
        <v>21</v>
      </c>
      <c r="AO496" s="92">
        <f>H496*0</f>
        <v>0</v>
      </c>
      <c r="AP496" s="92">
        <f>H496*(1-0)</f>
        <v>0</v>
      </c>
      <c r="AQ496" s="55" t="s">
        <v>2435</v>
      </c>
      <c r="AV496" s="14">
        <f>AW496+AX496</f>
        <v>0</v>
      </c>
      <c r="AW496" s="14">
        <f>G496*AO496</f>
        <v>0</v>
      </c>
      <c r="AX496" s="14">
        <f>G496*AP496</f>
        <v>0</v>
      </c>
      <c r="AY496" s="55" t="s">
        <v>1526</v>
      </c>
      <c r="AZ496" s="55" t="s">
        <v>1095</v>
      </c>
      <c r="BA496" s="15" t="s">
        <v>1843</v>
      </c>
      <c r="BC496" s="14">
        <f>AW496+AX496</f>
        <v>0</v>
      </c>
      <c r="BD496" s="14">
        <f>H496/(100-BE496)*100</f>
        <v>0</v>
      </c>
      <c r="BE496" s="14">
        <v>0</v>
      </c>
      <c r="BF496" s="14">
        <f>O496</f>
        <v>0</v>
      </c>
      <c r="BH496" s="14">
        <f>G496*AO496</f>
        <v>0</v>
      </c>
      <c r="BI496" s="14">
        <f>G496*AP496</f>
        <v>0</v>
      </c>
      <c r="BJ496" s="14">
        <f>G496*H496</f>
        <v>0</v>
      </c>
      <c r="BK496" s="14"/>
      <c r="BL496" s="14">
        <v>762</v>
      </c>
      <c r="BW496" s="14" t="str">
        <f>I496</f>
        <v>21</v>
      </c>
    </row>
    <row r="497" spans="1:75" ht="15" customHeight="1">
      <c r="A497" s="32"/>
      <c r="D497" s="3" t="s">
        <v>2397</v>
      </c>
      <c r="E497" s="28" t="s">
        <v>337</v>
      </c>
      <c r="G497" s="27">
        <v>114.00000000000001</v>
      </c>
      <c r="P497" s="33"/>
    </row>
    <row r="498" spans="1:75" ht="15" customHeight="1">
      <c r="A498" s="32"/>
      <c r="D498" s="3" t="s">
        <v>2397</v>
      </c>
      <c r="E498" s="28" t="s">
        <v>1906</v>
      </c>
      <c r="G498" s="27">
        <v>114.00000000000001</v>
      </c>
      <c r="P498" s="33"/>
    </row>
    <row r="499" spans="1:75" ht="13.5" customHeight="1">
      <c r="A499" s="20" t="s">
        <v>234</v>
      </c>
      <c r="B499" s="84" t="s">
        <v>1842</v>
      </c>
      <c r="C499" s="84" t="s">
        <v>126</v>
      </c>
      <c r="D499" s="653" t="s">
        <v>2564</v>
      </c>
      <c r="E499" s="654"/>
      <c r="F499" s="84" t="s">
        <v>1117</v>
      </c>
      <c r="G499" s="6">
        <v>1.06</v>
      </c>
      <c r="H499" s="570"/>
      <c r="I499" s="18" t="s">
        <v>1720</v>
      </c>
      <c r="J499" s="6">
        <f>G499*AO499</f>
        <v>0</v>
      </c>
      <c r="K499" s="6">
        <f>G499*AP499</f>
        <v>0</v>
      </c>
      <c r="L499" s="6">
        <f>G499*H499</f>
        <v>0</v>
      </c>
      <c r="M499" s="6">
        <f>L499*(1+BW499/100)</f>
        <v>0</v>
      </c>
      <c r="N499" s="6">
        <v>6.1199999999999996E-3</v>
      </c>
      <c r="O499" s="6">
        <f>G499*N499</f>
        <v>6.4872000000000003E-3</v>
      </c>
      <c r="P499" s="109" t="s">
        <v>1664</v>
      </c>
      <c r="Z499" s="14">
        <f>IF(AQ499="5",BJ499,0)</f>
        <v>0</v>
      </c>
      <c r="AB499" s="14">
        <f>IF(AQ499="1",BH499,0)</f>
        <v>0</v>
      </c>
      <c r="AC499" s="14">
        <f>IF(AQ499="1",BI499,0)</f>
        <v>0</v>
      </c>
      <c r="AD499" s="14">
        <f>IF(AQ499="7",BH499,0)</f>
        <v>0</v>
      </c>
      <c r="AE499" s="14">
        <f>IF(AQ499="7",BI499,0)</f>
        <v>0</v>
      </c>
      <c r="AF499" s="14">
        <f>IF(AQ499="2",BH499,0)</f>
        <v>0</v>
      </c>
      <c r="AG499" s="14">
        <f>IF(AQ499="2",BI499,0)</f>
        <v>0</v>
      </c>
      <c r="AH499" s="14">
        <f>IF(AQ499="0",BJ499,0)</f>
        <v>0</v>
      </c>
      <c r="AI499" s="15" t="s">
        <v>1842</v>
      </c>
      <c r="AJ499" s="6">
        <f>IF(AN499=0,L499,0)</f>
        <v>0</v>
      </c>
      <c r="AK499" s="6">
        <f>IF(AN499=15,L499,0)</f>
        <v>0</v>
      </c>
      <c r="AL499" s="6">
        <f>IF(AN499=21,L499,0)</f>
        <v>0</v>
      </c>
      <c r="AN499" s="14">
        <v>21</v>
      </c>
      <c r="AO499" s="92">
        <f>H499*1</f>
        <v>0</v>
      </c>
      <c r="AP499" s="92">
        <f>H499*(1-1)</f>
        <v>0</v>
      </c>
      <c r="AQ499" s="18" t="s">
        <v>2435</v>
      </c>
      <c r="AV499" s="14">
        <f>AW499+AX499</f>
        <v>0</v>
      </c>
      <c r="AW499" s="14">
        <f>G499*AO499</f>
        <v>0</v>
      </c>
      <c r="AX499" s="14">
        <f>G499*AP499</f>
        <v>0</v>
      </c>
      <c r="AY499" s="55" t="s">
        <v>1526</v>
      </c>
      <c r="AZ499" s="55" t="s">
        <v>1095</v>
      </c>
      <c r="BA499" s="15" t="s">
        <v>1843</v>
      </c>
      <c r="BC499" s="14">
        <f>AW499+AX499</f>
        <v>0</v>
      </c>
      <c r="BD499" s="14">
        <f>H499/(100-BE499)*100</f>
        <v>0</v>
      </c>
      <c r="BE499" s="14">
        <v>0</v>
      </c>
      <c r="BF499" s="14">
        <f>O499</f>
        <v>6.4872000000000003E-3</v>
      </c>
      <c r="BH499" s="6">
        <f>G499*AO499</f>
        <v>0</v>
      </c>
      <c r="BI499" s="6">
        <f>G499*AP499</f>
        <v>0</v>
      </c>
      <c r="BJ499" s="6">
        <f>G499*H499</f>
        <v>0</v>
      </c>
      <c r="BK499" s="6"/>
      <c r="BL499" s="14">
        <v>762</v>
      </c>
      <c r="BW499" s="14" t="str">
        <f>I499</f>
        <v>21</v>
      </c>
    </row>
    <row r="500" spans="1:75" ht="15" customHeight="1">
      <c r="A500" s="32"/>
      <c r="D500" s="3" t="s">
        <v>442</v>
      </c>
      <c r="E500" s="28" t="s">
        <v>1683</v>
      </c>
      <c r="G500" s="27">
        <v>1.01</v>
      </c>
      <c r="P500" s="33"/>
    </row>
    <row r="501" spans="1:75" ht="15" customHeight="1">
      <c r="A501" s="32"/>
      <c r="D501" s="3" t="s">
        <v>2616</v>
      </c>
      <c r="E501" s="28" t="s">
        <v>1683</v>
      </c>
      <c r="G501" s="27">
        <v>0.05</v>
      </c>
      <c r="P501" s="33"/>
    </row>
    <row r="502" spans="1:75" ht="13.5" customHeight="1">
      <c r="A502" s="20" t="s">
        <v>1669</v>
      </c>
      <c r="B502" s="84" t="s">
        <v>1842</v>
      </c>
      <c r="C502" s="84" t="s">
        <v>447</v>
      </c>
      <c r="D502" s="653" t="s">
        <v>1911</v>
      </c>
      <c r="E502" s="654"/>
      <c r="F502" s="84" t="s">
        <v>2398</v>
      </c>
      <c r="G502" s="6">
        <v>376.2</v>
      </c>
      <c r="H502" s="570"/>
      <c r="I502" s="18" t="s">
        <v>1720</v>
      </c>
      <c r="J502" s="6">
        <f>G502*AO502</f>
        <v>0</v>
      </c>
      <c r="K502" s="6">
        <f>G502*AP502</f>
        <v>0</v>
      </c>
      <c r="L502" s="6">
        <f>G502*H502</f>
        <v>0</v>
      </c>
      <c r="M502" s="6">
        <f>L502*(1+BW502/100)</f>
        <v>0</v>
      </c>
      <c r="N502" s="6">
        <v>1.4999999999999999E-2</v>
      </c>
      <c r="O502" s="6">
        <f>G502*N502</f>
        <v>5.6429999999999998</v>
      </c>
      <c r="P502" s="109" t="s">
        <v>1664</v>
      </c>
      <c r="Z502" s="14">
        <f>IF(AQ502="5",BJ502,0)</f>
        <v>0</v>
      </c>
      <c r="AB502" s="14">
        <f>IF(AQ502="1",BH502,0)</f>
        <v>0</v>
      </c>
      <c r="AC502" s="14">
        <f>IF(AQ502="1",BI502,0)</f>
        <v>0</v>
      </c>
      <c r="AD502" s="14">
        <f>IF(AQ502="7",BH502,0)</f>
        <v>0</v>
      </c>
      <c r="AE502" s="14">
        <f>IF(AQ502="7",BI502,0)</f>
        <v>0</v>
      </c>
      <c r="AF502" s="14">
        <f>IF(AQ502="2",BH502,0)</f>
        <v>0</v>
      </c>
      <c r="AG502" s="14">
        <f>IF(AQ502="2",BI502,0)</f>
        <v>0</v>
      </c>
      <c r="AH502" s="14">
        <f>IF(AQ502="0",BJ502,0)</f>
        <v>0</v>
      </c>
      <c r="AI502" s="15" t="s">
        <v>1842</v>
      </c>
      <c r="AJ502" s="6">
        <f>IF(AN502=0,L502,0)</f>
        <v>0</v>
      </c>
      <c r="AK502" s="6">
        <f>IF(AN502=15,L502,0)</f>
        <v>0</v>
      </c>
      <c r="AL502" s="6">
        <f>IF(AN502=21,L502,0)</f>
        <v>0</v>
      </c>
      <c r="AN502" s="14">
        <v>21</v>
      </c>
      <c r="AO502" s="92">
        <f>H502*1</f>
        <v>0</v>
      </c>
      <c r="AP502" s="92">
        <f>H502*(1-1)</f>
        <v>0</v>
      </c>
      <c r="AQ502" s="18" t="s">
        <v>2435</v>
      </c>
      <c r="AV502" s="14">
        <f>AW502+AX502</f>
        <v>0</v>
      </c>
      <c r="AW502" s="14">
        <f>G502*AO502</f>
        <v>0</v>
      </c>
      <c r="AX502" s="14">
        <f>G502*AP502</f>
        <v>0</v>
      </c>
      <c r="AY502" s="55" t="s">
        <v>1526</v>
      </c>
      <c r="AZ502" s="55" t="s">
        <v>1095</v>
      </c>
      <c r="BA502" s="15" t="s">
        <v>1843</v>
      </c>
      <c r="BC502" s="14">
        <f>AW502+AX502</f>
        <v>0</v>
      </c>
      <c r="BD502" s="14">
        <f>H502/(100-BE502)*100</f>
        <v>0</v>
      </c>
      <c r="BE502" s="14">
        <v>0</v>
      </c>
      <c r="BF502" s="14">
        <f>O502</f>
        <v>5.6429999999999998</v>
      </c>
      <c r="BH502" s="6">
        <f>G502*AO502</f>
        <v>0</v>
      </c>
      <c r="BI502" s="6">
        <f>G502*AP502</f>
        <v>0</v>
      </c>
      <c r="BJ502" s="6">
        <f>G502*H502</f>
        <v>0</v>
      </c>
      <c r="BK502" s="6"/>
      <c r="BL502" s="14">
        <v>762</v>
      </c>
      <c r="BW502" s="14" t="str">
        <f>I502</f>
        <v>21</v>
      </c>
    </row>
    <row r="503" spans="1:75" ht="15" customHeight="1">
      <c r="A503" s="32"/>
      <c r="D503" s="3" t="s">
        <v>2258</v>
      </c>
      <c r="E503" s="28" t="s">
        <v>1683</v>
      </c>
      <c r="G503" s="27">
        <v>342</v>
      </c>
      <c r="P503" s="33"/>
    </row>
    <row r="504" spans="1:75" ht="15" customHeight="1">
      <c r="A504" s="32"/>
      <c r="D504" s="3" t="s">
        <v>1547</v>
      </c>
      <c r="E504" s="28" t="s">
        <v>1683</v>
      </c>
      <c r="G504" s="27">
        <v>34.200000000000003</v>
      </c>
      <c r="P504" s="33"/>
    </row>
    <row r="505" spans="1:75" ht="13.5" customHeight="1">
      <c r="A505" s="20" t="s">
        <v>1881</v>
      </c>
      <c r="B505" s="84" t="s">
        <v>1842</v>
      </c>
      <c r="C505" s="84" t="s">
        <v>293</v>
      </c>
      <c r="D505" s="653" t="s">
        <v>1238</v>
      </c>
      <c r="E505" s="654"/>
      <c r="F505" s="84" t="s">
        <v>1117</v>
      </c>
      <c r="G505" s="6">
        <v>1.1000000000000001</v>
      </c>
      <c r="H505" s="570"/>
      <c r="I505" s="18" t="s">
        <v>1720</v>
      </c>
      <c r="J505" s="6">
        <f>G505*AO505</f>
        <v>0</v>
      </c>
      <c r="K505" s="6">
        <f>G505*AP505</f>
        <v>0</v>
      </c>
      <c r="L505" s="6">
        <f>G505*H505</f>
        <v>0</v>
      </c>
      <c r="M505" s="6">
        <f>L505*(1+BW505/100)</f>
        <v>0</v>
      </c>
      <c r="N505" s="6">
        <v>6.62E-3</v>
      </c>
      <c r="O505" s="6">
        <f>G505*N505</f>
        <v>7.2820000000000003E-3</v>
      </c>
      <c r="P505" s="109" t="s">
        <v>1664</v>
      </c>
      <c r="Z505" s="14">
        <f>IF(AQ505="5",BJ505,0)</f>
        <v>0</v>
      </c>
      <c r="AB505" s="14">
        <f>IF(AQ505="1",BH505,0)</f>
        <v>0</v>
      </c>
      <c r="AC505" s="14">
        <f>IF(AQ505="1",BI505,0)</f>
        <v>0</v>
      </c>
      <c r="AD505" s="14">
        <f>IF(AQ505="7",BH505,0)</f>
        <v>0</v>
      </c>
      <c r="AE505" s="14">
        <f>IF(AQ505="7",BI505,0)</f>
        <v>0</v>
      </c>
      <c r="AF505" s="14">
        <f>IF(AQ505="2",BH505,0)</f>
        <v>0</v>
      </c>
      <c r="AG505" s="14">
        <f>IF(AQ505="2",BI505,0)</f>
        <v>0</v>
      </c>
      <c r="AH505" s="14">
        <f>IF(AQ505="0",BJ505,0)</f>
        <v>0</v>
      </c>
      <c r="AI505" s="15" t="s">
        <v>1842</v>
      </c>
      <c r="AJ505" s="6">
        <f>IF(AN505=0,L505,0)</f>
        <v>0</v>
      </c>
      <c r="AK505" s="6">
        <f>IF(AN505=15,L505,0)</f>
        <v>0</v>
      </c>
      <c r="AL505" s="6">
        <f>IF(AN505=21,L505,0)</f>
        <v>0</v>
      </c>
      <c r="AN505" s="14">
        <v>21</v>
      </c>
      <c r="AO505" s="92">
        <f>H505*1</f>
        <v>0</v>
      </c>
      <c r="AP505" s="92">
        <f>H505*(1-1)</f>
        <v>0</v>
      </c>
      <c r="AQ505" s="18" t="s">
        <v>2435</v>
      </c>
      <c r="AV505" s="14">
        <f>AW505+AX505</f>
        <v>0</v>
      </c>
      <c r="AW505" s="14">
        <f>G505*AO505</f>
        <v>0</v>
      </c>
      <c r="AX505" s="14">
        <f>G505*AP505</f>
        <v>0</v>
      </c>
      <c r="AY505" s="55" t="s">
        <v>1526</v>
      </c>
      <c r="AZ505" s="55" t="s">
        <v>1095</v>
      </c>
      <c r="BA505" s="15" t="s">
        <v>1843</v>
      </c>
      <c r="BC505" s="14">
        <f>AW505+AX505</f>
        <v>0</v>
      </c>
      <c r="BD505" s="14">
        <f>H505/(100-BE505)*100</f>
        <v>0</v>
      </c>
      <c r="BE505" s="14">
        <v>0</v>
      </c>
      <c r="BF505" s="14">
        <f>O505</f>
        <v>7.2820000000000003E-3</v>
      </c>
      <c r="BH505" s="6">
        <f>G505*AO505</f>
        <v>0</v>
      </c>
      <c r="BI505" s="6">
        <f>G505*AP505</f>
        <v>0</v>
      </c>
      <c r="BJ505" s="6">
        <f>G505*H505</f>
        <v>0</v>
      </c>
      <c r="BK505" s="6"/>
      <c r="BL505" s="14">
        <v>762</v>
      </c>
      <c r="BW505" s="14" t="str">
        <f>I505</f>
        <v>21</v>
      </c>
    </row>
    <row r="506" spans="1:75" ht="15" customHeight="1">
      <c r="A506" s="32"/>
      <c r="D506" s="3" t="s">
        <v>2350</v>
      </c>
      <c r="E506" s="28" t="s">
        <v>1683</v>
      </c>
      <c r="G506" s="27">
        <v>1.1000000000000001</v>
      </c>
      <c r="P506" s="33"/>
    </row>
    <row r="507" spans="1:75" ht="13.5" customHeight="1">
      <c r="A507" s="20" t="s">
        <v>570</v>
      </c>
      <c r="B507" s="84" t="s">
        <v>1842</v>
      </c>
      <c r="C507" s="84" t="s">
        <v>484</v>
      </c>
      <c r="D507" s="653" t="s">
        <v>2371</v>
      </c>
      <c r="E507" s="654"/>
      <c r="F507" s="84" t="s">
        <v>2359</v>
      </c>
      <c r="G507" s="6">
        <v>1.55</v>
      </c>
      <c r="H507" s="570"/>
      <c r="I507" s="18" t="s">
        <v>1720</v>
      </c>
      <c r="J507" s="6">
        <f>G507*AO507</f>
        <v>0</v>
      </c>
      <c r="K507" s="6">
        <f>G507*AP507</f>
        <v>0</v>
      </c>
      <c r="L507" s="6">
        <f>G507*H507</f>
        <v>0</v>
      </c>
      <c r="M507" s="6">
        <f>L507*(1+BW507/100)</f>
        <v>0</v>
      </c>
      <c r="N507" s="6">
        <v>0.5</v>
      </c>
      <c r="O507" s="6">
        <f>G507*N507</f>
        <v>0.77500000000000002</v>
      </c>
      <c r="P507" s="109" t="s">
        <v>1664</v>
      </c>
      <c r="Z507" s="14">
        <f>IF(AQ507="5",BJ507,0)</f>
        <v>0</v>
      </c>
      <c r="AB507" s="14">
        <f>IF(AQ507="1",BH507,0)</f>
        <v>0</v>
      </c>
      <c r="AC507" s="14">
        <f>IF(AQ507="1",BI507,0)</f>
        <v>0</v>
      </c>
      <c r="AD507" s="14">
        <f>IF(AQ507="7",BH507,0)</f>
        <v>0</v>
      </c>
      <c r="AE507" s="14">
        <f>IF(AQ507="7",BI507,0)</f>
        <v>0</v>
      </c>
      <c r="AF507" s="14">
        <f>IF(AQ507="2",BH507,0)</f>
        <v>0</v>
      </c>
      <c r="AG507" s="14">
        <f>IF(AQ507="2",BI507,0)</f>
        <v>0</v>
      </c>
      <c r="AH507" s="14">
        <f>IF(AQ507="0",BJ507,0)</f>
        <v>0</v>
      </c>
      <c r="AI507" s="15" t="s">
        <v>1842</v>
      </c>
      <c r="AJ507" s="6">
        <f>IF(AN507=0,L507,0)</f>
        <v>0</v>
      </c>
      <c r="AK507" s="6">
        <f>IF(AN507=15,L507,0)</f>
        <v>0</v>
      </c>
      <c r="AL507" s="6">
        <f>IF(AN507=21,L507,0)</f>
        <v>0</v>
      </c>
      <c r="AN507" s="14">
        <v>21</v>
      </c>
      <c r="AO507" s="92">
        <f>H507*1</f>
        <v>0</v>
      </c>
      <c r="AP507" s="92">
        <f>H507*(1-1)</f>
        <v>0</v>
      </c>
      <c r="AQ507" s="18" t="s">
        <v>2435</v>
      </c>
      <c r="AV507" s="14">
        <f>AW507+AX507</f>
        <v>0</v>
      </c>
      <c r="AW507" s="14">
        <f>G507*AO507</f>
        <v>0</v>
      </c>
      <c r="AX507" s="14">
        <f>G507*AP507</f>
        <v>0</v>
      </c>
      <c r="AY507" s="55" t="s">
        <v>1526</v>
      </c>
      <c r="AZ507" s="55" t="s">
        <v>1095</v>
      </c>
      <c r="BA507" s="15" t="s">
        <v>1843</v>
      </c>
      <c r="BC507" s="14">
        <f>AW507+AX507</f>
        <v>0</v>
      </c>
      <c r="BD507" s="14">
        <f>H507/(100-BE507)*100</f>
        <v>0</v>
      </c>
      <c r="BE507" s="14">
        <v>0</v>
      </c>
      <c r="BF507" s="14">
        <f>O507</f>
        <v>0.77500000000000002</v>
      </c>
      <c r="BH507" s="6">
        <f>G507*AO507</f>
        <v>0</v>
      </c>
      <c r="BI507" s="6">
        <f>G507*AP507</f>
        <v>0</v>
      </c>
      <c r="BJ507" s="6">
        <f>G507*H507</f>
        <v>0</v>
      </c>
      <c r="BK507" s="6"/>
      <c r="BL507" s="14">
        <v>762</v>
      </c>
      <c r="BW507" s="14" t="str">
        <f>I507</f>
        <v>21</v>
      </c>
    </row>
    <row r="508" spans="1:75" ht="15" customHeight="1">
      <c r="A508" s="32"/>
      <c r="D508" s="3" t="s">
        <v>213</v>
      </c>
      <c r="E508" s="28" t="s">
        <v>1244</v>
      </c>
      <c r="G508" s="27">
        <v>1.55</v>
      </c>
      <c r="P508" s="33"/>
    </row>
    <row r="509" spans="1:75" ht="15" customHeight="1">
      <c r="A509" s="65" t="s">
        <v>1683</v>
      </c>
      <c r="B509" s="26" t="s">
        <v>1842</v>
      </c>
      <c r="C509" s="26" t="s">
        <v>199</v>
      </c>
      <c r="D509" s="649" t="s">
        <v>322</v>
      </c>
      <c r="E509" s="650"/>
      <c r="F509" s="74" t="s">
        <v>2262</v>
      </c>
      <c r="G509" s="74" t="s">
        <v>2262</v>
      </c>
      <c r="H509" s="74" t="s">
        <v>2262</v>
      </c>
      <c r="I509" s="74" t="s">
        <v>2262</v>
      </c>
      <c r="J509" s="2">
        <f>SUM(J510:J519)</f>
        <v>0</v>
      </c>
      <c r="K509" s="2">
        <f>SUM(K510:K519)</f>
        <v>0</v>
      </c>
      <c r="L509" s="2">
        <f>SUM(L510:L519)</f>
        <v>0</v>
      </c>
      <c r="M509" s="2">
        <f>SUM(M510:M519)</f>
        <v>0</v>
      </c>
      <c r="N509" s="15" t="s">
        <v>1683</v>
      </c>
      <c r="O509" s="2">
        <f>SUM(O510:O519)</f>
        <v>2.8223060000000002</v>
      </c>
      <c r="P509" s="47" t="s">
        <v>1683</v>
      </c>
      <c r="AI509" s="15" t="s">
        <v>1842</v>
      </c>
      <c r="AS509" s="2">
        <f>SUM(AJ510:AJ519)</f>
        <v>0</v>
      </c>
      <c r="AT509" s="2">
        <f>SUM(AK510:AK519)</f>
        <v>0</v>
      </c>
      <c r="AU509" s="2">
        <f>SUM(AL510:AL519)</f>
        <v>0</v>
      </c>
    </row>
    <row r="510" spans="1:75" ht="13.5" customHeight="1">
      <c r="A510" s="21" t="s">
        <v>2726</v>
      </c>
      <c r="B510" s="37" t="s">
        <v>1842</v>
      </c>
      <c r="C510" s="37" t="s">
        <v>62</v>
      </c>
      <c r="D510" s="578" t="s">
        <v>619</v>
      </c>
      <c r="E510" s="579"/>
      <c r="F510" s="37" t="s">
        <v>2019</v>
      </c>
      <c r="G510" s="14">
        <v>45</v>
      </c>
      <c r="H510" s="569"/>
      <c r="I510" s="55" t="s">
        <v>1720</v>
      </c>
      <c r="J510" s="14">
        <f>G510*AO510</f>
        <v>0</v>
      </c>
      <c r="K510" s="14">
        <f>G510*AP510</f>
        <v>0</v>
      </c>
      <c r="L510" s="14">
        <f>G510*H510</f>
        <v>0</v>
      </c>
      <c r="M510" s="14">
        <f>L510*(1+BW510/100)</f>
        <v>0</v>
      </c>
      <c r="N510" s="14">
        <v>3.7819999999999999E-2</v>
      </c>
      <c r="O510" s="14">
        <f>G510*N510</f>
        <v>1.7019</v>
      </c>
      <c r="P510" s="72" t="s">
        <v>1664</v>
      </c>
      <c r="Z510" s="14">
        <f>IF(AQ510="5",BJ510,0)</f>
        <v>0</v>
      </c>
      <c r="AB510" s="14">
        <f>IF(AQ510="1",BH510,0)</f>
        <v>0</v>
      </c>
      <c r="AC510" s="14">
        <f>IF(AQ510="1",BI510,0)</f>
        <v>0</v>
      </c>
      <c r="AD510" s="14">
        <f>IF(AQ510="7",BH510,0)</f>
        <v>0</v>
      </c>
      <c r="AE510" s="14">
        <f>IF(AQ510="7",BI510,0)</f>
        <v>0</v>
      </c>
      <c r="AF510" s="14">
        <f>IF(AQ510="2",BH510,0)</f>
        <v>0</v>
      </c>
      <c r="AG510" s="14">
        <f>IF(AQ510="2",BI510,0)</f>
        <v>0</v>
      </c>
      <c r="AH510" s="14">
        <f>IF(AQ510="0",BJ510,0)</f>
        <v>0</v>
      </c>
      <c r="AI510" s="15" t="s">
        <v>1842</v>
      </c>
      <c r="AJ510" s="14">
        <f>IF(AN510=0,L510,0)</f>
        <v>0</v>
      </c>
      <c r="AK510" s="14">
        <f>IF(AN510=15,L510,0)</f>
        <v>0</v>
      </c>
      <c r="AL510" s="14">
        <f>IF(AN510=21,L510,0)</f>
        <v>0</v>
      </c>
      <c r="AN510" s="14">
        <v>21</v>
      </c>
      <c r="AO510" s="92">
        <f>H510*0.440818307905686</f>
        <v>0</v>
      </c>
      <c r="AP510" s="92">
        <f>H510*(1-0.440818307905686)</f>
        <v>0</v>
      </c>
      <c r="AQ510" s="55" t="s">
        <v>2435</v>
      </c>
      <c r="AV510" s="14">
        <f>AW510+AX510</f>
        <v>0</v>
      </c>
      <c r="AW510" s="14">
        <f>G510*AO510</f>
        <v>0</v>
      </c>
      <c r="AX510" s="14">
        <f>G510*AP510</f>
        <v>0</v>
      </c>
      <c r="AY510" s="55" t="s">
        <v>1951</v>
      </c>
      <c r="AZ510" s="55" t="s">
        <v>1095</v>
      </c>
      <c r="BA510" s="15" t="s">
        <v>1843</v>
      </c>
      <c r="BC510" s="14">
        <f>AW510+AX510</f>
        <v>0</v>
      </c>
      <c r="BD510" s="14">
        <f>H510/(100-BE510)*100</f>
        <v>0</v>
      </c>
      <c r="BE510" s="14">
        <v>0</v>
      </c>
      <c r="BF510" s="14">
        <f>O510</f>
        <v>1.7019</v>
      </c>
      <c r="BH510" s="14">
        <f>G510*AO510</f>
        <v>0</v>
      </c>
      <c r="BI510" s="14">
        <f>G510*AP510</f>
        <v>0</v>
      </c>
      <c r="BJ510" s="14">
        <f>G510*H510</f>
        <v>0</v>
      </c>
      <c r="BK510" s="14"/>
      <c r="BL510" s="14">
        <v>764</v>
      </c>
      <c r="BW510" s="14" t="str">
        <f>I510</f>
        <v>21</v>
      </c>
    </row>
    <row r="511" spans="1:75" ht="15" customHeight="1">
      <c r="A511" s="32"/>
      <c r="D511" s="3" t="s">
        <v>593</v>
      </c>
      <c r="E511" s="28" t="s">
        <v>1683</v>
      </c>
      <c r="G511" s="27">
        <v>25.000000000000004</v>
      </c>
      <c r="P511" s="33"/>
    </row>
    <row r="512" spans="1:75" ht="15" customHeight="1">
      <c r="A512" s="32"/>
      <c r="D512" s="3" t="s">
        <v>118</v>
      </c>
      <c r="E512" s="28" t="s">
        <v>99</v>
      </c>
      <c r="G512" s="27">
        <v>20</v>
      </c>
      <c r="P512" s="33"/>
    </row>
    <row r="513" spans="1:75" ht="13.5" customHeight="1">
      <c r="A513" s="21" t="s">
        <v>1400</v>
      </c>
      <c r="B513" s="37" t="s">
        <v>1842</v>
      </c>
      <c r="C513" s="37" t="s">
        <v>248</v>
      </c>
      <c r="D513" s="578" t="s">
        <v>397</v>
      </c>
      <c r="E513" s="579"/>
      <c r="F513" s="37" t="s">
        <v>2019</v>
      </c>
      <c r="G513" s="14">
        <v>13</v>
      </c>
      <c r="H513" s="569"/>
      <c r="I513" s="55" t="s">
        <v>1720</v>
      </c>
      <c r="J513" s="14">
        <f>G513*AO513</f>
        <v>0</v>
      </c>
      <c r="K513" s="14">
        <f>G513*AP513</f>
        <v>0</v>
      </c>
      <c r="L513" s="14">
        <f>G513*H513</f>
        <v>0</v>
      </c>
      <c r="M513" s="14">
        <f>L513*(1+BW513/100)</f>
        <v>0</v>
      </c>
      <c r="N513" s="14">
        <v>3.2629999999999999E-2</v>
      </c>
      <c r="O513" s="14">
        <f>G513*N513</f>
        <v>0.42419000000000001</v>
      </c>
      <c r="P513" s="72" t="s">
        <v>1664</v>
      </c>
      <c r="Z513" s="14">
        <f>IF(AQ513="5",BJ513,0)</f>
        <v>0</v>
      </c>
      <c r="AB513" s="14">
        <f>IF(AQ513="1",BH513,0)</f>
        <v>0</v>
      </c>
      <c r="AC513" s="14">
        <f>IF(AQ513="1",BI513,0)</f>
        <v>0</v>
      </c>
      <c r="AD513" s="14">
        <f>IF(AQ513="7",BH513,0)</f>
        <v>0</v>
      </c>
      <c r="AE513" s="14">
        <f>IF(AQ513="7",BI513,0)</f>
        <v>0</v>
      </c>
      <c r="AF513" s="14">
        <f>IF(AQ513="2",BH513,0)</f>
        <v>0</v>
      </c>
      <c r="AG513" s="14">
        <f>IF(AQ513="2",BI513,0)</f>
        <v>0</v>
      </c>
      <c r="AH513" s="14">
        <f>IF(AQ513="0",BJ513,0)</f>
        <v>0</v>
      </c>
      <c r="AI513" s="15" t="s">
        <v>1842</v>
      </c>
      <c r="AJ513" s="14">
        <f>IF(AN513=0,L513,0)</f>
        <v>0</v>
      </c>
      <c r="AK513" s="14">
        <f>IF(AN513=15,L513,0)</f>
        <v>0</v>
      </c>
      <c r="AL513" s="14">
        <f>IF(AN513=21,L513,0)</f>
        <v>0</v>
      </c>
      <c r="AN513" s="14">
        <v>21</v>
      </c>
      <c r="AO513" s="92">
        <f>H513*0.411760302989476</f>
        <v>0</v>
      </c>
      <c r="AP513" s="92">
        <f>H513*(1-0.411760302989476)</f>
        <v>0</v>
      </c>
      <c r="AQ513" s="55" t="s">
        <v>2435</v>
      </c>
      <c r="AV513" s="14">
        <f>AW513+AX513</f>
        <v>0</v>
      </c>
      <c r="AW513" s="14">
        <f>G513*AO513</f>
        <v>0</v>
      </c>
      <c r="AX513" s="14">
        <f>G513*AP513</f>
        <v>0</v>
      </c>
      <c r="AY513" s="55" t="s">
        <v>1951</v>
      </c>
      <c r="AZ513" s="55" t="s">
        <v>1095</v>
      </c>
      <c r="BA513" s="15" t="s">
        <v>1843</v>
      </c>
      <c r="BC513" s="14">
        <f>AW513+AX513</f>
        <v>0</v>
      </c>
      <c r="BD513" s="14">
        <f>H513/(100-BE513)*100</f>
        <v>0</v>
      </c>
      <c r="BE513" s="14">
        <v>0</v>
      </c>
      <c r="BF513" s="14">
        <f>O513</f>
        <v>0.42419000000000001</v>
      </c>
      <c r="BH513" s="14">
        <f>G513*AO513</f>
        <v>0</v>
      </c>
      <c r="BI513" s="14">
        <f>G513*AP513</f>
        <v>0</v>
      </c>
      <c r="BJ513" s="14">
        <f>G513*H513</f>
        <v>0</v>
      </c>
      <c r="BK513" s="14"/>
      <c r="BL513" s="14">
        <v>764</v>
      </c>
      <c r="BW513" s="14" t="str">
        <f>I513</f>
        <v>21</v>
      </c>
    </row>
    <row r="514" spans="1:75" ht="15" customHeight="1">
      <c r="A514" s="32"/>
      <c r="D514" s="3" t="s">
        <v>705</v>
      </c>
      <c r="E514" s="28" t="s">
        <v>1683</v>
      </c>
      <c r="G514" s="27">
        <v>13.000000000000002</v>
      </c>
      <c r="P514" s="33"/>
    </row>
    <row r="515" spans="1:75" ht="27" customHeight="1">
      <c r="A515" s="21" t="s">
        <v>594</v>
      </c>
      <c r="B515" s="37" t="s">
        <v>1842</v>
      </c>
      <c r="C515" s="37" t="s">
        <v>1933</v>
      </c>
      <c r="D515" s="578" t="s">
        <v>1003</v>
      </c>
      <c r="E515" s="579"/>
      <c r="F515" s="37" t="s">
        <v>2019</v>
      </c>
      <c r="G515" s="14">
        <v>34.799999999999997</v>
      </c>
      <c r="H515" s="569"/>
      <c r="I515" s="55" t="s">
        <v>1720</v>
      </c>
      <c r="J515" s="14">
        <f>G515*AO515</f>
        <v>0</v>
      </c>
      <c r="K515" s="14">
        <f>G515*AP515</f>
        <v>0</v>
      </c>
      <c r="L515" s="14">
        <f>G515*H515</f>
        <v>0</v>
      </c>
      <c r="M515" s="14">
        <f>L515*(1+BW515/100)</f>
        <v>0</v>
      </c>
      <c r="N515" s="14">
        <v>1.8669999999999999E-2</v>
      </c>
      <c r="O515" s="14">
        <f>G515*N515</f>
        <v>0.64971599999999996</v>
      </c>
      <c r="P515" s="72" t="s">
        <v>1664</v>
      </c>
      <c r="Z515" s="14">
        <f>IF(AQ515="5",BJ515,0)</f>
        <v>0</v>
      </c>
      <c r="AB515" s="14">
        <f>IF(AQ515="1",BH515,0)</f>
        <v>0</v>
      </c>
      <c r="AC515" s="14">
        <f>IF(AQ515="1",BI515,0)</f>
        <v>0</v>
      </c>
      <c r="AD515" s="14">
        <f>IF(AQ515="7",BH515,0)</f>
        <v>0</v>
      </c>
      <c r="AE515" s="14">
        <f>IF(AQ515="7",BI515,0)</f>
        <v>0</v>
      </c>
      <c r="AF515" s="14">
        <f>IF(AQ515="2",BH515,0)</f>
        <v>0</v>
      </c>
      <c r="AG515" s="14">
        <f>IF(AQ515="2",BI515,0)</f>
        <v>0</v>
      </c>
      <c r="AH515" s="14">
        <f>IF(AQ515="0",BJ515,0)</f>
        <v>0</v>
      </c>
      <c r="AI515" s="15" t="s">
        <v>1842</v>
      </c>
      <c r="AJ515" s="14">
        <f>IF(AN515=0,L515,0)</f>
        <v>0</v>
      </c>
      <c r="AK515" s="14">
        <f>IF(AN515=15,L515,0)</f>
        <v>0</v>
      </c>
      <c r="AL515" s="14">
        <f>IF(AN515=21,L515,0)</f>
        <v>0</v>
      </c>
      <c r="AN515" s="14">
        <v>21</v>
      </c>
      <c r="AO515" s="92">
        <f>H515*0.258019169329073</f>
        <v>0</v>
      </c>
      <c r="AP515" s="92">
        <f>H515*(1-0.258019169329073)</f>
        <v>0</v>
      </c>
      <c r="AQ515" s="55" t="s">
        <v>2435</v>
      </c>
      <c r="AV515" s="14">
        <f>AW515+AX515</f>
        <v>0</v>
      </c>
      <c r="AW515" s="14">
        <f>G515*AO515</f>
        <v>0</v>
      </c>
      <c r="AX515" s="14">
        <f>G515*AP515</f>
        <v>0</v>
      </c>
      <c r="AY515" s="55" t="s">
        <v>1951</v>
      </c>
      <c r="AZ515" s="55" t="s">
        <v>1095</v>
      </c>
      <c r="BA515" s="15" t="s">
        <v>1843</v>
      </c>
      <c r="BC515" s="14">
        <f>AW515+AX515</f>
        <v>0</v>
      </c>
      <c r="BD515" s="14">
        <f>H515/(100-BE515)*100</f>
        <v>0</v>
      </c>
      <c r="BE515" s="14">
        <v>0</v>
      </c>
      <c r="BF515" s="14">
        <f>O515</f>
        <v>0.64971599999999996</v>
      </c>
      <c r="BH515" s="14">
        <f>G515*AO515</f>
        <v>0</v>
      </c>
      <c r="BI515" s="14">
        <f>G515*AP515</f>
        <v>0</v>
      </c>
      <c r="BJ515" s="14">
        <f>G515*H515</f>
        <v>0</v>
      </c>
      <c r="BK515" s="14"/>
      <c r="BL515" s="14">
        <v>764</v>
      </c>
      <c r="BW515" s="14" t="str">
        <f>I515</f>
        <v>21</v>
      </c>
    </row>
    <row r="516" spans="1:75" ht="15" customHeight="1">
      <c r="A516" s="32"/>
      <c r="D516" s="3" t="s">
        <v>2251</v>
      </c>
      <c r="E516" s="28" t="s">
        <v>2777</v>
      </c>
      <c r="G516" s="27">
        <v>16.3</v>
      </c>
      <c r="P516" s="33"/>
    </row>
    <row r="517" spans="1:75" ht="15" customHeight="1">
      <c r="A517" s="32"/>
      <c r="D517" s="3" t="s">
        <v>1416</v>
      </c>
      <c r="E517" s="28" t="s">
        <v>1726</v>
      </c>
      <c r="G517" s="27">
        <v>10</v>
      </c>
      <c r="P517" s="33"/>
    </row>
    <row r="518" spans="1:75" ht="15" customHeight="1">
      <c r="A518" s="32"/>
      <c r="D518" s="3" t="s">
        <v>917</v>
      </c>
      <c r="E518" s="28" t="s">
        <v>814</v>
      </c>
      <c r="G518" s="27">
        <v>8.5</v>
      </c>
      <c r="P518" s="33"/>
    </row>
    <row r="519" spans="1:75" ht="13.5" customHeight="1">
      <c r="A519" s="21" t="s">
        <v>1847</v>
      </c>
      <c r="B519" s="37" t="s">
        <v>1842</v>
      </c>
      <c r="C519" s="37" t="s">
        <v>1266</v>
      </c>
      <c r="D519" s="578" t="s">
        <v>2778</v>
      </c>
      <c r="E519" s="579"/>
      <c r="F519" s="37" t="s">
        <v>2019</v>
      </c>
      <c r="G519" s="14">
        <v>50</v>
      </c>
      <c r="H519" s="569"/>
      <c r="I519" s="55" t="s">
        <v>1720</v>
      </c>
      <c r="J519" s="14">
        <f>G519*AO519</f>
        <v>0</v>
      </c>
      <c r="K519" s="14">
        <f>G519*AP519</f>
        <v>0</v>
      </c>
      <c r="L519" s="14">
        <f>G519*H519</f>
        <v>0</v>
      </c>
      <c r="M519" s="14">
        <f>L519*(1+BW519/100)</f>
        <v>0</v>
      </c>
      <c r="N519" s="14">
        <v>9.3000000000000005E-4</v>
      </c>
      <c r="O519" s="14">
        <f>G519*N519</f>
        <v>4.65E-2</v>
      </c>
      <c r="P519" s="72" t="s">
        <v>1664</v>
      </c>
      <c r="Z519" s="14">
        <f>IF(AQ519="5",BJ519,0)</f>
        <v>0</v>
      </c>
      <c r="AB519" s="14">
        <f>IF(AQ519="1",BH519,0)</f>
        <v>0</v>
      </c>
      <c r="AC519" s="14">
        <f>IF(AQ519="1",BI519,0)</f>
        <v>0</v>
      </c>
      <c r="AD519" s="14">
        <f>IF(AQ519="7",BH519,0)</f>
        <v>0</v>
      </c>
      <c r="AE519" s="14">
        <f>IF(AQ519="7",BI519,0)</f>
        <v>0</v>
      </c>
      <c r="AF519" s="14">
        <f>IF(AQ519="2",BH519,0)</f>
        <v>0</v>
      </c>
      <c r="AG519" s="14">
        <f>IF(AQ519="2",BI519,0)</f>
        <v>0</v>
      </c>
      <c r="AH519" s="14">
        <f>IF(AQ519="0",BJ519,0)</f>
        <v>0</v>
      </c>
      <c r="AI519" s="15" t="s">
        <v>1842</v>
      </c>
      <c r="AJ519" s="14">
        <f>IF(AN519=0,L519,0)</f>
        <v>0</v>
      </c>
      <c r="AK519" s="14">
        <f>IF(AN519=15,L519,0)</f>
        <v>0</v>
      </c>
      <c r="AL519" s="14">
        <f>IF(AN519=21,L519,0)</f>
        <v>0</v>
      </c>
      <c r="AN519" s="14">
        <v>21</v>
      </c>
      <c r="AO519" s="92">
        <f>H519*0.0537859608745685</f>
        <v>0</v>
      </c>
      <c r="AP519" s="92">
        <f>H519*(1-0.0537859608745685)</f>
        <v>0</v>
      </c>
      <c r="AQ519" s="55" t="s">
        <v>2435</v>
      </c>
      <c r="AV519" s="14">
        <f>AW519+AX519</f>
        <v>0</v>
      </c>
      <c r="AW519" s="14">
        <f>G519*AO519</f>
        <v>0</v>
      </c>
      <c r="AX519" s="14">
        <f>G519*AP519</f>
        <v>0</v>
      </c>
      <c r="AY519" s="55" t="s">
        <v>1951</v>
      </c>
      <c r="AZ519" s="55" t="s">
        <v>1095</v>
      </c>
      <c r="BA519" s="15" t="s">
        <v>1843</v>
      </c>
      <c r="BC519" s="14">
        <f>AW519+AX519</f>
        <v>0</v>
      </c>
      <c r="BD519" s="14">
        <f>H519/(100-BE519)*100</f>
        <v>0</v>
      </c>
      <c r="BE519" s="14">
        <v>0</v>
      </c>
      <c r="BF519" s="14">
        <f>O519</f>
        <v>4.65E-2</v>
      </c>
      <c r="BH519" s="14">
        <f>G519*AO519</f>
        <v>0</v>
      </c>
      <c r="BI519" s="14">
        <f>G519*AP519</f>
        <v>0</v>
      </c>
      <c r="BJ519" s="14">
        <f>G519*H519</f>
        <v>0</v>
      </c>
      <c r="BK519" s="14"/>
      <c r="BL519" s="14">
        <v>764</v>
      </c>
      <c r="BW519" s="14" t="str">
        <f>I519</f>
        <v>21</v>
      </c>
    </row>
    <row r="520" spans="1:75" ht="15" customHeight="1">
      <c r="A520" s="32"/>
      <c r="D520" s="3" t="s">
        <v>1999</v>
      </c>
      <c r="E520" s="28" t="s">
        <v>1068</v>
      </c>
      <c r="G520" s="27">
        <v>50.000000000000007</v>
      </c>
      <c r="P520" s="33"/>
    </row>
    <row r="521" spans="1:75" ht="15" customHeight="1">
      <c r="A521" s="65" t="s">
        <v>1683</v>
      </c>
      <c r="B521" s="26" t="s">
        <v>1842</v>
      </c>
      <c r="C521" s="26" t="s">
        <v>1001</v>
      </c>
      <c r="D521" s="649" t="s">
        <v>1147</v>
      </c>
      <c r="E521" s="650"/>
      <c r="F521" s="74" t="s">
        <v>2262</v>
      </c>
      <c r="G521" s="74" t="s">
        <v>2262</v>
      </c>
      <c r="H521" s="74" t="s">
        <v>2262</v>
      </c>
      <c r="I521" s="74" t="s">
        <v>2262</v>
      </c>
      <c r="J521" s="2">
        <f>SUM(J522:J558)</f>
        <v>0</v>
      </c>
      <c r="K521" s="2">
        <f>SUM(K522:K558)</f>
        <v>0</v>
      </c>
      <c r="L521" s="2">
        <f>SUM(L522:L558)</f>
        <v>0</v>
      </c>
      <c r="M521" s="2">
        <f>SUM(M522:M558)</f>
        <v>0</v>
      </c>
      <c r="N521" s="15" t="s">
        <v>1683</v>
      </c>
      <c r="O521" s="2">
        <f>SUM(O522:O558)</f>
        <v>7.8860815999999989</v>
      </c>
      <c r="P521" s="47" t="s">
        <v>1683</v>
      </c>
      <c r="AI521" s="15" t="s">
        <v>1842</v>
      </c>
      <c r="AS521" s="2">
        <f>SUM(AJ522:AJ558)</f>
        <v>0</v>
      </c>
      <c r="AT521" s="2">
        <f>SUM(AK522:AK558)</f>
        <v>0</v>
      </c>
      <c r="AU521" s="2">
        <f>SUM(AL522:AL558)</f>
        <v>0</v>
      </c>
    </row>
    <row r="522" spans="1:75" ht="27" customHeight="1">
      <c r="A522" s="21" t="s">
        <v>1222</v>
      </c>
      <c r="B522" s="37" t="s">
        <v>1842</v>
      </c>
      <c r="C522" s="37" t="s">
        <v>1856</v>
      </c>
      <c r="D522" s="578" t="s">
        <v>633</v>
      </c>
      <c r="E522" s="579"/>
      <c r="F522" s="37" t="s">
        <v>2398</v>
      </c>
      <c r="G522" s="14">
        <v>31.9</v>
      </c>
      <c r="H522" s="569"/>
      <c r="I522" s="55" t="s">
        <v>1720</v>
      </c>
      <c r="J522" s="14">
        <f>G522*AO522</f>
        <v>0</v>
      </c>
      <c r="K522" s="14">
        <f>G522*AP522</f>
        <v>0</v>
      </c>
      <c r="L522" s="14">
        <f>G522*H522</f>
        <v>0</v>
      </c>
      <c r="M522" s="14">
        <f>L522*(1+BW522/100)</f>
        <v>0</v>
      </c>
      <c r="N522" s="14">
        <v>2.0000000000000001E-4</v>
      </c>
      <c r="O522" s="14">
        <f>G522*N522</f>
        <v>6.3800000000000003E-3</v>
      </c>
      <c r="P522" s="72" t="s">
        <v>1664</v>
      </c>
      <c r="Z522" s="14">
        <f>IF(AQ522="5",BJ522,0)</f>
        <v>0</v>
      </c>
      <c r="AB522" s="14">
        <f>IF(AQ522="1",BH522,0)</f>
        <v>0</v>
      </c>
      <c r="AC522" s="14">
        <f>IF(AQ522="1",BI522,0)</f>
        <v>0</v>
      </c>
      <c r="AD522" s="14">
        <f>IF(AQ522="7",BH522,0)</f>
        <v>0</v>
      </c>
      <c r="AE522" s="14">
        <f>IF(AQ522="7",BI522,0)</f>
        <v>0</v>
      </c>
      <c r="AF522" s="14">
        <f>IF(AQ522="2",BH522,0)</f>
        <v>0</v>
      </c>
      <c r="AG522" s="14">
        <f>IF(AQ522="2",BI522,0)</f>
        <v>0</v>
      </c>
      <c r="AH522" s="14">
        <f>IF(AQ522="0",BJ522,0)</f>
        <v>0</v>
      </c>
      <c r="AI522" s="15" t="s">
        <v>1842</v>
      </c>
      <c r="AJ522" s="14">
        <f>IF(AN522=0,L522,0)</f>
        <v>0</v>
      </c>
      <c r="AK522" s="14">
        <f>IF(AN522=15,L522,0)</f>
        <v>0</v>
      </c>
      <c r="AL522" s="14">
        <f>IF(AN522=21,L522,0)</f>
        <v>0</v>
      </c>
      <c r="AN522" s="14">
        <v>21</v>
      </c>
      <c r="AO522" s="92">
        <f>H522*0.0476363636363636</f>
        <v>0</v>
      </c>
      <c r="AP522" s="92">
        <f>H522*(1-0.0476363636363636)</f>
        <v>0</v>
      </c>
      <c r="AQ522" s="55" t="s">
        <v>2435</v>
      </c>
      <c r="AV522" s="14">
        <f>AW522+AX522</f>
        <v>0</v>
      </c>
      <c r="AW522" s="14">
        <f>G522*AO522</f>
        <v>0</v>
      </c>
      <c r="AX522" s="14">
        <f>G522*AP522</f>
        <v>0</v>
      </c>
      <c r="AY522" s="55" t="s">
        <v>256</v>
      </c>
      <c r="AZ522" s="55" t="s">
        <v>1095</v>
      </c>
      <c r="BA522" s="15" t="s">
        <v>1843</v>
      </c>
      <c r="BC522" s="14">
        <f>AW522+AX522</f>
        <v>0</v>
      </c>
      <c r="BD522" s="14">
        <f>H522/(100-BE522)*100</f>
        <v>0</v>
      </c>
      <c r="BE522" s="14">
        <v>0</v>
      </c>
      <c r="BF522" s="14">
        <f>O522</f>
        <v>6.3800000000000003E-3</v>
      </c>
      <c r="BH522" s="14">
        <f>G522*AO522</f>
        <v>0</v>
      </c>
      <c r="BI522" s="14">
        <f>G522*AP522</f>
        <v>0</v>
      </c>
      <c r="BJ522" s="14">
        <f>G522*H522</f>
        <v>0</v>
      </c>
      <c r="BK522" s="14"/>
      <c r="BL522" s="14">
        <v>766</v>
      </c>
      <c r="BW522" s="14" t="str">
        <f>I522</f>
        <v>21</v>
      </c>
    </row>
    <row r="523" spans="1:75" ht="15" customHeight="1">
      <c r="A523" s="32"/>
      <c r="D523" s="3" t="s">
        <v>1616</v>
      </c>
      <c r="E523" s="28" t="s">
        <v>706</v>
      </c>
      <c r="G523" s="27">
        <v>31.900000000000002</v>
      </c>
      <c r="P523" s="33"/>
    </row>
    <row r="524" spans="1:75" ht="27" customHeight="1">
      <c r="A524" s="20" t="s">
        <v>18</v>
      </c>
      <c r="B524" s="84" t="s">
        <v>1842</v>
      </c>
      <c r="C524" s="84" t="s">
        <v>971</v>
      </c>
      <c r="D524" s="653" t="s">
        <v>206</v>
      </c>
      <c r="E524" s="654"/>
      <c r="F524" s="84" t="s">
        <v>856</v>
      </c>
      <c r="G524" s="6">
        <v>1</v>
      </c>
      <c r="H524" s="570"/>
      <c r="I524" s="18" t="s">
        <v>1720</v>
      </c>
      <c r="J524" s="6">
        <f>G524*AO524</f>
        <v>0</v>
      </c>
      <c r="K524" s="6">
        <f>G524*AP524</f>
        <v>0</v>
      </c>
      <c r="L524" s="6">
        <f>G524*H524</f>
        <v>0</v>
      </c>
      <c r="M524" s="6">
        <f>L524*(1+BW524/100)</f>
        <v>0</v>
      </c>
      <c r="N524" s="6">
        <v>0</v>
      </c>
      <c r="O524" s="6">
        <f>G524*N524</f>
        <v>0</v>
      </c>
      <c r="P524" s="109" t="s">
        <v>1683</v>
      </c>
      <c r="Z524" s="14">
        <f>IF(AQ524="5",BJ524,0)</f>
        <v>0</v>
      </c>
      <c r="AB524" s="14">
        <f>IF(AQ524="1",BH524,0)</f>
        <v>0</v>
      </c>
      <c r="AC524" s="14">
        <f>IF(AQ524="1",BI524,0)</f>
        <v>0</v>
      </c>
      <c r="AD524" s="14">
        <f>IF(AQ524="7",BH524,0)</f>
        <v>0</v>
      </c>
      <c r="AE524" s="14">
        <f>IF(AQ524="7",BI524,0)</f>
        <v>0</v>
      </c>
      <c r="AF524" s="14">
        <f>IF(AQ524="2",BH524,0)</f>
        <v>0</v>
      </c>
      <c r="AG524" s="14">
        <f>IF(AQ524="2",BI524,0)</f>
        <v>0</v>
      </c>
      <c r="AH524" s="14">
        <f>IF(AQ524="0",BJ524,0)</f>
        <v>0</v>
      </c>
      <c r="AI524" s="15" t="s">
        <v>1842</v>
      </c>
      <c r="AJ524" s="6">
        <f>IF(AN524=0,L524,0)</f>
        <v>0</v>
      </c>
      <c r="AK524" s="6">
        <f>IF(AN524=15,L524,0)</f>
        <v>0</v>
      </c>
      <c r="AL524" s="6">
        <f>IF(AN524=21,L524,0)</f>
        <v>0</v>
      </c>
      <c r="AN524" s="14">
        <v>21</v>
      </c>
      <c r="AO524" s="92">
        <f>H524*1</f>
        <v>0</v>
      </c>
      <c r="AP524" s="92">
        <f>H524*(1-1)</f>
        <v>0</v>
      </c>
      <c r="AQ524" s="18" t="s">
        <v>2435</v>
      </c>
      <c r="AV524" s="14">
        <f>AW524+AX524</f>
        <v>0</v>
      </c>
      <c r="AW524" s="14">
        <f>G524*AO524</f>
        <v>0</v>
      </c>
      <c r="AX524" s="14">
        <f>G524*AP524</f>
        <v>0</v>
      </c>
      <c r="AY524" s="55" t="s">
        <v>256</v>
      </c>
      <c r="AZ524" s="55" t="s">
        <v>1095</v>
      </c>
      <c r="BA524" s="15" t="s">
        <v>1843</v>
      </c>
      <c r="BC524" s="14">
        <f>AW524+AX524</f>
        <v>0</v>
      </c>
      <c r="BD524" s="14">
        <f>H524/(100-BE524)*100</f>
        <v>0</v>
      </c>
      <c r="BE524" s="14">
        <v>0</v>
      </c>
      <c r="BF524" s="14">
        <f>O524</f>
        <v>0</v>
      </c>
      <c r="BH524" s="6">
        <f>G524*AO524</f>
        <v>0</v>
      </c>
      <c r="BI524" s="6">
        <f>G524*AP524</f>
        <v>0</v>
      </c>
      <c r="BJ524" s="6">
        <f>G524*H524</f>
        <v>0</v>
      </c>
      <c r="BK524" s="6"/>
      <c r="BL524" s="14">
        <v>766</v>
      </c>
      <c r="BW524" s="14" t="str">
        <f>I524</f>
        <v>21</v>
      </c>
    </row>
    <row r="525" spans="1:75" ht="15" customHeight="1">
      <c r="A525" s="32"/>
      <c r="D525" s="3" t="s">
        <v>2422</v>
      </c>
      <c r="E525" s="28" t="s">
        <v>1683</v>
      </c>
      <c r="G525" s="27">
        <v>1</v>
      </c>
      <c r="P525" s="33"/>
    </row>
    <row r="526" spans="1:75" ht="13.5" customHeight="1">
      <c r="A526" s="21" t="s">
        <v>988</v>
      </c>
      <c r="B526" s="37" t="s">
        <v>1842</v>
      </c>
      <c r="C526" s="37" t="s">
        <v>2529</v>
      </c>
      <c r="D526" s="578" t="s">
        <v>2515</v>
      </c>
      <c r="E526" s="579"/>
      <c r="F526" s="37" t="s">
        <v>595</v>
      </c>
      <c r="G526" s="14">
        <v>7</v>
      </c>
      <c r="H526" s="569"/>
      <c r="I526" s="55" t="s">
        <v>1720</v>
      </c>
      <c r="J526" s="14">
        <f>G526*AO526</f>
        <v>0</v>
      </c>
      <c r="K526" s="14">
        <f>G526*AP526</f>
        <v>0</v>
      </c>
      <c r="L526" s="14">
        <f>G526*H526</f>
        <v>0</v>
      </c>
      <c r="M526" s="14">
        <f>L526*(1+BW526/100)</f>
        <v>0</v>
      </c>
      <c r="N526" s="14">
        <v>0</v>
      </c>
      <c r="O526" s="14">
        <f>G526*N526</f>
        <v>0</v>
      </c>
      <c r="P526" s="72" t="s">
        <v>1664</v>
      </c>
      <c r="Z526" s="14">
        <f>IF(AQ526="5",BJ526,0)</f>
        <v>0</v>
      </c>
      <c r="AB526" s="14">
        <f>IF(AQ526="1",BH526,0)</f>
        <v>0</v>
      </c>
      <c r="AC526" s="14">
        <f>IF(AQ526="1",BI526,0)</f>
        <v>0</v>
      </c>
      <c r="AD526" s="14">
        <f>IF(AQ526="7",BH526,0)</f>
        <v>0</v>
      </c>
      <c r="AE526" s="14">
        <f>IF(AQ526="7",BI526,0)</f>
        <v>0</v>
      </c>
      <c r="AF526" s="14">
        <f>IF(AQ526="2",BH526,0)</f>
        <v>0</v>
      </c>
      <c r="AG526" s="14">
        <f>IF(AQ526="2",BI526,0)</f>
        <v>0</v>
      </c>
      <c r="AH526" s="14">
        <f>IF(AQ526="0",BJ526,0)</f>
        <v>0</v>
      </c>
      <c r="AI526" s="15" t="s">
        <v>1842</v>
      </c>
      <c r="AJ526" s="14">
        <f>IF(AN526=0,L526,0)</f>
        <v>0</v>
      </c>
      <c r="AK526" s="14">
        <f>IF(AN526=15,L526,0)</f>
        <v>0</v>
      </c>
      <c r="AL526" s="14">
        <f>IF(AN526=21,L526,0)</f>
        <v>0</v>
      </c>
      <c r="AN526" s="14">
        <v>21</v>
      </c>
      <c r="AO526" s="92">
        <f>H526*0</f>
        <v>0</v>
      </c>
      <c r="AP526" s="92">
        <f>H526*(1-0)</f>
        <v>0</v>
      </c>
      <c r="AQ526" s="55" t="s">
        <v>2435</v>
      </c>
      <c r="AV526" s="14">
        <f>AW526+AX526</f>
        <v>0</v>
      </c>
      <c r="AW526" s="14">
        <f>G526*AO526</f>
        <v>0</v>
      </c>
      <c r="AX526" s="14">
        <f>G526*AP526</f>
        <v>0</v>
      </c>
      <c r="AY526" s="55" t="s">
        <v>256</v>
      </c>
      <c r="AZ526" s="55" t="s">
        <v>1095</v>
      </c>
      <c r="BA526" s="15" t="s">
        <v>1843</v>
      </c>
      <c r="BC526" s="14">
        <f>AW526+AX526</f>
        <v>0</v>
      </c>
      <c r="BD526" s="14">
        <f>H526/(100-BE526)*100</f>
        <v>0</v>
      </c>
      <c r="BE526" s="14">
        <v>0</v>
      </c>
      <c r="BF526" s="14">
        <f>O526</f>
        <v>0</v>
      </c>
      <c r="BH526" s="14">
        <f>G526*AO526</f>
        <v>0</v>
      </c>
      <c r="BI526" s="14">
        <f>G526*AP526</f>
        <v>0</v>
      </c>
      <c r="BJ526" s="14">
        <f>G526*H526</f>
        <v>0</v>
      </c>
      <c r="BK526" s="14"/>
      <c r="BL526" s="14">
        <v>766</v>
      </c>
      <c r="BW526" s="14" t="str">
        <f>I526</f>
        <v>21</v>
      </c>
    </row>
    <row r="527" spans="1:75" ht="15" customHeight="1">
      <c r="A527" s="32"/>
      <c r="D527" s="3" t="s">
        <v>2435</v>
      </c>
      <c r="E527" s="28" t="s">
        <v>149</v>
      </c>
      <c r="G527" s="27">
        <v>7.0000000000000009</v>
      </c>
      <c r="P527" s="33"/>
    </row>
    <row r="528" spans="1:75" ht="13.5" customHeight="1">
      <c r="A528" s="20" t="s">
        <v>810</v>
      </c>
      <c r="B528" s="84" t="s">
        <v>1842</v>
      </c>
      <c r="C528" s="84" t="s">
        <v>1181</v>
      </c>
      <c r="D528" s="653" t="s">
        <v>2109</v>
      </c>
      <c r="E528" s="654"/>
      <c r="F528" s="84" t="s">
        <v>856</v>
      </c>
      <c r="G528" s="6">
        <v>7</v>
      </c>
      <c r="H528" s="570"/>
      <c r="I528" s="18" t="s">
        <v>1720</v>
      </c>
      <c r="J528" s="6">
        <f>G528*AO528</f>
        <v>0</v>
      </c>
      <c r="K528" s="6">
        <f>G528*AP528</f>
        <v>0</v>
      </c>
      <c r="L528" s="6">
        <f>G528*H528</f>
        <v>0</v>
      </c>
      <c r="M528" s="6">
        <f>L528*(1+BW528/100)</f>
        <v>0</v>
      </c>
      <c r="N528" s="6">
        <v>0.105</v>
      </c>
      <c r="O528" s="6">
        <f>G528*N528</f>
        <v>0.73499999999999999</v>
      </c>
      <c r="P528" s="109" t="s">
        <v>1664</v>
      </c>
      <c r="Z528" s="14">
        <f>IF(AQ528="5",BJ528,0)</f>
        <v>0</v>
      </c>
      <c r="AB528" s="14">
        <f>IF(AQ528="1",BH528,0)</f>
        <v>0</v>
      </c>
      <c r="AC528" s="14">
        <f>IF(AQ528="1",BI528,0)</f>
        <v>0</v>
      </c>
      <c r="AD528" s="14">
        <f>IF(AQ528="7",BH528,0)</f>
        <v>0</v>
      </c>
      <c r="AE528" s="14">
        <f>IF(AQ528="7",BI528,0)</f>
        <v>0</v>
      </c>
      <c r="AF528" s="14">
        <f>IF(AQ528="2",BH528,0)</f>
        <v>0</v>
      </c>
      <c r="AG528" s="14">
        <f>IF(AQ528="2",BI528,0)</f>
        <v>0</v>
      </c>
      <c r="AH528" s="14">
        <f>IF(AQ528="0",BJ528,0)</f>
        <v>0</v>
      </c>
      <c r="AI528" s="15" t="s">
        <v>1842</v>
      </c>
      <c r="AJ528" s="6">
        <f>IF(AN528=0,L528,0)</f>
        <v>0</v>
      </c>
      <c r="AK528" s="6">
        <f>IF(AN528=15,L528,0)</f>
        <v>0</v>
      </c>
      <c r="AL528" s="6">
        <f>IF(AN528=21,L528,0)</f>
        <v>0</v>
      </c>
      <c r="AN528" s="14">
        <v>21</v>
      </c>
      <c r="AO528" s="92">
        <f>H528*1</f>
        <v>0</v>
      </c>
      <c r="AP528" s="92">
        <f>H528*(1-1)</f>
        <v>0</v>
      </c>
      <c r="AQ528" s="18" t="s">
        <v>2435</v>
      </c>
      <c r="AV528" s="14">
        <f>AW528+AX528</f>
        <v>0</v>
      </c>
      <c r="AW528" s="14">
        <f>G528*AO528</f>
        <v>0</v>
      </c>
      <c r="AX528" s="14">
        <f>G528*AP528</f>
        <v>0</v>
      </c>
      <c r="AY528" s="55" t="s">
        <v>256</v>
      </c>
      <c r="AZ528" s="55" t="s">
        <v>1095</v>
      </c>
      <c r="BA528" s="15" t="s">
        <v>1843</v>
      </c>
      <c r="BC528" s="14">
        <f>AW528+AX528</f>
        <v>0</v>
      </c>
      <c r="BD528" s="14">
        <f>H528/(100-BE528)*100</f>
        <v>0</v>
      </c>
      <c r="BE528" s="14">
        <v>0</v>
      </c>
      <c r="BF528" s="14">
        <f>O528</f>
        <v>0.73499999999999999</v>
      </c>
      <c r="BH528" s="6">
        <f>G528*AO528</f>
        <v>0</v>
      </c>
      <c r="BI528" s="6">
        <f>G528*AP528</f>
        <v>0</v>
      </c>
      <c r="BJ528" s="6">
        <f>G528*H528</f>
        <v>0</v>
      </c>
      <c r="BK528" s="6"/>
      <c r="BL528" s="14">
        <v>766</v>
      </c>
      <c r="BW528" s="14" t="str">
        <f>I528</f>
        <v>21</v>
      </c>
    </row>
    <row r="529" spans="1:75" ht="15" customHeight="1">
      <c r="A529" s="32"/>
      <c r="D529" s="3" t="s">
        <v>2435</v>
      </c>
      <c r="E529" s="28" t="s">
        <v>1683</v>
      </c>
      <c r="G529" s="27">
        <v>7.0000000000000009</v>
      </c>
      <c r="P529" s="33"/>
    </row>
    <row r="530" spans="1:75" ht="13.5" customHeight="1">
      <c r="A530" s="21" t="s">
        <v>2585</v>
      </c>
      <c r="B530" s="37" t="s">
        <v>1842</v>
      </c>
      <c r="C530" s="37" t="s">
        <v>1948</v>
      </c>
      <c r="D530" s="578" t="s">
        <v>1211</v>
      </c>
      <c r="E530" s="579"/>
      <c r="F530" s="37" t="s">
        <v>595</v>
      </c>
      <c r="G530" s="14">
        <v>2</v>
      </c>
      <c r="H530" s="569"/>
      <c r="I530" s="55" t="s">
        <v>1720</v>
      </c>
      <c r="J530" s="14">
        <f>G530*AO530</f>
        <v>0</v>
      </c>
      <c r="K530" s="14">
        <f>G530*AP530</f>
        <v>0</v>
      </c>
      <c r="L530" s="14">
        <f>G530*H530</f>
        <v>0</v>
      </c>
      <c r="M530" s="14">
        <f>L530*(1+BW530/100)</f>
        <v>0</v>
      </c>
      <c r="N530" s="14">
        <v>0</v>
      </c>
      <c r="O530" s="14">
        <f>G530*N530</f>
        <v>0</v>
      </c>
      <c r="P530" s="72" t="s">
        <v>1664</v>
      </c>
      <c r="Z530" s="14">
        <f>IF(AQ530="5",BJ530,0)</f>
        <v>0</v>
      </c>
      <c r="AB530" s="14">
        <f>IF(AQ530="1",BH530,0)</f>
        <v>0</v>
      </c>
      <c r="AC530" s="14">
        <f>IF(AQ530="1",BI530,0)</f>
        <v>0</v>
      </c>
      <c r="AD530" s="14">
        <f>IF(AQ530="7",BH530,0)</f>
        <v>0</v>
      </c>
      <c r="AE530" s="14">
        <f>IF(AQ530="7",BI530,0)</f>
        <v>0</v>
      </c>
      <c r="AF530" s="14">
        <f>IF(AQ530="2",BH530,0)</f>
        <v>0</v>
      </c>
      <c r="AG530" s="14">
        <f>IF(AQ530="2",BI530,0)</f>
        <v>0</v>
      </c>
      <c r="AH530" s="14">
        <f>IF(AQ530="0",BJ530,0)</f>
        <v>0</v>
      </c>
      <c r="AI530" s="15" t="s">
        <v>1842</v>
      </c>
      <c r="AJ530" s="14">
        <f>IF(AN530=0,L530,0)</f>
        <v>0</v>
      </c>
      <c r="AK530" s="14">
        <f>IF(AN530=15,L530,0)</f>
        <v>0</v>
      </c>
      <c r="AL530" s="14">
        <f>IF(AN530=21,L530,0)</f>
        <v>0</v>
      </c>
      <c r="AN530" s="14">
        <v>21</v>
      </c>
      <c r="AO530" s="92">
        <f>H530*0</f>
        <v>0</v>
      </c>
      <c r="AP530" s="92">
        <f>H530*(1-0)</f>
        <v>0</v>
      </c>
      <c r="AQ530" s="55" t="s">
        <v>2435</v>
      </c>
      <c r="AV530" s="14">
        <f>AW530+AX530</f>
        <v>0</v>
      </c>
      <c r="AW530" s="14">
        <f>G530*AO530</f>
        <v>0</v>
      </c>
      <c r="AX530" s="14">
        <f>G530*AP530</f>
        <v>0</v>
      </c>
      <c r="AY530" s="55" t="s">
        <v>256</v>
      </c>
      <c r="AZ530" s="55" t="s">
        <v>1095</v>
      </c>
      <c r="BA530" s="15" t="s">
        <v>1843</v>
      </c>
      <c r="BC530" s="14">
        <f>AW530+AX530</f>
        <v>0</v>
      </c>
      <c r="BD530" s="14">
        <f>H530/(100-BE530)*100</f>
        <v>0</v>
      </c>
      <c r="BE530" s="14">
        <v>0</v>
      </c>
      <c r="BF530" s="14">
        <f>O530</f>
        <v>0</v>
      </c>
      <c r="BH530" s="14">
        <f>G530*AO530</f>
        <v>0</v>
      </c>
      <c r="BI530" s="14">
        <f>G530*AP530</f>
        <v>0</v>
      </c>
      <c r="BJ530" s="14">
        <f>G530*H530</f>
        <v>0</v>
      </c>
      <c r="BK530" s="14"/>
      <c r="BL530" s="14">
        <v>766</v>
      </c>
      <c r="BW530" s="14" t="str">
        <f>I530</f>
        <v>21</v>
      </c>
    </row>
    <row r="531" spans="1:75" ht="15" customHeight="1">
      <c r="A531" s="32"/>
      <c r="D531" s="3" t="s">
        <v>1676</v>
      </c>
      <c r="E531" s="28" t="s">
        <v>1683</v>
      </c>
      <c r="G531" s="27">
        <v>2</v>
      </c>
      <c r="P531" s="33"/>
    </row>
    <row r="532" spans="1:75" ht="13.5" customHeight="1">
      <c r="A532" s="20" t="s">
        <v>1386</v>
      </c>
      <c r="B532" s="84" t="s">
        <v>1842</v>
      </c>
      <c r="C532" s="84" t="s">
        <v>2293</v>
      </c>
      <c r="D532" s="653" t="s">
        <v>1798</v>
      </c>
      <c r="E532" s="654"/>
      <c r="F532" s="84" t="s">
        <v>595</v>
      </c>
      <c r="G532" s="6">
        <v>2</v>
      </c>
      <c r="H532" s="570"/>
      <c r="I532" s="18" t="s">
        <v>1720</v>
      </c>
      <c r="J532" s="6">
        <f>G532*AO532</f>
        <v>0</v>
      </c>
      <c r="K532" s="6">
        <f>G532*AP532</f>
        <v>0</v>
      </c>
      <c r="L532" s="6">
        <f>G532*H532</f>
        <v>0</v>
      </c>
      <c r="M532" s="6">
        <f>L532*(1+BW532/100)</f>
        <v>0</v>
      </c>
      <c r="N532" s="6">
        <v>7.4999999999999997E-3</v>
      </c>
      <c r="O532" s="6">
        <f>G532*N532</f>
        <v>1.4999999999999999E-2</v>
      </c>
      <c r="P532" s="109" t="s">
        <v>921</v>
      </c>
      <c r="Z532" s="14">
        <f>IF(AQ532="5",BJ532,0)</f>
        <v>0</v>
      </c>
      <c r="AB532" s="14">
        <f>IF(AQ532="1",BH532,0)</f>
        <v>0</v>
      </c>
      <c r="AC532" s="14">
        <f>IF(AQ532="1",BI532,0)</f>
        <v>0</v>
      </c>
      <c r="AD532" s="14">
        <f>IF(AQ532="7",BH532,0)</f>
        <v>0</v>
      </c>
      <c r="AE532" s="14">
        <f>IF(AQ532="7",BI532,0)</f>
        <v>0</v>
      </c>
      <c r="AF532" s="14">
        <f>IF(AQ532="2",BH532,0)</f>
        <v>0</v>
      </c>
      <c r="AG532" s="14">
        <f>IF(AQ532="2",BI532,0)</f>
        <v>0</v>
      </c>
      <c r="AH532" s="14">
        <f>IF(AQ532="0",BJ532,0)</f>
        <v>0</v>
      </c>
      <c r="AI532" s="15" t="s">
        <v>1842</v>
      </c>
      <c r="AJ532" s="6">
        <f>IF(AN532=0,L532,0)</f>
        <v>0</v>
      </c>
      <c r="AK532" s="6">
        <f>IF(AN532=15,L532,0)</f>
        <v>0</v>
      </c>
      <c r="AL532" s="6">
        <f>IF(AN532=21,L532,0)</f>
        <v>0</v>
      </c>
      <c r="AN532" s="14">
        <v>21</v>
      </c>
      <c r="AO532" s="92">
        <f>H532*1</f>
        <v>0</v>
      </c>
      <c r="AP532" s="92">
        <f>H532*(1-1)</f>
        <v>0</v>
      </c>
      <c r="AQ532" s="18" t="s">
        <v>2435</v>
      </c>
      <c r="AV532" s="14">
        <f>AW532+AX532</f>
        <v>0</v>
      </c>
      <c r="AW532" s="14">
        <f>G532*AO532</f>
        <v>0</v>
      </c>
      <c r="AX532" s="14">
        <f>G532*AP532</f>
        <v>0</v>
      </c>
      <c r="AY532" s="55" t="s">
        <v>256</v>
      </c>
      <c r="AZ532" s="55" t="s">
        <v>1095</v>
      </c>
      <c r="BA532" s="15" t="s">
        <v>1843</v>
      </c>
      <c r="BC532" s="14">
        <f>AW532+AX532</f>
        <v>0</v>
      </c>
      <c r="BD532" s="14">
        <f>H532/(100-BE532)*100</f>
        <v>0</v>
      </c>
      <c r="BE532" s="14">
        <v>0</v>
      </c>
      <c r="BF532" s="14">
        <f>O532</f>
        <v>1.4999999999999999E-2</v>
      </c>
      <c r="BH532" s="6">
        <f>G532*AO532</f>
        <v>0</v>
      </c>
      <c r="BI532" s="6">
        <f>G532*AP532</f>
        <v>0</v>
      </c>
      <c r="BJ532" s="6">
        <f>G532*H532</f>
        <v>0</v>
      </c>
      <c r="BK532" s="6"/>
      <c r="BL532" s="14">
        <v>766</v>
      </c>
      <c r="BW532" s="14" t="str">
        <f>I532</f>
        <v>21</v>
      </c>
    </row>
    <row r="533" spans="1:75" ht="15" customHeight="1">
      <c r="A533" s="32"/>
      <c r="D533" s="3" t="s">
        <v>1676</v>
      </c>
      <c r="E533" s="28" t="s">
        <v>1683</v>
      </c>
      <c r="G533" s="27">
        <v>2</v>
      </c>
      <c r="P533" s="33"/>
    </row>
    <row r="534" spans="1:75" ht="27" customHeight="1">
      <c r="A534" s="21" t="s">
        <v>1300</v>
      </c>
      <c r="B534" s="37" t="s">
        <v>1842</v>
      </c>
      <c r="C534" s="37" t="s">
        <v>1667</v>
      </c>
      <c r="D534" s="578" t="s">
        <v>2395</v>
      </c>
      <c r="E534" s="579"/>
      <c r="F534" s="37" t="s">
        <v>2398</v>
      </c>
      <c r="G534" s="14">
        <v>376</v>
      </c>
      <c r="H534" s="569"/>
      <c r="I534" s="55" t="s">
        <v>1720</v>
      </c>
      <c r="J534" s="14">
        <f>G534*AO534</f>
        <v>0</v>
      </c>
      <c r="K534" s="14">
        <f>G534*AP534</f>
        <v>0</v>
      </c>
      <c r="L534" s="14">
        <f>G534*H534</f>
        <v>0</v>
      </c>
      <c r="M534" s="14">
        <f>L534*(1+BW534/100)</f>
        <v>0</v>
      </c>
      <c r="N534" s="14">
        <v>3.1E-4</v>
      </c>
      <c r="O534" s="14">
        <f>G534*N534</f>
        <v>0.11656</v>
      </c>
      <c r="P534" s="72" t="s">
        <v>921</v>
      </c>
      <c r="Z534" s="14">
        <f>IF(AQ534="5",BJ534,0)</f>
        <v>0</v>
      </c>
      <c r="AB534" s="14">
        <f>IF(AQ534="1",BH534,0)</f>
        <v>0</v>
      </c>
      <c r="AC534" s="14">
        <f>IF(AQ534="1",BI534,0)</f>
        <v>0</v>
      </c>
      <c r="AD534" s="14">
        <f>IF(AQ534="7",BH534,0)</f>
        <v>0</v>
      </c>
      <c r="AE534" s="14">
        <f>IF(AQ534="7",BI534,0)</f>
        <v>0</v>
      </c>
      <c r="AF534" s="14">
        <f>IF(AQ534="2",BH534,0)</f>
        <v>0</v>
      </c>
      <c r="AG534" s="14">
        <f>IF(AQ534="2",BI534,0)</f>
        <v>0</v>
      </c>
      <c r="AH534" s="14">
        <f>IF(AQ534="0",BJ534,0)</f>
        <v>0</v>
      </c>
      <c r="AI534" s="15" t="s">
        <v>1842</v>
      </c>
      <c r="AJ534" s="14">
        <f>IF(AN534=0,L534,0)</f>
        <v>0</v>
      </c>
      <c r="AK534" s="14">
        <f>IF(AN534=15,L534,0)</f>
        <v>0</v>
      </c>
      <c r="AL534" s="14">
        <f>IF(AN534=21,L534,0)</f>
        <v>0</v>
      </c>
      <c r="AN534" s="14">
        <v>21</v>
      </c>
      <c r="AO534" s="92">
        <f>H534*0.450914634146341</f>
        <v>0</v>
      </c>
      <c r="AP534" s="92">
        <f>H534*(1-0.450914634146341)</f>
        <v>0</v>
      </c>
      <c r="AQ534" s="55" t="s">
        <v>2435</v>
      </c>
      <c r="AV534" s="14">
        <f>AW534+AX534</f>
        <v>0</v>
      </c>
      <c r="AW534" s="14">
        <f>G534*AO534</f>
        <v>0</v>
      </c>
      <c r="AX534" s="14">
        <f>G534*AP534</f>
        <v>0</v>
      </c>
      <c r="AY534" s="55" t="s">
        <v>256</v>
      </c>
      <c r="AZ534" s="55" t="s">
        <v>1095</v>
      </c>
      <c r="BA534" s="15" t="s">
        <v>1843</v>
      </c>
      <c r="BC534" s="14">
        <f>AW534+AX534</f>
        <v>0</v>
      </c>
      <c r="BD534" s="14">
        <f>H534/(100-BE534)*100</f>
        <v>0</v>
      </c>
      <c r="BE534" s="14">
        <v>0</v>
      </c>
      <c r="BF534" s="14">
        <f>O534</f>
        <v>0.11656</v>
      </c>
      <c r="BH534" s="14">
        <f>G534*AO534</f>
        <v>0</v>
      </c>
      <c r="BI534" s="14">
        <f>G534*AP534</f>
        <v>0</v>
      </c>
      <c r="BJ534" s="14">
        <f>G534*H534</f>
        <v>0</v>
      </c>
      <c r="BK534" s="14"/>
      <c r="BL534" s="14">
        <v>766</v>
      </c>
      <c r="BW534" s="14" t="str">
        <f>I534</f>
        <v>21</v>
      </c>
    </row>
    <row r="535" spans="1:75" ht="15" customHeight="1">
      <c r="A535" s="32"/>
      <c r="D535" s="3" t="s">
        <v>2697</v>
      </c>
      <c r="E535" s="28" t="s">
        <v>480</v>
      </c>
      <c r="G535" s="27">
        <v>376.00000000000006</v>
      </c>
      <c r="P535" s="33"/>
    </row>
    <row r="536" spans="1:75" ht="27" customHeight="1">
      <c r="A536" s="21" t="s">
        <v>2062</v>
      </c>
      <c r="B536" s="37" t="s">
        <v>1842</v>
      </c>
      <c r="C536" s="37" t="s">
        <v>358</v>
      </c>
      <c r="D536" s="578" t="s">
        <v>1564</v>
      </c>
      <c r="E536" s="579"/>
      <c r="F536" s="37" t="s">
        <v>2398</v>
      </c>
      <c r="G536" s="14">
        <v>376</v>
      </c>
      <c r="H536" s="569"/>
      <c r="I536" s="55" t="s">
        <v>1720</v>
      </c>
      <c r="J536" s="14">
        <f>G536*AO536</f>
        <v>0</v>
      </c>
      <c r="K536" s="14">
        <f>G536*AP536</f>
        <v>0</v>
      </c>
      <c r="L536" s="14">
        <f>G536*H536</f>
        <v>0</v>
      </c>
      <c r="M536" s="14">
        <f>L536*(1+BW536/100)</f>
        <v>0</v>
      </c>
      <c r="N536" s="14">
        <v>0</v>
      </c>
      <c r="O536" s="14">
        <f>G536*N536</f>
        <v>0</v>
      </c>
      <c r="P536" s="72" t="s">
        <v>921</v>
      </c>
      <c r="Z536" s="14">
        <f>IF(AQ536="5",BJ536,0)</f>
        <v>0</v>
      </c>
      <c r="AB536" s="14">
        <f>IF(AQ536="1",BH536,0)</f>
        <v>0</v>
      </c>
      <c r="AC536" s="14">
        <f>IF(AQ536="1",BI536,0)</f>
        <v>0</v>
      </c>
      <c r="AD536" s="14">
        <f>IF(AQ536="7",BH536,0)</f>
        <v>0</v>
      </c>
      <c r="AE536" s="14">
        <f>IF(AQ536="7",BI536,0)</f>
        <v>0</v>
      </c>
      <c r="AF536" s="14">
        <f>IF(AQ536="2",BH536,0)</f>
        <v>0</v>
      </c>
      <c r="AG536" s="14">
        <f>IF(AQ536="2",BI536,0)</f>
        <v>0</v>
      </c>
      <c r="AH536" s="14">
        <f>IF(AQ536="0",BJ536,0)</f>
        <v>0</v>
      </c>
      <c r="AI536" s="15" t="s">
        <v>1842</v>
      </c>
      <c r="AJ536" s="14">
        <f>IF(AN536=0,L536,0)</f>
        <v>0</v>
      </c>
      <c r="AK536" s="14">
        <f>IF(AN536=15,L536,0)</f>
        <v>0</v>
      </c>
      <c r="AL536" s="14">
        <f>IF(AN536=21,L536,0)</f>
        <v>0</v>
      </c>
      <c r="AN536" s="14">
        <v>21</v>
      </c>
      <c r="AO536" s="92">
        <f>H536*0.145854341736695</f>
        <v>0</v>
      </c>
      <c r="AP536" s="92">
        <f>H536*(1-0.145854341736695)</f>
        <v>0</v>
      </c>
      <c r="AQ536" s="55" t="s">
        <v>2435</v>
      </c>
      <c r="AV536" s="14">
        <f>AW536+AX536</f>
        <v>0</v>
      </c>
      <c r="AW536" s="14">
        <f>G536*AO536</f>
        <v>0</v>
      </c>
      <c r="AX536" s="14">
        <f>G536*AP536</f>
        <v>0</v>
      </c>
      <c r="AY536" s="55" t="s">
        <v>256</v>
      </c>
      <c r="AZ536" s="55" t="s">
        <v>1095</v>
      </c>
      <c r="BA536" s="15" t="s">
        <v>1843</v>
      </c>
      <c r="BC536" s="14">
        <f>AW536+AX536</f>
        <v>0</v>
      </c>
      <c r="BD536" s="14">
        <f>H536/(100-BE536)*100</f>
        <v>0</v>
      </c>
      <c r="BE536" s="14">
        <v>0</v>
      </c>
      <c r="BF536" s="14">
        <f>O536</f>
        <v>0</v>
      </c>
      <c r="BH536" s="14">
        <f>G536*AO536</f>
        <v>0</v>
      </c>
      <c r="BI536" s="14">
        <f>G536*AP536</f>
        <v>0</v>
      </c>
      <c r="BJ536" s="14">
        <f>G536*H536</f>
        <v>0</v>
      </c>
      <c r="BK536" s="14"/>
      <c r="BL536" s="14">
        <v>766</v>
      </c>
      <c r="BW536" s="14" t="str">
        <f>I536</f>
        <v>21</v>
      </c>
    </row>
    <row r="537" spans="1:75" ht="15" customHeight="1">
      <c r="A537" s="32"/>
      <c r="D537" s="3" t="s">
        <v>2697</v>
      </c>
      <c r="E537" s="28" t="s">
        <v>1683</v>
      </c>
      <c r="G537" s="27">
        <v>376.00000000000006</v>
      </c>
      <c r="P537" s="33"/>
    </row>
    <row r="538" spans="1:75" ht="13.5" customHeight="1">
      <c r="A538" s="20" t="s">
        <v>2257</v>
      </c>
      <c r="B538" s="84" t="s">
        <v>1842</v>
      </c>
      <c r="C538" s="84" t="s">
        <v>1504</v>
      </c>
      <c r="D538" s="653" t="s">
        <v>768</v>
      </c>
      <c r="E538" s="654"/>
      <c r="F538" s="84" t="s">
        <v>2398</v>
      </c>
      <c r="G538" s="6">
        <v>451.2</v>
      </c>
      <c r="H538" s="570"/>
      <c r="I538" s="18" t="s">
        <v>1720</v>
      </c>
      <c r="J538" s="6">
        <f>G538*AO538</f>
        <v>0</v>
      </c>
      <c r="K538" s="6">
        <f>G538*AP538</f>
        <v>0</v>
      </c>
      <c r="L538" s="6">
        <f>G538*H538</f>
        <v>0</v>
      </c>
      <c r="M538" s="6">
        <f>L538*(1+BW538/100)</f>
        <v>0</v>
      </c>
      <c r="N538" s="6">
        <v>1.4E-2</v>
      </c>
      <c r="O538" s="6">
        <f>G538*N538</f>
        <v>6.3167999999999997</v>
      </c>
      <c r="P538" s="109" t="s">
        <v>1664</v>
      </c>
      <c r="Z538" s="14">
        <f>IF(AQ538="5",BJ538,0)</f>
        <v>0</v>
      </c>
      <c r="AB538" s="14">
        <f>IF(AQ538="1",BH538,0)</f>
        <v>0</v>
      </c>
      <c r="AC538" s="14">
        <f>IF(AQ538="1",BI538,0)</f>
        <v>0</v>
      </c>
      <c r="AD538" s="14">
        <f>IF(AQ538="7",BH538,0)</f>
        <v>0</v>
      </c>
      <c r="AE538" s="14">
        <f>IF(AQ538="7",BI538,0)</f>
        <v>0</v>
      </c>
      <c r="AF538" s="14">
        <f>IF(AQ538="2",BH538,0)</f>
        <v>0</v>
      </c>
      <c r="AG538" s="14">
        <f>IF(AQ538="2",BI538,0)</f>
        <v>0</v>
      </c>
      <c r="AH538" s="14">
        <f>IF(AQ538="0",BJ538,0)</f>
        <v>0</v>
      </c>
      <c r="AI538" s="15" t="s">
        <v>1842</v>
      </c>
      <c r="AJ538" s="6">
        <f>IF(AN538=0,L538,0)</f>
        <v>0</v>
      </c>
      <c r="AK538" s="6">
        <f>IF(AN538=15,L538,0)</f>
        <v>0</v>
      </c>
      <c r="AL538" s="6">
        <f>IF(AN538=21,L538,0)</f>
        <v>0</v>
      </c>
      <c r="AN538" s="14">
        <v>21</v>
      </c>
      <c r="AO538" s="92">
        <f>H538*1</f>
        <v>0</v>
      </c>
      <c r="AP538" s="92">
        <f>H538*(1-1)</f>
        <v>0</v>
      </c>
      <c r="AQ538" s="18" t="s">
        <v>2435</v>
      </c>
      <c r="AV538" s="14">
        <f>AW538+AX538</f>
        <v>0</v>
      </c>
      <c r="AW538" s="14">
        <f>G538*AO538</f>
        <v>0</v>
      </c>
      <c r="AX538" s="14">
        <f>G538*AP538</f>
        <v>0</v>
      </c>
      <c r="AY538" s="55" t="s">
        <v>256</v>
      </c>
      <c r="AZ538" s="55" t="s">
        <v>1095</v>
      </c>
      <c r="BA538" s="15" t="s">
        <v>1843</v>
      </c>
      <c r="BC538" s="14">
        <f>AW538+AX538</f>
        <v>0</v>
      </c>
      <c r="BD538" s="14">
        <f>H538/(100-BE538)*100</f>
        <v>0</v>
      </c>
      <c r="BE538" s="14">
        <v>0</v>
      </c>
      <c r="BF538" s="14">
        <f>O538</f>
        <v>6.3167999999999997</v>
      </c>
      <c r="BH538" s="6">
        <f>G538*AO538</f>
        <v>0</v>
      </c>
      <c r="BI538" s="6">
        <f>G538*AP538</f>
        <v>0</v>
      </c>
      <c r="BJ538" s="6">
        <f>G538*H538</f>
        <v>0</v>
      </c>
      <c r="BK538" s="6"/>
      <c r="BL538" s="14">
        <v>766</v>
      </c>
      <c r="BW538" s="14" t="str">
        <f>I538</f>
        <v>21</v>
      </c>
    </row>
    <row r="539" spans="1:75" ht="15" customHeight="1">
      <c r="A539" s="32"/>
      <c r="D539" s="3" t="s">
        <v>2697</v>
      </c>
      <c r="E539" s="28" t="s">
        <v>1683</v>
      </c>
      <c r="G539" s="27">
        <v>376.00000000000006</v>
      </c>
      <c r="P539" s="33"/>
    </row>
    <row r="540" spans="1:75" ht="15" customHeight="1">
      <c r="A540" s="32"/>
      <c r="D540" s="3" t="s">
        <v>1756</v>
      </c>
      <c r="E540" s="28" t="s">
        <v>1683</v>
      </c>
      <c r="G540" s="27">
        <v>75.2</v>
      </c>
      <c r="P540" s="33"/>
    </row>
    <row r="541" spans="1:75" ht="13.5" customHeight="1">
      <c r="A541" s="21" t="s">
        <v>2431</v>
      </c>
      <c r="B541" s="37" t="s">
        <v>1842</v>
      </c>
      <c r="C541" s="37" t="s">
        <v>1934</v>
      </c>
      <c r="D541" s="578" t="s">
        <v>1042</v>
      </c>
      <c r="E541" s="579"/>
      <c r="F541" s="37" t="s">
        <v>2398</v>
      </c>
      <c r="G541" s="14">
        <v>22.66</v>
      </c>
      <c r="H541" s="569"/>
      <c r="I541" s="55" t="s">
        <v>1720</v>
      </c>
      <c r="J541" s="14">
        <f>G541*AO541</f>
        <v>0</v>
      </c>
      <c r="K541" s="14">
        <f>G541*AP541</f>
        <v>0</v>
      </c>
      <c r="L541" s="14">
        <f>G541*H541</f>
        <v>0</v>
      </c>
      <c r="M541" s="14">
        <f>L541*(1+BW541/100)</f>
        <v>0</v>
      </c>
      <c r="N541" s="14">
        <v>2.7999999999999998E-4</v>
      </c>
      <c r="O541" s="14">
        <f>G541*N541</f>
        <v>6.3447999999999994E-3</v>
      </c>
      <c r="P541" s="72" t="s">
        <v>1664</v>
      </c>
      <c r="Z541" s="14">
        <f>IF(AQ541="5",BJ541,0)</f>
        <v>0</v>
      </c>
      <c r="AB541" s="14">
        <f>IF(AQ541="1",BH541,0)</f>
        <v>0</v>
      </c>
      <c r="AC541" s="14">
        <f>IF(AQ541="1",BI541,0)</f>
        <v>0</v>
      </c>
      <c r="AD541" s="14">
        <f>IF(AQ541="7",BH541,0)</f>
        <v>0</v>
      </c>
      <c r="AE541" s="14">
        <f>IF(AQ541="7",BI541,0)</f>
        <v>0</v>
      </c>
      <c r="AF541" s="14">
        <f>IF(AQ541="2",BH541,0)</f>
        <v>0</v>
      </c>
      <c r="AG541" s="14">
        <f>IF(AQ541="2",BI541,0)</f>
        <v>0</v>
      </c>
      <c r="AH541" s="14">
        <f>IF(AQ541="0",BJ541,0)</f>
        <v>0</v>
      </c>
      <c r="AI541" s="15" t="s">
        <v>1842</v>
      </c>
      <c r="AJ541" s="14">
        <f>IF(AN541=0,L541,0)</f>
        <v>0</v>
      </c>
      <c r="AK541" s="14">
        <f>IF(AN541=15,L541,0)</f>
        <v>0</v>
      </c>
      <c r="AL541" s="14">
        <f>IF(AN541=21,L541,0)</f>
        <v>0</v>
      </c>
      <c r="AN541" s="14">
        <v>21</v>
      </c>
      <c r="AO541" s="92">
        <f>H541*0.0242317380352645</f>
        <v>0</v>
      </c>
      <c r="AP541" s="92">
        <f>H541*(1-0.0242317380352645)</f>
        <v>0</v>
      </c>
      <c r="AQ541" s="55" t="s">
        <v>2435</v>
      </c>
      <c r="AV541" s="14">
        <f>AW541+AX541</f>
        <v>0</v>
      </c>
      <c r="AW541" s="14">
        <f>G541*AO541</f>
        <v>0</v>
      </c>
      <c r="AX541" s="14">
        <f>G541*AP541</f>
        <v>0</v>
      </c>
      <c r="AY541" s="55" t="s">
        <v>256</v>
      </c>
      <c r="AZ541" s="55" t="s">
        <v>1095</v>
      </c>
      <c r="BA541" s="15" t="s">
        <v>1843</v>
      </c>
      <c r="BC541" s="14">
        <f>AW541+AX541</f>
        <v>0</v>
      </c>
      <c r="BD541" s="14">
        <f>H541/(100-BE541)*100</f>
        <v>0</v>
      </c>
      <c r="BE541" s="14">
        <v>0</v>
      </c>
      <c r="BF541" s="14">
        <f>O541</f>
        <v>6.3447999999999994E-3</v>
      </c>
      <c r="BH541" s="14">
        <f>G541*AO541</f>
        <v>0</v>
      </c>
      <c r="BI541" s="14">
        <f>G541*AP541</f>
        <v>0</v>
      </c>
      <c r="BJ541" s="14">
        <f>G541*H541</f>
        <v>0</v>
      </c>
      <c r="BK541" s="14"/>
      <c r="BL541" s="14">
        <v>766</v>
      </c>
      <c r="BW541" s="14" t="str">
        <f>I541</f>
        <v>21</v>
      </c>
    </row>
    <row r="542" spans="1:75" ht="15" customHeight="1">
      <c r="A542" s="32"/>
      <c r="D542" s="3" t="s">
        <v>2461</v>
      </c>
      <c r="E542" s="28" t="s">
        <v>1050</v>
      </c>
      <c r="G542" s="27">
        <v>22.66</v>
      </c>
      <c r="P542" s="33"/>
    </row>
    <row r="543" spans="1:75" ht="13.5" customHeight="1">
      <c r="A543" s="20" t="s">
        <v>1651</v>
      </c>
      <c r="B543" s="84" t="s">
        <v>1842</v>
      </c>
      <c r="C543" s="84" t="s">
        <v>1504</v>
      </c>
      <c r="D543" s="653" t="s">
        <v>768</v>
      </c>
      <c r="E543" s="654"/>
      <c r="F543" s="84" t="s">
        <v>2398</v>
      </c>
      <c r="G543" s="6">
        <v>27.6</v>
      </c>
      <c r="H543" s="570"/>
      <c r="I543" s="18" t="s">
        <v>1720</v>
      </c>
      <c r="J543" s="6">
        <f>G543*AO543</f>
        <v>0</v>
      </c>
      <c r="K543" s="6">
        <f>G543*AP543</f>
        <v>0</v>
      </c>
      <c r="L543" s="6">
        <f>G543*H543</f>
        <v>0</v>
      </c>
      <c r="M543" s="6">
        <f>L543*(1+BW543/100)</f>
        <v>0</v>
      </c>
      <c r="N543" s="6">
        <v>1.4E-2</v>
      </c>
      <c r="O543" s="6">
        <f>G543*N543</f>
        <v>0.38640000000000002</v>
      </c>
      <c r="P543" s="109" t="s">
        <v>1664</v>
      </c>
      <c r="Z543" s="14">
        <f>IF(AQ543="5",BJ543,0)</f>
        <v>0</v>
      </c>
      <c r="AB543" s="14">
        <f>IF(AQ543="1",BH543,0)</f>
        <v>0</v>
      </c>
      <c r="AC543" s="14">
        <f>IF(AQ543="1",BI543,0)</f>
        <v>0</v>
      </c>
      <c r="AD543" s="14">
        <f>IF(AQ543="7",BH543,0)</f>
        <v>0</v>
      </c>
      <c r="AE543" s="14">
        <f>IF(AQ543="7",BI543,0)</f>
        <v>0</v>
      </c>
      <c r="AF543" s="14">
        <f>IF(AQ543="2",BH543,0)</f>
        <v>0</v>
      </c>
      <c r="AG543" s="14">
        <f>IF(AQ543="2",BI543,0)</f>
        <v>0</v>
      </c>
      <c r="AH543" s="14">
        <f>IF(AQ543="0",BJ543,0)</f>
        <v>0</v>
      </c>
      <c r="AI543" s="15" t="s">
        <v>1842</v>
      </c>
      <c r="AJ543" s="6">
        <f>IF(AN543=0,L543,0)</f>
        <v>0</v>
      </c>
      <c r="AK543" s="6">
        <f>IF(AN543=15,L543,0)</f>
        <v>0</v>
      </c>
      <c r="AL543" s="6">
        <f>IF(AN543=21,L543,0)</f>
        <v>0</v>
      </c>
      <c r="AN543" s="14">
        <v>21</v>
      </c>
      <c r="AO543" s="92">
        <f>H543*1</f>
        <v>0</v>
      </c>
      <c r="AP543" s="92">
        <f>H543*(1-1)</f>
        <v>0</v>
      </c>
      <c r="AQ543" s="18" t="s">
        <v>2435</v>
      </c>
      <c r="AV543" s="14">
        <f>AW543+AX543</f>
        <v>0</v>
      </c>
      <c r="AW543" s="14">
        <f>G543*AO543</f>
        <v>0</v>
      </c>
      <c r="AX543" s="14">
        <f>G543*AP543</f>
        <v>0</v>
      </c>
      <c r="AY543" s="55" t="s">
        <v>256</v>
      </c>
      <c r="AZ543" s="55" t="s">
        <v>1095</v>
      </c>
      <c r="BA543" s="15" t="s">
        <v>1843</v>
      </c>
      <c r="BC543" s="14">
        <f>AW543+AX543</f>
        <v>0</v>
      </c>
      <c r="BD543" s="14">
        <f>H543/(100-BE543)*100</f>
        <v>0</v>
      </c>
      <c r="BE543" s="14">
        <v>0</v>
      </c>
      <c r="BF543" s="14">
        <f>O543</f>
        <v>0.38640000000000002</v>
      </c>
      <c r="BH543" s="6">
        <f>G543*AO543</f>
        <v>0</v>
      </c>
      <c r="BI543" s="6">
        <f>G543*AP543</f>
        <v>0</v>
      </c>
      <c r="BJ543" s="6">
        <f>G543*H543</f>
        <v>0</v>
      </c>
      <c r="BK543" s="6"/>
      <c r="BL543" s="14">
        <v>766</v>
      </c>
      <c r="BW543" s="14" t="str">
        <f>I543</f>
        <v>21</v>
      </c>
    </row>
    <row r="544" spans="1:75" ht="15" customHeight="1">
      <c r="A544" s="32"/>
      <c r="D544" s="3" t="s">
        <v>221</v>
      </c>
      <c r="E544" s="28" t="s">
        <v>1683</v>
      </c>
      <c r="G544" s="27">
        <v>23.000000000000004</v>
      </c>
      <c r="P544" s="33"/>
    </row>
    <row r="545" spans="1:75" ht="15" customHeight="1">
      <c r="A545" s="32"/>
      <c r="D545" s="3" t="s">
        <v>1340</v>
      </c>
      <c r="E545" s="28" t="s">
        <v>1683</v>
      </c>
      <c r="G545" s="27">
        <v>4.6000000000000005</v>
      </c>
      <c r="P545" s="33"/>
    </row>
    <row r="546" spans="1:75" ht="13.5" customHeight="1">
      <c r="A546" s="20" t="s">
        <v>2194</v>
      </c>
      <c r="B546" s="84" t="s">
        <v>1842</v>
      </c>
      <c r="C546" s="84" t="s">
        <v>674</v>
      </c>
      <c r="D546" s="653" t="s">
        <v>1530</v>
      </c>
      <c r="E546" s="654"/>
      <c r="F546" s="84" t="s">
        <v>2359</v>
      </c>
      <c r="G546" s="6">
        <v>0.32</v>
      </c>
      <c r="H546" s="570"/>
      <c r="I546" s="18" t="s">
        <v>1720</v>
      </c>
      <c r="J546" s="6">
        <f>G546*AO546</f>
        <v>0</v>
      </c>
      <c r="K546" s="6">
        <f>G546*AP546</f>
        <v>0</v>
      </c>
      <c r="L546" s="6">
        <f>G546*H546</f>
        <v>0</v>
      </c>
      <c r="M546" s="6">
        <f>L546*(1+BW546/100)</f>
        <v>0</v>
      </c>
      <c r="N546" s="6">
        <v>0.5</v>
      </c>
      <c r="O546" s="6">
        <f>G546*N546</f>
        <v>0.16</v>
      </c>
      <c r="P546" s="109" t="s">
        <v>1664</v>
      </c>
      <c r="Z546" s="14">
        <f>IF(AQ546="5",BJ546,0)</f>
        <v>0</v>
      </c>
      <c r="AB546" s="14">
        <f>IF(AQ546="1",BH546,0)</f>
        <v>0</v>
      </c>
      <c r="AC546" s="14">
        <f>IF(AQ546="1",BI546,0)</f>
        <v>0</v>
      </c>
      <c r="AD546" s="14">
        <f>IF(AQ546="7",BH546,0)</f>
        <v>0</v>
      </c>
      <c r="AE546" s="14">
        <f>IF(AQ546="7",BI546,0)</f>
        <v>0</v>
      </c>
      <c r="AF546" s="14">
        <f>IF(AQ546="2",BH546,0)</f>
        <v>0</v>
      </c>
      <c r="AG546" s="14">
        <f>IF(AQ546="2",BI546,0)</f>
        <v>0</v>
      </c>
      <c r="AH546" s="14">
        <f>IF(AQ546="0",BJ546,0)</f>
        <v>0</v>
      </c>
      <c r="AI546" s="15" t="s">
        <v>1842</v>
      </c>
      <c r="AJ546" s="6">
        <f>IF(AN546=0,L546,0)</f>
        <v>0</v>
      </c>
      <c r="AK546" s="6">
        <f>IF(AN546=15,L546,0)</f>
        <v>0</v>
      </c>
      <c r="AL546" s="6">
        <f>IF(AN546=21,L546,0)</f>
        <v>0</v>
      </c>
      <c r="AN546" s="14">
        <v>21</v>
      </c>
      <c r="AO546" s="92">
        <f>H546*1</f>
        <v>0</v>
      </c>
      <c r="AP546" s="92">
        <f>H546*(1-1)</f>
        <v>0</v>
      </c>
      <c r="AQ546" s="18" t="s">
        <v>2435</v>
      </c>
      <c r="AV546" s="14">
        <f>AW546+AX546</f>
        <v>0</v>
      </c>
      <c r="AW546" s="14">
        <f>G546*AO546</f>
        <v>0</v>
      </c>
      <c r="AX546" s="14">
        <f>G546*AP546</f>
        <v>0</v>
      </c>
      <c r="AY546" s="55" t="s">
        <v>256</v>
      </c>
      <c r="AZ546" s="55" t="s">
        <v>1095</v>
      </c>
      <c r="BA546" s="15" t="s">
        <v>1843</v>
      </c>
      <c r="BC546" s="14">
        <f>AW546+AX546</f>
        <v>0</v>
      </c>
      <c r="BD546" s="14">
        <f>H546/(100-BE546)*100</f>
        <v>0</v>
      </c>
      <c r="BE546" s="14">
        <v>0</v>
      </c>
      <c r="BF546" s="14">
        <f>O546</f>
        <v>0.16</v>
      </c>
      <c r="BH546" s="6">
        <f>G546*AO546</f>
        <v>0</v>
      </c>
      <c r="BI546" s="6">
        <f>G546*AP546</f>
        <v>0</v>
      </c>
      <c r="BJ546" s="6">
        <f>G546*H546</f>
        <v>0</v>
      </c>
      <c r="BK546" s="6"/>
      <c r="BL546" s="14">
        <v>766</v>
      </c>
      <c r="BW546" s="14" t="str">
        <f>I546</f>
        <v>21</v>
      </c>
    </row>
    <row r="547" spans="1:75" ht="15" customHeight="1">
      <c r="A547" s="32"/>
      <c r="D547" s="3" t="s">
        <v>1031</v>
      </c>
      <c r="E547" s="28" t="s">
        <v>1683</v>
      </c>
      <c r="G547" s="27">
        <v>0.25</v>
      </c>
      <c r="P547" s="33"/>
    </row>
    <row r="548" spans="1:75" ht="15" customHeight="1">
      <c r="A548" s="32"/>
      <c r="D548" s="3" t="s">
        <v>641</v>
      </c>
      <c r="E548" s="28" t="s">
        <v>1683</v>
      </c>
      <c r="G548" s="27">
        <v>7.0000000000000007E-2</v>
      </c>
      <c r="P548" s="33"/>
    </row>
    <row r="549" spans="1:75" ht="27" customHeight="1">
      <c r="A549" s="20" t="s">
        <v>38</v>
      </c>
      <c r="B549" s="84" t="s">
        <v>1842</v>
      </c>
      <c r="C549" s="84" t="s">
        <v>1643</v>
      </c>
      <c r="D549" s="653" t="s">
        <v>1103</v>
      </c>
      <c r="E549" s="654"/>
      <c r="F549" s="84" t="s">
        <v>595</v>
      </c>
      <c r="G549" s="6">
        <v>30</v>
      </c>
      <c r="H549" s="570"/>
      <c r="I549" s="18" t="s">
        <v>1720</v>
      </c>
      <c r="J549" s="6">
        <f>G549*AO549</f>
        <v>0</v>
      </c>
      <c r="K549" s="6">
        <f>G549*AP549</f>
        <v>0</v>
      </c>
      <c r="L549" s="6">
        <f>G549*H549</f>
        <v>0</v>
      </c>
      <c r="M549" s="6">
        <f>L549*(1+BW549/100)</f>
        <v>0</v>
      </c>
      <c r="N549" s="6">
        <v>2E-3</v>
      </c>
      <c r="O549" s="6">
        <f>G549*N549</f>
        <v>0.06</v>
      </c>
      <c r="P549" s="109" t="s">
        <v>1683</v>
      </c>
      <c r="Z549" s="14">
        <f>IF(AQ549="5",BJ549,0)</f>
        <v>0</v>
      </c>
      <c r="AB549" s="14">
        <f>IF(AQ549="1",BH549,0)</f>
        <v>0</v>
      </c>
      <c r="AC549" s="14">
        <f>IF(AQ549="1",BI549,0)</f>
        <v>0</v>
      </c>
      <c r="AD549" s="14">
        <f>IF(AQ549="7",BH549,0)</f>
        <v>0</v>
      </c>
      <c r="AE549" s="14">
        <f>IF(AQ549="7",BI549,0)</f>
        <v>0</v>
      </c>
      <c r="AF549" s="14">
        <f>IF(AQ549="2",BH549,0)</f>
        <v>0</v>
      </c>
      <c r="AG549" s="14">
        <f>IF(AQ549="2",BI549,0)</f>
        <v>0</v>
      </c>
      <c r="AH549" s="14">
        <f>IF(AQ549="0",BJ549,0)</f>
        <v>0</v>
      </c>
      <c r="AI549" s="15" t="s">
        <v>1842</v>
      </c>
      <c r="AJ549" s="6">
        <f>IF(AN549=0,L549,0)</f>
        <v>0</v>
      </c>
      <c r="AK549" s="6">
        <f>IF(AN549=15,L549,0)</f>
        <v>0</v>
      </c>
      <c r="AL549" s="6">
        <f>IF(AN549=21,L549,0)</f>
        <v>0</v>
      </c>
      <c r="AN549" s="14">
        <v>21</v>
      </c>
      <c r="AO549" s="92">
        <f>H549*1</f>
        <v>0</v>
      </c>
      <c r="AP549" s="92">
        <f>H549*(1-1)</f>
        <v>0</v>
      </c>
      <c r="AQ549" s="18" t="s">
        <v>2435</v>
      </c>
      <c r="AV549" s="14">
        <f>AW549+AX549</f>
        <v>0</v>
      </c>
      <c r="AW549" s="14">
        <f>G549*AO549</f>
        <v>0</v>
      </c>
      <c r="AX549" s="14">
        <f>G549*AP549</f>
        <v>0</v>
      </c>
      <c r="AY549" s="55" t="s">
        <v>256</v>
      </c>
      <c r="AZ549" s="55" t="s">
        <v>1095</v>
      </c>
      <c r="BA549" s="15" t="s">
        <v>1843</v>
      </c>
      <c r="BC549" s="14">
        <f>AW549+AX549</f>
        <v>0</v>
      </c>
      <c r="BD549" s="14">
        <f>H549/(100-BE549)*100</f>
        <v>0</v>
      </c>
      <c r="BE549" s="14">
        <v>0</v>
      </c>
      <c r="BF549" s="14">
        <f>O549</f>
        <v>0.06</v>
      </c>
      <c r="BH549" s="6">
        <f>G549*AO549</f>
        <v>0</v>
      </c>
      <c r="BI549" s="6">
        <f>G549*AP549</f>
        <v>0</v>
      </c>
      <c r="BJ549" s="6">
        <f>G549*H549</f>
        <v>0</v>
      </c>
      <c r="BK549" s="6"/>
      <c r="BL549" s="14">
        <v>766</v>
      </c>
      <c r="BW549" s="14" t="str">
        <f>I549</f>
        <v>21</v>
      </c>
    </row>
    <row r="550" spans="1:75" ht="15" customHeight="1">
      <c r="A550" s="32"/>
      <c r="D550" s="3" t="s">
        <v>1565</v>
      </c>
      <c r="E550" s="28" t="s">
        <v>1683</v>
      </c>
      <c r="G550" s="27">
        <v>30.000000000000004</v>
      </c>
      <c r="P550" s="33"/>
    </row>
    <row r="551" spans="1:75" ht="13.5" customHeight="1">
      <c r="A551" s="21" t="s">
        <v>2602</v>
      </c>
      <c r="B551" s="37" t="s">
        <v>1842</v>
      </c>
      <c r="C551" s="37" t="s">
        <v>748</v>
      </c>
      <c r="D551" s="578" t="s">
        <v>848</v>
      </c>
      <c r="E551" s="579"/>
      <c r="F551" s="37" t="s">
        <v>595</v>
      </c>
      <c r="G551" s="14">
        <v>5</v>
      </c>
      <c r="H551" s="569"/>
      <c r="I551" s="55" t="s">
        <v>1720</v>
      </c>
      <c r="J551" s="14">
        <f>G551*AO551</f>
        <v>0</v>
      </c>
      <c r="K551" s="14">
        <f>G551*AP551</f>
        <v>0</v>
      </c>
      <c r="L551" s="14">
        <f>G551*H551</f>
        <v>0</v>
      </c>
      <c r="M551" s="14">
        <f>L551*(1+BW551/100)</f>
        <v>0</v>
      </c>
      <c r="N551" s="14">
        <v>1.0000000000000001E-5</v>
      </c>
      <c r="O551" s="14">
        <f>G551*N551</f>
        <v>5.0000000000000002E-5</v>
      </c>
      <c r="P551" s="72" t="s">
        <v>1664</v>
      </c>
      <c r="Z551" s="14">
        <f>IF(AQ551="5",BJ551,0)</f>
        <v>0</v>
      </c>
      <c r="AB551" s="14">
        <f>IF(AQ551="1",BH551,0)</f>
        <v>0</v>
      </c>
      <c r="AC551" s="14">
        <f>IF(AQ551="1",BI551,0)</f>
        <v>0</v>
      </c>
      <c r="AD551" s="14">
        <f>IF(AQ551="7",BH551,0)</f>
        <v>0</v>
      </c>
      <c r="AE551" s="14">
        <f>IF(AQ551="7",BI551,0)</f>
        <v>0</v>
      </c>
      <c r="AF551" s="14">
        <f>IF(AQ551="2",BH551,0)</f>
        <v>0</v>
      </c>
      <c r="AG551" s="14">
        <f>IF(AQ551="2",BI551,0)</f>
        <v>0</v>
      </c>
      <c r="AH551" s="14">
        <f>IF(AQ551="0",BJ551,0)</f>
        <v>0</v>
      </c>
      <c r="AI551" s="15" t="s">
        <v>1842</v>
      </c>
      <c r="AJ551" s="14">
        <f>IF(AN551=0,L551,0)</f>
        <v>0</v>
      </c>
      <c r="AK551" s="14">
        <f>IF(AN551=15,L551,0)</f>
        <v>0</v>
      </c>
      <c r="AL551" s="14">
        <f>IF(AN551=21,L551,0)</f>
        <v>0</v>
      </c>
      <c r="AN551" s="14">
        <v>21</v>
      </c>
      <c r="AO551" s="92">
        <f>H551*0.028691952434634</f>
        <v>0</v>
      </c>
      <c r="AP551" s="92">
        <f>H551*(1-0.028691952434634)</f>
        <v>0</v>
      </c>
      <c r="AQ551" s="55" t="s">
        <v>2435</v>
      </c>
      <c r="AV551" s="14">
        <f>AW551+AX551</f>
        <v>0</v>
      </c>
      <c r="AW551" s="14">
        <f>G551*AO551</f>
        <v>0</v>
      </c>
      <c r="AX551" s="14">
        <f>G551*AP551</f>
        <v>0</v>
      </c>
      <c r="AY551" s="55" t="s">
        <v>256</v>
      </c>
      <c r="AZ551" s="55" t="s">
        <v>1095</v>
      </c>
      <c r="BA551" s="15" t="s">
        <v>1843</v>
      </c>
      <c r="BC551" s="14">
        <f>AW551+AX551</f>
        <v>0</v>
      </c>
      <c r="BD551" s="14">
        <f>H551/(100-BE551)*100</f>
        <v>0</v>
      </c>
      <c r="BE551" s="14">
        <v>0</v>
      </c>
      <c r="BF551" s="14">
        <f>O551</f>
        <v>5.0000000000000002E-5</v>
      </c>
      <c r="BH551" s="14">
        <f>G551*AO551</f>
        <v>0</v>
      </c>
      <c r="BI551" s="14">
        <f>G551*AP551</f>
        <v>0</v>
      </c>
      <c r="BJ551" s="14">
        <f>G551*H551</f>
        <v>0</v>
      </c>
      <c r="BK551" s="14"/>
      <c r="BL551" s="14">
        <v>766</v>
      </c>
      <c r="BW551" s="14" t="str">
        <f>I551</f>
        <v>21</v>
      </c>
    </row>
    <row r="552" spans="1:75" ht="15" customHeight="1">
      <c r="A552" s="32"/>
      <c r="D552" s="3" t="s">
        <v>438</v>
      </c>
      <c r="E552" s="28" t="s">
        <v>1683</v>
      </c>
      <c r="G552" s="27">
        <v>5</v>
      </c>
      <c r="P552" s="33"/>
    </row>
    <row r="553" spans="1:75" ht="13.5" customHeight="1">
      <c r="A553" s="20" t="s">
        <v>1841</v>
      </c>
      <c r="B553" s="84" t="s">
        <v>1842</v>
      </c>
      <c r="C553" s="84" t="s">
        <v>489</v>
      </c>
      <c r="D553" s="653" t="s">
        <v>416</v>
      </c>
      <c r="E553" s="654"/>
      <c r="F553" s="84" t="s">
        <v>2019</v>
      </c>
      <c r="G553" s="6">
        <v>19.920000000000002</v>
      </c>
      <c r="H553" s="570"/>
      <c r="I553" s="18" t="s">
        <v>1720</v>
      </c>
      <c r="J553" s="6">
        <f>G553*AO553</f>
        <v>0</v>
      </c>
      <c r="K553" s="6">
        <f>G553*AP553</f>
        <v>0</v>
      </c>
      <c r="L553" s="6">
        <f>G553*H553</f>
        <v>0</v>
      </c>
      <c r="M553" s="6">
        <f>L553*(1+BW553/100)</f>
        <v>0</v>
      </c>
      <c r="N553" s="6">
        <v>3.0400000000000002E-3</v>
      </c>
      <c r="O553" s="6">
        <f>G553*N553</f>
        <v>6.0556800000000008E-2</v>
      </c>
      <c r="P553" s="109" t="s">
        <v>921</v>
      </c>
      <c r="Z553" s="14">
        <f>IF(AQ553="5",BJ553,0)</f>
        <v>0</v>
      </c>
      <c r="AB553" s="14">
        <f>IF(AQ553="1",BH553,0)</f>
        <v>0</v>
      </c>
      <c r="AC553" s="14">
        <f>IF(AQ553="1",BI553,0)</f>
        <v>0</v>
      </c>
      <c r="AD553" s="14">
        <f>IF(AQ553="7",BH553,0)</f>
        <v>0</v>
      </c>
      <c r="AE553" s="14">
        <f>IF(AQ553="7",BI553,0)</f>
        <v>0</v>
      </c>
      <c r="AF553" s="14">
        <f>IF(AQ553="2",BH553,0)</f>
        <v>0</v>
      </c>
      <c r="AG553" s="14">
        <f>IF(AQ553="2",BI553,0)</f>
        <v>0</v>
      </c>
      <c r="AH553" s="14">
        <f>IF(AQ553="0",BJ553,0)</f>
        <v>0</v>
      </c>
      <c r="AI553" s="15" t="s">
        <v>1842</v>
      </c>
      <c r="AJ553" s="6">
        <f>IF(AN553=0,L553,0)</f>
        <v>0</v>
      </c>
      <c r="AK553" s="6">
        <f>IF(AN553=15,L553,0)</f>
        <v>0</v>
      </c>
      <c r="AL553" s="6">
        <f>IF(AN553=21,L553,0)</f>
        <v>0</v>
      </c>
      <c r="AN553" s="14">
        <v>21</v>
      </c>
      <c r="AO553" s="92">
        <f>H553*1</f>
        <v>0</v>
      </c>
      <c r="AP553" s="92">
        <f>H553*(1-1)</f>
        <v>0</v>
      </c>
      <c r="AQ553" s="18" t="s">
        <v>2435</v>
      </c>
      <c r="AV553" s="14">
        <f>AW553+AX553</f>
        <v>0</v>
      </c>
      <c r="AW553" s="14">
        <f>G553*AO553</f>
        <v>0</v>
      </c>
      <c r="AX553" s="14">
        <f>G553*AP553</f>
        <v>0</v>
      </c>
      <c r="AY553" s="55" t="s">
        <v>256</v>
      </c>
      <c r="AZ553" s="55" t="s">
        <v>1095</v>
      </c>
      <c r="BA553" s="15" t="s">
        <v>1843</v>
      </c>
      <c r="BC553" s="14">
        <f>AW553+AX553</f>
        <v>0</v>
      </c>
      <c r="BD553" s="14">
        <f>H553/(100-BE553)*100</f>
        <v>0</v>
      </c>
      <c r="BE553" s="14">
        <v>0</v>
      </c>
      <c r="BF553" s="14">
        <f>O553</f>
        <v>6.0556800000000008E-2</v>
      </c>
      <c r="BH553" s="6">
        <f>G553*AO553</f>
        <v>0</v>
      </c>
      <c r="BI553" s="6">
        <f>G553*AP553</f>
        <v>0</v>
      </c>
      <c r="BJ553" s="6">
        <f>G553*H553</f>
        <v>0</v>
      </c>
      <c r="BK553" s="6"/>
      <c r="BL553" s="14">
        <v>766</v>
      </c>
      <c r="BW553" s="14" t="str">
        <f>I553</f>
        <v>21</v>
      </c>
    </row>
    <row r="554" spans="1:75" ht="15" customHeight="1">
      <c r="A554" s="32"/>
      <c r="D554" s="3" t="s">
        <v>1909</v>
      </c>
      <c r="E554" s="28" t="s">
        <v>1683</v>
      </c>
      <c r="G554" s="27">
        <v>16.600000000000001</v>
      </c>
      <c r="P554" s="33"/>
    </row>
    <row r="555" spans="1:75" ht="15" customHeight="1">
      <c r="A555" s="32"/>
      <c r="D555" s="3" t="s">
        <v>1271</v>
      </c>
      <c r="E555" s="28" t="s">
        <v>1683</v>
      </c>
      <c r="G555" s="27">
        <v>3.3200000000000003</v>
      </c>
      <c r="P555" s="33"/>
    </row>
    <row r="556" spans="1:75" ht="13.5" customHeight="1">
      <c r="A556" s="21" t="s">
        <v>1418</v>
      </c>
      <c r="B556" s="37" t="s">
        <v>1842</v>
      </c>
      <c r="C556" s="37" t="s">
        <v>1542</v>
      </c>
      <c r="D556" s="578" t="s">
        <v>1738</v>
      </c>
      <c r="E556" s="579"/>
      <c r="F556" s="37" t="s">
        <v>595</v>
      </c>
      <c r="G556" s="14">
        <v>19</v>
      </c>
      <c r="H556" s="569"/>
      <c r="I556" s="55" t="s">
        <v>1720</v>
      </c>
      <c r="J556" s="14">
        <f>G556*AO556</f>
        <v>0</v>
      </c>
      <c r="K556" s="14">
        <f>G556*AP556</f>
        <v>0</v>
      </c>
      <c r="L556" s="14">
        <f>G556*H556</f>
        <v>0</v>
      </c>
      <c r="M556" s="14">
        <f>L556*(1+BW556/100)</f>
        <v>0</v>
      </c>
      <c r="N556" s="14">
        <v>1.0000000000000001E-5</v>
      </c>
      <c r="O556" s="14">
        <f>G556*N556</f>
        <v>1.9000000000000001E-4</v>
      </c>
      <c r="P556" s="72" t="s">
        <v>1664</v>
      </c>
      <c r="Z556" s="14">
        <f>IF(AQ556="5",BJ556,0)</f>
        <v>0</v>
      </c>
      <c r="AB556" s="14">
        <f>IF(AQ556="1",BH556,0)</f>
        <v>0</v>
      </c>
      <c r="AC556" s="14">
        <f>IF(AQ556="1",BI556,0)</f>
        <v>0</v>
      </c>
      <c r="AD556" s="14">
        <f>IF(AQ556="7",BH556,0)</f>
        <v>0</v>
      </c>
      <c r="AE556" s="14">
        <f>IF(AQ556="7",BI556,0)</f>
        <v>0</v>
      </c>
      <c r="AF556" s="14">
        <f>IF(AQ556="2",BH556,0)</f>
        <v>0</v>
      </c>
      <c r="AG556" s="14">
        <f>IF(AQ556="2",BI556,0)</f>
        <v>0</v>
      </c>
      <c r="AH556" s="14">
        <f>IF(AQ556="0",BJ556,0)</f>
        <v>0</v>
      </c>
      <c r="AI556" s="15" t="s">
        <v>1842</v>
      </c>
      <c r="AJ556" s="14">
        <f>IF(AN556=0,L556,0)</f>
        <v>0</v>
      </c>
      <c r="AK556" s="14">
        <f>IF(AN556=15,L556,0)</f>
        <v>0</v>
      </c>
      <c r="AL556" s="14">
        <f>IF(AN556=21,L556,0)</f>
        <v>0</v>
      </c>
      <c r="AN556" s="14">
        <v>21</v>
      </c>
      <c r="AO556" s="92">
        <f>H556*0.0388191881918819</f>
        <v>0</v>
      </c>
      <c r="AP556" s="92">
        <f>H556*(1-0.0388191881918819)</f>
        <v>0</v>
      </c>
      <c r="AQ556" s="55" t="s">
        <v>2435</v>
      </c>
      <c r="AV556" s="14">
        <f>AW556+AX556</f>
        <v>0</v>
      </c>
      <c r="AW556" s="14">
        <f>G556*AO556</f>
        <v>0</v>
      </c>
      <c r="AX556" s="14">
        <f>G556*AP556</f>
        <v>0</v>
      </c>
      <c r="AY556" s="55" t="s">
        <v>256</v>
      </c>
      <c r="AZ556" s="55" t="s">
        <v>1095</v>
      </c>
      <c r="BA556" s="15" t="s">
        <v>1843</v>
      </c>
      <c r="BC556" s="14">
        <f>AW556+AX556</f>
        <v>0</v>
      </c>
      <c r="BD556" s="14">
        <f>H556/(100-BE556)*100</f>
        <v>0</v>
      </c>
      <c r="BE556" s="14">
        <v>0</v>
      </c>
      <c r="BF556" s="14">
        <f>O556</f>
        <v>1.9000000000000001E-4</v>
      </c>
      <c r="BH556" s="14">
        <f>G556*AO556</f>
        <v>0</v>
      </c>
      <c r="BI556" s="14">
        <f>G556*AP556</f>
        <v>0</v>
      </c>
      <c r="BJ556" s="14">
        <f>G556*H556</f>
        <v>0</v>
      </c>
      <c r="BK556" s="14"/>
      <c r="BL556" s="14">
        <v>766</v>
      </c>
      <c r="BW556" s="14" t="str">
        <f>I556</f>
        <v>21</v>
      </c>
    </row>
    <row r="557" spans="1:75" ht="15" customHeight="1">
      <c r="A557" s="32"/>
      <c r="D557" s="3" t="s">
        <v>811</v>
      </c>
      <c r="E557" s="28" t="s">
        <v>1683</v>
      </c>
      <c r="G557" s="27">
        <v>19</v>
      </c>
      <c r="P557" s="33"/>
    </row>
    <row r="558" spans="1:75" ht="13.5" customHeight="1">
      <c r="A558" s="20" t="s">
        <v>2495</v>
      </c>
      <c r="B558" s="84" t="s">
        <v>1842</v>
      </c>
      <c r="C558" s="84" t="s">
        <v>2775</v>
      </c>
      <c r="D558" s="653" t="s">
        <v>2588</v>
      </c>
      <c r="E558" s="654"/>
      <c r="F558" s="84" t="s">
        <v>595</v>
      </c>
      <c r="G558" s="6">
        <v>19</v>
      </c>
      <c r="H558" s="570"/>
      <c r="I558" s="18" t="s">
        <v>1720</v>
      </c>
      <c r="J558" s="6">
        <f>G558*AO558</f>
        <v>0</v>
      </c>
      <c r="K558" s="6">
        <f>G558*AP558</f>
        <v>0</v>
      </c>
      <c r="L558" s="6">
        <f>G558*H558</f>
        <v>0</v>
      </c>
      <c r="M558" s="6">
        <f>L558*(1+BW558/100)</f>
        <v>0</v>
      </c>
      <c r="N558" s="6">
        <v>1.1999999999999999E-3</v>
      </c>
      <c r="O558" s="6">
        <f>G558*N558</f>
        <v>2.2799999999999997E-2</v>
      </c>
      <c r="P558" s="109" t="s">
        <v>1664</v>
      </c>
      <c r="Z558" s="14">
        <f>IF(AQ558="5",BJ558,0)</f>
        <v>0</v>
      </c>
      <c r="AB558" s="14">
        <f>IF(AQ558="1",BH558,0)</f>
        <v>0</v>
      </c>
      <c r="AC558" s="14">
        <f>IF(AQ558="1",BI558,0)</f>
        <v>0</v>
      </c>
      <c r="AD558" s="14">
        <f>IF(AQ558="7",BH558,0)</f>
        <v>0</v>
      </c>
      <c r="AE558" s="14">
        <f>IF(AQ558="7",BI558,0)</f>
        <v>0</v>
      </c>
      <c r="AF558" s="14">
        <f>IF(AQ558="2",BH558,0)</f>
        <v>0</v>
      </c>
      <c r="AG558" s="14">
        <f>IF(AQ558="2",BI558,0)</f>
        <v>0</v>
      </c>
      <c r="AH558" s="14">
        <f>IF(AQ558="0",BJ558,0)</f>
        <v>0</v>
      </c>
      <c r="AI558" s="15" t="s">
        <v>1842</v>
      </c>
      <c r="AJ558" s="6">
        <f>IF(AN558=0,L558,0)</f>
        <v>0</v>
      </c>
      <c r="AK558" s="6">
        <f>IF(AN558=15,L558,0)</f>
        <v>0</v>
      </c>
      <c r="AL558" s="6">
        <f>IF(AN558=21,L558,0)</f>
        <v>0</v>
      </c>
      <c r="AN558" s="14">
        <v>21</v>
      </c>
      <c r="AO558" s="92">
        <f>H558*1</f>
        <v>0</v>
      </c>
      <c r="AP558" s="92">
        <f>H558*(1-1)</f>
        <v>0</v>
      </c>
      <c r="AQ558" s="18" t="s">
        <v>2435</v>
      </c>
      <c r="AV558" s="14">
        <f>AW558+AX558</f>
        <v>0</v>
      </c>
      <c r="AW558" s="14">
        <f>G558*AO558</f>
        <v>0</v>
      </c>
      <c r="AX558" s="14">
        <f>G558*AP558</f>
        <v>0</v>
      </c>
      <c r="AY558" s="55" t="s">
        <v>256</v>
      </c>
      <c r="AZ558" s="55" t="s">
        <v>1095</v>
      </c>
      <c r="BA558" s="15" t="s">
        <v>1843</v>
      </c>
      <c r="BC558" s="14">
        <f>AW558+AX558</f>
        <v>0</v>
      </c>
      <c r="BD558" s="14">
        <f>H558/(100-BE558)*100</f>
        <v>0</v>
      </c>
      <c r="BE558" s="14">
        <v>0</v>
      </c>
      <c r="BF558" s="14">
        <f>O558</f>
        <v>2.2799999999999997E-2</v>
      </c>
      <c r="BH558" s="6">
        <f>G558*AO558</f>
        <v>0</v>
      </c>
      <c r="BI558" s="6">
        <f>G558*AP558</f>
        <v>0</v>
      </c>
      <c r="BJ558" s="6">
        <f>G558*H558</f>
        <v>0</v>
      </c>
      <c r="BK558" s="6"/>
      <c r="BL558" s="14">
        <v>766</v>
      </c>
      <c r="BW558" s="14" t="str">
        <f>I558</f>
        <v>21</v>
      </c>
    </row>
    <row r="559" spans="1:75" ht="15" customHeight="1">
      <c r="A559" s="32"/>
      <c r="D559" s="3" t="s">
        <v>1545</v>
      </c>
      <c r="E559" s="28" t="s">
        <v>1683</v>
      </c>
      <c r="G559" s="27">
        <v>19</v>
      </c>
      <c r="P559" s="33"/>
    </row>
    <row r="560" spans="1:75" ht="15" customHeight="1">
      <c r="A560" s="65" t="s">
        <v>1683</v>
      </c>
      <c r="B560" s="26" t="s">
        <v>1842</v>
      </c>
      <c r="C560" s="26" t="s">
        <v>1096</v>
      </c>
      <c r="D560" s="649" t="s">
        <v>738</v>
      </c>
      <c r="E560" s="650"/>
      <c r="F560" s="74" t="s">
        <v>2262</v>
      </c>
      <c r="G560" s="74" t="s">
        <v>2262</v>
      </c>
      <c r="H560" s="74" t="s">
        <v>2262</v>
      </c>
      <c r="I560" s="74" t="s">
        <v>2262</v>
      </c>
      <c r="J560" s="2">
        <f>SUM(J561:J609)</f>
        <v>0</v>
      </c>
      <c r="K560" s="2">
        <f>SUM(K561:K609)</f>
        <v>0</v>
      </c>
      <c r="L560" s="2">
        <f>SUM(L561:L609)</f>
        <v>0</v>
      </c>
      <c r="M560" s="2">
        <f>SUM(M561:M609)</f>
        <v>0</v>
      </c>
      <c r="N560" s="15" t="s">
        <v>1683</v>
      </c>
      <c r="O560" s="2">
        <f>SUM(O561:O609)</f>
        <v>19.061067500000007</v>
      </c>
      <c r="P560" s="47" t="s">
        <v>1683</v>
      </c>
      <c r="AI560" s="15" t="s">
        <v>1842</v>
      </c>
      <c r="AS560" s="2">
        <f>SUM(AJ561:AJ609)</f>
        <v>0</v>
      </c>
      <c r="AT560" s="2">
        <f>SUM(AK561:AK609)</f>
        <v>0</v>
      </c>
      <c r="AU560" s="2">
        <f>SUM(AL561:AL609)</f>
        <v>0</v>
      </c>
    </row>
    <row r="561" spans="1:75" ht="27" customHeight="1">
      <c r="A561" s="21" t="s">
        <v>1968</v>
      </c>
      <c r="B561" s="37" t="s">
        <v>1842</v>
      </c>
      <c r="C561" s="37" t="s">
        <v>2112</v>
      </c>
      <c r="D561" s="578" t="s">
        <v>993</v>
      </c>
      <c r="E561" s="579"/>
      <c r="F561" s="37" t="s">
        <v>2302</v>
      </c>
      <c r="G561" s="14">
        <v>17679.849999999999</v>
      </c>
      <c r="H561" s="569"/>
      <c r="I561" s="55" t="s">
        <v>1720</v>
      </c>
      <c r="J561" s="14">
        <f>G561*AO561</f>
        <v>0</v>
      </c>
      <c r="K561" s="14">
        <f>G561*AP561</f>
        <v>0</v>
      </c>
      <c r="L561" s="14">
        <f>G561*H561</f>
        <v>0</v>
      </c>
      <c r="M561" s="14">
        <f>L561*(1+BW561/100)</f>
        <v>0</v>
      </c>
      <c r="N561" s="14">
        <v>5.0000000000000002E-5</v>
      </c>
      <c r="O561" s="14">
        <f>G561*N561</f>
        <v>0.88399249999999996</v>
      </c>
      <c r="P561" s="72" t="s">
        <v>1664</v>
      </c>
      <c r="Z561" s="14">
        <f>IF(AQ561="5",BJ561,0)</f>
        <v>0</v>
      </c>
      <c r="AB561" s="14">
        <f>IF(AQ561="1",BH561,0)</f>
        <v>0</v>
      </c>
      <c r="AC561" s="14">
        <f>IF(AQ561="1",BI561,0)</f>
        <v>0</v>
      </c>
      <c r="AD561" s="14">
        <f>IF(AQ561="7",BH561,0)</f>
        <v>0</v>
      </c>
      <c r="AE561" s="14">
        <f>IF(AQ561="7",BI561,0)</f>
        <v>0</v>
      </c>
      <c r="AF561" s="14">
        <f>IF(AQ561="2",BH561,0)</f>
        <v>0</v>
      </c>
      <c r="AG561" s="14">
        <f>IF(AQ561="2",BI561,0)</f>
        <v>0</v>
      </c>
      <c r="AH561" s="14">
        <f>IF(AQ561="0",BJ561,0)</f>
        <v>0</v>
      </c>
      <c r="AI561" s="15" t="s">
        <v>1842</v>
      </c>
      <c r="AJ561" s="14">
        <f>IF(AN561=0,L561,0)</f>
        <v>0</v>
      </c>
      <c r="AK561" s="14">
        <f>IF(AN561=15,L561,0)</f>
        <v>0</v>
      </c>
      <c r="AL561" s="14">
        <f>IF(AN561=21,L561,0)</f>
        <v>0</v>
      </c>
      <c r="AN561" s="14">
        <v>21</v>
      </c>
      <c r="AO561" s="92">
        <f>H561*0.240095463773249</f>
        <v>0</v>
      </c>
      <c r="AP561" s="92">
        <f>H561*(1-0.240095463773249)</f>
        <v>0</v>
      </c>
      <c r="AQ561" s="55" t="s">
        <v>2435</v>
      </c>
      <c r="AV561" s="14">
        <f>AW561+AX561</f>
        <v>0</v>
      </c>
      <c r="AW561" s="14">
        <f>G561*AO561</f>
        <v>0</v>
      </c>
      <c r="AX561" s="14">
        <f>G561*AP561</f>
        <v>0</v>
      </c>
      <c r="AY561" s="55" t="s">
        <v>681</v>
      </c>
      <c r="AZ561" s="55" t="s">
        <v>1095</v>
      </c>
      <c r="BA561" s="15" t="s">
        <v>1843</v>
      </c>
      <c r="BC561" s="14">
        <f>AW561+AX561</f>
        <v>0</v>
      </c>
      <c r="BD561" s="14">
        <f>H561/(100-BE561)*100</f>
        <v>0</v>
      </c>
      <c r="BE561" s="14">
        <v>0</v>
      </c>
      <c r="BF561" s="14">
        <f>O561</f>
        <v>0.88399249999999996</v>
      </c>
      <c r="BH561" s="14">
        <f>G561*AO561</f>
        <v>0</v>
      </c>
      <c r="BI561" s="14">
        <f>G561*AP561</f>
        <v>0</v>
      </c>
      <c r="BJ561" s="14">
        <f>G561*H561</f>
        <v>0</v>
      </c>
      <c r="BK561" s="14"/>
      <c r="BL561" s="14">
        <v>767</v>
      </c>
      <c r="BW561" s="14" t="str">
        <f>I561</f>
        <v>21</v>
      </c>
    </row>
    <row r="562" spans="1:75" ht="15" customHeight="1">
      <c r="A562" s="32"/>
      <c r="D562" s="3" t="s">
        <v>2681</v>
      </c>
      <c r="E562" s="28" t="s">
        <v>198</v>
      </c>
      <c r="G562" s="27">
        <v>10476.17</v>
      </c>
      <c r="P562" s="33"/>
    </row>
    <row r="563" spans="1:75" ht="15" customHeight="1">
      <c r="A563" s="32"/>
      <c r="D563" s="3" t="s">
        <v>651</v>
      </c>
      <c r="E563" s="28" t="s">
        <v>91</v>
      </c>
      <c r="G563" s="27">
        <v>6166.7800000000007</v>
      </c>
      <c r="P563" s="33"/>
    </row>
    <row r="564" spans="1:75" ht="15" customHeight="1">
      <c r="A564" s="32"/>
      <c r="D564" s="3" t="s">
        <v>2285</v>
      </c>
      <c r="E564" s="28" t="s">
        <v>1660</v>
      </c>
      <c r="G564" s="27">
        <v>1036.8000000000002</v>
      </c>
      <c r="P564" s="33"/>
    </row>
    <row r="565" spans="1:75" ht="15" customHeight="1">
      <c r="A565" s="32"/>
      <c r="D565" s="3" t="s">
        <v>2167</v>
      </c>
      <c r="E565" s="28" t="s">
        <v>291</v>
      </c>
      <c r="G565" s="27">
        <v>0.1</v>
      </c>
      <c r="P565" s="33"/>
    </row>
    <row r="566" spans="1:75" ht="13.5" customHeight="1">
      <c r="A566" s="20" t="s">
        <v>2384</v>
      </c>
      <c r="B566" s="84" t="s">
        <v>1842</v>
      </c>
      <c r="C566" s="84" t="s">
        <v>691</v>
      </c>
      <c r="D566" s="653" t="s">
        <v>264</v>
      </c>
      <c r="E566" s="654"/>
      <c r="F566" s="84" t="s">
        <v>1130</v>
      </c>
      <c r="G566" s="6">
        <v>16.71</v>
      </c>
      <c r="H566" s="570"/>
      <c r="I566" s="18" t="s">
        <v>1720</v>
      </c>
      <c r="J566" s="6">
        <f>G566*AO566</f>
        <v>0</v>
      </c>
      <c r="K566" s="6">
        <f>G566*AP566</f>
        <v>0</v>
      </c>
      <c r="L566" s="6">
        <f>G566*H566</f>
        <v>0</v>
      </c>
      <c r="M566" s="6">
        <f>L566*(1+BW566/100)</f>
        <v>0</v>
      </c>
      <c r="N566" s="6">
        <v>1</v>
      </c>
      <c r="O566" s="6">
        <f>G566*N566</f>
        <v>16.71</v>
      </c>
      <c r="P566" s="109" t="s">
        <v>1664</v>
      </c>
      <c r="Z566" s="14">
        <f>IF(AQ566="5",BJ566,0)</f>
        <v>0</v>
      </c>
      <c r="AB566" s="14">
        <f>IF(AQ566="1",BH566,0)</f>
        <v>0</v>
      </c>
      <c r="AC566" s="14">
        <f>IF(AQ566="1",BI566,0)</f>
        <v>0</v>
      </c>
      <c r="AD566" s="14">
        <f>IF(AQ566="7",BH566,0)</f>
        <v>0</v>
      </c>
      <c r="AE566" s="14">
        <f>IF(AQ566="7",BI566,0)</f>
        <v>0</v>
      </c>
      <c r="AF566" s="14">
        <f>IF(AQ566="2",BH566,0)</f>
        <v>0</v>
      </c>
      <c r="AG566" s="14">
        <f>IF(AQ566="2",BI566,0)</f>
        <v>0</v>
      </c>
      <c r="AH566" s="14">
        <f>IF(AQ566="0",BJ566,0)</f>
        <v>0</v>
      </c>
      <c r="AI566" s="15" t="s">
        <v>1842</v>
      </c>
      <c r="AJ566" s="6">
        <f>IF(AN566=0,L566,0)</f>
        <v>0</v>
      </c>
      <c r="AK566" s="6">
        <f>IF(AN566=15,L566,0)</f>
        <v>0</v>
      </c>
      <c r="AL566" s="6">
        <f>IF(AN566=21,L566,0)</f>
        <v>0</v>
      </c>
      <c r="AN566" s="14">
        <v>21</v>
      </c>
      <c r="AO566" s="92">
        <f>H566*1</f>
        <v>0</v>
      </c>
      <c r="AP566" s="92">
        <f>H566*(1-1)</f>
        <v>0</v>
      </c>
      <c r="AQ566" s="18" t="s">
        <v>2435</v>
      </c>
      <c r="AV566" s="14">
        <f>AW566+AX566</f>
        <v>0</v>
      </c>
      <c r="AW566" s="14">
        <f>G566*AO566</f>
        <v>0</v>
      </c>
      <c r="AX566" s="14">
        <f>G566*AP566</f>
        <v>0</v>
      </c>
      <c r="AY566" s="55" t="s">
        <v>681</v>
      </c>
      <c r="AZ566" s="55" t="s">
        <v>1095</v>
      </c>
      <c r="BA566" s="15" t="s">
        <v>1843</v>
      </c>
      <c r="BC566" s="14">
        <f>AW566+AX566</f>
        <v>0</v>
      </c>
      <c r="BD566" s="14">
        <f>H566/(100-BE566)*100</f>
        <v>0</v>
      </c>
      <c r="BE566" s="14">
        <v>0</v>
      </c>
      <c r="BF566" s="14">
        <f>O566</f>
        <v>16.71</v>
      </c>
      <c r="BH566" s="6">
        <f>G566*AO566</f>
        <v>0</v>
      </c>
      <c r="BI566" s="6">
        <f>G566*AP566</f>
        <v>0</v>
      </c>
      <c r="BJ566" s="6">
        <f>G566*H566</f>
        <v>0</v>
      </c>
      <c r="BK566" s="6"/>
      <c r="BL566" s="14">
        <v>767</v>
      </c>
      <c r="BW566" s="14" t="str">
        <f>I566</f>
        <v>21</v>
      </c>
    </row>
    <row r="567" spans="1:75" ht="15" customHeight="1">
      <c r="A567" s="32"/>
      <c r="D567" s="3" t="s">
        <v>326</v>
      </c>
      <c r="E567" s="28" t="s">
        <v>1683</v>
      </c>
      <c r="G567" s="27">
        <v>16.630000000000003</v>
      </c>
      <c r="P567" s="33"/>
    </row>
    <row r="568" spans="1:75" ht="15" customHeight="1">
      <c r="A568" s="32"/>
      <c r="D568" s="3" t="s">
        <v>1719</v>
      </c>
      <c r="E568" s="28" t="s">
        <v>1683</v>
      </c>
      <c r="G568" s="27">
        <v>0.08</v>
      </c>
      <c r="P568" s="33"/>
    </row>
    <row r="569" spans="1:75" ht="13.5" customHeight="1">
      <c r="A569" s="20" t="s">
        <v>433</v>
      </c>
      <c r="B569" s="84" t="s">
        <v>1842</v>
      </c>
      <c r="C569" s="84" t="s">
        <v>1467</v>
      </c>
      <c r="D569" s="653" t="s">
        <v>1118</v>
      </c>
      <c r="E569" s="654"/>
      <c r="F569" s="84" t="s">
        <v>1130</v>
      </c>
      <c r="G569" s="6">
        <v>1.05</v>
      </c>
      <c r="H569" s="570"/>
      <c r="I569" s="18" t="s">
        <v>1720</v>
      </c>
      <c r="J569" s="6">
        <f>G569*AO569</f>
        <v>0</v>
      </c>
      <c r="K569" s="6">
        <f>G569*AP569</f>
        <v>0</v>
      </c>
      <c r="L569" s="6">
        <f>G569*H569</f>
        <v>0</v>
      </c>
      <c r="M569" s="6">
        <f>L569*(1+BW569/100)</f>
        <v>0</v>
      </c>
      <c r="N569" s="6">
        <v>1</v>
      </c>
      <c r="O569" s="6">
        <f>G569*N569</f>
        <v>1.05</v>
      </c>
      <c r="P569" s="109" t="s">
        <v>1664</v>
      </c>
      <c r="Z569" s="14">
        <f>IF(AQ569="5",BJ569,0)</f>
        <v>0</v>
      </c>
      <c r="AB569" s="14">
        <f>IF(AQ569="1",BH569,0)</f>
        <v>0</v>
      </c>
      <c r="AC569" s="14">
        <f>IF(AQ569="1",BI569,0)</f>
        <v>0</v>
      </c>
      <c r="AD569" s="14">
        <f>IF(AQ569="7",BH569,0)</f>
        <v>0</v>
      </c>
      <c r="AE569" s="14">
        <f>IF(AQ569="7",BI569,0)</f>
        <v>0</v>
      </c>
      <c r="AF569" s="14">
        <f>IF(AQ569="2",BH569,0)</f>
        <v>0</v>
      </c>
      <c r="AG569" s="14">
        <f>IF(AQ569="2",BI569,0)</f>
        <v>0</v>
      </c>
      <c r="AH569" s="14">
        <f>IF(AQ569="0",BJ569,0)</f>
        <v>0</v>
      </c>
      <c r="AI569" s="15" t="s">
        <v>1842</v>
      </c>
      <c r="AJ569" s="6">
        <f>IF(AN569=0,L569,0)</f>
        <v>0</v>
      </c>
      <c r="AK569" s="6">
        <f>IF(AN569=15,L569,0)</f>
        <v>0</v>
      </c>
      <c r="AL569" s="6">
        <f>IF(AN569=21,L569,0)</f>
        <v>0</v>
      </c>
      <c r="AN569" s="14">
        <v>21</v>
      </c>
      <c r="AO569" s="92">
        <f>H569*1</f>
        <v>0</v>
      </c>
      <c r="AP569" s="92">
        <f>H569*(1-1)</f>
        <v>0</v>
      </c>
      <c r="AQ569" s="18" t="s">
        <v>2435</v>
      </c>
      <c r="AV569" s="14">
        <f>AW569+AX569</f>
        <v>0</v>
      </c>
      <c r="AW569" s="14">
        <f>G569*AO569</f>
        <v>0</v>
      </c>
      <c r="AX569" s="14">
        <f>G569*AP569</f>
        <v>0</v>
      </c>
      <c r="AY569" s="55" t="s">
        <v>681</v>
      </c>
      <c r="AZ569" s="55" t="s">
        <v>1095</v>
      </c>
      <c r="BA569" s="15" t="s">
        <v>1843</v>
      </c>
      <c r="BC569" s="14">
        <f>AW569+AX569</f>
        <v>0</v>
      </c>
      <c r="BD569" s="14">
        <f>H569/(100-BE569)*100</f>
        <v>0</v>
      </c>
      <c r="BE569" s="14">
        <v>0</v>
      </c>
      <c r="BF569" s="14">
        <f>O569</f>
        <v>1.05</v>
      </c>
      <c r="BH569" s="6">
        <f>G569*AO569</f>
        <v>0</v>
      </c>
      <c r="BI569" s="6">
        <f>G569*AP569</f>
        <v>0</v>
      </c>
      <c r="BJ569" s="6">
        <f>G569*H569</f>
        <v>0</v>
      </c>
      <c r="BK569" s="6"/>
      <c r="BL569" s="14">
        <v>767</v>
      </c>
      <c r="BW569" s="14" t="str">
        <f>I569</f>
        <v>21</v>
      </c>
    </row>
    <row r="570" spans="1:75" ht="15" customHeight="1">
      <c r="A570" s="32"/>
      <c r="D570" s="3" t="s">
        <v>250</v>
      </c>
      <c r="E570" s="28" t="s">
        <v>1683</v>
      </c>
      <c r="G570" s="27">
        <v>1.04</v>
      </c>
      <c r="P570" s="33"/>
    </row>
    <row r="571" spans="1:75" ht="15" customHeight="1">
      <c r="A571" s="32"/>
      <c r="D571" s="3" t="s">
        <v>2076</v>
      </c>
      <c r="E571" s="28" t="s">
        <v>1683</v>
      </c>
      <c r="G571" s="27">
        <v>0.01</v>
      </c>
      <c r="P571" s="33"/>
    </row>
    <row r="572" spans="1:75" ht="13.5" customHeight="1">
      <c r="A572" s="20" t="s">
        <v>2028</v>
      </c>
      <c r="B572" s="84" t="s">
        <v>1842</v>
      </c>
      <c r="C572" s="84" t="s">
        <v>723</v>
      </c>
      <c r="D572" s="653" t="s">
        <v>1513</v>
      </c>
      <c r="E572" s="654"/>
      <c r="F572" s="84" t="s">
        <v>1130</v>
      </c>
      <c r="G572" s="6">
        <v>0.15</v>
      </c>
      <c r="H572" s="570"/>
      <c r="I572" s="18" t="s">
        <v>1720</v>
      </c>
      <c r="J572" s="6">
        <f>G572*AO572</f>
        <v>0</v>
      </c>
      <c r="K572" s="6">
        <f>G572*AP572</f>
        <v>0</v>
      </c>
      <c r="L572" s="6">
        <f>G572*H572</f>
        <v>0</v>
      </c>
      <c r="M572" s="6">
        <f>L572*(1+BW572/100)</f>
        <v>0</v>
      </c>
      <c r="N572" s="6">
        <v>1</v>
      </c>
      <c r="O572" s="6">
        <f>G572*N572</f>
        <v>0.15</v>
      </c>
      <c r="P572" s="109" t="s">
        <v>1664</v>
      </c>
      <c r="Z572" s="14">
        <f>IF(AQ572="5",BJ572,0)</f>
        <v>0</v>
      </c>
      <c r="AB572" s="14">
        <f>IF(AQ572="1",BH572,0)</f>
        <v>0</v>
      </c>
      <c r="AC572" s="14">
        <f>IF(AQ572="1",BI572,0)</f>
        <v>0</v>
      </c>
      <c r="AD572" s="14">
        <f>IF(AQ572="7",BH572,0)</f>
        <v>0</v>
      </c>
      <c r="AE572" s="14">
        <f>IF(AQ572="7",BI572,0)</f>
        <v>0</v>
      </c>
      <c r="AF572" s="14">
        <f>IF(AQ572="2",BH572,0)</f>
        <v>0</v>
      </c>
      <c r="AG572" s="14">
        <f>IF(AQ572="2",BI572,0)</f>
        <v>0</v>
      </c>
      <c r="AH572" s="14">
        <f>IF(AQ572="0",BJ572,0)</f>
        <v>0</v>
      </c>
      <c r="AI572" s="15" t="s">
        <v>1842</v>
      </c>
      <c r="AJ572" s="6">
        <f>IF(AN572=0,L572,0)</f>
        <v>0</v>
      </c>
      <c r="AK572" s="6">
        <f>IF(AN572=15,L572,0)</f>
        <v>0</v>
      </c>
      <c r="AL572" s="6">
        <f>IF(AN572=21,L572,0)</f>
        <v>0</v>
      </c>
      <c r="AN572" s="14">
        <v>21</v>
      </c>
      <c r="AO572" s="92">
        <f>H572*1</f>
        <v>0</v>
      </c>
      <c r="AP572" s="92">
        <f>H572*(1-1)</f>
        <v>0</v>
      </c>
      <c r="AQ572" s="18" t="s">
        <v>2435</v>
      </c>
      <c r="AV572" s="14">
        <f>AW572+AX572</f>
        <v>0</v>
      </c>
      <c r="AW572" s="14">
        <f>G572*AO572</f>
        <v>0</v>
      </c>
      <c r="AX572" s="14">
        <f>G572*AP572</f>
        <v>0</v>
      </c>
      <c r="AY572" s="55" t="s">
        <v>681</v>
      </c>
      <c r="AZ572" s="55" t="s">
        <v>1095</v>
      </c>
      <c r="BA572" s="15" t="s">
        <v>1843</v>
      </c>
      <c r="BC572" s="14">
        <f>AW572+AX572</f>
        <v>0</v>
      </c>
      <c r="BD572" s="14">
        <f>H572/(100-BE572)*100</f>
        <v>0</v>
      </c>
      <c r="BE572" s="14">
        <v>0</v>
      </c>
      <c r="BF572" s="14">
        <f>O572</f>
        <v>0.15</v>
      </c>
      <c r="BH572" s="6">
        <f>G572*AO572</f>
        <v>0</v>
      </c>
      <c r="BI572" s="6">
        <f>G572*AP572</f>
        <v>0</v>
      </c>
      <c r="BJ572" s="6">
        <f>G572*H572</f>
        <v>0</v>
      </c>
      <c r="BK572" s="6"/>
      <c r="BL572" s="14">
        <v>767</v>
      </c>
      <c r="BW572" s="14" t="str">
        <f>I572</f>
        <v>21</v>
      </c>
    </row>
    <row r="573" spans="1:75" ht="15" customHeight="1">
      <c r="A573" s="32"/>
      <c r="D573" s="3" t="s">
        <v>402</v>
      </c>
      <c r="E573" s="28" t="s">
        <v>1683</v>
      </c>
      <c r="G573" s="27">
        <v>0.15000000000000002</v>
      </c>
      <c r="P573" s="33"/>
    </row>
    <row r="574" spans="1:75" ht="13.5" customHeight="1">
      <c r="A574" s="20" t="s">
        <v>2754</v>
      </c>
      <c r="B574" s="84" t="s">
        <v>1842</v>
      </c>
      <c r="C574" s="84" t="s">
        <v>1959</v>
      </c>
      <c r="D574" s="653" t="s">
        <v>278</v>
      </c>
      <c r="E574" s="654"/>
      <c r="F574" s="84" t="s">
        <v>2019</v>
      </c>
      <c r="G574" s="6">
        <v>27</v>
      </c>
      <c r="H574" s="570"/>
      <c r="I574" s="18" t="s">
        <v>1720</v>
      </c>
      <c r="J574" s="6">
        <f>G574*AO574</f>
        <v>0</v>
      </c>
      <c r="K574" s="6">
        <f>G574*AP574</f>
        <v>0</v>
      </c>
      <c r="L574" s="6">
        <f>G574*H574</f>
        <v>0</v>
      </c>
      <c r="M574" s="6">
        <f>L574*(1+BW574/100)</f>
        <v>0</v>
      </c>
      <c r="N574" s="6">
        <v>1.33E-3</v>
      </c>
      <c r="O574" s="6">
        <f>G574*N574</f>
        <v>3.5909999999999997E-2</v>
      </c>
      <c r="P574" s="109" t="s">
        <v>1664</v>
      </c>
      <c r="Z574" s="14">
        <f>IF(AQ574="5",BJ574,0)</f>
        <v>0</v>
      </c>
      <c r="AB574" s="14">
        <f>IF(AQ574="1",BH574,0)</f>
        <v>0</v>
      </c>
      <c r="AC574" s="14">
        <f>IF(AQ574="1",BI574,0)</f>
        <v>0</v>
      </c>
      <c r="AD574" s="14">
        <f>IF(AQ574="7",BH574,0)</f>
        <v>0</v>
      </c>
      <c r="AE574" s="14">
        <f>IF(AQ574="7",BI574,0)</f>
        <v>0</v>
      </c>
      <c r="AF574" s="14">
        <f>IF(AQ574="2",BH574,0)</f>
        <v>0</v>
      </c>
      <c r="AG574" s="14">
        <f>IF(AQ574="2",BI574,0)</f>
        <v>0</v>
      </c>
      <c r="AH574" s="14">
        <f>IF(AQ574="0",BJ574,0)</f>
        <v>0</v>
      </c>
      <c r="AI574" s="15" t="s">
        <v>1842</v>
      </c>
      <c r="AJ574" s="6">
        <f>IF(AN574=0,L574,0)</f>
        <v>0</v>
      </c>
      <c r="AK574" s="6">
        <f>IF(AN574=15,L574,0)</f>
        <v>0</v>
      </c>
      <c r="AL574" s="6">
        <f>IF(AN574=21,L574,0)</f>
        <v>0</v>
      </c>
      <c r="AN574" s="14">
        <v>21</v>
      </c>
      <c r="AO574" s="92">
        <f>H574*1</f>
        <v>0</v>
      </c>
      <c r="AP574" s="92">
        <f>H574*(1-1)</f>
        <v>0</v>
      </c>
      <c r="AQ574" s="18" t="s">
        <v>2435</v>
      </c>
      <c r="AV574" s="14">
        <f>AW574+AX574</f>
        <v>0</v>
      </c>
      <c r="AW574" s="14">
        <f>G574*AO574</f>
        <v>0</v>
      </c>
      <c r="AX574" s="14">
        <f>G574*AP574</f>
        <v>0</v>
      </c>
      <c r="AY574" s="55" t="s">
        <v>681</v>
      </c>
      <c r="AZ574" s="55" t="s">
        <v>1095</v>
      </c>
      <c r="BA574" s="15" t="s">
        <v>1843</v>
      </c>
      <c r="BC574" s="14">
        <f>AW574+AX574</f>
        <v>0</v>
      </c>
      <c r="BD574" s="14">
        <f>H574/(100-BE574)*100</f>
        <v>0</v>
      </c>
      <c r="BE574" s="14">
        <v>0</v>
      </c>
      <c r="BF574" s="14">
        <f>O574</f>
        <v>3.5909999999999997E-2</v>
      </c>
      <c r="BH574" s="6">
        <f>G574*AO574</f>
        <v>0</v>
      </c>
      <c r="BI574" s="6">
        <f>G574*AP574</f>
        <v>0</v>
      </c>
      <c r="BJ574" s="6">
        <f>G574*H574</f>
        <v>0</v>
      </c>
      <c r="BK574" s="6"/>
      <c r="BL574" s="14">
        <v>767</v>
      </c>
      <c r="BW574" s="14" t="str">
        <f>I574</f>
        <v>21</v>
      </c>
    </row>
    <row r="575" spans="1:75" ht="15" customHeight="1">
      <c r="A575" s="32"/>
      <c r="D575" s="3" t="s">
        <v>847</v>
      </c>
      <c r="E575" s="28" t="s">
        <v>1683</v>
      </c>
      <c r="G575" s="27">
        <v>22.500000000000004</v>
      </c>
      <c r="P575" s="33"/>
    </row>
    <row r="576" spans="1:75" ht="15" customHeight="1">
      <c r="A576" s="32"/>
      <c r="D576" s="3" t="s">
        <v>1033</v>
      </c>
      <c r="E576" s="28" t="s">
        <v>1683</v>
      </c>
      <c r="G576" s="27">
        <v>4.5</v>
      </c>
      <c r="P576" s="33"/>
    </row>
    <row r="577" spans="1:75" ht="13.5" customHeight="1">
      <c r="A577" s="20" t="s">
        <v>617</v>
      </c>
      <c r="B577" s="84" t="s">
        <v>1842</v>
      </c>
      <c r="C577" s="84" t="s">
        <v>263</v>
      </c>
      <c r="D577" s="653" t="s">
        <v>2295</v>
      </c>
      <c r="E577" s="654"/>
      <c r="F577" s="84" t="s">
        <v>595</v>
      </c>
      <c r="G577" s="6">
        <v>60</v>
      </c>
      <c r="H577" s="570"/>
      <c r="I577" s="18" t="s">
        <v>1720</v>
      </c>
      <c r="J577" s="6">
        <f>G577*AO577</f>
        <v>0</v>
      </c>
      <c r="K577" s="6">
        <f>G577*AP577</f>
        <v>0</v>
      </c>
      <c r="L577" s="6">
        <f>G577*H577</f>
        <v>0</v>
      </c>
      <c r="M577" s="6">
        <f>L577*(1+BW577/100)</f>
        <v>0</v>
      </c>
      <c r="N577" s="6">
        <v>0</v>
      </c>
      <c r="O577" s="6">
        <f>G577*N577</f>
        <v>0</v>
      </c>
      <c r="P577" s="109" t="s">
        <v>1664</v>
      </c>
      <c r="Z577" s="14">
        <f>IF(AQ577="5",BJ577,0)</f>
        <v>0</v>
      </c>
      <c r="AB577" s="14">
        <f>IF(AQ577="1",BH577,0)</f>
        <v>0</v>
      </c>
      <c r="AC577" s="14">
        <f>IF(AQ577="1",BI577,0)</f>
        <v>0</v>
      </c>
      <c r="AD577" s="14">
        <f>IF(AQ577="7",BH577,0)</f>
        <v>0</v>
      </c>
      <c r="AE577" s="14">
        <f>IF(AQ577="7",BI577,0)</f>
        <v>0</v>
      </c>
      <c r="AF577" s="14">
        <f>IF(AQ577="2",BH577,0)</f>
        <v>0</v>
      </c>
      <c r="AG577" s="14">
        <f>IF(AQ577="2",BI577,0)</f>
        <v>0</v>
      </c>
      <c r="AH577" s="14">
        <f>IF(AQ577="0",BJ577,0)</f>
        <v>0</v>
      </c>
      <c r="AI577" s="15" t="s">
        <v>1842</v>
      </c>
      <c r="AJ577" s="6">
        <f>IF(AN577=0,L577,0)</f>
        <v>0</v>
      </c>
      <c r="AK577" s="6">
        <f>IF(AN577=15,L577,0)</f>
        <v>0</v>
      </c>
      <c r="AL577" s="6">
        <f>IF(AN577=21,L577,0)</f>
        <v>0</v>
      </c>
      <c r="AN577" s="14">
        <v>21</v>
      </c>
      <c r="AO577" s="92">
        <f>H577*1</f>
        <v>0</v>
      </c>
      <c r="AP577" s="92">
        <f>H577*(1-1)</f>
        <v>0</v>
      </c>
      <c r="AQ577" s="18" t="s">
        <v>2435</v>
      </c>
      <c r="AV577" s="14">
        <f>AW577+AX577</f>
        <v>0</v>
      </c>
      <c r="AW577" s="14">
        <f>G577*AO577</f>
        <v>0</v>
      </c>
      <c r="AX577" s="14">
        <f>G577*AP577</f>
        <v>0</v>
      </c>
      <c r="AY577" s="55" t="s">
        <v>681</v>
      </c>
      <c r="AZ577" s="55" t="s">
        <v>1095</v>
      </c>
      <c r="BA577" s="15" t="s">
        <v>1843</v>
      </c>
      <c r="BC577" s="14">
        <f>AW577+AX577</f>
        <v>0</v>
      </c>
      <c r="BD577" s="14">
        <f>H577/(100-BE577)*100</f>
        <v>0</v>
      </c>
      <c r="BE577" s="14">
        <v>0</v>
      </c>
      <c r="BF577" s="14">
        <f>O577</f>
        <v>0</v>
      </c>
      <c r="BH577" s="6">
        <f>G577*AO577</f>
        <v>0</v>
      </c>
      <c r="BI577" s="6">
        <f>G577*AP577</f>
        <v>0</v>
      </c>
      <c r="BJ577" s="6">
        <f>G577*H577</f>
        <v>0</v>
      </c>
      <c r="BK577" s="6"/>
      <c r="BL577" s="14">
        <v>767</v>
      </c>
      <c r="BW577" s="14" t="str">
        <f>I577</f>
        <v>21</v>
      </c>
    </row>
    <row r="578" spans="1:75" ht="15" customHeight="1">
      <c r="A578" s="32"/>
      <c r="D578" s="3" t="s">
        <v>284</v>
      </c>
      <c r="E578" s="28" t="s">
        <v>1683</v>
      </c>
      <c r="G578" s="27">
        <v>60.000000000000007</v>
      </c>
      <c r="P578" s="33"/>
    </row>
    <row r="579" spans="1:75" ht="13.5" customHeight="1">
      <c r="A579" s="20" t="s">
        <v>897</v>
      </c>
      <c r="B579" s="84" t="s">
        <v>1842</v>
      </c>
      <c r="C579" s="84" t="s">
        <v>1424</v>
      </c>
      <c r="D579" s="653" t="s">
        <v>2232</v>
      </c>
      <c r="E579" s="654"/>
      <c r="F579" s="84" t="s">
        <v>595</v>
      </c>
      <c r="G579" s="6">
        <v>20</v>
      </c>
      <c r="H579" s="570"/>
      <c r="I579" s="18" t="s">
        <v>1720</v>
      </c>
      <c r="J579" s="6">
        <f>G579*AO579</f>
        <v>0</v>
      </c>
      <c r="K579" s="6">
        <f>G579*AP579</f>
        <v>0</v>
      </c>
      <c r="L579" s="6">
        <f>G579*H579</f>
        <v>0</v>
      </c>
      <c r="M579" s="6">
        <f>L579*(1+BW579/100)</f>
        <v>0</v>
      </c>
      <c r="N579" s="6">
        <v>0</v>
      </c>
      <c r="O579" s="6">
        <f>G579*N579</f>
        <v>0</v>
      </c>
      <c r="P579" s="109" t="s">
        <v>1664</v>
      </c>
      <c r="Z579" s="14">
        <f>IF(AQ579="5",BJ579,0)</f>
        <v>0</v>
      </c>
      <c r="AB579" s="14">
        <f>IF(AQ579="1",BH579,0)</f>
        <v>0</v>
      </c>
      <c r="AC579" s="14">
        <f>IF(AQ579="1",BI579,0)</f>
        <v>0</v>
      </c>
      <c r="AD579" s="14">
        <f>IF(AQ579="7",BH579,0)</f>
        <v>0</v>
      </c>
      <c r="AE579" s="14">
        <f>IF(AQ579="7",BI579,0)</f>
        <v>0</v>
      </c>
      <c r="AF579" s="14">
        <f>IF(AQ579="2",BH579,0)</f>
        <v>0</v>
      </c>
      <c r="AG579" s="14">
        <f>IF(AQ579="2",BI579,0)</f>
        <v>0</v>
      </c>
      <c r="AH579" s="14">
        <f>IF(AQ579="0",BJ579,0)</f>
        <v>0</v>
      </c>
      <c r="AI579" s="15" t="s">
        <v>1842</v>
      </c>
      <c r="AJ579" s="6">
        <f>IF(AN579=0,L579,0)</f>
        <v>0</v>
      </c>
      <c r="AK579" s="6">
        <f>IF(AN579=15,L579,0)</f>
        <v>0</v>
      </c>
      <c r="AL579" s="6">
        <f>IF(AN579=21,L579,0)</f>
        <v>0</v>
      </c>
      <c r="AN579" s="14">
        <v>21</v>
      </c>
      <c r="AO579" s="92">
        <f>H579*1</f>
        <v>0</v>
      </c>
      <c r="AP579" s="92">
        <f>H579*(1-1)</f>
        <v>0</v>
      </c>
      <c r="AQ579" s="18" t="s">
        <v>2435</v>
      </c>
      <c r="AV579" s="14">
        <f>AW579+AX579</f>
        <v>0</v>
      </c>
      <c r="AW579" s="14">
        <f>G579*AO579</f>
        <v>0</v>
      </c>
      <c r="AX579" s="14">
        <f>G579*AP579</f>
        <v>0</v>
      </c>
      <c r="AY579" s="55" t="s">
        <v>681</v>
      </c>
      <c r="AZ579" s="55" t="s">
        <v>1095</v>
      </c>
      <c r="BA579" s="15" t="s">
        <v>1843</v>
      </c>
      <c r="BC579" s="14">
        <f>AW579+AX579</f>
        <v>0</v>
      </c>
      <c r="BD579" s="14">
        <f>H579/(100-BE579)*100</f>
        <v>0</v>
      </c>
      <c r="BE579" s="14">
        <v>0</v>
      </c>
      <c r="BF579" s="14">
        <f>O579</f>
        <v>0</v>
      </c>
      <c r="BH579" s="6">
        <f>G579*AO579</f>
        <v>0</v>
      </c>
      <c r="BI579" s="6">
        <f>G579*AP579</f>
        <v>0</v>
      </c>
      <c r="BJ579" s="6">
        <f>G579*H579</f>
        <v>0</v>
      </c>
      <c r="BK579" s="6"/>
      <c r="BL579" s="14">
        <v>767</v>
      </c>
      <c r="BW579" s="14" t="str">
        <f>I579</f>
        <v>21</v>
      </c>
    </row>
    <row r="580" spans="1:75" ht="15" customHeight="1">
      <c r="A580" s="32"/>
      <c r="D580" s="3" t="s">
        <v>118</v>
      </c>
      <c r="E580" s="28" t="s">
        <v>1683</v>
      </c>
      <c r="G580" s="27">
        <v>20</v>
      </c>
      <c r="P580" s="33"/>
    </row>
    <row r="581" spans="1:75" ht="40.5" customHeight="1">
      <c r="A581" s="21" t="s">
        <v>843</v>
      </c>
      <c r="B581" s="37" t="s">
        <v>1842</v>
      </c>
      <c r="C581" s="37" t="s">
        <v>1665</v>
      </c>
      <c r="D581" s="578" t="s">
        <v>2343</v>
      </c>
      <c r="E581" s="579"/>
      <c r="F581" s="37" t="s">
        <v>2302</v>
      </c>
      <c r="G581" s="14">
        <v>115</v>
      </c>
      <c r="H581" s="569"/>
      <c r="I581" s="55" t="s">
        <v>1720</v>
      </c>
      <c r="J581" s="14">
        <f>G581*AO581</f>
        <v>0</v>
      </c>
      <c r="K581" s="14">
        <f>G581*AP581</f>
        <v>0</v>
      </c>
      <c r="L581" s="14">
        <f>G581*H581</f>
        <v>0</v>
      </c>
      <c r="M581" s="14">
        <f>L581*(1+BW581/100)</f>
        <v>0</v>
      </c>
      <c r="N581" s="14">
        <v>6.0000000000000002E-5</v>
      </c>
      <c r="O581" s="14">
        <f>G581*N581</f>
        <v>6.8999999999999999E-3</v>
      </c>
      <c r="P581" s="72" t="s">
        <v>1664</v>
      </c>
      <c r="Z581" s="14">
        <f>IF(AQ581="5",BJ581,0)</f>
        <v>0</v>
      </c>
      <c r="AB581" s="14">
        <f>IF(AQ581="1",BH581,0)</f>
        <v>0</v>
      </c>
      <c r="AC581" s="14">
        <f>IF(AQ581="1",BI581,0)</f>
        <v>0</v>
      </c>
      <c r="AD581" s="14">
        <f>IF(AQ581="7",BH581,0)</f>
        <v>0</v>
      </c>
      <c r="AE581" s="14">
        <f>IF(AQ581="7",BI581,0)</f>
        <v>0</v>
      </c>
      <c r="AF581" s="14">
        <f>IF(AQ581="2",BH581,0)</f>
        <v>0</v>
      </c>
      <c r="AG581" s="14">
        <f>IF(AQ581="2",BI581,0)</f>
        <v>0</v>
      </c>
      <c r="AH581" s="14">
        <f>IF(AQ581="0",BJ581,0)</f>
        <v>0</v>
      </c>
      <c r="AI581" s="15" t="s">
        <v>1842</v>
      </c>
      <c r="AJ581" s="14">
        <f>IF(AN581=0,L581,0)</f>
        <v>0</v>
      </c>
      <c r="AK581" s="14">
        <f>IF(AN581=15,L581,0)</f>
        <v>0</v>
      </c>
      <c r="AL581" s="14">
        <f>IF(AN581=21,L581,0)</f>
        <v>0</v>
      </c>
      <c r="AN581" s="14">
        <v>21</v>
      </c>
      <c r="AO581" s="92">
        <f>H581*0.0951149425287356</f>
        <v>0</v>
      </c>
      <c r="AP581" s="92">
        <f>H581*(1-0.0951149425287356)</f>
        <v>0</v>
      </c>
      <c r="AQ581" s="55" t="s">
        <v>2435</v>
      </c>
      <c r="AV581" s="14">
        <f>AW581+AX581</f>
        <v>0</v>
      </c>
      <c r="AW581" s="14">
        <f>G581*AO581</f>
        <v>0</v>
      </c>
      <c r="AX581" s="14">
        <f>G581*AP581</f>
        <v>0</v>
      </c>
      <c r="AY581" s="55" t="s">
        <v>681</v>
      </c>
      <c r="AZ581" s="55" t="s">
        <v>1095</v>
      </c>
      <c r="BA581" s="15" t="s">
        <v>1843</v>
      </c>
      <c r="BC581" s="14">
        <f>AW581+AX581</f>
        <v>0</v>
      </c>
      <c r="BD581" s="14">
        <f>H581/(100-BE581)*100</f>
        <v>0</v>
      </c>
      <c r="BE581" s="14">
        <v>0</v>
      </c>
      <c r="BF581" s="14">
        <f>O581</f>
        <v>6.8999999999999999E-3</v>
      </c>
      <c r="BH581" s="14">
        <f>G581*AO581</f>
        <v>0</v>
      </c>
      <c r="BI581" s="14">
        <f>G581*AP581</f>
        <v>0</v>
      </c>
      <c r="BJ581" s="14">
        <f>G581*H581</f>
        <v>0</v>
      </c>
      <c r="BK581" s="14"/>
      <c r="BL581" s="14">
        <v>767</v>
      </c>
      <c r="BW581" s="14" t="str">
        <f>I581</f>
        <v>21</v>
      </c>
    </row>
    <row r="582" spans="1:75" ht="15" customHeight="1">
      <c r="A582" s="32"/>
      <c r="D582" s="3" t="s">
        <v>1598</v>
      </c>
      <c r="E582" s="28" t="s">
        <v>2290</v>
      </c>
      <c r="G582" s="27">
        <v>55.000000000000007</v>
      </c>
      <c r="P582" s="33"/>
    </row>
    <row r="583" spans="1:75" ht="15" customHeight="1">
      <c r="A583" s="32"/>
      <c r="D583" s="3" t="s">
        <v>284</v>
      </c>
      <c r="E583" s="28" t="s">
        <v>1330</v>
      </c>
      <c r="G583" s="27">
        <v>60.000000000000007</v>
      </c>
      <c r="P583" s="33"/>
    </row>
    <row r="584" spans="1:75" ht="27" customHeight="1">
      <c r="A584" s="20" t="s">
        <v>1592</v>
      </c>
      <c r="B584" s="84" t="s">
        <v>1842</v>
      </c>
      <c r="C584" s="84" t="s">
        <v>239</v>
      </c>
      <c r="D584" s="653" t="s">
        <v>461</v>
      </c>
      <c r="E584" s="654"/>
      <c r="F584" s="84" t="s">
        <v>595</v>
      </c>
      <c r="G584" s="6">
        <v>1</v>
      </c>
      <c r="H584" s="570"/>
      <c r="I584" s="18" t="s">
        <v>1720</v>
      </c>
      <c r="J584" s="6">
        <f>G584*AO584</f>
        <v>0</v>
      </c>
      <c r="K584" s="6">
        <f>G584*AP584</f>
        <v>0</v>
      </c>
      <c r="L584" s="6">
        <f>G584*H584</f>
        <v>0</v>
      </c>
      <c r="M584" s="6">
        <f>L584*(1+BW584/100)</f>
        <v>0</v>
      </c>
      <c r="N584" s="6">
        <v>0</v>
      </c>
      <c r="O584" s="6">
        <f>G584*N584</f>
        <v>0</v>
      </c>
      <c r="P584" s="109" t="s">
        <v>1683</v>
      </c>
      <c r="Z584" s="14">
        <f>IF(AQ584="5",BJ584,0)</f>
        <v>0</v>
      </c>
      <c r="AB584" s="14">
        <f>IF(AQ584="1",BH584,0)</f>
        <v>0</v>
      </c>
      <c r="AC584" s="14">
        <f>IF(AQ584="1",BI584,0)</f>
        <v>0</v>
      </c>
      <c r="AD584" s="14">
        <f>IF(AQ584="7",BH584,0)</f>
        <v>0</v>
      </c>
      <c r="AE584" s="14">
        <f>IF(AQ584="7",BI584,0)</f>
        <v>0</v>
      </c>
      <c r="AF584" s="14">
        <f>IF(AQ584="2",BH584,0)</f>
        <v>0</v>
      </c>
      <c r="AG584" s="14">
        <f>IF(AQ584="2",BI584,0)</f>
        <v>0</v>
      </c>
      <c r="AH584" s="14">
        <f>IF(AQ584="0",BJ584,0)</f>
        <v>0</v>
      </c>
      <c r="AI584" s="15" t="s">
        <v>1842</v>
      </c>
      <c r="AJ584" s="6">
        <f>IF(AN584=0,L584,0)</f>
        <v>0</v>
      </c>
      <c r="AK584" s="6">
        <f>IF(AN584=15,L584,0)</f>
        <v>0</v>
      </c>
      <c r="AL584" s="6">
        <f>IF(AN584=21,L584,0)</f>
        <v>0</v>
      </c>
      <c r="AN584" s="14">
        <v>21</v>
      </c>
      <c r="AO584" s="92">
        <f>H584*1</f>
        <v>0</v>
      </c>
      <c r="AP584" s="92">
        <f>H584*(1-1)</f>
        <v>0</v>
      </c>
      <c r="AQ584" s="18" t="s">
        <v>2435</v>
      </c>
      <c r="AV584" s="14">
        <f>AW584+AX584</f>
        <v>0</v>
      </c>
      <c r="AW584" s="14">
        <f>G584*AO584</f>
        <v>0</v>
      </c>
      <c r="AX584" s="14">
        <f>G584*AP584</f>
        <v>0</v>
      </c>
      <c r="AY584" s="55" t="s">
        <v>681</v>
      </c>
      <c r="AZ584" s="55" t="s">
        <v>1095</v>
      </c>
      <c r="BA584" s="15" t="s">
        <v>1843</v>
      </c>
      <c r="BC584" s="14">
        <f>AW584+AX584</f>
        <v>0</v>
      </c>
      <c r="BD584" s="14">
        <f>H584/(100-BE584)*100</f>
        <v>0</v>
      </c>
      <c r="BE584" s="14">
        <v>0</v>
      </c>
      <c r="BF584" s="14">
        <f>O584</f>
        <v>0</v>
      </c>
      <c r="BH584" s="6">
        <f>G584*AO584</f>
        <v>0</v>
      </c>
      <c r="BI584" s="6">
        <f>G584*AP584</f>
        <v>0</v>
      </c>
      <c r="BJ584" s="6">
        <f>G584*H584</f>
        <v>0</v>
      </c>
      <c r="BK584" s="6"/>
      <c r="BL584" s="14">
        <v>767</v>
      </c>
      <c r="BW584" s="14" t="str">
        <f>I584</f>
        <v>21</v>
      </c>
    </row>
    <row r="585" spans="1:75" ht="15" customHeight="1">
      <c r="A585" s="32"/>
      <c r="D585" s="3" t="s">
        <v>2422</v>
      </c>
      <c r="E585" s="28" t="s">
        <v>776</v>
      </c>
      <c r="G585" s="27">
        <v>1</v>
      </c>
      <c r="P585" s="33"/>
    </row>
    <row r="586" spans="1:75" ht="27" customHeight="1">
      <c r="A586" s="20" t="s">
        <v>400</v>
      </c>
      <c r="B586" s="84" t="s">
        <v>1842</v>
      </c>
      <c r="C586" s="84" t="s">
        <v>1610</v>
      </c>
      <c r="D586" s="653" t="s">
        <v>495</v>
      </c>
      <c r="E586" s="654"/>
      <c r="F586" s="84" t="s">
        <v>595</v>
      </c>
      <c r="G586" s="6">
        <v>1</v>
      </c>
      <c r="H586" s="570"/>
      <c r="I586" s="18" t="s">
        <v>1720</v>
      </c>
      <c r="J586" s="6">
        <f>G586*AO586</f>
        <v>0</v>
      </c>
      <c r="K586" s="6">
        <f>G586*AP586</f>
        <v>0</v>
      </c>
      <c r="L586" s="6">
        <f>G586*H586</f>
        <v>0</v>
      </c>
      <c r="M586" s="6">
        <f>L586*(1+BW586/100)</f>
        <v>0</v>
      </c>
      <c r="N586" s="6">
        <v>0</v>
      </c>
      <c r="O586" s="6">
        <f>G586*N586</f>
        <v>0</v>
      </c>
      <c r="P586" s="109" t="s">
        <v>1683</v>
      </c>
      <c r="Z586" s="14">
        <f>IF(AQ586="5",BJ586,0)</f>
        <v>0</v>
      </c>
      <c r="AB586" s="14">
        <f>IF(AQ586="1",BH586,0)</f>
        <v>0</v>
      </c>
      <c r="AC586" s="14">
        <f>IF(AQ586="1",BI586,0)</f>
        <v>0</v>
      </c>
      <c r="AD586" s="14">
        <f>IF(AQ586="7",BH586,0)</f>
        <v>0</v>
      </c>
      <c r="AE586" s="14">
        <f>IF(AQ586="7",BI586,0)</f>
        <v>0</v>
      </c>
      <c r="AF586" s="14">
        <f>IF(AQ586="2",BH586,0)</f>
        <v>0</v>
      </c>
      <c r="AG586" s="14">
        <f>IF(AQ586="2",BI586,0)</f>
        <v>0</v>
      </c>
      <c r="AH586" s="14">
        <f>IF(AQ586="0",BJ586,0)</f>
        <v>0</v>
      </c>
      <c r="AI586" s="15" t="s">
        <v>1842</v>
      </c>
      <c r="AJ586" s="6">
        <f>IF(AN586=0,L586,0)</f>
        <v>0</v>
      </c>
      <c r="AK586" s="6">
        <f>IF(AN586=15,L586,0)</f>
        <v>0</v>
      </c>
      <c r="AL586" s="6">
        <f>IF(AN586=21,L586,0)</f>
        <v>0</v>
      </c>
      <c r="AN586" s="14">
        <v>21</v>
      </c>
      <c r="AO586" s="92">
        <f>H586*1</f>
        <v>0</v>
      </c>
      <c r="AP586" s="92">
        <f>H586*(1-1)</f>
        <v>0</v>
      </c>
      <c r="AQ586" s="18" t="s">
        <v>2435</v>
      </c>
      <c r="AV586" s="14">
        <f>AW586+AX586</f>
        <v>0</v>
      </c>
      <c r="AW586" s="14">
        <f>G586*AO586</f>
        <v>0</v>
      </c>
      <c r="AX586" s="14">
        <f>G586*AP586</f>
        <v>0</v>
      </c>
      <c r="AY586" s="55" t="s">
        <v>681</v>
      </c>
      <c r="AZ586" s="55" t="s">
        <v>1095</v>
      </c>
      <c r="BA586" s="15" t="s">
        <v>1843</v>
      </c>
      <c r="BC586" s="14">
        <f>AW586+AX586</f>
        <v>0</v>
      </c>
      <c r="BD586" s="14">
        <f>H586/(100-BE586)*100</f>
        <v>0</v>
      </c>
      <c r="BE586" s="14">
        <v>0</v>
      </c>
      <c r="BF586" s="14">
        <f>O586</f>
        <v>0</v>
      </c>
      <c r="BH586" s="6">
        <f>G586*AO586</f>
        <v>0</v>
      </c>
      <c r="BI586" s="6">
        <f>G586*AP586</f>
        <v>0</v>
      </c>
      <c r="BJ586" s="6">
        <f>G586*H586</f>
        <v>0</v>
      </c>
      <c r="BK586" s="6"/>
      <c r="BL586" s="14">
        <v>767</v>
      </c>
      <c r="BW586" s="14" t="str">
        <f>I586</f>
        <v>21</v>
      </c>
    </row>
    <row r="587" spans="1:75" ht="15" customHeight="1">
      <c r="A587" s="32"/>
      <c r="D587" s="3" t="s">
        <v>2422</v>
      </c>
      <c r="E587" s="28" t="s">
        <v>1059</v>
      </c>
      <c r="G587" s="27">
        <v>1</v>
      </c>
      <c r="P587" s="33"/>
    </row>
    <row r="588" spans="1:75" ht="27" customHeight="1">
      <c r="A588" s="20" t="s">
        <v>886</v>
      </c>
      <c r="B588" s="84" t="s">
        <v>1842</v>
      </c>
      <c r="C588" s="84" t="s">
        <v>764</v>
      </c>
      <c r="D588" s="653" t="s">
        <v>2023</v>
      </c>
      <c r="E588" s="654"/>
      <c r="F588" s="84" t="s">
        <v>595</v>
      </c>
      <c r="G588" s="6">
        <v>1</v>
      </c>
      <c r="H588" s="570"/>
      <c r="I588" s="18" t="s">
        <v>1720</v>
      </c>
      <c r="J588" s="6">
        <f>G588*AO588</f>
        <v>0</v>
      </c>
      <c r="K588" s="6">
        <f>G588*AP588</f>
        <v>0</v>
      </c>
      <c r="L588" s="6">
        <f>G588*H588</f>
        <v>0</v>
      </c>
      <c r="M588" s="6">
        <f>L588*(1+BW588/100)</f>
        <v>0</v>
      </c>
      <c r="N588" s="6">
        <v>0</v>
      </c>
      <c r="O588" s="6">
        <f>G588*N588</f>
        <v>0</v>
      </c>
      <c r="P588" s="109" t="s">
        <v>1683</v>
      </c>
      <c r="Z588" s="14">
        <f>IF(AQ588="5",BJ588,0)</f>
        <v>0</v>
      </c>
      <c r="AB588" s="14">
        <f>IF(AQ588="1",BH588,0)</f>
        <v>0</v>
      </c>
      <c r="AC588" s="14">
        <f>IF(AQ588="1",BI588,0)</f>
        <v>0</v>
      </c>
      <c r="AD588" s="14">
        <f>IF(AQ588="7",BH588,0)</f>
        <v>0</v>
      </c>
      <c r="AE588" s="14">
        <f>IF(AQ588="7",BI588,0)</f>
        <v>0</v>
      </c>
      <c r="AF588" s="14">
        <f>IF(AQ588="2",BH588,0)</f>
        <v>0</v>
      </c>
      <c r="AG588" s="14">
        <f>IF(AQ588="2",BI588,0)</f>
        <v>0</v>
      </c>
      <c r="AH588" s="14">
        <f>IF(AQ588="0",BJ588,0)</f>
        <v>0</v>
      </c>
      <c r="AI588" s="15" t="s">
        <v>1842</v>
      </c>
      <c r="AJ588" s="6">
        <f>IF(AN588=0,L588,0)</f>
        <v>0</v>
      </c>
      <c r="AK588" s="6">
        <f>IF(AN588=15,L588,0)</f>
        <v>0</v>
      </c>
      <c r="AL588" s="6">
        <f>IF(AN588=21,L588,0)</f>
        <v>0</v>
      </c>
      <c r="AN588" s="14">
        <v>21</v>
      </c>
      <c r="AO588" s="92">
        <f>H588*1</f>
        <v>0</v>
      </c>
      <c r="AP588" s="92">
        <f>H588*(1-1)</f>
        <v>0</v>
      </c>
      <c r="AQ588" s="18" t="s">
        <v>2435</v>
      </c>
      <c r="AV588" s="14">
        <f>AW588+AX588</f>
        <v>0</v>
      </c>
      <c r="AW588" s="14">
        <f>G588*AO588</f>
        <v>0</v>
      </c>
      <c r="AX588" s="14">
        <f>G588*AP588</f>
        <v>0</v>
      </c>
      <c r="AY588" s="55" t="s">
        <v>681</v>
      </c>
      <c r="AZ588" s="55" t="s">
        <v>1095</v>
      </c>
      <c r="BA588" s="15" t="s">
        <v>1843</v>
      </c>
      <c r="BC588" s="14">
        <f>AW588+AX588</f>
        <v>0</v>
      </c>
      <c r="BD588" s="14">
        <f>H588/(100-BE588)*100</f>
        <v>0</v>
      </c>
      <c r="BE588" s="14">
        <v>0</v>
      </c>
      <c r="BF588" s="14">
        <f>O588</f>
        <v>0</v>
      </c>
      <c r="BH588" s="6">
        <f>G588*AO588</f>
        <v>0</v>
      </c>
      <c r="BI588" s="6">
        <f>G588*AP588</f>
        <v>0</v>
      </c>
      <c r="BJ588" s="6">
        <f>G588*H588</f>
        <v>0</v>
      </c>
      <c r="BK588" s="6"/>
      <c r="BL588" s="14">
        <v>767</v>
      </c>
      <c r="BW588" s="14" t="str">
        <f>I588</f>
        <v>21</v>
      </c>
    </row>
    <row r="589" spans="1:75" ht="15" customHeight="1">
      <c r="A589" s="32"/>
      <c r="D589" s="3" t="s">
        <v>2422</v>
      </c>
      <c r="E589" s="28" t="s">
        <v>2505</v>
      </c>
      <c r="G589" s="27">
        <v>1</v>
      </c>
      <c r="P589" s="33"/>
    </row>
    <row r="590" spans="1:75" ht="27" customHeight="1">
      <c r="A590" s="20" t="s">
        <v>2031</v>
      </c>
      <c r="B590" s="84" t="s">
        <v>1842</v>
      </c>
      <c r="C590" s="84" t="s">
        <v>1508</v>
      </c>
      <c r="D590" s="653" t="s">
        <v>1393</v>
      </c>
      <c r="E590" s="654"/>
      <c r="F590" s="84" t="s">
        <v>595</v>
      </c>
      <c r="G590" s="6">
        <v>1</v>
      </c>
      <c r="H590" s="570"/>
      <c r="I590" s="18" t="s">
        <v>1720</v>
      </c>
      <c r="J590" s="6">
        <f>G590*AO590</f>
        <v>0</v>
      </c>
      <c r="K590" s="6">
        <f>G590*AP590</f>
        <v>0</v>
      </c>
      <c r="L590" s="6">
        <f>G590*H590</f>
        <v>0</v>
      </c>
      <c r="M590" s="6">
        <f>L590*(1+BW590/100)</f>
        <v>0</v>
      </c>
      <c r="N590" s="6">
        <v>0</v>
      </c>
      <c r="O590" s="6">
        <f>G590*N590</f>
        <v>0</v>
      </c>
      <c r="P590" s="109" t="s">
        <v>1683</v>
      </c>
      <c r="Z590" s="14">
        <f>IF(AQ590="5",BJ590,0)</f>
        <v>0</v>
      </c>
      <c r="AB590" s="14">
        <f>IF(AQ590="1",BH590,0)</f>
        <v>0</v>
      </c>
      <c r="AC590" s="14">
        <f>IF(AQ590="1",BI590,0)</f>
        <v>0</v>
      </c>
      <c r="AD590" s="14">
        <f>IF(AQ590="7",BH590,0)</f>
        <v>0</v>
      </c>
      <c r="AE590" s="14">
        <f>IF(AQ590="7",BI590,0)</f>
        <v>0</v>
      </c>
      <c r="AF590" s="14">
        <f>IF(AQ590="2",BH590,0)</f>
        <v>0</v>
      </c>
      <c r="AG590" s="14">
        <f>IF(AQ590="2",BI590,0)</f>
        <v>0</v>
      </c>
      <c r="AH590" s="14">
        <f>IF(AQ590="0",BJ590,0)</f>
        <v>0</v>
      </c>
      <c r="AI590" s="15" t="s">
        <v>1842</v>
      </c>
      <c r="AJ590" s="6">
        <f>IF(AN590=0,L590,0)</f>
        <v>0</v>
      </c>
      <c r="AK590" s="6">
        <f>IF(AN590=15,L590,0)</f>
        <v>0</v>
      </c>
      <c r="AL590" s="6">
        <f>IF(AN590=21,L590,0)</f>
        <v>0</v>
      </c>
      <c r="AN590" s="14">
        <v>21</v>
      </c>
      <c r="AO590" s="92">
        <f>H590*1</f>
        <v>0</v>
      </c>
      <c r="AP590" s="92">
        <f>H590*(1-1)</f>
        <v>0</v>
      </c>
      <c r="AQ590" s="18" t="s">
        <v>2435</v>
      </c>
      <c r="AV590" s="14">
        <f>AW590+AX590</f>
        <v>0</v>
      </c>
      <c r="AW590" s="14">
        <f>G590*AO590</f>
        <v>0</v>
      </c>
      <c r="AX590" s="14">
        <f>G590*AP590</f>
        <v>0</v>
      </c>
      <c r="AY590" s="55" t="s">
        <v>681</v>
      </c>
      <c r="AZ590" s="55" t="s">
        <v>1095</v>
      </c>
      <c r="BA590" s="15" t="s">
        <v>1843</v>
      </c>
      <c r="BC590" s="14">
        <f>AW590+AX590</f>
        <v>0</v>
      </c>
      <c r="BD590" s="14">
        <f>H590/(100-BE590)*100</f>
        <v>0</v>
      </c>
      <c r="BE590" s="14">
        <v>0</v>
      </c>
      <c r="BF590" s="14">
        <f>O590</f>
        <v>0</v>
      </c>
      <c r="BH590" s="6">
        <f>G590*AO590</f>
        <v>0</v>
      </c>
      <c r="BI590" s="6">
        <f>G590*AP590</f>
        <v>0</v>
      </c>
      <c r="BJ590" s="6">
        <f>G590*H590</f>
        <v>0</v>
      </c>
      <c r="BK590" s="6"/>
      <c r="BL590" s="14">
        <v>767</v>
      </c>
      <c r="BW590" s="14" t="str">
        <f>I590</f>
        <v>21</v>
      </c>
    </row>
    <row r="591" spans="1:75" ht="15" customHeight="1">
      <c r="A591" s="32"/>
      <c r="D591" s="3" t="s">
        <v>2422</v>
      </c>
      <c r="E591" s="28" t="s">
        <v>1135</v>
      </c>
      <c r="G591" s="27">
        <v>1</v>
      </c>
      <c r="P591" s="33"/>
    </row>
    <row r="592" spans="1:75" ht="27" customHeight="1">
      <c r="A592" s="20" t="s">
        <v>40</v>
      </c>
      <c r="B592" s="84" t="s">
        <v>1842</v>
      </c>
      <c r="C592" s="84" t="s">
        <v>530</v>
      </c>
      <c r="D592" s="653" t="s">
        <v>2001</v>
      </c>
      <c r="E592" s="654"/>
      <c r="F592" s="84" t="s">
        <v>595</v>
      </c>
      <c r="G592" s="6">
        <v>3</v>
      </c>
      <c r="H592" s="570"/>
      <c r="I592" s="18" t="s">
        <v>1720</v>
      </c>
      <c r="J592" s="6">
        <f>G592*AO592</f>
        <v>0</v>
      </c>
      <c r="K592" s="6">
        <f>G592*AP592</f>
        <v>0</v>
      </c>
      <c r="L592" s="6">
        <f>G592*H592</f>
        <v>0</v>
      </c>
      <c r="M592" s="6">
        <f>L592*(1+BW592/100)</f>
        <v>0</v>
      </c>
      <c r="N592" s="6">
        <v>0</v>
      </c>
      <c r="O592" s="6">
        <f>G592*N592</f>
        <v>0</v>
      </c>
      <c r="P592" s="109" t="s">
        <v>1683</v>
      </c>
      <c r="Z592" s="14">
        <f>IF(AQ592="5",BJ592,0)</f>
        <v>0</v>
      </c>
      <c r="AB592" s="14">
        <f>IF(AQ592="1",BH592,0)</f>
        <v>0</v>
      </c>
      <c r="AC592" s="14">
        <f>IF(AQ592="1",BI592,0)</f>
        <v>0</v>
      </c>
      <c r="AD592" s="14">
        <f>IF(AQ592="7",BH592,0)</f>
        <v>0</v>
      </c>
      <c r="AE592" s="14">
        <f>IF(AQ592="7",BI592,0)</f>
        <v>0</v>
      </c>
      <c r="AF592" s="14">
        <f>IF(AQ592="2",BH592,0)</f>
        <v>0</v>
      </c>
      <c r="AG592" s="14">
        <f>IF(AQ592="2",BI592,0)</f>
        <v>0</v>
      </c>
      <c r="AH592" s="14">
        <f>IF(AQ592="0",BJ592,0)</f>
        <v>0</v>
      </c>
      <c r="AI592" s="15" t="s">
        <v>1842</v>
      </c>
      <c r="AJ592" s="6">
        <f>IF(AN592=0,L592,0)</f>
        <v>0</v>
      </c>
      <c r="AK592" s="6">
        <f>IF(AN592=15,L592,0)</f>
        <v>0</v>
      </c>
      <c r="AL592" s="6">
        <f>IF(AN592=21,L592,0)</f>
        <v>0</v>
      </c>
      <c r="AN592" s="14">
        <v>21</v>
      </c>
      <c r="AO592" s="92">
        <f>H592*1</f>
        <v>0</v>
      </c>
      <c r="AP592" s="92">
        <f>H592*(1-1)</f>
        <v>0</v>
      </c>
      <c r="AQ592" s="18" t="s">
        <v>2435</v>
      </c>
      <c r="AV592" s="14">
        <f>AW592+AX592</f>
        <v>0</v>
      </c>
      <c r="AW592" s="14">
        <f>G592*AO592</f>
        <v>0</v>
      </c>
      <c r="AX592" s="14">
        <f>G592*AP592</f>
        <v>0</v>
      </c>
      <c r="AY592" s="55" t="s">
        <v>681</v>
      </c>
      <c r="AZ592" s="55" t="s">
        <v>1095</v>
      </c>
      <c r="BA592" s="15" t="s">
        <v>1843</v>
      </c>
      <c r="BC592" s="14">
        <f>AW592+AX592</f>
        <v>0</v>
      </c>
      <c r="BD592" s="14">
        <f>H592/(100-BE592)*100</f>
        <v>0</v>
      </c>
      <c r="BE592" s="14">
        <v>0</v>
      </c>
      <c r="BF592" s="14">
        <f>O592</f>
        <v>0</v>
      </c>
      <c r="BH592" s="6">
        <f>G592*AO592</f>
        <v>0</v>
      </c>
      <c r="BI592" s="6">
        <f>G592*AP592</f>
        <v>0</v>
      </c>
      <c r="BJ592" s="6">
        <f>G592*H592</f>
        <v>0</v>
      </c>
      <c r="BK592" s="6"/>
      <c r="BL592" s="14">
        <v>767</v>
      </c>
      <c r="BW592" s="14" t="str">
        <f>I592</f>
        <v>21</v>
      </c>
    </row>
    <row r="593" spans="1:75" ht="15" customHeight="1">
      <c r="A593" s="32"/>
      <c r="D593" s="3" t="s">
        <v>2111</v>
      </c>
      <c r="E593" s="28" t="s">
        <v>2323</v>
      </c>
      <c r="G593" s="27">
        <v>3.0000000000000004</v>
      </c>
      <c r="P593" s="33"/>
    </row>
    <row r="594" spans="1:75" ht="27" customHeight="1">
      <c r="A594" s="21" t="s">
        <v>1035</v>
      </c>
      <c r="B594" s="37" t="s">
        <v>1842</v>
      </c>
      <c r="C594" s="37" t="s">
        <v>2231</v>
      </c>
      <c r="D594" s="578" t="s">
        <v>2676</v>
      </c>
      <c r="E594" s="579"/>
      <c r="F594" s="37" t="s">
        <v>2302</v>
      </c>
      <c r="G594" s="14">
        <v>85</v>
      </c>
      <c r="H594" s="569"/>
      <c r="I594" s="55" t="s">
        <v>1720</v>
      </c>
      <c r="J594" s="14">
        <f>G594*AO594</f>
        <v>0</v>
      </c>
      <c r="K594" s="14">
        <f>G594*AP594</f>
        <v>0</v>
      </c>
      <c r="L594" s="14">
        <f>G594*H594</f>
        <v>0</v>
      </c>
      <c r="M594" s="14">
        <f>L594*(1+BW594/100)</f>
        <v>0</v>
      </c>
      <c r="N594" s="14">
        <v>6.0000000000000002E-5</v>
      </c>
      <c r="O594" s="14">
        <f>G594*N594</f>
        <v>5.1000000000000004E-3</v>
      </c>
      <c r="P594" s="72" t="s">
        <v>1664</v>
      </c>
      <c r="Z594" s="14">
        <f>IF(AQ594="5",BJ594,0)</f>
        <v>0</v>
      </c>
      <c r="AB594" s="14">
        <f>IF(AQ594="1",BH594,0)</f>
        <v>0</v>
      </c>
      <c r="AC594" s="14">
        <f>IF(AQ594="1",BI594,0)</f>
        <v>0</v>
      </c>
      <c r="AD594" s="14">
        <f>IF(AQ594="7",BH594,0)</f>
        <v>0</v>
      </c>
      <c r="AE594" s="14">
        <f>IF(AQ594="7",BI594,0)</f>
        <v>0</v>
      </c>
      <c r="AF594" s="14">
        <f>IF(AQ594="2",BH594,0)</f>
        <v>0</v>
      </c>
      <c r="AG594" s="14">
        <f>IF(AQ594="2",BI594,0)</f>
        <v>0</v>
      </c>
      <c r="AH594" s="14">
        <f>IF(AQ594="0",BJ594,0)</f>
        <v>0</v>
      </c>
      <c r="AI594" s="15" t="s">
        <v>1842</v>
      </c>
      <c r="AJ594" s="14">
        <f>IF(AN594=0,L594,0)</f>
        <v>0</v>
      </c>
      <c r="AK594" s="14">
        <f>IF(AN594=15,L594,0)</f>
        <v>0</v>
      </c>
      <c r="AL594" s="14">
        <f>IF(AN594=21,L594,0)</f>
        <v>0</v>
      </c>
      <c r="AN594" s="14">
        <v>21</v>
      </c>
      <c r="AO594" s="92">
        <f>H594*0.0503990351304883</f>
        <v>0</v>
      </c>
      <c r="AP594" s="92">
        <f>H594*(1-0.0503990351304883)</f>
        <v>0</v>
      </c>
      <c r="AQ594" s="55" t="s">
        <v>2435</v>
      </c>
      <c r="AV594" s="14">
        <f>AW594+AX594</f>
        <v>0</v>
      </c>
      <c r="AW594" s="14">
        <f>G594*AO594</f>
        <v>0</v>
      </c>
      <c r="AX594" s="14">
        <f>G594*AP594</f>
        <v>0</v>
      </c>
      <c r="AY594" s="55" t="s">
        <v>681</v>
      </c>
      <c r="AZ594" s="55" t="s">
        <v>1095</v>
      </c>
      <c r="BA594" s="15" t="s">
        <v>1843</v>
      </c>
      <c r="BC594" s="14">
        <f>AW594+AX594</f>
        <v>0</v>
      </c>
      <c r="BD594" s="14">
        <f>H594/(100-BE594)*100</f>
        <v>0</v>
      </c>
      <c r="BE594" s="14">
        <v>0</v>
      </c>
      <c r="BF594" s="14">
        <f>O594</f>
        <v>5.1000000000000004E-3</v>
      </c>
      <c r="BH594" s="14">
        <f>G594*AO594</f>
        <v>0</v>
      </c>
      <c r="BI594" s="14">
        <f>G594*AP594</f>
        <v>0</v>
      </c>
      <c r="BJ594" s="14">
        <f>G594*H594</f>
        <v>0</v>
      </c>
      <c r="BK594" s="14"/>
      <c r="BL594" s="14">
        <v>767</v>
      </c>
      <c r="BW594" s="14" t="str">
        <f>I594</f>
        <v>21</v>
      </c>
    </row>
    <row r="595" spans="1:75" ht="15" customHeight="1">
      <c r="A595" s="32"/>
      <c r="D595" s="3" t="s">
        <v>1188</v>
      </c>
      <c r="E595" s="28" t="s">
        <v>2442</v>
      </c>
      <c r="G595" s="27">
        <v>85</v>
      </c>
      <c r="P595" s="33"/>
    </row>
    <row r="596" spans="1:75" ht="15" customHeight="1">
      <c r="A596" s="32"/>
      <c r="D596" s="3" t="s">
        <v>1683</v>
      </c>
      <c r="E596" s="28" t="s">
        <v>476</v>
      </c>
      <c r="G596" s="27">
        <v>0</v>
      </c>
      <c r="P596" s="33"/>
    </row>
    <row r="597" spans="1:75" ht="13.5" customHeight="1">
      <c r="A597" s="20" t="s">
        <v>102</v>
      </c>
      <c r="B597" s="84" t="s">
        <v>1842</v>
      </c>
      <c r="C597" s="84" t="s">
        <v>698</v>
      </c>
      <c r="D597" s="653" t="s">
        <v>863</v>
      </c>
      <c r="E597" s="654"/>
      <c r="F597" s="84" t="s">
        <v>2398</v>
      </c>
      <c r="G597" s="6">
        <v>5</v>
      </c>
      <c r="H597" s="570"/>
      <c r="I597" s="18" t="s">
        <v>1720</v>
      </c>
      <c r="J597" s="6">
        <f>G597*AO597</f>
        <v>0</v>
      </c>
      <c r="K597" s="6">
        <f>G597*AP597</f>
        <v>0</v>
      </c>
      <c r="L597" s="6">
        <f>G597*H597</f>
        <v>0</v>
      </c>
      <c r="M597" s="6">
        <f>L597*(1+BW597/100)</f>
        <v>0</v>
      </c>
      <c r="N597" s="6">
        <v>1.5800000000000002E-2</v>
      </c>
      <c r="O597" s="6">
        <f>G597*N597</f>
        <v>7.9000000000000015E-2</v>
      </c>
      <c r="P597" s="109" t="s">
        <v>1664</v>
      </c>
      <c r="Z597" s="14">
        <f>IF(AQ597="5",BJ597,0)</f>
        <v>0</v>
      </c>
      <c r="AB597" s="14">
        <f>IF(AQ597="1",BH597,0)</f>
        <v>0</v>
      </c>
      <c r="AC597" s="14">
        <f>IF(AQ597="1",BI597,0)</f>
        <v>0</v>
      </c>
      <c r="AD597" s="14">
        <f>IF(AQ597="7",BH597,0)</f>
        <v>0</v>
      </c>
      <c r="AE597" s="14">
        <f>IF(AQ597="7",BI597,0)</f>
        <v>0</v>
      </c>
      <c r="AF597" s="14">
        <f>IF(AQ597="2",BH597,0)</f>
        <v>0</v>
      </c>
      <c r="AG597" s="14">
        <f>IF(AQ597="2",BI597,0)</f>
        <v>0</v>
      </c>
      <c r="AH597" s="14">
        <f>IF(AQ597="0",BJ597,0)</f>
        <v>0</v>
      </c>
      <c r="AI597" s="15" t="s">
        <v>1842</v>
      </c>
      <c r="AJ597" s="6">
        <f>IF(AN597=0,L597,0)</f>
        <v>0</v>
      </c>
      <c r="AK597" s="6">
        <f>IF(AN597=15,L597,0)</f>
        <v>0</v>
      </c>
      <c r="AL597" s="6">
        <f>IF(AN597=21,L597,0)</f>
        <v>0</v>
      </c>
      <c r="AN597" s="14">
        <v>21</v>
      </c>
      <c r="AO597" s="92">
        <f>H597*1</f>
        <v>0</v>
      </c>
      <c r="AP597" s="92">
        <f>H597*(1-1)</f>
        <v>0</v>
      </c>
      <c r="AQ597" s="18" t="s">
        <v>2435</v>
      </c>
      <c r="AV597" s="14">
        <f>AW597+AX597</f>
        <v>0</v>
      </c>
      <c r="AW597" s="14">
        <f>G597*AO597</f>
        <v>0</v>
      </c>
      <c r="AX597" s="14">
        <f>G597*AP597</f>
        <v>0</v>
      </c>
      <c r="AY597" s="55" t="s">
        <v>681</v>
      </c>
      <c r="AZ597" s="55" t="s">
        <v>1095</v>
      </c>
      <c r="BA597" s="15" t="s">
        <v>1843</v>
      </c>
      <c r="BC597" s="14">
        <f>AW597+AX597</f>
        <v>0</v>
      </c>
      <c r="BD597" s="14">
        <f>H597/(100-BE597)*100</f>
        <v>0</v>
      </c>
      <c r="BE597" s="14">
        <v>0</v>
      </c>
      <c r="BF597" s="14">
        <f>O597</f>
        <v>7.9000000000000015E-2</v>
      </c>
      <c r="BH597" s="6">
        <f>G597*AO597</f>
        <v>0</v>
      </c>
      <c r="BI597" s="6">
        <f>G597*AP597</f>
        <v>0</v>
      </c>
      <c r="BJ597" s="6">
        <f>G597*H597</f>
        <v>0</v>
      </c>
      <c r="BK597" s="6"/>
      <c r="BL597" s="14">
        <v>767</v>
      </c>
      <c r="BW597" s="14" t="str">
        <f>I597</f>
        <v>21</v>
      </c>
    </row>
    <row r="598" spans="1:75" ht="15" customHeight="1">
      <c r="A598" s="32"/>
      <c r="D598" s="3" t="s">
        <v>1287</v>
      </c>
      <c r="E598" s="28" t="s">
        <v>609</v>
      </c>
      <c r="G598" s="27">
        <v>5</v>
      </c>
      <c r="P598" s="33"/>
    </row>
    <row r="599" spans="1:75" ht="13.5" customHeight="1">
      <c r="A599" s="20" t="s">
        <v>462</v>
      </c>
      <c r="B599" s="84" t="s">
        <v>1842</v>
      </c>
      <c r="C599" s="84" t="s">
        <v>722</v>
      </c>
      <c r="D599" s="653" t="s">
        <v>2728</v>
      </c>
      <c r="E599" s="654"/>
      <c r="F599" s="84" t="s">
        <v>595</v>
      </c>
      <c r="G599" s="6">
        <v>30</v>
      </c>
      <c r="H599" s="570"/>
      <c r="I599" s="18" t="s">
        <v>1720</v>
      </c>
      <c r="J599" s="6">
        <f>G599*AO599</f>
        <v>0</v>
      </c>
      <c r="K599" s="6">
        <f>G599*AP599</f>
        <v>0</v>
      </c>
      <c r="L599" s="6">
        <f>G599*H599</f>
        <v>0</v>
      </c>
      <c r="M599" s="6">
        <f>L599*(1+BW599/100)</f>
        <v>0</v>
      </c>
      <c r="N599" s="6">
        <v>0</v>
      </c>
      <c r="O599" s="6">
        <f>G599*N599</f>
        <v>0</v>
      </c>
      <c r="P599" s="109" t="s">
        <v>1664</v>
      </c>
      <c r="Z599" s="14">
        <f>IF(AQ599="5",BJ599,0)</f>
        <v>0</v>
      </c>
      <c r="AB599" s="14">
        <f>IF(AQ599="1",BH599,0)</f>
        <v>0</v>
      </c>
      <c r="AC599" s="14">
        <f>IF(AQ599="1",BI599,0)</f>
        <v>0</v>
      </c>
      <c r="AD599" s="14">
        <f>IF(AQ599="7",BH599,0)</f>
        <v>0</v>
      </c>
      <c r="AE599" s="14">
        <f>IF(AQ599="7",BI599,0)</f>
        <v>0</v>
      </c>
      <c r="AF599" s="14">
        <f>IF(AQ599="2",BH599,0)</f>
        <v>0</v>
      </c>
      <c r="AG599" s="14">
        <f>IF(AQ599="2",BI599,0)</f>
        <v>0</v>
      </c>
      <c r="AH599" s="14">
        <f>IF(AQ599="0",BJ599,0)</f>
        <v>0</v>
      </c>
      <c r="AI599" s="15" t="s">
        <v>1842</v>
      </c>
      <c r="AJ599" s="6">
        <f>IF(AN599=0,L599,0)</f>
        <v>0</v>
      </c>
      <c r="AK599" s="6">
        <f>IF(AN599=15,L599,0)</f>
        <v>0</v>
      </c>
      <c r="AL599" s="6">
        <f>IF(AN599=21,L599,0)</f>
        <v>0</v>
      </c>
      <c r="AN599" s="14">
        <v>21</v>
      </c>
      <c r="AO599" s="92">
        <f>H599*1</f>
        <v>0</v>
      </c>
      <c r="AP599" s="92">
        <f>H599*(1-1)</f>
        <v>0</v>
      </c>
      <c r="AQ599" s="18" t="s">
        <v>2435</v>
      </c>
      <c r="AV599" s="14">
        <f>AW599+AX599</f>
        <v>0</v>
      </c>
      <c r="AW599" s="14">
        <f>G599*AO599</f>
        <v>0</v>
      </c>
      <c r="AX599" s="14">
        <f>G599*AP599</f>
        <v>0</v>
      </c>
      <c r="AY599" s="55" t="s">
        <v>681</v>
      </c>
      <c r="AZ599" s="55" t="s">
        <v>1095</v>
      </c>
      <c r="BA599" s="15" t="s">
        <v>1843</v>
      </c>
      <c r="BC599" s="14">
        <f>AW599+AX599</f>
        <v>0</v>
      </c>
      <c r="BD599" s="14">
        <f>H599/(100-BE599)*100</f>
        <v>0</v>
      </c>
      <c r="BE599" s="14">
        <v>0</v>
      </c>
      <c r="BF599" s="14">
        <f>O599</f>
        <v>0</v>
      </c>
      <c r="BH599" s="6">
        <f>G599*AO599</f>
        <v>0</v>
      </c>
      <c r="BI599" s="6">
        <f>G599*AP599</f>
        <v>0</v>
      </c>
      <c r="BJ599" s="6">
        <f>G599*H599</f>
        <v>0</v>
      </c>
      <c r="BK599" s="6"/>
      <c r="BL599" s="14">
        <v>767</v>
      </c>
      <c r="BW599" s="14" t="str">
        <f>I599</f>
        <v>21</v>
      </c>
    </row>
    <row r="600" spans="1:75" ht="15" customHeight="1">
      <c r="A600" s="32"/>
      <c r="D600" s="3" t="s">
        <v>1565</v>
      </c>
      <c r="E600" s="28" t="s">
        <v>1683</v>
      </c>
      <c r="G600" s="27">
        <v>30.000000000000004</v>
      </c>
      <c r="P600" s="33"/>
    </row>
    <row r="601" spans="1:75" ht="13.5" customHeight="1">
      <c r="A601" s="20" t="s">
        <v>556</v>
      </c>
      <c r="B601" s="84" t="s">
        <v>1842</v>
      </c>
      <c r="C601" s="84" t="s">
        <v>2354</v>
      </c>
      <c r="D601" s="653" t="s">
        <v>2487</v>
      </c>
      <c r="E601" s="654"/>
      <c r="F601" s="84" t="s">
        <v>2019</v>
      </c>
      <c r="G601" s="6">
        <v>22.5</v>
      </c>
      <c r="H601" s="570"/>
      <c r="I601" s="18" t="s">
        <v>1720</v>
      </c>
      <c r="J601" s="6">
        <f>G601*AO601</f>
        <v>0</v>
      </c>
      <c r="K601" s="6">
        <f>G601*AP601</f>
        <v>0</v>
      </c>
      <c r="L601" s="6">
        <f>G601*H601</f>
        <v>0</v>
      </c>
      <c r="M601" s="6">
        <f>L601*(1+BW601/100)</f>
        <v>0</v>
      </c>
      <c r="N601" s="6">
        <v>5.2999999999999998E-4</v>
      </c>
      <c r="O601" s="6">
        <f>G601*N601</f>
        <v>1.1925E-2</v>
      </c>
      <c r="P601" s="109" t="s">
        <v>1664</v>
      </c>
      <c r="Z601" s="14">
        <f>IF(AQ601="5",BJ601,0)</f>
        <v>0</v>
      </c>
      <c r="AB601" s="14">
        <f>IF(AQ601="1",BH601,0)</f>
        <v>0</v>
      </c>
      <c r="AC601" s="14">
        <f>IF(AQ601="1",BI601,0)</f>
        <v>0</v>
      </c>
      <c r="AD601" s="14">
        <f>IF(AQ601="7",BH601,0)</f>
        <v>0</v>
      </c>
      <c r="AE601" s="14">
        <f>IF(AQ601="7",BI601,0)</f>
        <v>0</v>
      </c>
      <c r="AF601" s="14">
        <f>IF(AQ601="2",BH601,0)</f>
        <v>0</v>
      </c>
      <c r="AG601" s="14">
        <f>IF(AQ601="2",BI601,0)</f>
        <v>0</v>
      </c>
      <c r="AH601" s="14">
        <f>IF(AQ601="0",BJ601,0)</f>
        <v>0</v>
      </c>
      <c r="AI601" s="15" t="s">
        <v>1842</v>
      </c>
      <c r="AJ601" s="6">
        <f>IF(AN601=0,L601,0)</f>
        <v>0</v>
      </c>
      <c r="AK601" s="6">
        <f>IF(AN601=15,L601,0)</f>
        <v>0</v>
      </c>
      <c r="AL601" s="6">
        <f>IF(AN601=21,L601,0)</f>
        <v>0</v>
      </c>
      <c r="AN601" s="14">
        <v>21</v>
      </c>
      <c r="AO601" s="92">
        <f>H601*1</f>
        <v>0</v>
      </c>
      <c r="AP601" s="92">
        <f>H601*(1-1)</f>
        <v>0</v>
      </c>
      <c r="AQ601" s="18" t="s">
        <v>2435</v>
      </c>
      <c r="AV601" s="14">
        <f>AW601+AX601</f>
        <v>0</v>
      </c>
      <c r="AW601" s="14">
        <f>G601*AO601</f>
        <v>0</v>
      </c>
      <c r="AX601" s="14">
        <f>G601*AP601</f>
        <v>0</v>
      </c>
      <c r="AY601" s="55" t="s">
        <v>681</v>
      </c>
      <c r="AZ601" s="55" t="s">
        <v>1095</v>
      </c>
      <c r="BA601" s="15" t="s">
        <v>1843</v>
      </c>
      <c r="BC601" s="14">
        <f>AW601+AX601</f>
        <v>0</v>
      </c>
      <c r="BD601" s="14">
        <f>H601/(100-BE601)*100</f>
        <v>0</v>
      </c>
      <c r="BE601" s="14">
        <v>0</v>
      </c>
      <c r="BF601" s="14">
        <f>O601</f>
        <v>1.1925E-2</v>
      </c>
      <c r="BH601" s="6">
        <f>G601*AO601</f>
        <v>0</v>
      </c>
      <c r="BI601" s="6">
        <f>G601*AP601</f>
        <v>0</v>
      </c>
      <c r="BJ601" s="6">
        <f>G601*H601</f>
        <v>0</v>
      </c>
      <c r="BK601" s="6"/>
      <c r="BL601" s="14">
        <v>767</v>
      </c>
      <c r="BW601" s="14" t="str">
        <f>I601</f>
        <v>21</v>
      </c>
    </row>
    <row r="602" spans="1:75" ht="15" customHeight="1">
      <c r="A602" s="32"/>
      <c r="D602" s="3" t="s">
        <v>1163</v>
      </c>
      <c r="E602" s="28" t="s">
        <v>1683</v>
      </c>
      <c r="G602" s="27">
        <v>22.500000000000004</v>
      </c>
      <c r="P602" s="33"/>
    </row>
    <row r="603" spans="1:75" ht="27" customHeight="1">
      <c r="A603" s="21" t="s">
        <v>455</v>
      </c>
      <c r="B603" s="37" t="s">
        <v>1842</v>
      </c>
      <c r="C603" s="37" t="s">
        <v>422</v>
      </c>
      <c r="D603" s="578" t="s">
        <v>1585</v>
      </c>
      <c r="E603" s="579"/>
      <c r="F603" s="37" t="s">
        <v>2302</v>
      </c>
      <c r="G603" s="14">
        <v>9</v>
      </c>
      <c r="H603" s="569"/>
      <c r="I603" s="55" t="s">
        <v>1720</v>
      </c>
      <c r="J603" s="14">
        <f>G603*AO603</f>
        <v>0</v>
      </c>
      <c r="K603" s="14">
        <f>G603*AP603</f>
        <v>0</v>
      </c>
      <c r="L603" s="14">
        <f>G603*H603</f>
        <v>0</v>
      </c>
      <c r="M603" s="14">
        <f>L603*(1+BW603/100)</f>
        <v>0</v>
      </c>
      <c r="N603" s="14">
        <v>6.0000000000000002E-5</v>
      </c>
      <c r="O603" s="14">
        <f>G603*N603</f>
        <v>5.4000000000000001E-4</v>
      </c>
      <c r="P603" s="72" t="s">
        <v>1664</v>
      </c>
      <c r="Z603" s="14">
        <f>IF(AQ603="5",BJ603,0)</f>
        <v>0</v>
      </c>
      <c r="AB603" s="14">
        <f>IF(AQ603="1",BH603,0)</f>
        <v>0</v>
      </c>
      <c r="AC603" s="14">
        <f>IF(AQ603="1",BI603,0)</f>
        <v>0</v>
      </c>
      <c r="AD603" s="14">
        <f>IF(AQ603="7",BH603,0)</f>
        <v>0</v>
      </c>
      <c r="AE603" s="14">
        <f>IF(AQ603="7",BI603,0)</f>
        <v>0</v>
      </c>
      <c r="AF603" s="14">
        <f>IF(AQ603="2",BH603,0)</f>
        <v>0</v>
      </c>
      <c r="AG603" s="14">
        <f>IF(AQ603="2",BI603,0)</f>
        <v>0</v>
      </c>
      <c r="AH603" s="14">
        <f>IF(AQ603="0",BJ603,0)</f>
        <v>0</v>
      </c>
      <c r="AI603" s="15" t="s">
        <v>1842</v>
      </c>
      <c r="AJ603" s="14">
        <f>IF(AN603=0,L603,0)</f>
        <v>0</v>
      </c>
      <c r="AK603" s="14">
        <f>IF(AN603=15,L603,0)</f>
        <v>0</v>
      </c>
      <c r="AL603" s="14">
        <f>IF(AN603=21,L603,0)</f>
        <v>0</v>
      </c>
      <c r="AN603" s="14">
        <v>21</v>
      </c>
      <c r="AO603" s="92">
        <f>H603*0.11836</f>
        <v>0</v>
      </c>
      <c r="AP603" s="92">
        <f>H603*(1-0.11836)</f>
        <v>0</v>
      </c>
      <c r="AQ603" s="55" t="s">
        <v>2435</v>
      </c>
      <c r="AV603" s="14">
        <f>AW603+AX603</f>
        <v>0</v>
      </c>
      <c r="AW603" s="14">
        <f>G603*AO603</f>
        <v>0</v>
      </c>
      <c r="AX603" s="14">
        <f>G603*AP603</f>
        <v>0</v>
      </c>
      <c r="AY603" s="55" t="s">
        <v>681</v>
      </c>
      <c r="AZ603" s="55" t="s">
        <v>1095</v>
      </c>
      <c r="BA603" s="15" t="s">
        <v>1843</v>
      </c>
      <c r="BC603" s="14">
        <f>AW603+AX603</f>
        <v>0</v>
      </c>
      <c r="BD603" s="14">
        <f>H603/(100-BE603)*100</f>
        <v>0</v>
      </c>
      <c r="BE603" s="14">
        <v>0</v>
      </c>
      <c r="BF603" s="14">
        <f>O603</f>
        <v>5.4000000000000001E-4</v>
      </c>
      <c r="BH603" s="14">
        <f>G603*AO603</f>
        <v>0</v>
      </c>
      <c r="BI603" s="14">
        <f>G603*AP603</f>
        <v>0</v>
      </c>
      <c r="BJ603" s="14">
        <f>G603*H603</f>
        <v>0</v>
      </c>
      <c r="BK603" s="14"/>
      <c r="BL603" s="14">
        <v>767</v>
      </c>
      <c r="BW603" s="14" t="str">
        <f>I603</f>
        <v>21</v>
      </c>
    </row>
    <row r="604" spans="1:75" ht="15" customHeight="1">
      <c r="A604" s="32"/>
      <c r="D604" s="3" t="s">
        <v>1626</v>
      </c>
      <c r="E604" s="28" t="s">
        <v>842</v>
      </c>
      <c r="G604" s="27">
        <v>8</v>
      </c>
      <c r="P604" s="33"/>
    </row>
    <row r="605" spans="1:75" ht="15" customHeight="1">
      <c r="A605" s="32"/>
      <c r="D605" s="3" t="s">
        <v>2422</v>
      </c>
      <c r="E605" s="28" t="s">
        <v>79</v>
      </c>
      <c r="G605" s="27">
        <v>1</v>
      </c>
      <c r="P605" s="33"/>
    </row>
    <row r="606" spans="1:75" ht="13.5" customHeight="1">
      <c r="A606" s="20" t="s">
        <v>734</v>
      </c>
      <c r="B606" s="84" t="s">
        <v>1842</v>
      </c>
      <c r="C606" s="84" t="s">
        <v>1998</v>
      </c>
      <c r="D606" s="653" t="s">
        <v>1338</v>
      </c>
      <c r="E606" s="654"/>
      <c r="F606" s="84" t="s">
        <v>595</v>
      </c>
      <c r="G606" s="6">
        <v>7</v>
      </c>
      <c r="H606" s="570"/>
      <c r="I606" s="18" t="s">
        <v>1720</v>
      </c>
      <c r="J606" s="6">
        <f>G606*AO606</f>
        <v>0</v>
      </c>
      <c r="K606" s="6">
        <f>G606*AP606</f>
        <v>0</v>
      </c>
      <c r="L606" s="6">
        <f>G606*H606</f>
        <v>0</v>
      </c>
      <c r="M606" s="6">
        <f>L606*(1+BW606/100)</f>
        <v>0</v>
      </c>
      <c r="N606" s="6">
        <v>1.55E-2</v>
      </c>
      <c r="O606" s="6">
        <f>G606*N606</f>
        <v>0.1085</v>
      </c>
      <c r="P606" s="109" t="s">
        <v>1664</v>
      </c>
      <c r="Z606" s="14">
        <f>IF(AQ606="5",BJ606,0)</f>
        <v>0</v>
      </c>
      <c r="AB606" s="14">
        <f>IF(AQ606="1",BH606,0)</f>
        <v>0</v>
      </c>
      <c r="AC606" s="14">
        <f>IF(AQ606="1",BI606,0)</f>
        <v>0</v>
      </c>
      <c r="AD606" s="14">
        <f>IF(AQ606="7",BH606,0)</f>
        <v>0</v>
      </c>
      <c r="AE606" s="14">
        <f>IF(AQ606="7",BI606,0)</f>
        <v>0</v>
      </c>
      <c r="AF606" s="14">
        <f>IF(AQ606="2",BH606,0)</f>
        <v>0</v>
      </c>
      <c r="AG606" s="14">
        <f>IF(AQ606="2",BI606,0)</f>
        <v>0</v>
      </c>
      <c r="AH606" s="14">
        <f>IF(AQ606="0",BJ606,0)</f>
        <v>0</v>
      </c>
      <c r="AI606" s="15" t="s">
        <v>1842</v>
      </c>
      <c r="AJ606" s="6">
        <f>IF(AN606=0,L606,0)</f>
        <v>0</v>
      </c>
      <c r="AK606" s="6">
        <f>IF(AN606=15,L606,0)</f>
        <v>0</v>
      </c>
      <c r="AL606" s="6">
        <f>IF(AN606=21,L606,0)</f>
        <v>0</v>
      </c>
      <c r="AN606" s="14">
        <v>21</v>
      </c>
      <c r="AO606" s="92">
        <f>H606*1</f>
        <v>0</v>
      </c>
      <c r="AP606" s="92">
        <f>H606*(1-1)</f>
        <v>0</v>
      </c>
      <c r="AQ606" s="18" t="s">
        <v>2435</v>
      </c>
      <c r="AV606" s="14">
        <f>AW606+AX606</f>
        <v>0</v>
      </c>
      <c r="AW606" s="14">
        <f>G606*AO606</f>
        <v>0</v>
      </c>
      <c r="AX606" s="14">
        <f>G606*AP606</f>
        <v>0</v>
      </c>
      <c r="AY606" s="55" t="s">
        <v>681</v>
      </c>
      <c r="AZ606" s="55" t="s">
        <v>1095</v>
      </c>
      <c r="BA606" s="15" t="s">
        <v>1843</v>
      </c>
      <c r="BC606" s="14">
        <f>AW606+AX606</f>
        <v>0</v>
      </c>
      <c r="BD606" s="14">
        <f>H606/(100-BE606)*100</f>
        <v>0</v>
      </c>
      <c r="BE606" s="14">
        <v>0</v>
      </c>
      <c r="BF606" s="14">
        <f>O606</f>
        <v>0.1085</v>
      </c>
      <c r="BH606" s="6">
        <f>G606*AO606</f>
        <v>0</v>
      </c>
      <c r="BI606" s="6">
        <f>G606*AP606</f>
        <v>0</v>
      </c>
      <c r="BJ606" s="6">
        <f>G606*H606</f>
        <v>0</v>
      </c>
      <c r="BK606" s="6"/>
      <c r="BL606" s="14">
        <v>767</v>
      </c>
      <c r="BW606" s="14" t="str">
        <f>I606</f>
        <v>21</v>
      </c>
    </row>
    <row r="607" spans="1:75" ht="15" customHeight="1">
      <c r="A607" s="32"/>
      <c r="D607" s="3" t="s">
        <v>408</v>
      </c>
      <c r="E607" s="28" t="s">
        <v>1683</v>
      </c>
      <c r="G607" s="27">
        <v>6.0000000000000009</v>
      </c>
      <c r="P607" s="33"/>
    </row>
    <row r="608" spans="1:75" ht="15" customHeight="1">
      <c r="A608" s="32"/>
      <c r="D608" s="3" t="s">
        <v>2422</v>
      </c>
      <c r="E608" s="28" t="s">
        <v>1683</v>
      </c>
      <c r="G608" s="27">
        <v>1</v>
      </c>
      <c r="P608" s="33"/>
    </row>
    <row r="609" spans="1:75" ht="13.5" customHeight="1">
      <c r="A609" s="20" t="s">
        <v>1242</v>
      </c>
      <c r="B609" s="84" t="s">
        <v>1842</v>
      </c>
      <c r="C609" s="84" t="s">
        <v>2329</v>
      </c>
      <c r="D609" s="653" t="s">
        <v>1256</v>
      </c>
      <c r="E609" s="654"/>
      <c r="F609" s="84" t="s">
        <v>595</v>
      </c>
      <c r="G609" s="6">
        <v>2</v>
      </c>
      <c r="H609" s="570"/>
      <c r="I609" s="18" t="s">
        <v>1720</v>
      </c>
      <c r="J609" s="6">
        <f>G609*AO609</f>
        <v>0</v>
      </c>
      <c r="K609" s="6">
        <f>G609*AP609</f>
        <v>0</v>
      </c>
      <c r="L609" s="6">
        <f>G609*H609</f>
        <v>0</v>
      </c>
      <c r="M609" s="6">
        <f>L609*(1+BW609/100)</f>
        <v>0</v>
      </c>
      <c r="N609" s="6">
        <v>9.5999999999999992E-3</v>
      </c>
      <c r="O609" s="6">
        <f>G609*N609</f>
        <v>1.9199999999999998E-2</v>
      </c>
      <c r="P609" s="109" t="s">
        <v>1664</v>
      </c>
      <c r="Z609" s="14">
        <f>IF(AQ609="5",BJ609,0)</f>
        <v>0</v>
      </c>
      <c r="AB609" s="14">
        <f>IF(AQ609="1",BH609,0)</f>
        <v>0</v>
      </c>
      <c r="AC609" s="14">
        <f>IF(AQ609="1",BI609,0)</f>
        <v>0</v>
      </c>
      <c r="AD609" s="14">
        <f>IF(AQ609="7",BH609,0)</f>
        <v>0</v>
      </c>
      <c r="AE609" s="14">
        <f>IF(AQ609="7",BI609,0)</f>
        <v>0</v>
      </c>
      <c r="AF609" s="14">
        <f>IF(AQ609="2",BH609,0)</f>
        <v>0</v>
      </c>
      <c r="AG609" s="14">
        <f>IF(AQ609="2",BI609,0)</f>
        <v>0</v>
      </c>
      <c r="AH609" s="14">
        <f>IF(AQ609="0",BJ609,0)</f>
        <v>0</v>
      </c>
      <c r="AI609" s="15" t="s">
        <v>1842</v>
      </c>
      <c r="AJ609" s="6">
        <f>IF(AN609=0,L609,0)</f>
        <v>0</v>
      </c>
      <c r="AK609" s="6">
        <f>IF(AN609=15,L609,0)</f>
        <v>0</v>
      </c>
      <c r="AL609" s="6">
        <f>IF(AN609=21,L609,0)</f>
        <v>0</v>
      </c>
      <c r="AN609" s="14">
        <v>21</v>
      </c>
      <c r="AO609" s="92">
        <f>H609*1</f>
        <v>0</v>
      </c>
      <c r="AP609" s="92">
        <f>H609*(1-1)</f>
        <v>0</v>
      </c>
      <c r="AQ609" s="18" t="s">
        <v>2435</v>
      </c>
      <c r="AV609" s="14">
        <f>AW609+AX609</f>
        <v>0</v>
      </c>
      <c r="AW609" s="14">
        <f>G609*AO609</f>
        <v>0</v>
      </c>
      <c r="AX609" s="14">
        <f>G609*AP609</f>
        <v>0</v>
      </c>
      <c r="AY609" s="55" t="s">
        <v>681</v>
      </c>
      <c r="AZ609" s="55" t="s">
        <v>1095</v>
      </c>
      <c r="BA609" s="15" t="s">
        <v>1843</v>
      </c>
      <c r="BC609" s="14">
        <f>AW609+AX609</f>
        <v>0</v>
      </c>
      <c r="BD609" s="14">
        <f>H609/(100-BE609)*100</f>
        <v>0</v>
      </c>
      <c r="BE609" s="14">
        <v>0</v>
      </c>
      <c r="BF609" s="14">
        <f>O609</f>
        <v>1.9199999999999998E-2</v>
      </c>
      <c r="BH609" s="6">
        <f>G609*AO609</f>
        <v>0</v>
      </c>
      <c r="BI609" s="6">
        <f>G609*AP609</f>
        <v>0</v>
      </c>
      <c r="BJ609" s="6">
        <f>G609*H609</f>
        <v>0</v>
      </c>
      <c r="BK609" s="6"/>
      <c r="BL609" s="14">
        <v>767</v>
      </c>
      <c r="BW609" s="14" t="str">
        <f>I609</f>
        <v>21</v>
      </c>
    </row>
    <row r="610" spans="1:75" ht="15" customHeight="1">
      <c r="A610" s="32"/>
      <c r="D610" s="3" t="s">
        <v>1676</v>
      </c>
      <c r="E610" s="28" t="s">
        <v>1683</v>
      </c>
      <c r="G610" s="27">
        <v>2</v>
      </c>
      <c r="P610" s="33"/>
    </row>
    <row r="611" spans="1:75" ht="15" customHeight="1">
      <c r="A611" s="65" t="s">
        <v>1683</v>
      </c>
      <c r="B611" s="26" t="s">
        <v>1842</v>
      </c>
      <c r="C611" s="26" t="s">
        <v>2683</v>
      </c>
      <c r="D611" s="649" t="s">
        <v>2152</v>
      </c>
      <c r="E611" s="650"/>
      <c r="F611" s="74" t="s">
        <v>2262</v>
      </c>
      <c r="G611" s="74" t="s">
        <v>2262</v>
      </c>
      <c r="H611" s="74" t="s">
        <v>2262</v>
      </c>
      <c r="I611" s="74" t="s">
        <v>2262</v>
      </c>
      <c r="J611" s="2">
        <f>SUM(J612:J639)</f>
        <v>0</v>
      </c>
      <c r="K611" s="2">
        <f>SUM(K612:K639)</f>
        <v>0</v>
      </c>
      <c r="L611" s="2">
        <f>SUM(L612:L639)</f>
        <v>0</v>
      </c>
      <c r="M611" s="2">
        <f>SUM(M612:M639)</f>
        <v>0</v>
      </c>
      <c r="N611" s="15" t="s">
        <v>1683</v>
      </c>
      <c r="O611" s="2">
        <f>SUM(O612:O639)</f>
        <v>4.296003999999999</v>
      </c>
      <c r="P611" s="47" t="s">
        <v>1683</v>
      </c>
      <c r="AI611" s="15" t="s">
        <v>1842</v>
      </c>
      <c r="AS611" s="2">
        <f>SUM(AJ612:AJ639)</f>
        <v>0</v>
      </c>
      <c r="AT611" s="2">
        <f>SUM(AK612:AK639)</f>
        <v>0</v>
      </c>
      <c r="AU611" s="2">
        <f>SUM(AL612:AL639)</f>
        <v>0</v>
      </c>
    </row>
    <row r="612" spans="1:75" ht="13.5" customHeight="1">
      <c r="A612" s="21" t="s">
        <v>1796</v>
      </c>
      <c r="B612" s="37" t="s">
        <v>1842</v>
      </c>
      <c r="C612" s="37" t="s">
        <v>769</v>
      </c>
      <c r="D612" s="578" t="s">
        <v>707</v>
      </c>
      <c r="E612" s="579"/>
      <c r="F612" s="37" t="s">
        <v>2398</v>
      </c>
      <c r="G612" s="14">
        <v>20</v>
      </c>
      <c r="H612" s="569"/>
      <c r="I612" s="55" t="s">
        <v>1720</v>
      </c>
      <c r="J612" s="14">
        <f>G612*AO612</f>
        <v>0</v>
      </c>
      <c r="K612" s="14">
        <f>G612*AP612</f>
        <v>0</v>
      </c>
      <c r="L612" s="14">
        <f>G612*H612</f>
        <v>0</v>
      </c>
      <c r="M612" s="14">
        <f>L612*(1+BW612/100)</f>
        <v>0</v>
      </c>
      <c r="N612" s="14">
        <v>4.8300000000000001E-3</v>
      </c>
      <c r="O612" s="14">
        <f>G612*N612</f>
        <v>9.6600000000000005E-2</v>
      </c>
      <c r="P612" s="72" t="s">
        <v>1664</v>
      </c>
      <c r="Z612" s="14">
        <f>IF(AQ612="5",BJ612,0)</f>
        <v>0</v>
      </c>
      <c r="AB612" s="14">
        <f>IF(AQ612="1",BH612,0)</f>
        <v>0</v>
      </c>
      <c r="AC612" s="14">
        <f>IF(AQ612="1",BI612,0)</f>
        <v>0</v>
      </c>
      <c r="AD612" s="14">
        <f>IF(AQ612="7",BH612,0)</f>
        <v>0</v>
      </c>
      <c r="AE612" s="14">
        <f>IF(AQ612="7",BI612,0)</f>
        <v>0</v>
      </c>
      <c r="AF612" s="14">
        <f>IF(AQ612="2",BH612,0)</f>
        <v>0</v>
      </c>
      <c r="AG612" s="14">
        <f>IF(AQ612="2",BI612,0)</f>
        <v>0</v>
      </c>
      <c r="AH612" s="14">
        <f>IF(AQ612="0",BJ612,0)</f>
        <v>0</v>
      </c>
      <c r="AI612" s="15" t="s">
        <v>1842</v>
      </c>
      <c r="AJ612" s="14">
        <f>IF(AN612=0,L612,0)</f>
        <v>0</v>
      </c>
      <c r="AK612" s="14">
        <f>IF(AN612=15,L612,0)</f>
        <v>0</v>
      </c>
      <c r="AL612" s="14">
        <f>IF(AN612=21,L612,0)</f>
        <v>0</v>
      </c>
      <c r="AN612" s="14">
        <v>21</v>
      </c>
      <c r="AO612" s="92">
        <f>H612*0.181176470588235</f>
        <v>0</v>
      </c>
      <c r="AP612" s="92">
        <f>H612*(1-0.181176470588235)</f>
        <v>0</v>
      </c>
      <c r="AQ612" s="55" t="s">
        <v>2435</v>
      </c>
      <c r="AV612" s="14">
        <f>AW612+AX612</f>
        <v>0</v>
      </c>
      <c r="AW612" s="14">
        <f>G612*AO612</f>
        <v>0</v>
      </c>
      <c r="AX612" s="14">
        <f>G612*AP612</f>
        <v>0</v>
      </c>
      <c r="AY612" s="55" t="s">
        <v>2490</v>
      </c>
      <c r="AZ612" s="55" t="s">
        <v>1885</v>
      </c>
      <c r="BA612" s="15" t="s">
        <v>1843</v>
      </c>
      <c r="BC612" s="14">
        <f>AW612+AX612</f>
        <v>0</v>
      </c>
      <c r="BD612" s="14">
        <f>H612/(100-BE612)*100</f>
        <v>0</v>
      </c>
      <c r="BE612" s="14">
        <v>0</v>
      </c>
      <c r="BF612" s="14">
        <f>O612</f>
        <v>9.6600000000000005E-2</v>
      </c>
      <c r="BH612" s="14">
        <f>G612*AO612</f>
        <v>0</v>
      </c>
      <c r="BI612" s="14">
        <f>G612*AP612</f>
        <v>0</v>
      </c>
      <c r="BJ612" s="14">
        <f>G612*H612</f>
        <v>0</v>
      </c>
      <c r="BK612" s="14"/>
      <c r="BL612" s="14">
        <v>771</v>
      </c>
      <c r="BW612" s="14" t="str">
        <f>I612</f>
        <v>21</v>
      </c>
    </row>
    <row r="613" spans="1:75" ht="15" customHeight="1">
      <c r="A613" s="32"/>
      <c r="D613" s="3" t="s">
        <v>1509</v>
      </c>
      <c r="E613" s="28" t="s">
        <v>349</v>
      </c>
      <c r="G613" s="27">
        <v>15.500000000000002</v>
      </c>
      <c r="P613" s="33"/>
    </row>
    <row r="614" spans="1:75" ht="15" customHeight="1">
      <c r="A614" s="32"/>
      <c r="D614" s="3" t="s">
        <v>2524</v>
      </c>
      <c r="E614" s="28" t="s">
        <v>1276</v>
      </c>
      <c r="G614" s="27">
        <v>4.5</v>
      </c>
      <c r="P614" s="33"/>
    </row>
    <row r="615" spans="1:75" ht="13.5" customHeight="1">
      <c r="A615" s="20" t="s">
        <v>292</v>
      </c>
      <c r="B615" s="84" t="s">
        <v>1842</v>
      </c>
      <c r="C615" s="84" t="s">
        <v>1052</v>
      </c>
      <c r="D615" s="653" t="s">
        <v>1265</v>
      </c>
      <c r="E615" s="654"/>
      <c r="F615" s="84" t="s">
        <v>2398</v>
      </c>
      <c r="G615" s="6">
        <v>22</v>
      </c>
      <c r="H615" s="570"/>
      <c r="I615" s="18" t="s">
        <v>1720</v>
      </c>
      <c r="J615" s="6">
        <f>G615*AO615</f>
        <v>0</v>
      </c>
      <c r="K615" s="6">
        <f>G615*AP615</f>
        <v>0</v>
      </c>
      <c r="L615" s="6">
        <f>G615*H615</f>
        <v>0</v>
      </c>
      <c r="M615" s="6">
        <f>L615*(1+BW615/100)</f>
        <v>0</v>
      </c>
      <c r="N615" s="6">
        <v>1.9199999999999998E-2</v>
      </c>
      <c r="O615" s="6">
        <f>G615*N615</f>
        <v>0.42239999999999994</v>
      </c>
      <c r="P615" s="109" t="s">
        <v>1664</v>
      </c>
      <c r="Z615" s="14">
        <f>IF(AQ615="5",BJ615,0)</f>
        <v>0</v>
      </c>
      <c r="AB615" s="14">
        <f>IF(AQ615="1",BH615,0)</f>
        <v>0</v>
      </c>
      <c r="AC615" s="14">
        <f>IF(AQ615="1",BI615,0)</f>
        <v>0</v>
      </c>
      <c r="AD615" s="14">
        <f>IF(AQ615="7",BH615,0)</f>
        <v>0</v>
      </c>
      <c r="AE615" s="14">
        <f>IF(AQ615="7",BI615,0)</f>
        <v>0</v>
      </c>
      <c r="AF615" s="14">
        <f>IF(AQ615="2",BH615,0)</f>
        <v>0</v>
      </c>
      <c r="AG615" s="14">
        <f>IF(AQ615="2",BI615,0)</f>
        <v>0</v>
      </c>
      <c r="AH615" s="14">
        <f>IF(AQ615="0",BJ615,0)</f>
        <v>0</v>
      </c>
      <c r="AI615" s="15" t="s">
        <v>1842</v>
      </c>
      <c r="AJ615" s="6">
        <f>IF(AN615=0,L615,0)</f>
        <v>0</v>
      </c>
      <c r="AK615" s="6">
        <f>IF(AN615=15,L615,0)</f>
        <v>0</v>
      </c>
      <c r="AL615" s="6">
        <f>IF(AN615=21,L615,0)</f>
        <v>0</v>
      </c>
      <c r="AN615" s="14">
        <v>21</v>
      </c>
      <c r="AO615" s="92">
        <f>H615*1</f>
        <v>0</v>
      </c>
      <c r="AP615" s="92">
        <f>H615*(1-1)</f>
        <v>0</v>
      </c>
      <c r="AQ615" s="18" t="s">
        <v>2435</v>
      </c>
      <c r="AV615" s="14">
        <f>AW615+AX615</f>
        <v>0</v>
      </c>
      <c r="AW615" s="14">
        <f>G615*AO615</f>
        <v>0</v>
      </c>
      <c r="AX615" s="14">
        <f>G615*AP615</f>
        <v>0</v>
      </c>
      <c r="AY615" s="55" t="s">
        <v>2490</v>
      </c>
      <c r="AZ615" s="55" t="s">
        <v>1885</v>
      </c>
      <c r="BA615" s="15" t="s">
        <v>1843</v>
      </c>
      <c r="BC615" s="14">
        <f>AW615+AX615</f>
        <v>0</v>
      </c>
      <c r="BD615" s="14">
        <f>H615/(100-BE615)*100</f>
        <v>0</v>
      </c>
      <c r="BE615" s="14">
        <v>0</v>
      </c>
      <c r="BF615" s="14">
        <f>O615</f>
        <v>0.42239999999999994</v>
      </c>
      <c r="BH615" s="6">
        <f>G615*AO615</f>
        <v>0</v>
      </c>
      <c r="BI615" s="6">
        <f>G615*AP615</f>
        <v>0</v>
      </c>
      <c r="BJ615" s="6">
        <f>G615*H615</f>
        <v>0</v>
      </c>
      <c r="BK615" s="6"/>
      <c r="BL615" s="14">
        <v>771</v>
      </c>
      <c r="BW615" s="14" t="str">
        <f>I615</f>
        <v>21</v>
      </c>
    </row>
    <row r="616" spans="1:75" ht="15" customHeight="1">
      <c r="A616" s="32"/>
      <c r="D616" s="3" t="s">
        <v>118</v>
      </c>
      <c r="E616" s="28" t="s">
        <v>1683</v>
      </c>
      <c r="G616" s="27">
        <v>20</v>
      </c>
      <c r="P616" s="33"/>
    </row>
    <row r="617" spans="1:75" ht="15" customHeight="1">
      <c r="A617" s="32"/>
      <c r="D617" s="3" t="s">
        <v>1822</v>
      </c>
      <c r="E617" s="28" t="s">
        <v>1683</v>
      </c>
      <c r="G617" s="27">
        <v>2</v>
      </c>
      <c r="P617" s="33"/>
    </row>
    <row r="618" spans="1:75" ht="13.5" customHeight="1">
      <c r="A618" s="21" t="s">
        <v>2439</v>
      </c>
      <c r="B618" s="37" t="s">
        <v>1842</v>
      </c>
      <c r="C618" s="37" t="s">
        <v>183</v>
      </c>
      <c r="D618" s="578" t="s">
        <v>1102</v>
      </c>
      <c r="E618" s="579"/>
      <c r="F618" s="37" t="s">
        <v>2398</v>
      </c>
      <c r="G618" s="14">
        <v>47.4</v>
      </c>
      <c r="H618" s="569"/>
      <c r="I618" s="55" t="s">
        <v>1720</v>
      </c>
      <c r="J618" s="14">
        <f>G618*AO618</f>
        <v>0</v>
      </c>
      <c r="K618" s="14">
        <f>G618*AP618</f>
        <v>0</v>
      </c>
      <c r="L618" s="14">
        <f>G618*H618</f>
        <v>0</v>
      </c>
      <c r="M618" s="14">
        <f>L618*(1+BW618/100)</f>
        <v>0</v>
      </c>
      <c r="N618" s="14">
        <v>4.7600000000000003E-3</v>
      </c>
      <c r="O618" s="14">
        <f>G618*N618</f>
        <v>0.22562400000000002</v>
      </c>
      <c r="P618" s="72" t="s">
        <v>1664</v>
      </c>
      <c r="Z618" s="14">
        <f>IF(AQ618="5",BJ618,0)</f>
        <v>0</v>
      </c>
      <c r="AB618" s="14">
        <f>IF(AQ618="1",BH618,0)</f>
        <v>0</v>
      </c>
      <c r="AC618" s="14">
        <f>IF(AQ618="1",BI618,0)</f>
        <v>0</v>
      </c>
      <c r="AD618" s="14">
        <f>IF(AQ618="7",BH618,0)</f>
        <v>0</v>
      </c>
      <c r="AE618" s="14">
        <f>IF(AQ618="7",BI618,0)</f>
        <v>0</v>
      </c>
      <c r="AF618" s="14">
        <f>IF(AQ618="2",BH618,0)</f>
        <v>0</v>
      </c>
      <c r="AG618" s="14">
        <f>IF(AQ618="2",BI618,0)</f>
        <v>0</v>
      </c>
      <c r="AH618" s="14">
        <f>IF(AQ618="0",BJ618,0)</f>
        <v>0</v>
      </c>
      <c r="AI618" s="15" t="s">
        <v>1842</v>
      </c>
      <c r="AJ618" s="14">
        <f>IF(AN618=0,L618,0)</f>
        <v>0</v>
      </c>
      <c r="AK618" s="14">
        <f>IF(AN618=15,L618,0)</f>
        <v>0</v>
      </c>
      <c r="AL618" s="14">
        <f>IF(AN618=21,L618,0)</f>
        <v>0</v>
      </c>
      <c r="AN618" s="14">
        <v>21</v>
      </c>
      <c r="AO618" s="92">
        <f>H618*0.192165242165242</f>
        <v>0</v>
      </c>
      <c r="AP618" s="92">
        <f>H618*(1-0.192165242165242)</f>
        <v>0</v>
      </c>
      <c r="AQ618" s="55" t="s">
        <v>2435</v>
      </c>
      <c r="AV618" s="14">
        <f>AW618+AX618</f>
        <v>0</v>
      </c>
      <c r="AW618" s="14">
        <f>G618*AO618</f>
        <v>0</v>
      </c>
      <c r="AX618" s="14">
        <f>G618*AP618</f>
        <v>0</v>
      </c>
      <c r="AY618" s="55" t="s">
        <v>2490</v>
      </c>
      <c r="AZ618" s="55" t="s">
        <v>1885</v>
      </c>
      <c r="BA618" s="15" t="s">
        <v>1843</v>
      </c>
      <c r="BC618" s="14">
        <f>AW618+AX618</f>
        <v>0</v>
      </c>
      <c r="BD618" s="14">
        <f>H618/(100-BE618)*100</f>
        <v>0</v>
      </c>
      <c r="BE618" s="14">
        <v>0</v>
      </c>
      <c r="BF618" s="14">
        <f>O618</f>
        <v>0.22562400000000002</v>
      </c>
      <c r="BH618" s="14">
        <f>G618*AO618</f>
        <v>0</v>
      </c>
      <c r="BI618" s="14">
        <f>G618*AP618</f>
        <v>0</v>
      </c>
      <c r="BJ618" s="14">
        <f>G618*H618</f>
        <v>0</v>
      </c>
      <c r="BK618" s="14"/>
      <c r="BL618" s="14">
        <v>771</v>
      </c>
      <c r="BW618" s="14" t="str">
        <f>I618</f>
        <v>21</v>
      </c>
    </row>
    <row r="619" spans="1:75" ht="15" customHeight="1">
      <c r="A619" s="32"/>
      <c r="D619" s="3" t="s">
        <v>1559</v>
      </c>
      <c r="E619" s="28" t="s">
        <v>1683</v>
      </c>
      <c r="G619" s="27">
        <v>47.400000000000006</v>
      </c>
      <c r="P619" s="33"/>
    </row>
    <row r="620" spans="1:75" ht="13.5" customHeight="1">
      <c r="A620" s="20" t="s">
        <v>123</v>
      </c>
      <c r="B620" s="84" t="s">
        <v>1842</v>
      </c>
      <c r="C620" s="84" t="s">
        <v>1282</v>
      </c>
      <c r="D620" s="653" t="s">
        <v>1587</v>
      </c>
      <c r="E620" s="654"/>
      <c r="F620" s="84" t="s">
        <v>2398</v>
      </c>
      <c r="G620" s="6">
        <v>55.2</v>
      </c>
      <c r="H620" s="570"/>
      <c r="I620" s="18" t="s">
        <v>1720</v>
      </c>
      <c r="J620" s="6">
        <f>G620*AO620</f>
        <v>0</v>
      </c>
      <c r="K620" s="6">
        <f>G620*AP620</f>
        <v>0</v>
      </c>
      <c r="L620" s="6">
        <f>G620*H620</f>
        <v>0</v>
      </c>
      <c r="M620" s="6">
        <f>L620*(1+BW620/100)</f>
        <v>0</v>
      </c>
      <c r="N620" s="6">
        <v>1.9199999999999998E-2</v>
      </c>
      <c r="O620" s="6">
        <f>G620*N620</f>
        <v>1.0598399999999999</v>
      </c>
      <c r="P620" s="109" t="s">
        <v>1664</v>
      </c>
      <c r="Z620" s="14">
        <f>IF(AQ620="5",BJ620,0)</f>
        <v>0</v>
      </c>
      <c r="AB620" s="14">
        <f>IF(AQ620="1",BH620,0)</f>
        <v>0</v>
      </c>
      <c r="AC620" s="14">
        <f>IF(AQ620="1",BI620,0)</f>
        <v>0</v>
      </c>
      <c r="AD620" s="14">
        <f>IF(AQ620="7",BH620,0)</f>
        <v>0</v>
      </c>
      <c r="AE620" s="14">
        <f>IF(AQ620="7",BI620,0)</f>
        <v>0</v>
      </c>
      <c r="AF620" s="14">
        <f>IF(AQ620="2",BH620,0)</f>
        <v>0</v>
      </c>
      <c r="AG620" s="14">
        <f>IF(AQ620="2",BI620,0)</f>
        <v>0</v>
      </c>
      <c r="AH620" s="14">
        <f>IF(AQ620="0",BJ620,0)</f>
        <v>0</v>
      </c>
      <c r="AI620" s="15" t="s">
        <v>1842</v>
      </c>
      <c r="AJ620" s="6">
        <f>IF(AN620=0,L620,0)</f>
        <v>0</v>
      </c>
      <c r="AK620" s="6">
        <f>IF(AN620=15,L620,0)</f>
        <v>0</v>
      </c>
      <c r="AL620" s="6">
        <f>IF(AN620=21,L620,0)</f>
        <v>0</v>
      </c>
      <c r="AN620" s="14">
        <v>21</v>
      </c>
      <c r="AO620" s="92">
        <f>H620*1</f>
        <v>0</v>
      </c>
      <c r="AP620" s="92">
        <f>H620*(1-1)</f>
        <v>0</v>
      </c>
      <c r="AQ620" s="18" t="s">
        <v>2435</v>
      </c>
      <c r="AV620" s="14">
        <f>AW620+AX620</f>
        <v>0</v>
      </c>
      <c r="AW620" s="14">
        <f>G620*AO620</f>
        <v>0</v>
      </c>
      <c r="AX620" s="14">
        <f>G620*AP620</f>
        <v>0</v>
      </c>
      <c r="AY620" s="55" t="s">
        <v>2490</v>
      </c>
      <c r="AZ620" s="55" t="s">
        <v>1885</v>
      </c>
      <c r="BA620" s="15" t="s">
        <v>1843</v>
      </c>
      <c r="BC620" s="14">
        <f>AW620+AX620</f>
        <v>0</v>
      </c>
      <c r="BD620" s="14">
        <f>H620/(100-BE620)*100</f>
        <v>0</v>
      </c>
      <c r="BE620" s="14">
        <v>0</v>
      </c>
      <c r="BF620" s="14">
        <f>O620</f>
        <v>1.0598399999999999</v>
      </c>
      <c r="BH620" s="6">
        <f>G620*AO620</f>
        <v>0</v>
      </c>
      <c r="BI620" s="6">
        <f>G620*AP620</f>
        <v>0</v>
      </c>
      <c r="BJ620" s="6">
        <f>G620*H620</f>
        <v>0</v>
      </c>
      <c r="BK620" s="6"/>
      <c r="BL620" s="14">
        <v>771</v>
      </c>
      <c r="BW620" s="14" t="str">
        <f>I620</f>
        <v>21</v>
      </c>
    </row>
    <row r="621" spans="1:75" ht="15" customHeight="1">
      <c r="A621" s="32"/>
      <c r="D621" s="3" t="s">
        <v>187</v>
      </c>
      <c r="E621" s="28" t="s">
        <v>1683</v>
      </c>
      <c r="G621" s="27">
        <v>48.000000000000007</v>
      </c>
      <c r="P621" s="33"/>
    </row>
    <row r="622" spans="1:75" ht="15" customHeight="1">
      <c r="A622" s="32"/>
      <c r="D622" s="3" t="s">
        <v>1685</v>
      </c>
      <c r="E622" s="28" t="s">
        <v>1683</v>
      </c>
      <c r="G622" s="27">
        <v>7.2</v>
      </c>
      <c r="P622" s="33"/>
    </row>
    <row r="623" spans="1:75" ht="13.5" customHeight="1">
      <c r="A623" s="21" t="s">
        <v>1350</v>
      </c>
      <c r="B623" s="37" t="s">
        <v>1842</v>
      </c>
      <c r="C623" s="37" t="s">
        <v>1311</v>
      </c>
      <c r="D623" s="578" t="s">
        <v>1433</v>
      </c>
      <c r="E623" s="579"/>
      <c r="F623" s="37" t="s">
        <v>2019</v>
      </c>
      <c r="G623" s="14">
        <v>170</v>
      </c>
      <c r="H623" s="569"/>
      <c r="I623" s="55" t="s">
        <v>1720</v>
      </c>
      <c r="J623" s="14">
        <f>G623*AO623</f>
        <v>0</v>
      </c>
      <c r="K623" s="14">
        <f>G623*AP623</f>
        <v>0</v>
      </c>
      <c r="L623" s="14">
        <f>G623*H623</f>
        <v>0</v>
      </c>
      <c r="M623" s="14">
        <f>L623*(1+BW623/100)</f>
        <v>0</v>
      </c>
      <c r="N623" s="14">
        <v>3.0500000000000002E-3</v>
      </c>
      <c r="O623" s="14">
        <f>G623*N623</f>
        <v>0.51850000000000007</v>
      </c>
      <c r="P623" s="72" t="s">
        <v>1664</v>
      </c>
      <c r="Z623" s="14">
        <f>IF(AQ623="5",BJ623,0)</f>
        <v>0</v>
      </c>
      <c r="AB623" s="14">
        <f>IF(AQ623="1",BH623,0)</f>
        <v>0</v>
      </c>
      <c r="AC623" s="14">
        <f>IF(AQ623="1",BI623,0)</f>
        <v>0</v>
      </c>
      <c r="AD623" s="14">
        <f>IF(AQ623="7",BH623,0)</f>
        <v>0</v>
      </c>
      <c r="AE623" s="14">
        <f>IF(AQ623="7",BI623,0)</f>
        <v>0</v>
      </c>
      <c r="AF623" s="14">
        <f>IF(AQ623="2",BH623,0)</f>
        <v>0</v>
      </c>
      <c r="AG623" s="14">
        <f>IF(AQ623="2",BI623,0)</f>
        <v>0</v>
      </c>
      <c r="AH623" s="14">
        <f>IF(AQ623="0",BJ623,0)</f>
        <v>0</v>
      </c>
      <c r="AI623" s="15" t="s">
        <v>1842</v>
      </c>
      <c r="AJ623" s="14">
        <f>IF(AN623=0,L623,0)</f>
        <v>0</v>
      </c>
      <c r="AK623" s="14">
        <f>IF(AN623=15,L623,0)</f>
        <v>0</v>
      </c>
      <c r="AL623" s="14">
        <f>IF(AN623=21,L623,0)</f>
        <v>0</v>
      </c>
      <c r="AN623" s="14">
        <v>21</v>
      </c>
      <c r="AO623" s="92">
        <f>H623*0.0385321100917431</f>
        <v>0</v>
      </c>
      <c r="AP623" s="92">
        <f>H623*(1-0.0385321100917431)</f>
        <v>0</v>
      </c>
      <c r="AQ623" s="55" t="s">
        <v>2435</v>
      </c>
      <c r="AV623" s="14">
        <f>AW623+AX623</f>
        <v>0</v>
      </c>
      <c r="AW623" s="14">
        <f>G623*AO623</f>
        <v>0</v>
      </c>
      <c r="AX623" s="14">
        <f>G623*AP623</f>
        <v>0</v>
      </c>
      <c r="AY623" s="55" t="s">
        <v>2490</v>
      </c>
      <c r="AZ623" s="55" t="s">
        <v>1885</v>
      </c>
      <c r="BA623" s="15" t="s">
        <v>1843</v>
      </c>
      <c r="BC623" s="14">
        <f>AW623+AX623</f>
        <v>0</v>
      </c>
      <c r="BD623" s="14">
        <f>H623/(100-BE623)*100</f>
        <v>0</v>
      </c>
      <c r="BE623" s="14">
        <v>0</v>
      </c>
      <c r="BF623" s="14">
        <f>O623</f>
        <v>0.51850000000000007</v>
      </c>
      <c r="BH623" s="14">
        <f>G623*AO623</f>
        <v>0</v>
      </c>
      <c r="BI623" s="14">
        <f>G623*AP623</f>
        <v>0</v>
      </c>
      <c r="BJ623" s="14">
        <f>G623*H623</f>
        <v>0</v>
      </c>
      <c r="BK623" s="14"/>
      <c r="BL623" s="14">
        <v>771</v>
      </c>
      <c r="BW623" s="14" t="str">
        <f>I623</f>
        <v>21</v>
      </c>
    </row>
    <row r="624" spans="1:75" ht="15" customHeight="1">
      <c r="A624" s="32"/>
      <c r="D624" s="3" t="s">
        <v>173</v>
      </c>
      <c r="E624" s="28" t="s">
        <v>1683</v>
      </c>
      <c r="G624" s="27">
        <v>170</v>
      </c>
      <c r="P624" s="33"/>
    </row>
    <row r="625" spans="1:75" ht="13.5" customHeight="1">
      <c r="A625" s="20" t="s">
        <v>2680</v>
      </c>
      <c r="B625" s="84" t="s">
        <v>1842</v>
      </c>
      <c r="C625" s="84" t="s">
        <v>1052</v>
      </c>
      <c r="D625" s="653" t="s">
        <v>1265</v>
      </c>
      <c r="E625" s="654"/>
      <c r="F625" s="84" t="s">
        <v>2398</v>
      </c>
      <c r="G625" s="6">
        <v>26.15</v>
      </c>
      <c r="H625" s="570"/>
      <c r="I625" s="18" t="s">
        <v>1720</v>
      </c>
      <c r="J625" s="6">
        <f>G625*AO625</f>
        <v>0</v>
      </c>
      <c r="K625" s="6">
        <f>G625*AP625</f>
        <v>0</v>
      </c>
      <c r="L625" s="6">
        <f>G625*H625</f>
        <v>0</v>
      </c>
      <c r="M625" s="6">
        <f>L625*(1+BW625/100)</f>
        <v>0</v>
      </c>
      <c r="N625" s="6">
        <v>1.9199999999999998E-2</v>
      </c>
      <c r="O625" s="6">
        <f>G625*N625</f>
        <v>0.50207999999999997</v>
      </c>
      <c r="P625" s="109" t="s">
        <v>1664</v>
      </c>
      <c r="Z625" s="14">
        <f>IF(AQ625="5",BJ625,0)</f>
        <v>0</v>
      </c>
      <c r="AB625" s="14">
        <f>IF(AQ625="1",BH625,0)</f>
        <v>0</v>
      </c>
      <c r="AC625" s="14">
        <f>IF(AQ625="1",BI625,0)</f>
        <v>0</v>
      </c>
      <c r="AD625" s="14">
        <f>IF(AQ625="7",BH625,0)</f>
        <v>0</v>
      </c>
      <c r="AE625" s="14">
        <f>IF(AQ625="7",BI625,0)</f>
        <v>0</v>
      </c>
      <c r="AF625" s="14">
        <f>IF(AQ625="2",BH625,0)</f>
        <v>0</v>
      </c>
      <c r="AG625" s="14">
        <f>IF(AQ625="2",BI625,0)</f>
        <v>0</v>
      </c>
      <c r="AH625" s="14">
        <f>IF(AQ625="0",BJ625,0)</f>
        <v>0</v>
      </c>
      <c r="AI625" s="15" t="s">
        <v>1842</v>
      </c>
      <c r="AJ625" s="6">
        <f>IF(AN625=0,L625,0)</f>
        <v>0</v>
      </c>
      <c r="AK625" s="6">
        <f>IF(AN625=15,L625,0)</f>
        <v>0</v>
      </c>
      <c r="AL625" s="6">
        <f>IF(AN625=21,L625,0)</f>
        <v>0</v>
      </c>
      <c r="AN625" s="14">
        <v>21</v>
      </c>
      <c r="AO625" s="92">
        <f>H625*1</f>
        <v>0</v>
      </c>
      <c r="AP625" s="92">
        <f>H625*(1-1)</f>
        <v>0</v>
      </c>
      <c r="AQ625" s="18" t="s">
        <v>2435</v>
      </c>
      <c r="AV625" s="14">
        <f>AW625+AX625</f>
        <v>0</v>
      </c>
      <c r="AW625" s="14">
        <f>G625*AO625</f>
        <v>0</v>
      </c>
      <c r="AX625" s="14">
        <f>G625*AP625</f>
        <v>0</v>
      </c>
      <c r="AY625" s="55" t="s">
        <v>2490</v>
      </c>
      <c r="AZ625" s="55" t="s">
        <v>1885</v>
      </c>
      <c r="BA625" s="15" t="s">
        <v>1843</v>
      </c>
      <c r="BC625" s="14">
        <f>AW625+AX625</f>
        <v>0</v>
      </c>
      <c r="BD625" s="14">
        <f>H625/(100-BE625)*100</f>
        <v>0</v>
      </c>
      <c r="BE625" s="14">
        <v>0</v>
      </c>
      <c r="BF625" s="14">
        <f>O625</f>
        <v>0.50207999999999997</v>
      </c>
      <c r="BH625" s="6">
        <f>G625*AO625</f>
        <v>0</v>
      </c>
      <c r="BI625" s="6">
        <f>G625*AP625</f>
        <v>0</v>
      </c>
      <c r="BJ625" s="6">
        <f>G625*H625</f>
        <v>0</v>
      </c>
      <c r="BK625" s="6"/>
      <c r="BL625" s="14">
        <v>771</v>
      </c>
      <c r="BW625" s="14" t="str">
        <f>I625</f>
        <v>21</v>
      </c>
    </row>
    <row r="626" spans="1:75" ht="15" customHeight="1">
      <c r="A626" s="32"/>
      <c r="D626" s="3" t="s">
        <v>1416</v>
      </c>
      <c r="E626" s="28" t="s">
        <v>1683</v>
      </c>
      <c r="G626" s="27">
        <v>10</v>
      </c>
      <c r="P626" s="33"/>
    </row>
    <row r="627" spans="1:75" ht="13.5" customHeight="1">
      <c r="A627" s="20" t="s">
        <v>2046</v>
      </c>
      <c r="B627" s="84" t="s">
        <v>1842</v>
      </c>
      <c r="C627" s="84" t="s">
        <v>1282</v>
      </c>
      <c r="D627" s="653" t="s">
        <v>1587</v>
      </c>
      <c r="E627" s="654"/>
      <c r="F627" s="84" t="s">
        <v>2398</v>
      </c>
      <c r="G627" s="6">
        <v>47.08</v>
      </c>
      <c r="H627" s="570"/>
      <c r="I627" s="18" t="s">
        <v>1720</v>
      </c>
      <c r="J627" s="6">
        <f>G627*AO627</f>
        <v>0</v>
      </c>
      <c r="K627" s="6">
        <f>G627*AP627</f>
        <v>0</v>
      </c>
      <c r="L627" s="6">
        <f>G627*H627</f>
        <v>0</v>
      </c>
      <c r="M627" s="6">
        <f>L627*(1+BW627/100)</f>
        <v>0</v>
      </c>
      <c r="N627" s="6">
        <v>1.9199999999999998E-2</v>
      </c>
      <c r="O627" s="6">
        <f>G627*N627</f>
        <v>0.90393599999999985</v>
      </c>
      <c r="P627" s="109" t="s">
        <v>1664</v>
      </c>
      <c r="Z627" s="14">
        <f>IF(AQ627="5",BJ627,0)</f>
        <v>0</v>
      </c>
      <c r="AB627" s="14">
        <f>IF(AQ627="1",BH627,0)</f>
        <v>0</v>
      </c>
      <c r="AC627" s="14">
        <f>IF(AQ627="1",BI627,0)</f>
        <v>0</v>
      </c>
      <c r="AD627" s="14">
        <f>IF(AQ627="7",BH627,0)</f>
        <v>0</v>
      </c>
      <c r="AE627" s="14">
        <f>IF(AQ627="7",BI627,0)</f>
        <v>0</v>
      </c>
      <c r="AF627" s="14">
        <f>IF(AQ627="2",BH627,0)</f>
        <v>0</v>
      </c>
      <c r="AG627" s="14">
        <f>IF(AQ627="2",BI627,0)</f>
        <v>0</v>
      </c>
      <c r="AH627" s="14">
        <f>IF(AQ627="0",BJ627,0)</f>
        <v>0</v>
      </c>
      <c r="AI627" s="15" t="s">
        <v>1842</v>
      </c>
      <c r="AJ627" s="6">
        <f>IF(AN627=0,L627,0)</f>
        <v>0</v>
      </c>
      <c r="AK627" s="6">
        <f>IF(AN627=15,L627,0)</f>
        <v>0</v>
      </c>
      <c r="AL627" s="6">
        <f>IF(AN627=21,L627,0)</f>
        <v>0</v>
      </c>
      <c r="AN627" s="14">
        <v>21</v>
      </c>
      <c r="AO627" s="92">
        <f>H627*1</f>
        <v>0</v>
      </c>
      <c r="AP627" s="92">
        <f>H627*(1-1)</f>
        <v>0</v>
      </c>
      <c r="AQ627" s="18" t="s">
        <v>2435</v>
      </c>
      <c r="AV627" s="14">
        <f>AW627+AX627</f>
        <v>0</v>
      </c>
      <c r="AW627" s="14">
        <f>G627*AO627</f>
        <v>0</v>
      </c>
      <c r="AX627" s="14">
        <f>G627*AP627</f>
        <v>0</v>
      </c>
      <c r="AY627" s="55" t="s">
        <v>2490</v>
      </c>
      <c r="AZ627" s="55" t="s">
        <v>1885</v>
      </c>
      <c r="BA627" s="15" t="s">
        <v>1843</v>
      </c>
      <c r="BC627" s="14">
        <f>AW627+AX627</f>
        <v>0</v>
      </c>
      <c r="BD627" s="14">
        <f>H627/(100-BE627)*100</f>
        <v>0</v>
      </c>
      <c r="BE627" s="14">
        <v>0</v>
      </c>
      <c r="BF627" s="14">
        <f>O627</f>
        <v>0.90393599999999985</v>
      </c>
      <c r="BH627" s="6">
        <f>G627*AO627</f>
        <v>0</v>
      </c>
      <c r="BI627" s="6">
        <f>G627*AP627</f>
        <v>0</v>
      </c>
      <c r="BJ627" s="6">
        <f>G627*H627</f>
        <v>0</v>
      </c>
      <c r="BK627" s="6"/>
      <c r="BL627" s="14">
        <v>771</v>
      </c>
      <c r="BW627" s="14" t="str">
        <f>I627</f>
        <v>21</v>
      </c>
    </row>
    <row r="628" spans="1:75" ht="15" customHeight="1">
      <c r="A628" s="32"/>
      <c r="D628" s="3" t="s">
        <v>1940</v>
      </c>
      <c r="E628" s="28" t="s">
        <v>1683</v>
      </c>
      <c r="G628" s="27">
        <v>18</v>
      </c>
      <c r="P628" s="33"/>
    </row>
    <row r="629" spans="1:75" ht="13.5" customHeight="1">
      <c r="A629" s="21" t="s">
        <v>1567</v>
      </c>
      <c r="B629" s="37" t="s">
        <v>1842</v>
      </c>
      <c r="C629" s="37" t="s">
        <v>1524</v>
      </c>
      <c r="D629" s="578" t="s">
        <v>575</v>
      </c>
      <c r="E629" s="579"/>
      <c r="F629" s="37" t="s">
        <v>2019</v>
      </c>
      <c r="G629" s="14">
        <v>26.4</v>
      </c>
      <c r="H629" s="569"/>
      <c r="I629" s="55" t="s">
        <v>1720</v>
      </c>
      <c r="J629" s="14">
        <f>G629*AO629</f>
        <v>0</v>
      </c>
      <c r="K629" s="14">
        <f>G629*AP629</f>
        <v>0</v>
      </c>
      <c r="L629" s="14">
        <f>G629*H629</f>
        <v>0</v>
      </c>
      <c r="M629" s="14">
        <f>L629*(1+BW629/100)</f>
        <v>0</v>
      </c>
      <c r="N629" s="14">
        <v>2.4399999999999999E-3</v>
      </c>
      <c r="O629" s="14">
        <f>G629*N629</f>
        <v>6.4415999999999987E-2</v>
      </c>
      <c r="P629" s="72" t="s">
        <v>1664</v>
      </c>
      <c r="Z629" s="14">
        <f>IF(AQ629="5",BJ629,0)</f>
        <v>0</v>
      </c>
      <c r="AB629" s="14">
        <f>IF(AQ629="1",BH629,0)</f>
        <v>0</v>
      </c>
      <c r="AC629" s="14">
        <f>IF(AQ629="1",BI629,0)</f>
        <v>0</v>
      </c>
      <c r="AD629" s="14">
        <f>IF(AQ629="7",BH629,0)</f>
        <v>0</v>
      </c>
      <c r="AE629" s="14">
        <f>IF(AQ629="7",BI629,0)</f>
        <v>0</v>
      </c>
      <c r="AF629" s="14">
        <f>IF(AQ629="2",BH629,0)</f>
        <v>0</v>
      </c>
      <c r="AG629" s="14">
        <f>IF(AQ629="2",BI629,0)</f>
        <v>0</v>
      </c>
      <c r="AH629" s="14">
        <f>IF(AQ629="0",BJ629,0)</f>
        <v>0</v>
      </c>
      <c r="AI629" s="15" t="s">
        <v>1842</v>
      </c>
      <c r="AJ629" s="14">
        <f>IF(AN629=0,L629,0)</f>
        <v>0</v>
      </c>
      <c r="AK629" s="14">
        <f>IF(AN629=15,L629,0)</f>
        <v>0</v>
      </c>
      <c r="AL629" s="14">
        <f>IF(AN629=21,L629,0)</f>
        <v>0</v>
      </c>
      <c r="AN629" s="14">
        <v>21</v>
      </c>
      <c r="AO629" s="92">
        <f>H629*0.332741935483871</f>
        <v>0</v>
      </c>
      <c r="AP629" s="92">
        <f>H629*(1-0.332741935483871)</f>
        <v>0</v>
      </c>
      <c r="AQ629" s="55" t="s">
        <v>2435</v>
      </c>
      <c r="AV629" s="14">
        <f>AW629+AX629</f>
        <v>0</v>
      </c>
      <c r="AW629" s="14">
        <f>G629*AO629</f>
        <v>0</v>
      </c>
      <c r="AX629" s="14">
        <f>G629*AP629</f>
        <v>0</v>
      </c>
      <c r="AY629" s="55" t="s">
        <v>2490</v>
      </c>
      <c r="AZ629" s="55" t="s">
        <v>1885</v>
      </c>
      <c r="BA629" s="15" t="s">
        <v>1843</v>
      </c>
      <c r="BC629" s="14">
        <f>AW629+AX629</f>
        <v>0</v>
      </c>
      <c r="BD629" s="14">
        <f>H629/(100-BE629)*100</f>
        <v>0</v>
      </c>
      <c r="BE629" s="14">
        <v>0</v>
      </c>
      <c r="BF629" s="14">
        <f>O629</f>
        <v>6.4415999999999987E-2</v>
      </c>
      <c r="BH629" s="14">
        <f>G629*AO629</f>
        <v>0</v>
      </c>
      <c r="BI629" s="14">
        <f>G629*AP629</f>
        <v>0</v>
      </c>
      <c r="BJ629" s="14">
        <f>G629*H629</f>
        <v>0</v>
      </c>
      <c r="BK629" s="14"/>
      <c r="BL629" s="14">
        <v>771</v>
      </c>
      <c r="BW629" s="14" t="str">
        <f>I629</f>
        <v>21</v>
      </c>
    </row>
    <row r="630" spans="1:75" ht="15" customHeight="1">
      <c r="A630" s="32"/>
      <c r="D630" s="3" t="s">
        <v>2309</v>
      </c>
      <c r="E630" s="28" t="s">
        <v>1683</v>
      </c>
      <c r="G630" s="27">
        <v>26.400000000000002</v>
      </c>
      <c r="P630" s="33"/>
    </row>
    <row r="631" spans="1:75" ht="13.5" customHeight="1">
      <c r="A631" s="20" t="s">
        <v>395</v>
      </c>
      <c r="B631" s="84" t="s">
        <v>1842</v>
      </c>
      <c r="C631" s="84" t="s">
        <v>1052</v>
      </c>
      <c r="D631" s="653" t="s">
        <v>1265</v>
      </c>
      <c r="E631" s="654"/>
      <c r="F631" s="84" t="s">
        <v>2398</v>
      </c>
      <c r="G631" s="6">
        <v>9</v>
      </c>
      <c r="H631" s="570"/>
      <c r="I631" s="18" t="s">
        <v>1720</v>
      </c>
      <c r="J631" s="6">
        <f>G631*AO631</f>
        <v>0</v>
      </c>
      <c r="K631" s="6">
        <f>G631*AP631</f>
        <v>0</v>
      </c>
      <c r="L631" s="6">
        <f>G631*H631</f>
        <v>0</v>
      </c>
      <c r="M631" s="6">
        <f>L631*(1+BW631/100)</f>
        <v>0</v>
      </c>
      <c r="N631" s="6">
        <v>1.9199999999999998E-2</v>
      </c>
      <c r="O631" s="6">
        <f>G631*N631</f>
        <v>0.17279999999999998</v>
      </c>
      <c r="P631" s="109" t="s">
        <v>1664</v>
      </c>
      <c r="Z631" s="14">
        <f>IF(AQ631="5",BJ631,0)</f>
        <v>0</v>
      </c>
      <c r="AB631" s="14">
        <f>IF(AQ631="1",BH631,0)</f>
        <v>0</v>
      </c>
      <c r="AC631" s="14">
        <f>IF(AQ631="1",BI631,0)</f>
        <v>0</v>
      </c>
      <c r="AD631" s="14">
        <f>IF(AQ631="7",BH631,0)</f>
        <v>0</v>
      </c>
      <c r="AE631" s="14">
        <f>IF(AQ631="7",BI631,0)</f>
        <v>0</v>
      </c>
      <c r="AF631" s="14">
        <f>IF(AQ631="2",BH631,0)</f>
        <v>0</v>
      </c>
      <c r="AG631" s="14">
        <f>IF(AQ631="2",BI631,0)</f>
        <v>0</v>
      </c>
      <c r="AH631" s="14">
        <f>IF(AQ631="0",BJ631,0)</f>
        <v>0</v>
      </c>
      <c r="AI631" s="15" t="s">
        <v>1842</v>
      </c>
      <c r="AJ631" s="6">
        <f>IF(AN631=0,L631,0)</f>
        <v>0</v>
      </c>
      <c r="AK631" s="6">
        <f>IF(AN631=15,L631,0)</f>
        <v>0</v>
      </c>
      <c r="AL631" s="6">
        <f>IF(AN631=21,L631,0)</f>
        <v>0</v>
      </c>
      <c r="AN631" s="14">
        <v>21</v>
      </c>
      <c r="AO631" s="92">
        <f>H631*1</f>
        <v>0</v>
      </c>
      <c r="AP631" s="92">
        <f>H631*(1-1)</f>
        <v>0</v>
      </c>
      <c r="AQ631" s="18" t="s">
        <v>2435</v>
      </c>
      <c r="AV631" s="14">
        <f>AW631+AX631</f>
        <v>0</v>
      </c>
      <c r="AW631" s="14">
        <f>G631*AO631</f>
        <v>0</v>
      </c>
      <c r="AX631" s="14">
        <f>G631*AP631</f>
        <v>0</v>
      </c>
      <c r="AY631" s="55" t="s">
        <v>2490</v>
      </c>
      <c r="AZ631" s="55" t="s">
        <v>1885</v>
      </c>
      <c r="BA631" s="15" t="s">
        <v>1843</v>
      </c>
      <c r="BC631" s="14">
        <f>AW631+AX631</f>
        <v>0</v>
      </c>
      <c r="BD631" s="14">
        <f>H631/(100-BE631)*100</f>
        <v>0</v>
      </c>
      <c r="BE631" s="14">
        <v>0</v>
      </c>
      <c r="BF631" s="14">
        <f>O631</f>
        <v>0.17279999999999998</v>
      </c>
      <c r="BH631" s="6">
        <f>G631*AO631</f>
        <v>0</v>
      </c>
      <c r="BI631" s="6">
        <f>G631*AP631</f>
        <v>0</v>
      </c>
      <c r="BJ631" s="6">
        <f>G631*H631</f>
        <v>0</v>
      </c>
      <c r="BK631" s="6"/>
      <c r="BL631" s="14">
        <v>771</v>
      </c>
      <c r="BW631" s="14" t="str">
        <f>I631</f>
        <v>21</v>
      </c>
    </row>
    <row r="632" spans="1:75" ht="15" customHeight="1">
      <c r="A632" s="32"/>
      <c r="D632" s="3" t="s">
        <v>922</v>
      </c>
      <c r="E632" s="28" t="s">
        <v>1683</v>
      </c>
      <c r="G632" s="27">
        <v>9</v>
      </c>
      <c r="P632" s="33"/>
    </row>
    <row r="633" spans="1:75" ht="13.5" customHeight="1">
      <c r="A633" s="21" t="s">
        <v>1158</v>
      </c>
      <c r="B633" s="37" t="s">
        <v>1842</v>
      </c>
      <c r="C633" s="37" t="s">
        <v>571</v>
      </c>
      <c r="D633" s="578" t="s">
        <v>2191</v>
      </c>
      <c r="E633" s="579"/>
      <c r="F633" s="37" t="s">
        <v>2019</v>
      </c>
      <c r="G633" s="14">
        <v>26.4</v>
      </c>
      <c r="H633" s="569"/>
      <c r="I633" s="55" t="s">
        <v>1720</v>
      </c>
      <c r="J633" s="14">
        <f>G633*AO633</f>
        <v>0</v>
      </c>
      <c r="K633" s="14">
        <f>G633*AP633</f>
        <v>0</v>
      </c>
      <c r="L633" s="14">
        <f>G633*H633</f>
        <v>0</v>
      </c>
      <c r="M633" s="14">
        <f>L633*(1+BW633/100)</f>
        <v>0</v>
      </c>
      <c r="N633" s="14">
        <v>2.0200000000000001E-3</v>
      </c>
      <c r="O633" s="14">
        <f>G633*N633</f>
        <v>5.3328E-2</v>
      </c>
      <c r="P633" s="72" t="s">
        <v>1664</v>
      </c>
      <c r="Z633" s="14">
        <f>IF(AQ633="5",BJ633,0)</f>
        <v>0</v>
      </c>
      <c r="AB633" s="14">
        <f>IF(AQ633="1",BH633,0)</f>
        <v>0</v>
      </c>
      <c r="AC633" s="14">
        <f>IF(AQ633="1",BI633,0)</f>
        <v>0</v>
      </c>
      <c r="AD633" s="14">
        <f>IF(AQ633="7",BH633,0)</f>
        <v>0</v>
      </c>
      <c r="AE633" s="14">
        <f>IF(AQ633="7",BI633,0)</f>
        <v>0</v>
      </c>
      <c r="AF633" s="14">
        <f>IF(AQ633="2",BH633,0)</f>
        <v>0</v>
      </c>
      <c r="AG633" s="14">
        <f>IF(AQ633="2",BI633,0)</f>
        <v>0</v>
      </c>
      <c r="AH633" s="14">
        <f>IF(AQ633="0",BJ633,0)</f>
        <v>0</v>
      </c>
      <c r="AI633" s="15" t="s">
        <v>1842</v>
      </c>
      <c r="AJ633" s="14">
        <f>IF(AN633=0,L633,0)</f>
        <v>0</v>
      </c>
      <c r="AK633" s="14">
        <f>IF(AN633=15,L633,0)</f>
        <v>0</v>
      </c>
      <c r="AL633" s="14">
        <f>IF(AN633=21,L633,0)</f>
        <v>0</v>
      </c>
      <c r="AN633" s="14">
        <v>21</v>
      </c>
      <c r="AO633" s="92">
        <f>H633*0.479417879417879</f>
        <v>0</v>
      </c>
      <c r="AP633" s="92">
        <f>H633*(1-0.479417879417879)</f>
        <v>0</v>
      </c>
      <c r="AQ633" s="55" t="s">
        <v>2435</v>
      </c>
      <c r="AV633" s="14">
        <f>AW633+AX633</f>
        <v>0</v>
      </c>
      <c r="AW633" s="14">
        <f>G633*AO633</f>
        <v>0</v>
      </c>
      <c r="AX633" s="14">
        <f>G633*AP633</f>
        <v>0</v>
      </c>
      <c r="AY633" s="55" t="s">
        <v>2490</v>
      </c>
      <c r="AZ633" s="55" t="s">
        <v>1885</v>
      </c>
      <c r="BA633" s="15" t="s">
        <v>1843</v>
      </c>
      <c r="BC633" s="14">
        <f>AW633+AX633</f>
        <v>0</v>
      </c>
      <c r="BD633" s="14">
        <f>H633/(100-BE633)*100</f>
        <v>0</v>
      </c>
      <c r="BE633" s="14">
        <v>0</v>
      </c>
      <c r="BF633" s="14">
        <f>O633</f>
        <v>5.3328E-2</v>
      </c>
      <c r="BH633" s="14">
        <f>G633*AO633</f>
        <v>0</v>
      </c>
      <c r="BI633" s="14">
        <f>G633*AP633</f>
        <v>0</v>
      </c>
      <c r="BJ633" s="14">
        <f>G633*H633</f>
        <v>0</v>
      </c>
      <c r="BK633" s="14"/>
      <c r="BL633" s="14">
        <v>771</v>
      </c>
      <c r="BW633" s="14" t="str">
        <f>I633</f>
        <v>21</v>
      </c>
    </row>
    <row r="634" spans="1:75" ht="15" customHeight="1">
      <c r="A634" s="32"/>
      <c r="D634" s="3" t="s">
        <v>2309</v>
      </c>
      <c r="E634" s="28" t="s">
        <v>1683</v>
      </c>
      <c r="G634" s="27">
        <v>26.400000000000002</v>
      </c>
      <c r="P634" s="33"/>
    </row>
    <row r="635" spans="1:75" ht="13.5" customHeight="1">
      <c r="A635" s="20" t="s">
        <v>2715</v>
      </c>
      <c r="B635" s="84" t="s">
        <v>1842</v>
      </c>
      <c r="C635" s="84" t="s">
        <v>1052</v>
      </c>
      <c r="D635" s="653" t="s">
        <v>1265</v>
      </c>
      <c r="E635" s="654"/>
      <c r="F635" s="84" t="s">
        <v>2398</v>
      </c>
      <c r="G635" s="6">
        <v>6</v>
      </c>
      <c r="H635" s="570"/>
      <c r="I635" s="18" t="s">
        <v>1720</v>
      </c>
      <c r="J635" s="6">
        <f>G635*AO635</f>
        <v>0</v>
      </c>
      <c r="K635" s="6">
        <f>G635*AP635</f>
        <v>0</v>
      </c>
      <c r="L635" s="6">
        <f>G635*H635</f>
        <v>0</v>
      </c>
      <c r="M635" s="6">
        <f>L635*(1+BW635/100)</f>
        <v>0</v>
      </c>
      <c r="N635" s="6">
        <v>1.9199999999999998E-2</v>
      </c>
      <c r="O635" s="6">
        <f>G635*N635</f>
        <v>0.1152</v>
      </c>
      <c r="P635" s="109" t="s">
        <v>1664</v>
      </c>
      <c r="Z635" s="14">
        <f>IF(AQ635="5",BJ635,0)</f>
        <v>0</v>
      </c>
      <c r="AB635" s="14">
        <f>IF(AQ635="1",BH635,0)</f>
        <v>0</v>
      </c>
      <c r="AC635" s="14">
        <f>IF(AQ635="1",BI635,0)</f>
        <v>0</v>
      </c>
      <c r="AD635" s="14">
        <f>IF(AQ635="7",BH635,0)</f>
        <v>0</v>
      </c>
      <c r="AE635" s="14">
        <f>IF(AQ635="7",BI635,0)</f>
        <v>0</v>
      </c>
      <c r="AF635" s="14">
        <f>IF(AQ635="2",BH635,0)</f>
        <v>0</v>
      </c>
      <c r="AG635" s="14">
        <f>IF(AQ635="2",BI635,0)</f>
        <v>0</v>
      </c>
      <c r="AH635" s="14">
        <f>IF(AQ635="0",BJ635,0)</f>
        <v>0</v>
      </c>
      <c r="AI635" s="15" t="s">
        <v>1842</v>
      </c>
      <c r="AJ635" s="6">
        <f>IF(AN635=0,L635,0)</f>
        <v>0</v>
      </c>
      <c r="AK635" s="6">
        <f>IF(AN635=15,L635,0)</f>
        <v>0</v>
      </c>
      <c r="AL635" s="6">
        <f>IF(AN635=21,L635,0)</f>
        <v>0</v>
      </c>
      <c r="AN635" s="14">
        <v>21</v>
      </c>
      <c r="AO635" s="92">
        <f>H635*1</f>
        <v>0</v>
      </c>
      <c r="AP635" s="92">
        <f>H635*(1-1)</f>
        <v>0</v>
      </c>
      <c r="AQ635" s="18" t="s">
        <v>2435</v>
      </c>
      <c r="AV635" s="14">
        <f>AW635+AX635</f>
        <v>0</v>
      </c>
      <c r="AW635" s="14">
        <f>G635*AO635</f>
        <v>0</v>
      </c>
      <c r="AX635" s="14">
        <f>G635*AP635</f>
        <v>0</v>
      </c>
      <c r="AY635" s="55" t="s">
        <v>2490</v>
      </c>
      <c r="AZ635" s="55" t="s">
        <v>1885</v>
      </c>
      <c r="BA635" s="15" t="s">
        <v>1843</v>
      </c>
      <c r="BC635" s="14">
        <f>AW635+AX635</f>
        <v>0</v>
      </c>
      <c r="BD635" s="14">
        <f>H635/(100-BE635)*100</f>
        <v>0</v>
      </c>
      <c r="BE635" s="14">
        <v>0</v>
      </c>
      <c r="BF635" s="14">
        <f>O635</f>
        <v>0.1152</v>
      </c>
      <c r="BH635" s="6">
        <f>G635*AO635</f>
        <v>0</v>
      </c>
      <c r="BI635" s="6">
        <f>G635*AP635</f>
        <v>0</v>
      </c>
      <c r="BJ635" s="6">
        <f>G635*H635</f>
        <v>0</v>
      </c>
      <c r="BK635" s="6"/>
      <c r="BL635" s="14">
        <v>771</v>
      </c>
      <c r="BW635" s="14" t="str">
        <f>I635</f>
        <v>21</v>
      </c>
    </row>
    <row r="636" spans="1:75" ht="15" customHeight="1">
      <c r="A636" s="32"/>
      <c r="D636" s="3" t="s">
        <v>408</v>
      </c>
      <c r="E636" s="28" t="s">
        <v>1683</v>
      </c>
      <c r="G636" s="27">
        <v>6.0000000000000009</v>
      </c>
      <c r="P636" s="33"/>
    </row>
    <row r="637" spans="1:75" ht="27" customHeight="1">
      <c r="A637" s="21" t="s">
        <v>2611</v>
      </c>
      <c r="B637" s="37" t="s">
        <v>1842</v>
      </c>
      <c r="C637" s="37" t="s">
        <v>2544</v>
      </c>
      <c r="D637" s="578" t="s">
        <v>795</v>
      </c>
      <c r="E637" s="579"/>
      <c r="F637" s="37" t="s">
        <v>2019</v>
      </c>
      <c r="G637" s="14">
        <v>24</v>
      </c>
      <c r="H637" s="569"/>
      <c r="I637" s="55" t="s">
        <v>1720</v>
      </c>
      <c r="J637" s="14">
        <f>G637*AO637</f>
        <v>0</v>
      </c>
      <c r="K637" s="14">
        <f>G637*AP637</f>
        <v>0</v>
      </c>
      <c r="L637" s="14">
        <f>G637*H637</f>
        <v>0</v>
      </c>
      <c r="M637" s="14">
        <f>L637*(1+BW637/100)</f>
        <v>0</v>
      </c>
      <c r="N637" s="14">
        <v>3.2000000000000003E-4</v>
      </c>
      <c r="O637" s="14">
        <f>G637*N637</f>
        <v>7.6800000000000011E-3</v>
      </c>
      <c r="P637" s="72" t="s">
        <v>921</v>
      </c>
      <c r="Z637" s="14">
        <f>IF(AQ637="5",BJ637,0)</f>
        <v>0</v>
      </c>
      <c r="AB637" s="14">
        <f>IF(AQ637="1",BH637,0)</f>
        <v>0</v>
      </c>
      <c r="AC637" s="14">
        <f>IF(AQ637="1",BI637,0)</f>
        <v>0</v>
      </c>
      <c r="AD637" s="14">
        <f>IF(AQ637="7",BH637,0)</f>
        <v>0</v>
      </c>
      <c r="AE637" s="14">
        <f>IF(AQ637="7",BI637,0)</f>
        <v>0</v>
      </c>
      <c r="AF637" s="14">
        <f>IF(AQ637="2",BH637,0)</f>
        <v>0</v>
      </c>
      <c r="AG637" s="14">
        <f>IF(AQ637="2",BI637,0)</f>
        <v>0</v>
      </c>
      <c r="AH637" s="14">
        <f>IF(AQ637="0",BJ637,0)</f>
        <v>0</v>
      </c>
      <c r="AI637" s="15" t="s">
        <v>1842</v>
      </c>
      <c r="AJ637" s="14">
        <f>IF(AN637=0,L637,0)</f>
        <v>0</v>
      </c>
      <c r="AK637" s="14">
        <f>IF(AN637=15,L637,0)</f>
        <v>0</v>
      </c>
      <c r="AL637" s="14">
        <f>IF(AN637=21,L637,0)</f>
        <v>0</v>
      </c>
      <c r="AN637" s="14">
        <v>21</v>
      </c>
      <c r="AO637" s="92">
        <f>H637*0.0512135922330097</f>
        <v>0</v>
      </c>
      <c r="AP637" s="92">
        <f>H637*(1-0.0512135922330097)</f>
        <v>0</v>
      </c>
      <c r="AQ637" s="55" t="s">
        <v>2435</v>
      </c>
      <c r="AV637" s="14">
        <f>AW637+AX637</f>
        <v>0</v>
      </c>
      <c r="AW637" s="14">
        <f>G637*AO637</f>
        <v>0</v>
      </c>
      <c r="AX637" s="14">
        <f>G637*AP637</f>
        <v>0</v>
      </c>
      <c r="AY637" s="55" t="s">
        <v>2490</v>
      </c>
      <c r="AZ637" s="55" t="s">
        <v>1885</v>
      </c>
      <c r="BA637" s="15" t="s">
        <v>1843</v>
      </c>
      <c r="BC637" s="14">
        <f>AW637+AX637</f>
        <v>0</v>
      </c>
      <c r="BD637" s="14">
        <f>H637/(100-BE637)*100</f>
        <v>0</v>
      </c>
      <c r="BE637" s="14">
        <v>0</v>
      </c>
      <c r="BF637" s="14">
        <f>O637</f>
        <v>7.6800000000000011E-3</v>
      </c>
      <c r="BH637" s="14">
        <f>G637*AO637</f>
        <v>0</v>
      </c>
      <c r="BI637" s="14">
        <f>G637*AP637</f>
        <v>0</v>
      </c>
      <c r="BJ637" s="14">
        <f>G637*H637</f>
        <v>0</v>
      </c>
      <c r="BK637" s="14"/>
      <c r="BL637" s="14">
        <v>771</v>
      </c>
      <c r="BW637" s="14" t="str">
        <f>I637</f>
        <v>21</v>
      </c>
    </row>
    <row r="638" spans="1:75" ht="15" customHeight="1">
      <c r="A638" s="32"/>
      <c r="D638" s="3" t="s">
        <v>2339</v>
      </c>
      <c r="E638" s="28" t="s">
        <v>1683</v>
      </c>
      <c r="G638" s="27">
        <v>24.000000000000004</v>
      </c>
      <c r="P638" s="33"/>
    </row>
    <row r="639" spans="1:75" ht="13.5" customHeight="1">
      <c r="A639" s="20" t="s">
        <v>1144</v>
      </c>
      <c r="B639" s="84" t="s">
        <v>1842</v>
      </c>
      <c r="C639" s="84" t="s">
        <v>1052</v>
      </c>
      <c r="D639" s="653" t="s">
        <v>1265</v>
      </c>
      <c r="E639" s="654"/>
      <c r="F639" s="84" t="s">
        <v>2398</v>
      </c>
      <c r="G639" s="6">
        <v>8</v>
      </c>
      <c r="H639" s="570"/>
      <c r="I639" s="18" t="s">
        <v>1720</v>
      </c>
      <c r="J639" s="6">
        <f>G639*AO639</f>
        <v>0</v>
      </c>
      <c r="K639" s="6">
        <f>G639*AP639</f>
        <v>0</v>
      </c>
      <c r="L639" s="6">
        <f>G639*H639</f>
        <v>0</v>
      </c>
      <c r="M639" s="6">
        <f>L639*(1+BW639/100)</f>
        <v>0</v>
      </c>
      <c r="N639" s="6">
        <v>1.9199999999999998E-2</v>
      </c>
      <c r="O639" s="6">
        <f>G639*N639</f>
        <v>0.15359999999999999</v>
      </c>
      <c r="P639" s="109" t="s">
        <v>1664</v>
      </c>
      <c r="Z639" s="14">
        <f>IF(AQ639="5",BJ639,0)</f>
        <v>0</v>
      </c>
      <c r="AB639" s="14">
        <f>IF(AQ639="1",BH639,0)</f>
        <v>0</v>
      </c>
      <c r="AC639" s="14">
        <f>IF(AQ639="1",BI639,0)</f>
        <v>0</v>
      </c>
      <c r="AD639" s="14">
        <f>IF(AQ639="7",BH639,0)</f>
        <v>0</v>
      </c>
      <c r="AE639" s="14">
        <f>IF(AQ639="7",BI639,0)</f>
        <v>0</v>
      </c>
      <c r="AF639" s="14">
        <f>IF(AQ639="2",BH639,0)</f>
        <v>0</v>
      </c>
      <c r="AG639" s="14">
        <f>IF(AQ639="2",BI639,0)</f>
        <v>0</v>
      </c>
      <c r="AH639" s="14">
        <f>IF(AQ639="0",BJ639,0)</f>
        <v>0</v>
      </c>
      <c r="AI639" s="15" t="s">
        <v>1842</v>
      </c>
      <c r="AJ639" s="6">
        <f>IF(AN639=0,L639,0)</f>
        <v>0</v>
      </c>
      <c r="AK639" s="6">
        <f>IF(AN639=15,L639,0)</f>
        <v>0</v>
      </c>
      <c r="AL639" s="6">
        <f>IF(AN639=21,L639,0)</f>
        <v>0</v>
      </c>
      <c r="AN639" s="14">
        <v>21</v>
      </c>
      <c r="AO639" s="92">
        <f>H639*1</f>
        <v>0</v>
      </c>
      <c r="AP639" s="92">
        <f>H639*(1-1)</f>
        <v>0</v>
      </c>
      <c r="AQ639" s="18" t="s">
        <v>2435</v>
      </c>
      <c r="AV639" s="14">
        <f>AW639+AX639</f>
        <v>0</v>
      </c>
      <c r="AW639" s="14">
        <f>G639*AO639</f>
        <v>0</v>
      </c>
      <c r="AX639" s="14">
        <f>G639*AP639</f>
        <v>0</v>
      </c>
      <c r="AY639" s="55" t="s">
        <v>2490</v>
      </c>
      <c r="AZ639" s="55" t="s">
        <v>1885</v>
      </c>
      <c r="BA639" s="15" t="s">
        <v>1843</v>
      </c>
      <c r="BC639" s="14">
        <f>AW639+AX639</f>
        <v>0</v>
      </c>
      <c r="BD639" s="14">
        <f>H639/(100-BE639)*100</f>
        <v>0</v>
      </c>
      <c r="BE639" s="14">
        <v>0</v>
      </c>
      <c r="BF639" s="14">
        <f>O639</f>
        <v>0.15359999999999999</v>
      </c>
      <c r="BH639" s="6">
        <f>G639*AO639</f>
        <v>0</v>
      </c>
      <c r="BI639" s="6">
        <f>G639*AP639</f>
        <v>0</v>
      </c>
      <c r="BJ639" s="6">
        <f>G639*H639</f>
        <v>0</v>
      </c>
      <c r="BK639" s="6"/>
      <c r="BL639" s="14">
        <v>771</v>
      </c>
      <c r="BW639" s="14" t="str">
        <f>I639</f>
        <v>21</v>
      </c>
    </row>
    <row r="640" spans="1:75" ht="15" customHeight="1">
      <c r="A640" s="32"/>
      <c r="D640" s="3" t="s">
        <v>1924</v>
      </c>
      <c r="E640" s="28" t="s">
        <v>1683</v>
      </c>
      <c r="G640" s="27">
        <v>8</v>
      </c>
      <c r="P640" s="33"/>
    </row>
    <row r="641" spans="1:75" ht="15" customHeight="1">
      <c r="A641" s="65" t="s">
        <v>1683</v>
      </c>
      <c r="B641" s="26" t="s">
        <v>1842</v>
      </c>
      <c r="C641" s="26" t="s">
        <v>896</v>
      </c>
      <c r="D641" s="649" t="s">
        <v>286</v>
      </c>
      <c r="E641" s="650"/>
      <c r="F641" s="74" t="s">
        <v>2262</v>
      </c>
      <c r="G641" s="74" t="s">
        <v>2262</v>
      </c>
      <c r="H641" s="74" t="s">
        <v>2262</v>
      </c>
      <c r="I641" s="74" t="s">
        <v>2262</v>
      </c>
      <c r="J641" s="2">
        <f>SUM(J642:J645)</f>
        <v>0</v>
      </c>
      <c r="K641" s="2">
        <f>SUM(K642:K645)</f>
        <v>0</v>
      </c>
      <c r="L641" s="2">
        <f>SUM(L642:L645)</f>
        <v>0</v>
      </c>
      <c r="M641" s="2">
        <f>SUM(M642:M645)</f>
        <v>0</v>
      </c>
      <c r="N641" s="15" t="s">
        <v>1683</v>
      </c>
      <c r="O641" s="2">
        <f>SUM(O642:O645)</f>
        <v>5.3686885000000002</v>
      </c>
      <c r="P641" s="47" t="s">
        <v>1683</v>
      </c>
      <c r="AI641" s="15" t="s">
        <v>1842</v>
      </c>
      <c r="AS641" s="2">
        <f>SUM(AJ642:AJ645)</f>
        <v>0</v>
      </c>
      <c r="AT641" s="2">
        <f>SUM(AK642:AK645)</f>
        <v>0</v>
      </c>
      <c r="AU641" s="2">
        <f>SUM(AL642:AL645)</f>
        <v>0</v>
      </c>
    </row>
    <row r="642" spans="1:75" ht="27" customHeight="1">
      <c r="A642" s="21" t="s">
        <v>2594</v>
      </c>
      <c r="B642" s="37" t="s">
        <v>1842</v>
      </c>
      <c r="C642" s="37" t="s">
        <v>105</v>
      </c>
      <c r="D642" s="578" t="s">
        <v>1461</v>
      </c>
      <c r="E642" s="579"/>
      <c r="F642" s="37" t="s">
        <v>2398</v>
      </c>
      <c r="G642" s="14">
        <v>301.95</v>
      </c>
      <c r="H642" s="569"/>
      <c r="I642" s="55" t="s">
        <v>1720</v>
      </c>
      <c r="J642" s="14">
        <f>G642*AO642</f>
        <v>0</v>
      </c>
      <c r="K642" s="14">
        <f>G642*AP642</f>
        <v>0</v>
      </c>
      <c r="L642" s="14">
        <f>G642*H642</f>
        <v>0</v>
      </c>
      <c r="M642" s="14">
        <f>L642*(1+BW642/100)</f>
        <v>0</v>
      </c>
      <c r="N642" s="14">
        <v>1.7430000000000001E-2</v>
      </c>
      <c r="O642" s="14">
        <f>G642*N642</f>
        <v>5.2629885000000005</v>
      </c>
      <c r="P642" s="72" t="s">
        <v>1664</v>
      </c>
      <c r="Z642" s="14">
        <f>IF(AQ642="5",BJ642,0)</f>
        <v>0</v>
      </c>
      <c r="AB642" s="14">
        <f>IF(AQ642="1",BH642,0)</f>
        <v>0</v>
      </c>
      <c r="AC642" s="14">
        <f>IF(AQ642="1",BI642,0)</f>
        <v>0</v>
      </c>
      <c r="AD642" s="14">
        <f>IF(AQ642="7",BH642,0)</f>
        <v>0</v>
      </c>
      <c r="AE642" s="14">
        <f>IF(AQ642="7",BI642,0)</f>
        <v>0</v>
      </c>
      <c r="AF642" s="14">
        <f>IF(AQ642="2",BH642,0)</f>
        <v>0</v>
      </c>
      <c r="AG642" s="14">
        <f>IF(AQ642="2",BI642,0)</f>
        <v>0</v>
      </c>
      <c r="AH642" s="14">
        <f>IF(AQ642="0",BJ642,0)</f>
        <v>0</v>
      </c>
      <c r="AI642" s="15" t="s">
        <v>1842</v>
      </c>
      <c r="AJ642" s="14">
        <f>IF(AN642=0,L642,0)</f>
        <v>0</v>
      </c>
      <c r="AK642" s="14">
        <f>IF(AN642=15,L642,0)</f>
        <v>0</v>
      </c>
      <c r="AL642" s="14">
        <f>IF(AN642=21,L642,0)</f>
        <v>0</v>
      </c>
      <c r="AN642" s="14">
        <v>21</v>
      </c>
      <c r="AO642" s="92">
        <f>H642*0.75926638917794</f>
        <v>0</v>
      </c>
      <c r="AP642" s="92">
        <f>H642*(1-0.75926638917794)</f>
        <v>0</v>
      </c>
      <c r="AQ642" s="55" t="s">
        <v>2435</v>
      </c>
      <c r="AV642" s="14">
        <f>AW642+AX642</f>
        <v>0</v>
      </c>
      <c r="AW642" s="14">
        <f>G642*AO642</f>
        <v>0</v>
      </c>
      <c r="AX642" s="14">
        <f>G642*AP642</f>
        <v>0</v>
      </c>
      <c r="AY642" s="55" t="s">
        <v>1914</v>
      </c>
      <c r="AZ642" s="55" t="s">
        <v>1885</v>
      </c>
      <c r="BA642" s="15" t="s">
        <v>1843</v>
      </c>
      <c r="BC642" s="14">
        <f>AW642+AX642</f>
        <v>0</v>
      </c>
      <c r="BD642" s="14">
        <f>H642/(100-BE642)*100</f>
        <v>0</v>
      </c>
      <c r="BE642" s="14">
        <v>0</v>
      </c>
      <c r="BF642" s="14">
        <f>O642</f>
        <v>5.2629885000000005</v>
      </c>
      <c r="BH642" s="14">
        <f>G642*AO642</f>
        <v>0</v>
      </c>
      <c r="BI642" s="14">
        <f>G642*AP642</f>
        <v>0</v>
      </c>
      <c r="BJ642" s="14">
        <f>G642*H642</f>
        <v>0</v>
      </c>
      <c r="BK642" s="14"/>
      <c r="BL642" s="14">
        <v>775</v>
      </c>
      <c r="BW642" s="14" t="str">
        <f>I642</f>
        <v>21</v>
      </c>
    </row>
    <row r="643" spans="1:75" ht="15" customHeight="1">
      <c r="A643" s="32"/>
      <c r="D643" s="3" t="s">
        <v>912</v>
      </c>
      <c r="E643" s="28" t="s">
        <v>280</v>
      </c>
      <c r="G643" s="27">
        <v>274.5</v>
      </c>
      <c r="P643" s="33"/>
    </row>
    <row r="644" spans="1:75" ht="15" customHeight="1">
      <c r="A644" s="32"/>
      <c r="D644" s="3" t="s">
        <v>2148</v>
      </c>
      <c r="E644" s="28" t="s">
        <v>1683</v>
      </c>
      <c r="G644" s="27">
        <v>27.450000000000003</v>
      </c>
      <c r="P644" s="33"/>
    </row>
    <row r="645" spans="1:75" ht="13.5" customHeight="1">
      <c r="A645" s="21" t="s">
        <v>1308</v>
      </c>
      <c r="B645" s="37" t="s">
        <v>1842</v>
      </c>
      <c r="C645" s="37" t="s">
        <v>2641</v>
      </c>
      <c r="D645" s="578" t="s">
        <v>482</v>
      </c>
      <c r="E645" s="579"/>
      <c r="F645" s="37" t="s">
        <v>2398</v>
      </c>
      <c r="G645" s="14">
        <v>302</v>
      </c>
      <c r="H645" s="569"/>
      <c r="I645" s="55" t="s">
        <v>1720</v>
      </c>
      <c r="J645" s="14">
        <f>G645*AO645</f>
        <v>0</v>
      </c>
      <c r="K645" s="14">
        <f>G645*AP645</f>
        <v>0</v>
      </c>
      <c r="L645" s="14">
        <f>G645*H645</f>
        <v>0</v>
      </c>
      <c r="M645" s="14">
        <f>L645*(1+BW645/100)</f>
        <v>0</v>
      </c>
      <c r="N645" s="14">
        <v>3.5E-4</v>
      </c>
      <c r="O645" s="14">
        <f>G645*N645</f>
        <v>0.1057</v>
      </c>
      <c r="P645" s="72" t="s">
        <v>1664</v>
      </c>
      <c r="Z645" s="14">
        <f>IF(AQ645="5",BJ645,0)</f>
        <v>0</v>
      </c>
      <c r="AB645" s="14">
        <f>IF(AQ645="1",BH645,0)</f>
        <v>0</v>
      </c>
      <c r="AC645" s="14">
        <f>IF(AQ645="1",BI645,0)</f>
        <v>0</v>
      </c>
      <c r="AD645" s="14">
        <f>IF(AQ645="7",BH645,0)</f>
        <v>0</v>
      </c>
      <c r="AE645" s="14">
        <f>IF(AQ645="7",BI645,0)</f>
        <v>0</v>
      </c>
      <c r="AF645" s="14">
        <f>IF(AQ645="2",BH645,0)</f>
        <v>0</v>
      </c>
      <c r="AG645" s="14">
        <f>IF(AQ645="2",BI645,0)</f>
        <v>0</v>
      </c>
      <c r="AH645" s="14">
        <f>IF(AQ645="0",BJ645,0)</f>
        <v>0</v>
      </c>
      <c r="AI645" s="15" t="s">
        <v>1842</v>
      </c>
      <c r="AJ645" s="14">
        <f>IF(AN645=0,L645,0)</f>
        <v>0</v>
      </c>
      <c r="AK645" s="14">
        <f>IF(AN645=15,L645,0)</f>
        <v>0</v>
      </c>
      <c r="AL645" s="14">
        <f>IF(AN645=21,L645,0)</f>
        <v>0</v>
      </c>
      <c r="AN645" s="14">
        <v>21</v>
      </c>
      <c r="AO645" s="92">
        <f>H645*0.454474637681159</f>
        <v>0</v>
      </c>
      <c r="AP645" s="92">
        <f>H645*(1-0.454474637681159)</f>
        <v>0</v>
      </c>
      <c r="AQ645" s="55" t="s">
        <v>2435</v>
      </c>
      <c r="AV645" s="14">
        <f>AW645+AX645</f>
        <v>0</v>
      </c>
      <c r="AW645" s="14">
        <f>G645*AO645</f>
        <v>0</v>
      </c>
      <c r="AX645" s="14">
        <f>G645*AP645</f>
        <v>0</v>
      </c>
      <c r="AY645" s="55" t="s">
        <v>1914</v>
      </c>
      <c r="AZ645" s="55" t="s">
        <v>1885</v>
      </c>
      <c r="BA645" s="15" t="s">
        <v>1843</v>
      </c>
      <c r="BC645" s="14">
        <f>AW645+AX645</f>
        <v>0</v>
      </c>
      <c r="BD645" s="14">
        <f>H645/(100-BE645)*100</f>
        <v>0</v>
      </c>
      <c r="BE645" s="14">
        <v>0</v>
      </c>
      <c r="BF645" s="14">
        <f>O645</f>
        <v>0.1057</v>
      </c>
      <c r="BH645" s="14">
        <f>G645*AO645</f>
        <v>0</v>
      </c>
      <c r="BI645" s="14">
        <f>G645*AP645</f>
        <v>0</v>
      </c>
      <c r="BJ645" s="14">
        <f>G645*H645</f>
        <v>0</v>
      </c>
      <c r="BK645" s="14"/>
      <c r="BL645" s="14">
        <v>775</v>
      </c>
      <c r="BW645" s="14" t="str">
        <f>I645</f>
        <v>21</v>
      </c>
    </row>
    <row r="646" spans="1:75" ht="15" customHeight="1">
      <c r="A646" s="32"/>
      <c r="D646" s="3" t="s">
        <v>1376</v>
      </c>
      <c r="E646" s="28" t="s">
        <v>1662</v>
      </c>
      <c r="G646" s="27">
        <v>302</v>
      </c>
      <c r="P646" s="33"/>
    </row>
    <row r="647" spans="1:75" ht="15" customHeight="1">
      <c r="A647" s="65" t="s">
        <v>1683</v>
      </c>
      <c r="B647" s="26" t="s">
        <v>1842</v>
      </c>
      <c r="C647" s="26" t="s">
        <v>2092</v>
      </c>
      <c r="D647" s="649" t="s">
        <v>2239</v>
      </c>
      <c r="E647" s="650"/>
      <c r="F647" s="74" t="s">
        <v>2262</v>
      </c>
      <c r="G647" s="74" t="s">
        <v>2262</v>
      </c>
      <c r="H647" s="74" t="s">
        <v>2262</v>
      </c>
      <c r="I647" s="74" t="s">
        <v>2262</v>
      </c>
      <c r="J647" s="2">
        <f>SUM(J648:J654)</f>
        <v>0</v>
      </c>
      <c r="K647" s="2">
        <f>SUM(K648:K654)</f>
        <v>0</v>
      </c>
      <c r="L647" s="2">
        <f>SUM(L648:L654)</f>
        <v>0</v>
      </c>
      <c r="M647" s="2">
        <f>SUM(M648:M654)</f>
        <v>0</v>
      </c>
      <c r="N647" s="15" t="s">
        <v>1683</v>
      </c>
      <c r="O647" s="2">
        <f>SUM(O648:O654)</f>
        <v>3.1224930000000004</v>
      </c>
      <c r="P647" s="47" t="s">
        <v>1683</v>
      </c>
      <c r="AI647" s="15" t="s">
        <v>1842</v>
      </c>
      <c r="AS647" s="2">
        <f>SUM(AJ648:AJ654)</f>
        <v>0</v>
      </c>
      <c r="AT647" s="2">
        <f>SUM(AK648:AK654)</f>
        <v>0</v>
      </c>
      <c r="AU647" s="2">
        <f>SUM(AL648:AL654)</f>
        <v>0</v>
      </c>
    </row>
    <row r="648" spans="1:75" ht="13.5" customHeight="1">
      <c r="A648" s="21" t="s">
        <v>1835</v>
      </c>
      <c r="B648" s="37" t="s">
        <v>1842</v>
      </c>
      <c r="C648" s="37" t="s">
        <v>1710</v>
      </c>
      <c r="D648" s="578" t="s">
        <v>309</v>
      </c>
      <c r="E648" s="579"/>
      <c r="F648" s="37" t="s">
        <v>2398</v>
      </c>
      <c r="G648" s="14">
        <v>440</v>
      </c>
      <c r="H648" s="569"/>
      <c r="I648" s="55" t="s">
        <v>1720</v>
      </c>
      <c r="J648" s="14">
        <f>G648*AO648</f>
        <v>0</v>
      </c>
      <c r="K648" s="14">
        <f>G648*AP648</f>
        <v>0</v>
      </c>
      <c r="L648" s="14">
        <f>G648*H648</f>
        <v>0</v>
      </c>
      <c r="M648" s="14">
        <f>L648*(1+BW648/100)</f>
        <v>0</v>
      </c>
      <c r="N648" s="14">
        <v>3.0000000000000001E-3</v>
      </c>
      <c r="O648" s="14">
        <f>G648*N648</f>
        <v>1.32</v>
      </c>
      <c r="P648" s="72" t="s">
        <v>1664</v>
      </c>
      <c r="Z648" s="14">
        <f>IF(AQ648="5",BJ648,0)</f>
        <v>0</v>
      </c>
      <c r="AB648" s="14">
        <f>IF(AQ648="1",BH648,0)</f>
        <v>0</v>
      </c>
      <c r="AC648" s="14">
        <f>IF(AQ648="1",BI648,0)</f>
        <v>0</v>
      </c>
      <c r="AD648" s="14">
        <f>IF(AQ648="7",BH648,0)</f>
        <v>0</v>
      </c>
      <c r="AE648" s="14">
        <f>IF(AQ648="7",BI648,0)</f>
        <v>0</v>
      </c>
      <c r="AF648" s="14">
        <f>IF(AQ648="2",BH648,0)</f>
        <v>0</v>
      </c>
      <c r="AG648" s="14">
        <f>IF(AQ648="2",BI648,0)</f>
        <v>0</v>
      </c>
      <c r="AH648" s="14">
        <f>IF(AQ648="0",BJ648,0)</f>
        <v>0</v>
      </c>
      <c r="AI648" s="15" t="s">
        <v>1842</v>
      </c>
      <c r="AJ648" s="14">
        <f>IF(AN648=0,L648,0)</f>
        <v>0</v>
      </c>
      <c r="AK648" s="14">
        <f>IF(AN648=15,L648,0)</f>
        <v>0</v>
      </c>
      <c r="AL648" s="14">
        <f>IF(AN648=21,L648,0)</f>
        <v>0</v>
      </c>
      <c r="AN648" s="14">
        <v>21</v>
      </c>
      <c r="AO648" s="92">
        <f>H648*0.227472527472527</f>
        <v>0</v>
      </c>
      <c r="AP648" s="92">
        <f>H648*(1-0.227472527472527)</f>
        <v>0</v>
      </c>
      <c r="AQ648" s="55" t="s">
        <v>2435</v>
      </c>
      <c r="AV648" s="14">
        <f>AW648+AX648</f>
        <v>0</v>
      </c>
      <c r="AW648" s="14">
        <f>G648*AO648</f>
        <v>0</v>
      </c>
      <c r="AX648" s="14">
        <f>G648*AP648</f>
        <v>0</v>
      </c>
      <c r="AY648" s="55" t="s">
        <v>751</v>
      </c>
      <c r="AZ648" s="55" t="s">
        <v>1885</v>
      </c>
      <c r="BA648" s="15" t="s">
        <v>1843</v>
      </c>
      <c r="BC648" s="14">
        <f>AW648+AX648</f>
        <v>0</v>
      </c>
      <c r="BD648" s="14">
        <f>H648/(100-BE648)*100</f>
        <v>0</v>
      </c>
      <c r="BE648" s="14">
        <v>0</v>
      </c>
      <c r="BF648" s="14">
        <f>O648</f>
        <v>1.32</v>
      </c>
      <c r="BH648" s="14">
        <f>G648*AO648</f>
        <v>0</v>
      </c>
      <c r="BI648" s="14">
        <f>G648*AP648</f>
        <v>0</v>
      </c>
      <c r="BJ648" s="14">
        <f>G648*H648</f>
        <v>0</v>
      </c>
      <c r="BK648" s="14"/>
      <c r="BL648" s="14">
        <v>777</v>
      </c>
      <c r="BW648" s="14" t="str">
        <f>I648</f>
        <v>21</v>
      </c>
    </row>
    <row r="649" spans="1:75" ht="15" customHeight="1">
      <c r="A649" s="32"/>
      <c r="D649" s="3" t="s">
        <v>518</v>
      </c>
      <c r="E649" s="28" t="s">
        <v>1683</v>
      </c>
      <c r="G649" s="27">
        <v>440.00000000000006</v>
      </c>
      <c r="P649" s="33"/>
    </row>
    <row r="650" spans="1:75" ht="13.5" customHeight="1">
      <c r="A650" s="21" t="s">
        <v>1115</v>
      </c>
      <c r="B650" s="37" t="s">
        <v>1842</v>
      </c>
      <c r="C650" s="37" t="s">
        <v>2446</v>
      </c>
      <c r="D650" s="578" t="s">
        <v>200</v>
      </c>
      <c r="E650" s="579"/>
      <c r="F650" s="37" t="s">
        <v>2398</v>
      </c>
      <c r="G650" s="14">
        <v>168.3</v>
      </c>
      <c r="H650" s="569"/>
      <c r="I650" s="55" t="s">
        <v>1720</v>
      </c>
      <c r="J650" s="14">
        <f>G650*AO650</f>
        <v>0</v>
      </c>
      <c r="K650" s="14">
        <f>G650*AP650</f>
        <v>0</v>
      </c>
      <c r="L650" s="14">
        <f>G650*H650</f>
        <v>0</v>
      </c>
      <c r="M650" s="14">
        <f>L650*(1+BW650/100)</f>
        <v>0</v>
      </c>
      <c r="N650" s="14">
        <v>1.0710000000000001E-2</v>
      </c>
      <c r="O650" s="14">
        <f>G650*N650</f>
        <v>1.8024930000000003</v>
      </c>
      <c r="P650" s="72" t="s">
        <v>1664</v>
      </c>
      <c r="Z650" s="14">
        <f>IF(AQ650="5",BJ650,0)</f>
        <v>0</v>
      </c>
      <c r="AB650" s="14">
        <f>IF(AQ650="1",BH650,0)</f>
        <v>0</v>
      </c>
      <c r="AC650" s="14">
        <f>IF(AQ650="1",BI650,0)</f>
        <v>0</v>
      </c>
      <c r="AD650" s="14">
        <f>IF(AQ650="7",BH650,0)</f>
        <v>0</v>
      </c>
      <c r="AE650" s="14">
        <f>IF(AQ650="7",BI650,0)</f>
        <v>0</v>
      </c>
      <c r="AF650" s="14">
        <f>IF(AQ650="2",BH650,0)</f>
        <v>0</v>
      </c>
      <c r="AG650" s="14">
        <f>IF(AQ650="2",BI650,0)</f>
        <v>0</v>
      </c>
      <c r="AH650" s="14">
        <f>IF(AQ650="0",BJ650,0)</f>
        <v>0</v>
      </c>
      <c r="AI650" s="15" t="s">
        <v>1842</v>
      </c>
      <c r="AJ650" s="14">
        <f>IF(AN650=0,L650,0)</f>
        <v>0</v>
      </c>
      <c r="AK650" s="14">
        <f>IF(AN650=15,L650,0)</f>
        <v>0</v>
      </c>
      <c r="AL650" s="14">
        <f>IF(AN650=21,L650,0)</f>
        <v>0</v>
      </c>
      <c r="AN650" s="14">
        <v>21</v>
      </c>
      <c r="AO650" s="92">
        <f>H650*0.835513253012048</f>
        <v>0</v>
      </c>
      <c r="AP650" s="92">
        <f>H650*(1-0.835513253012048)</f>
        <v>0</v>
      </c>
      <c r="AQ650" s="55" t="s">
        <v>2435</v>
      </c>
      <c r="AV650" s="14">
        <f>AW650+AX650</f>
        <v>0</v>
      </c>
      <c r="AW650" s="14">
        <f>G650*AO650</f>
        <v>0</v>
      </c>
      <c r="AX650" s="14">
        <f>G650*AP650</f>
        <v>0</v>
      </c>
      <c r="AY650" s="55" t="s">
        <v>751</v>
      </c>
      <c r="AZ650" s="55" t="s">
        <v>1885</v>
      </c>
      <c r="BA650" s="15" t="s">
        <v>1843</v>
      </c>
      <c r="BC650" s="14">
        <f>AW650+AX650</f>
        <v>0</v>
      </c>
      <c r="BD650" s="14">
        <f>H650/(100-BE650)*100</f>
        <v>0</v>
      </c>
      <c r="BE650" s="14">
        <v>0</v>
      </c>
      <c r="BF650" s="14">
        <f>O650</f>
        <v>1.8024930000000003</v>
      </c>
      <c r="BH650" s="14">
        <f>G650*AO650</f>
        <v>0</v>
      </c>
      <c r="BI650" s="14">
        <f>G650*AP650</f>
        <v>0</v>
      </c>
      <c r="BJ650" s="14">
        <f>G650*H650</f>
        <v>0</v>
      </c>
      <c r="BK650" s="14"/>
      <c r="BL650" s="14">
        <v>777</v>
      </c>
      <c r="BW650" s="14" t="str">
        <f>I650</f>
        <v>21</v>
      </c>
    </row>
    <row r="651" spans="1:75" ht="15" customHeight="1">
      <c r="A651" s="32"/>
      <c r="D651" s="3" t="s">
        <v>2485</v>
      </c>
      <c r="E651" s="28" t="s">
        <v>1683</v>
      </c>
      <c r="G651" s="27">
        <v>168.3</v>
      </c>
      <c r="P651" s="33"/>
    </row>
    <row r="652" spans="1:75" ht="27" customHeight="1">
      <c r="A652" s="21" t="s">
        <v>2415</v>
      </c>
      <c r="B652" s="37" t="s">
        <v>1842</v>
      </c>
      <c r="C652" s="37" t="s">
        <v>1177</v>
      </c>
      <c r="D652" s="578" t="s">
        <v>1537</v>
      </c>
      <c r="E652" s="579"/>
      <c r="F652" s="37" t="s">
        <v>2398</v>
      </c>
      <c r="G652" s="14">
        <v>440</v>
      </c>
      <c r="H652" s="569"/>
      <c r="I652" s="55" t="s">
        <v>1720</v>
      </c>
      <c r="J652" s="14">
        <f>G652*AO652</f>
        <v>0</v>
      </c>
      <c r="K652" s="14">
        <f>G652*AP652</f>
        <v>0</v>
      </c>
      <c r="L652" s="14">
        <f>G652*H652</f>
        <v>0</v>
      </c>
      <c r="M652" s="14">
        <f>L652*(1+BW652/100)</f>
        <v>0</v>
      </c>
      <c r="N652" s="14">
        <v>0</v>
      </c>
      <c r="O652" s="14">
        <f>G652*N652</f>
        <v>0</v>
      </c>
      <c r="P652" s="72" t="s">
        <v>921</v>
      </c>
      <c r="Z652" s="14">
        <f>IF(AQ652="5",BJ652,0)</f>
        <v>0</v>
      </c>
      <c r="AB652" s="14">
        <f>IF(AQ652="1",BH652,0)</f>
        <v>0</v>
      </c>
      <c r="AC652" s="14">
        <f>IF(AQ652="1",BI652,0)</f>
        <v>0</v>
      </c>
      <c r="AD652" s="14">
        <f>IF(AQ652="7",BH652,0)</f>
        <v>0</v>
      </c>
      <c r="AE652" s="14">
        <f>IF(AQ652="7",BI652,0)</f>
        <v>0</v>
      </c>
      <c r="AF652" s="14">
        <f>IF(AQ652="2",BH652,0)</f>
        <v>0</v>
      </c>
      <c r="AG652" s="14">
        <f>IF(AQ652="2",BI652,0)</f>
        <v>0</v>
      </c>
      <c r="AH652" s="14">
        <f>IF(AQ652="0",BJ652,0)</f>
        <v>0</v>
      </c>
      <c r="AI652" s="15" t="s">
        <v>1842</v>
      </c>
      <c r="AJ652" s="14">
        <f>IF(AN652=0,L652,0)</f>
        <v>0</v>
      </c>
      <c r="AK652" s="14">
        <f>IF(AN652=15,L652,0)</f>
        <v>0</v>
      </c>
      <c r="AL652" s="14">
        <f>IF(AN652=21,L652,0)</f>
        <v>0</v>
      </c>
      <c r="AN652" s="14">
        <v>21</v>
      </c>
      <c r="AO652" s="92">
        <f>H652*0</f>
        <v>0</v>
      </c>
      <c r="AP652" s="92">
        <f>H652*(1-0)</f>
        <v>0</v>
      </c>
      <c r="AQ652" s="55" t="s">
        <v>2435</v>
      </c>
      <c r="AV652" s="14">
        <f>AW652+AX652</f>
        <v>0</v>
      </c>
      <c r="AW652" s="14">
        <f>G652*AO652</f>
        <v>0</v>
      </c>
      <c r="AX652" s="14">
        <f>G652*AP652</f>
        <v>0</v>
      </c>
      <c r="AY652" s="55" t="s">
        <v>751</v>
      </c>
      <c r="AZ652" s="55" t="s">
        <v>1885</v>
      </c>
      <c r="BA652" s="15" t="s">
        <v>1843</v>
      </c>
      <c r="BC652" s="14">
        <f>AW652+AX652</f>
        <v>0</v>
      </c>
      <c r="BD652" s="14">
        <f>H652/(100-BE652)*100</f>
        <v>0</v>
      </c>
      <c r="BE652" s="14">
        <v>0</v>
      </c>
      <c r="BF652" s="14">
        <f>O652</f>
        <v>0</v>
      </c>
      <c r="BH652" s="14">
        <f>G652*AO652</f>
        <v>0</v>
      </c>
      <c r="BI652" s="14">
        <f>G652*AP652</f>
        <v>0</v>
      </c>
      <c r="BJ652" s="14">
        <f>G652*H652</f>
        <v>0</v>
      </c>
      <c r="BK652" s="14"/>
      <c r="BL652" s="14">
        <v>777</v>
      </c>
      <c r="BW652" s="14" t="str">
        <f>I652</f>
        <v>21</v>
      </c>
    </row>
    <row r="653" spans="1:75" ht="15" customHeight="1">
      <c r="A653" s="32"/>
      <c r="D653" s="3" t="s">
        <v>518</v>
      </c>
      <c r="E653" s="28" t="s">
        <v>1683</v>
      </c>
      <c r="G653" s="27">
        <v>440.00000000000006</v>
      </c>
      <c r="P653" s="33"/>
    </row>
    <row r="654" spans="1:75" ht="13.5" customHeight="1">
      <c r="A654" s="21" t="s">
        <v>981</v>
      </c>
      <c r="B654" s="37" t="s">
        <v>1842</v>
      </c>
      <c r="C654" s="37" t="s">
        <v>2067</v>
      </c>
      <c r="D654" s="578" t="s">
        <v>1347</v>
      </c>
      <c r="E654" s="579"/>
      <c r="F654" s="37" t="s">
        <v>2398</v>
      </c>
      <c r="G654" s="14">
        <v>440</v>
      </c>
      <c r="H654" s="569"/>
      <c r="I654" s="55" t="s">
        <v>1720</v>
      </c>
      <c r="J654" s="14">
        <f>G654*AO654</f>
        <v>0</v>
      </c>
      <c r="K654" s="14">
        <f>G654*AP654</f>
        <v>0</v>
      </c>
      <c r="L654" s="14">
        <f>G654*H654</f>
        <v>0</v>
      </c>
      <c r="M654" s="14">
        <f>L654*(1+BW654/100)</f>
        <v>0</v>
      </c>
      <c r="N654" s="14">
        <v>0</v>
      </c>
      <c r="O654" s="14">
        <f>G654*N654</f>
        <v>0</v>
      </c>
      <c r="P654" s="72" t="s">
        <v>1683</v>
      </c>
      <c r="Z654" s="14">
        <f>IF(AQ654="5",BJ654,0)</f>
        <v>0</v>
      </c>
      <c r="AB654" s="14">
        <f>IF(AQ654="1",BH654,0)</f>
        <v>0</v>
      </c>
      <c r="AC654" s="14">
        <f>IF(AQ654="1",BI654,0)</f>
        <v>0</v>
      </c>
      <c r="AD654" s="14">
        <f>IF(AQ654="7",BH654,0)</f>
        <v>0</v>
      </c>
      <c r="AE654" s="14">
        <f>IF(AQ654="7",BI654,0)</f>
        <v>0</v>
      </c>
      <c r="AF654" s="14">
        <f>IF(AQ654="2",BH654,0)</f>
        <v>0</v>
      </c>
      <c r="AG654" s="14">
        <f>IF(AQ654="2",BI654,0)</f>
        <v>0</v>
      </c>
      <c r="AH654" s="14">
        <f>IF(AQ654="0",BJ654,0)</f>
        <v>0</v>
      </c>
      <c r="AI654" s="15" t="s">
        <v>1842</v>
      </c>
      <c r="AJ654" s="14">
        <f>IF(AN654=0,L654,0)</f>
        <v>0</v>
      </c>
      <c r="AK654" s="14">
        <f>IF(AN654=15,L654,0)</f>
        <v>0</v>
      </c>
      <c r="AL654" s="14">
        <f>IF(AN654=21,L654,0)</f>
        <v>0</v>
      </c>
      <c r="AN654" s="14">
        <v>21</v>
      </c>
      <c r="AO654" s="92">
        <f>H654*0.148769230769231</f>
        <v>0</v>
      </c>
      <c r="AP654" s="92">
        <f>H654*(1-0.148769230769231)</f>
        <v>0</v>
      </c>
      <c r="AQ654" s="55" t="s">
        <v>2435</v>
      </c>
      <c r="AV654" s="14">
        <f>AW654+AX654</f>
        <v>0</v>
      </c>
      <c r="AW654" s="14">
        <f>G654*AO654</f>
        <v>0</v>
      </c>
      <c r="AX654" s="14">
        <f>G654*AP654</f>
        <v>0</v>
      </c>
      <c r="AY654" s="55" t="s">
        <v>751</v>
      </c>
      <c r="AZ654" s="55" t="s">
        <v>1885</v>
      </c>
      <c r="BA654" s="15" t="s">
        <v>1843</v>
      </c>
      <c r="BC654" s="14">
        <f>AW654+AX654</f>
        <v>0</v>
      </c>
      <c r="BD654" s="14">
        <f>H654/(100-BE654)*100</f>
        <v>0</v>
      </c>
      <c r="BE654" s="14">
        <v>0</v>
      </c>
      <c r="BF654" s="14">
        <f>O654</f>
        <v>0</v>
      </c>
      <c r="BH654" s="14">
        <f>G654*AO654</f>
        <v>0</v>
      </c>
      <c r="BI654" s="14">
        <f>G654*AP654</f>
        <v>0</v>
      </c>
      <c r="BJ654" s="14">
        <f>G654*H654</f>
        <v>0</v>
      </c>
      <c r="BK654" s="14"/>
      <c r="BL654" s="14">
        <v>777</v>
      </c>
      <c r="BW654" s="14" t="str">
        <f>I654</f>
        <v>21</v>
      </c>
    </row>
    <row r="655" spans="1:75" ht="15" customHeight="1">
      <c r="A655" s="32"/>
      <c r="D655" s="3" t="s">
        <v>518</v>
      </c>
      <c r="E655" s="28" t="s">
        <v>1683</v>
      </c>
      <c r="G655" s="27">
        <v>440.00000000000006</v>
      </c>
      <c r="P655" s="33"/>
    </row>
    <row r="656" spans="1:75" ht="15" customHeight="1">
      <c r="A656" s="65" t="s">
        <v>1683</v>
      </c>
      <c r="B656" s="26" t="s">
        <v>1842</v>
      </c>
      <c r="C656" s="26" t="s">
        <v>1953</v>
      </c>
      <c r="D656" s="649" t="s">
        <v>1054</v>
      </c>
      <c r="E656" s="650"/>
      <c r="F656" s="74" t="s">
        <v>2262</v>
      </c>
      <c r="G656" s="74" t="s">
        <v>2262</v>
      </c>
      <c r="H656" s="74" t="s">
        <v>2262</v>
      </c>
      <c r="I656" s="74" t="s">
        <v>2262</v>
      </c>
      <c r="J656" s="2">
        <f>SUM(J657:J665)</f>
        <v>0</v>
      </c>
      <c r="K656" s="2">
        <f>SUM(K657:K665)</f>
        <v>0</v>
      </c>
      <c r="L656" s="2">
        <f>SUM(L657:L665)</f>
        <v>0</v>
      </c>
      <c r="M656" s="2">
        <f>SUM(M657:M665)</f>
        <v>0</v>
      </c>
      <c r="N656" s="15" t="s">
        <v>1683</v>
      </c>
      <c r="O656" s="2">
        <f>SUM(O657:O665)</f>
        <v>1.8636135</v>
      </c>
      <c r="P656" s="47" t="s">
        <v>1683</v>
      </c>
      <c r="AI656" s="15" t="s">
        <v>1842</v>
      </c>
      <c r="AS656" s="2">
        <f>SUM(AJ657:AJ665)</f>
        <v>0</v>
      </c>
      <c r="AT656" s="2">
        <f>SUM(AK657:AK665)</f>
        <v>0</v>
      </c>
      <c r="AU656" s="2">
        <f>SUM(AL657:AL665)</f>
        <v>0</v>
      </c>
    </row>
    <row r="657" spans="1:75" ht="13.5" customHeight="1">
      <c r="A657" s="21" t="s">
        <v>321</v>
      </c>
      <c r="B657" s="37" t="s">
        <v>1842</v>
      </c>
      <c r="C657" s="37" t="s">
        <v>2364</v>
      </c>
      <c r="D657" s="578" t="s">
        <v>1369</v>
      </c>
      <c r="E657" s="579"/>
      <c r="F657" s="37" t="s">
        <v>2398</v>
      </c>
      <c r="G657" s="14">
        <v>82.8</v>
      </c>
      <c r="H657" s="569"/>
      <c r="I657" s="55" t="s">
        <v>1720</v>
      </c>
      <c r="J657" s="14">
        <f>G657*AO657</f>
        <v>0</v>
      </c>
      <c r="K657" s="14">
        <f>G657*AP657</f>
        <v>0</v>
      </c>
      <c r="L657" s="14">
        <f>G657*H657</f>
        <v>0</v>
      </c>
      <c r="M657" s="14">
        <f>L657*(1+BW657/100)</f>
        <v>0</v>
      </c>
      <c r="N657" s="14">
        <v>0</v>
      </c>
      <c r="O657" s="14">
        <f>G657*N657</f>
        <v>0</v>
      </c>
      <c r="P657" s="72" t="s">
        <v>1664</v>
      </c>
      <c r="Z657" s="14">
        <f>IF(AQ657="5",BJ657,0)</f>
        <v>0</v>
      </c>
      <c r="AB657" s="14">
        <f>IF(AQ657="1",BH657,0)</f>
        <v>0</v>
      </c>
      <c r="AC657" s="14">
        <f>IF(AQ657="1",BI657,0)</f>
        <v>0</v>
      </c>
      <c r="AD657" s="14">
        <f>IF(AQ657="7",BH657,0)</f>
        <v>0</v>
      </c>
      <c r="AE657" s="14">
        <f>IF(AQ657="7",BI657,0)</f>
        <v>0</v>
      </c>
      <c r="AF657" s="14">
        <f>IF(AQ657="2",BH657,0)</f>
        <v>0</v>
      </c>
      <c r="AG657" s="14">
        <f>IF(AQ657="2",BI657,0)</f>
        <v>0</v>
      </c>
      <c r="AH657" s="14">
        <f>IF(AQ657="0",BJ657,0)</f>
        <v>0</v>
      </c>
      <c r="AI657" s="15" t="s">
        <v>1842</v>
      </c>
      <c r="AJ657" s="14">
        <f>IF(AN657=0,L657,0)</f>
        <v>0</v>
      </c>
      <c r="AK657" s="14">
        <f>IF(AN657=15,L657,0)</f>
        <v>0</v>
      </c>
      <c r="AL657" s="14">
        <f>IF(AN657=21,L657,0)</f>
        <v>0</v>
      </c>
      <c r="AN657" s="14">
        <v>21</v>
      </c>
      <c r="AO657" s="92">
        <f>H657*0</f>
        <v>0</v>
      </c>
      <c r="AP657" s="92">
        <f>H657*(1-0)</f>
        <v>0</v>
      </c>
      <c r="AQ657" s="55" t="s">
        <v>2435</v>
      </c>
      <c r="AV657" s="14">
        <f>AW657+AX657</f>
        <v>0</v>
      </c>
      <c r="AW657" s="14">
        <f>G657*AO657</f>
        <v>0</v>
      </c>
      <c r="AX657" s="14">
        <f>G657*AP657</f>
        <v>0</v>
      </c>
      <c r="AY657" s="55" t="s">
        <v>1092</v>
      </c>
      <c r="AZ657" s="55" t="s">
        <v>84</v>
      </c>
      <c r="BA657" s="15" t="s">
        <v>1843</v>
      </c>
      <c r="BC657" s="14">
        <f>AW657+AX657</f>
        <v>0</v>
      </c>
      <c r="BD657" s="14">
        <f>H657/(100-BE657)*100</f>
        <v>0</v>
      </c>
      <c r="BE657" s="14">
        <v>0</v>
      </c>
      <c r="BF657" s="14">
        <f>O657</f>
        <v>0</v>
      </c>
      <c r="BH657" s="14">
        <f>G657*AO657</f>
        <v>0</v>
      </c>
      <c r="BI657" s="14">
        <f>G657*AP657</f>
        <v>0</v>
      </c>
      <c r="BJ657" s="14">
        <f>G657*H657</f>
        <v>0</v>
      </c>
      <c r="BK657" s="14"/>
      <c r="BL657" s="14">
        <v>781</v>
      </c>
      <c r="BW657" s="14" t="str">
        <f>I657</f>
        <v>21</v>
      </c>
    </row>
    <row r="658" spans="1:75" ht="15" customHeight="1">
      <c r="A658" s="32"/>
      <c r="D658" s="3" t="s">
        <v>2419</v>
      </c>
      <c r="E658" s="28" t="s">
        <v>1683</v>
      </c>
      <c r="G658" s="27">
        <v>71.600000000000009</v>
      </c>
      <c r="P658" s="33"/>
    </row>
    <row r="659" spans="1:75" ht="15" customHeight="1">
      <c r="A659" s="32"/>
      <c r="D659" s="3" t="s">
        <v>207</v>
      </c>
      <c r="E659" s="28" t="s">
        <v>1683</v>
      </c>
      <c r="G659" s="27">
        <v>11.200000000000001</v>
      </c>
      <c r="P659" s="33"/>
    </row>
    <row r="660" spans="1:75" ht="13.5" customHeight="1">
      <c r="A660" s="20" t="s">
        <v>673</v>
      </c>
      <c r="B660" s="84" t="s">
        <v>1842</v>
      </c>
      <c r="C660" s="84" t="s">
        <v>2363</v>
      </c>
      <c r="D660" s="653" t="s">
        <v>496</v>
      </c>
      <c r="E660" s="654"/>
      <c r="F660" s="84" t="s">
        <v>2398</v>
      </c>
      <c r="G660" s="6">
        <v>95.45</v>
      </c>
      <c r="H660" s="570"/>
      <c r="I660" s="18" t="s">
        <v>1720</v>
      </c>
      <c r="J660" s="6">
        <f>G660*AO660</f>
        <v>0</v>
      </c>
      <c r="K660" s="6">
        <f>G660*AP660</f>
        <v>0</v>
      </c>
      <c r="L660" s="6">
        <f>G660*H660</f>
        <v>0</v>
      </c>
      <c r="M660" s="6">
        <f>L660*(1+BW660/100)</f>
        <v>0</v>
      </c>
      <c r="N660" s="6">
        <v>1.9429999999999999E-2</v>
      </c>
      <c r="O660" s="6">
        <f>G660*N660</f>
        <v>1.8545935</v>
      </c>
      <c r="P660" s="109" t="s">
        <v>1664</v>
      </c>
      <c r="Z660" s="14">
        <f>IF(AQ660="5",BJ660,0)</f>
        <v>0</v>
      </c>
      <c r="AB660" s="14">
        <f>IF(AQ660="1",BH660,0)</f>
        <v>0</v>
      </c>
      <c r="AC660" s="14">
        <f>IF(AQ660="1",BI660,0)</f>
        <v>0</v>
      </c>
      <c r="AD660" s="14">
        <f>IF(AQ660="7",BH660,0)</f>
        <v>0</v>
      </c>
      <c r="AE660" s="14">
        <f>IF(AQ660="7",BI660,0)</f>
        <v>0</v>
      </c>
      <c r="AF660" s="14">
        <f>IF(AQ660="2",BH660,0)</f>
        <v>0</v>
      </c>
      <c r="AG660" s="14">
        <f>IF(AQ660="2",BI660,0)</f>
        <v>0</v>
      </c>
      <c r="AH660" s="14">
        <f>IF(AQ660="0",BJ660,0)</f>
        <v>0</v>
      </c>
      <c r="AI660" s="15" t="s">
        <v>1842</v>
      </c>
      <c r="AJ660" s="6">
        <f>IF(AN660=0,L660,0)</f>
        <v>0</v>
      </c>
      <c r="AK660" s="6">
        <f>IF(AN660=15,L660,0)</f>
        <v>0</v>
      </c>
      <c r="AL660" s="6">
        <f>IF(AN660=21,L660,0)</f>
        <v>0</v>
      </c>
      <c r="AN660" s="14">
        <v>21</v>
      </c>
      <c r="AO660" s="92">
        <f>H660*1</f>
        <v>0</v>
      </c>
      <c r="AP660" s="92">
        <f>H660*(1-1)</f>
        <v>0</v>
      </c>
      <c r="AQ660" s="18" t="s">
        <v>2435</v>
      </c>
      <c r="AV660" s="14">
        <f>AW660+AX660</f>
        <v>0</v>
      </c>
      <c r="AW660" s="14">
        <f>G660*AO660</f>
        <v>0</v>
      </c>
      <c r="AX660" s="14">
        <f>G660*AP660</f>
        <v>0</v>
      </c>
      <c r="AY660" s="55" t="s">
        <v>1092</v>
      </c>
      <c r="AZ660" s="55" t="s">
        <v>84</v>
      </c>
      <c r="BA660" s="15" t="s">
        <v>1843</v>
      </c>
      <c r="BC660" s="14">
        <f>AW660+AX660</f>
        <v>0</v>
      </c>
      <c r="BD660" s="14">
        <f>H660/(100-BE660)*100</f>
        <v>0</v>
      </c>
      <c r="BE660" s="14">
        <v>0</v>
      </c>
      <c r="BF660" s="14">
        <f>O660</f>
        <v>1.8545935</v>
      </c>
      <c r="BH660" s="6">
        <f>G660*AO660</f>
        <v>0</v>
      </c>
      <c r="BI660" s="6">
        <f>G660*AP660</f>
        <v>0</v>
      </c>
      <c r="BJ660" s="6">
        <f>G660*H660</f>
        <v>0</v>
      </c>
      <c r="BK660" s="6"/>
      <c r="BL660" s="14">
        <v>781</v>
      </c>
      <c r="BW660" s="14" t="str">
        <f>I660</f>
        <v>21</v>
      </c>
    </row>
    <row r="661" spans="1:75" ht="15" customHeight="1">
      <c r="A661" s="32"/>
      <c r="D661" s="3" t="s">
        <v>2484</v>
      </c>
      <c r="E661" s="28" t="s">
        <v>1683</v>
      </c>
      <c r="G661" s="27">
        <v>83</v>
      </c>
      <c r="P661" s="33"/>
    </row>
    <row r="662" spans="1:75" ht="15" customHeight="1">
      <c r="A662" s="32"/>
      <c r="D662" s="3" t="s">
        <v>1963</v>
      </c>
      <c r="E662" s="28" t="s">
        <v>1683</v>
      </c>
      <c r="G662" s="27">
        <v>12.450000000000001</v>
      </c>
      <c r="P662" s="33"/>
    </row>
    <row r="663" spans="1:75" ht="13.5" customHeight="1">
      <c r="A663" s="21" t="s">
        <v>1208</v>
      </c>
      <c r="B663" s="37" t="s">
        <v>1842</v>
      </c>
      <c r="C663" s="37" t="s">
        <v>1124</v>
      </c>
      <c r="D663" s="578" t="s">
        <v>60</v>
      </c>
      <c r="E663" s="579"/>
      <c r="F663" s="37" t="s">
        <v>2398</v>
      </c>
      <c r="G663" s="14">
        <v>82</v>
      </c>
      <c r="H663" s="569"/>
      <c r="I663" s="55" t="s">
        <v>1720</v>
      </c>
      <c r="J663" s="14">
        <f>G663*AO663</f>
        <v>0</v>
      </c>
      <c r="K663" s="14">
        <f>G663*AP663</f>
        <v>0</v>
      </c>
      <c r="L663" s="14">
        <f>G663*H663</f>
        <v>0</v>
      </c>
      <c r="M663" s="14">
        <f>L663*(1+BW663/100)</f>
        <v>0</v>
      </c>
      <c r="N663" s="14">
        <v>0</v>
      </c>
      <c r="O663" s="14">
        <f>G663*N663</f>
        <v>0</v>
      </c>
      <c r="P663" s="72" t="s">
        <v>1664</v>
      </c>
      <c r="Z663" s="14">
        <f>IF(AQ663="5",BJ663,0)</f>
        <v>0</v>
      </c>
      <c r="AB663" s="14">
        <f>IF(AQ663="1",BH663,0)</f>
        <v>0</v>
      </c>
      <c r="AC663" s="14">
        <f>IF(AQ663="1",BI663,0)</f>
        <v>0</v>
      </c>
      <c r="AD663" s="14">
        <f>IF(AQ663="7",BH663,0)</f>
        <v>0</v>
      </c>
      <c r="AE663" s="14">
        <f>IF(AQ663="7",BI663,0)</f>
        <v>0</v>
      </c>
      <c r="AF663" s="14">
        <f>IF(AQ663="2",BH663,0)</f>
        <v>0</v>
      </c>
      <c r="AG663" s="14">
        <f>IF(AQ663="2",BI663,0)</f>
        <v>0</v>
      </c>
      <c r="AH663" s="14">
        <f>IF(AQ663="0",BJ663,0)</f>
        <v>0</v>
      </c>
      <c r="AI663" s="15" t="s">
        <v>1842</v>
      </c>
      <c r="AJ663" s="14">
        <f>IF(AN663=0,L663,0)</f>
        <v>0</v>
      </c>
      <c r="AK663" s="14">
        <f>IF(AN663=15,L663,0)</f>
        <v>0</v>
      </c>
      <c r="AL663" s="14">
        <f>IF(AN663=21,L663,0)</f>
        <v>0</v>
      </c>
      <c r="AN663" s="14">
        <v>21</v>
      </c>
      <c r="AO663" s="92">
        <f>H663*0</f>
        <v>0</v>
      </c>
      <c r="AP663" s="92">
        <f>H663*(1-0)</f>
        <v>0</v>
      </c>
      <c r="AQ663" s="55" t="s">
        <v>2435</v>
      </c>
      <c r="AV663" s="14">
        <f>AW663+AX663</f>
        <v>0</v>
      </c>
      <c r="AW663" s="14">
        <f>G663*AO663</f>
        <v>0</v>
      </c>
      <c r="AX663" s="14">
        <f>G663*AP663</f>
        <v>0</v>
      </c>
      <c r="AY663" s="55" t="s">
        <v>1092</v>
      </c>
      <c r="AZ663" s="55" t="s">
        <v>84</v>
      </c>
      <c r="BA663" s="15" t="s">
        <v>1843</v>
      </c>
      <c r="BC663" s="14">
        <f>AW663+AX663</f>
        <v>0</v>
      </c>
      <c r="BD663" s="14">
        <f>H663/(100-BE663)*100</f>
        <v>0</v>
      </c>
      <c r="BE663" s="14">
        <v>0</v>
      </c>
      <c r="BF663" s="14">
        <f>O663</f>
        <v>0</v>
      </c>
      <c r="BH663" s="14">
        <f>G663*AO663</f>
        <v>0</v>
      </c>
      <c r="BI663" s="14">
        <f>G663*AP663</f>
        <v>0</v>
      </c>
      <c r="BJ663" s="14">
        <f>G663*H663</f>
        <v>0</v>
      </c>
      <c r="BK663" s="14"/>
      <c r="BL663" s="14">
        <v>781</v>
      </c>
      <c r="BW663" s="14" t="str">
        <f>I663</f>
        <v>21</v>
      </c>
    </row>
    <row r="664" spans="1:75" ht="15" customHeight="1">
      <c r="A664" s="32"/>
      <c r="D664" s="3" t="s">
        <v>456</v>
      </c>
      <c r="E664" s="28" t="s">
        <v>1683</v>
      </c>
      <c r="G664" s="27">
        <v>82</v>
      </c>
      <c r="P664" s="33"/>
    </row>
    <row r="665" spans="1:75" ht="13.5" customHeight="1">
      <c r="A665" s="21" t="s">
        <v>1523</v>
      </c>
      <c r="B665" s="37" t="s">
        <v>1842</v>
      </c>
      <c r="C665" s="37" t="s">
        <v>368</v>
      </c>
      <c r="D665" s="578" t="s">
        <v>1382</v>
      </c>
      <c r="E665" s="579"/>
      <c r="F665" s="37" t="s">
        <v>2398</v>
      </c>
      <c r="G665" s="14">
        <v>82</v>
      </c>
      <c r="H665" s="569"/>
      <c r="I665" s="55" t="s">
        <v>1720</v>
      </c>
      <c r="J665" s="14">
        <f>G665*AO665</f>
        <v>0</v>
      </c>
      <c r="K665" s="14">
        <f>G665*AP665</f>
        <v>0</v>
      </c>
      <c r="L665" s="14">
        <f>G665*H665</f>
        <v>0</v>
      </c>
      <c r="M665" s="14">
        <f>L665*(1+BW665/100)</f>
        <v>0</v>
      </c>
      <c r="N665" s="14">
        <v>1.1E-4</v>
      </c>
      <c r="O665" s="14">
        <f>G665*N665</f>
        <v>9.0200000000000002E-3</v>
      </c>
      <c r="P665" s="72" t="s">
        <v>1664</v>
      </c>
      <c r="Z665" s="14">
        <f>IF(AQ665="5",BJ665,0)</f>
        <v>0</v>
      </c>
      <c r="AB665" s="14">
        <f>IF(AQ665="1",BH665,0)</f>
        <v>0</v>
      </c>
      <c r="AC665" s="14">
        <f>IF(AQ665="1",BI665,0)</f>
        <v>0</v>
      </c>
      <c r="AD665" s="14">
        <f>IF(AQ665="7",BH665,0)</f>
        <v>0</v>
      </c>
      <c r="AE665" s="14">
        <f>IF(AQ665="7",BI665,0)</f>
        <v>0</v>
      </c>
      <c r="AF665" s="14">
        <f>IF(AQ665="2",BH665,0)</f>
        <v>0</v>
      </c>
      <c r="AG665" s="14">
        <f>IF(AQ665="2",BI665,0)</f>
        <v>0</v>
      </c>
      <c r="AH665" s="14">
        <f>IF(AQ665="0",BJ665,0)</f>
        <v>0</v>
      </c>
      <c r="AI665" s="15" t="s">
        <v>1842</v>
      </c>
      <c r="AJ665" s="14">
        <f>IF(AN665=0,L665,0)</f>
        <v>0</v>
      </c>
      <c r="AK665" s="14">
        <f>IF(AN665=15,L665,0)</f>
        <v>0</v>
      </c>
      <c r="AL665" s="14">
        <f>IF(AN665=21,L665,0)</f>
        <v>0</v>
      </c>
      <c r="AN665" s="14">
        <v>21</v>
      </c>
      <c r="AO665" s="92">
        <f>H665*1</f>
        <v>0</v>
      </c>
      <c r="AP665" s="92">
        <f>H665*(1-1)</f>
        <v>0</v>
      </c>
      <c r="AQ665" s="55" t="s">
        <v>2435</v>
      </c>
      <c r="AV665" s="14">
        <f>AW665+AX665</f>
        <v>0</v>
      </c>
      <c r="AW665" s="14">
        <f>G665*AO665</f>
        <v>0</v>
      </c>
      <c r="AX665" s="14">
        <f>G665*AP665</f>
        <v>0</v>
      </c>
      <c r="AY665" s="55" t="s">
        <v>1092</v>
      </c>
      <c r="AZ665" s="55" t="s">
        <v>84</v>
      </c>
      <c r="BA665" s="15" t="s">
        <v>1843</v>
      </c>
      <c r="BC665" s="14">
        <f>AW665+AX665</f>
        <v>0</v>
      </c>
      <c r="BD665" s="14">
        <f>H665/(100-BE665)*100</f>
        <v>0</v>
      </c>
      <c r="BE665" s="14">
        <v>0</v>
      </c>
      <c r="BF665" s="14">
        <f>O665</f>
        <v>9.0200000000000002E-3</v>
      </c>
      <c r="BH665" s="14">
        <f>G665*AO665</f>
        <v>0</v>
      </c>
      <c r="BI665" s="14">
        <f>G665*AP665</f>
        <v>0</v>
      </c>
      <c r="BJ665" s="14">
        <f>G665*H665</f>
        <v>0</v>
      </c>
      <c r="BK665" s="14"/>
      <c r="BL665" s="14">
        <v>781</v>
      </c>
      <c r="BW665" s="14" t="str">
        <f>I665</f>
        <v>21</v>
      </c>
    </row>
    <row r="666" spans="1:75" ht="15" customHeight="1">
      <c r="A666" s="32"/>
      <c r="D666" s="3" t="s">
        <v>456</v>
      </c>
      <c r="E666" s="28" t="s">
        <v>1683</v>
      </c>
      <c r="G666" s="27">
        <v>82</v>
      </c>
      <c r="P666" s="33"/>
    </row>
    <row r="667" spans="1:75" ht="15" customHeight="1">
      <c r="A667" s="65" t="s">
        <v>1683</v>
      </c>
      <c r="B667" s="26" t="s">
        <v>1842</v>
      </c>
      <c r="C667" s="26" t="s">
        <v>1402</v>
      </c>
      <c r="D667" s="649" t="s">
        <v>1932</v>
      </c>
      <c r="E667" s="650"/>
      <c r="F667" s="74" t="s">
        <v>2262</v>
      </c>
      <c r="G667" s="74" t="s">
        <v>2262</v>
      </c>
      <c r="H667" s="74" t="s">
        <v>2262</v>
      </c>
      <c r="I667" s="74" t="s">
        <v>2262</v>
      </c>
      <c r="J667" s="2">
        <f>SUM(J668:J668)</f>
        <v>0</v>
      </c>
      <c r="K667" s="2">
        <f>SUM(K668:K668)</f>
        <v>0</v>
      </c>
      <c r="L667" s="2">
        <f>SUM(L668:L668)</f>
        <v>0</v>
      </c>
      <c r="M667" s="2">
        <f>SUM(M668:M668)</f>
        <v>0</v>
      </c>
      <c r="N667" s="15" t="s">
        <v>1683</v>
      </c>
      <c r="O667" s="2">
        <f>SUM(O668:O668)</f>
        <v>0.16167999999999999</v>
      </c>
      <c r="P667" s="47" t="s">
        <v>1683</v>
      </c>
      <c r="AI667" s="15" t="s">
        <v>1842</v>
      </c>
      <c r="AS667" s="2">
        <f>SUM(AJ668:AJ668)</f>
        <v>0</v>
      </c>
      <c r="AT667" s="2">
        <f>SUM(AK668:AK668)</f>
        <v>0</v>
      </c>
      <c r="AU667" s="2">
        <f>SUM(AL668:AL668)</f>
        <v>0</v>
      </c>
    </row>
    <row r="668" spans="1:75" ht="13.5" customHeight="1">
      <c r="A668" s="21" t="s">
        <v>2316</v>
      </c>
      <c r="B668" s="37" t="s">
        <v>1842</v>
      </c>
      <c r="C668" s="37" t="s">
        <v>2474</v>
      </c>
      <c r="D668" s="578" t="s">
        <v>470</v>
      </c>
      <c r="E668" s="579"/>
      <c r="F668" s="37" t="s">
        <v>2398</v>
      </c>
      <c r="G668" s="14">
        <v>376</v>
      </c>
      <c r="H668" s="569"/>
      <c r="I668" s="55" t="s">
        <v>1720</v>
      </c>
      <c r="J668" s="14">
        <f>G668*AO668</f>
        <v>0</v>
      </c>
      <c r="K668" s="14">
        <f>G668*AP668</f>
        <v>0</v>
      </c>
      <c r="L668" s="14">
        <f>G668*H668</f>
        <v>0</v>
      </c>
      <c r="M668" s="14">
        <f>L668*(1+BW668/100)</f>
        <v>0</v>
      </c>
      <c r="N668" s="14">
        <v>4.2999999999999999E-4</v>
      </c>
      <c r="O668" s="14">
        <f>G668*N668</f>
        <v>0.16167999999999999</v>
      </c>
      <c r="P668" s="72" t="s">
        <v>1664</v>
      </c>
      <c r="Z668" s="14">
        <f>IF(AQ668="5",BJ668,0)</f>
        <v>0</v>
      </c>
      <c r="AB668" s="14">
        <f>IF(AQ668="1",BH668,0)</f>
        <v>0</v>
      </c>
      <c r="AC668" s="14">
        <f>IF(AQ668="1",BI668,0)</f>
        <v>0</v>
      </c>
      <c r="AD668" s="14">
        <f>IF(AQ668="7",BH668,0)</f>
        <v>0</v>
      </c>
      <c r="AE668" s="14">
        <f>IF(AQ668="7",BI668,0)</f>
        <v>0</v>
      </c>
      <c r="AF668" s="14">
        <f>IF(AQ668="2",BH668,0)</f>
        <v>0</v>
      </c>
      <c r="AG668" s="14">
        <f>IF(AQ668="2",BI668,0)</f>
        <v>0</v>
      </c>
      <c r="AH668" s="14">
        <f>IF(AQ668="0",BJ668,0)</f>
        <v>0</v>
      </c>
      <c r="AI668" s="15" t="s">
        <v>1842</v>
      </c>
      <c r="AJ668" s="14">
        <f>IF(AN668=0,L668,0)</f>
        <v>0</v>
      </c>
      <c r="AK668" s="14">
        <f>IF(AN668=15,L668,0)</f>
        <v>0</v>
      </c>
      <c r="AL668" s="14">
        <f>IF(AN668=21,L668,0)</f>
        <v>0</v>
      </c>
      <c r="AN668" s="14">
        <v>21</v>
      </c>
      <c r="AO668" s="92">
        <f>H668*0.444843304843305</f>
        <v>0</v>
      </c>
      <c r="AP668" s="92">
        <f>H668*(1-0.444843304843305)</f>
        <v>0</v>
      </c>
      <c r="AQ668" s="55" t="s">
        <v>2435</v>
      </c>
      <c r="AV668" s="14">
        <f>AW668+AX668</f>
        <v>0</v>
      </c>
      <c r="AW668" s="14">
        <f>G668*AO668</f>
        <v>0</v>
      </c>
      <c r="AX668" s="14">
        <f>G668*AP668</f>
        <v>0</v>
      </c>
      <c r="AY668" s="55" t="s">
        <v>561</v>
      </c>
      <c r="AZ668" s="55" t="s">
        <v>84</v>
      </c>
      <c r="BA668" s="15" t="s">
        <v>1843</v>
      </c>
      <c r="BC668" s="14">
        <f>AW668+AX668</f>
        <v>0</v>
      </c>
      <c r="BD668" s="14">
        <f>H668/(100-BE668)*100</f>
        <v>0</v>
      </c>
      <c r="BE668" s="14">
        <v>0</v>
      </c>
      <c r="BF668" s="14">
        <f>O668</f>
        <v>0.16167999999999999</v>
      </c>
      <c r="BH668" s="14">
        <f>G668*AO668</f>
        <v>0</v>
      </c>
      <c r="BI668" s="14">
        <f>G668*AP668</f>
        <v>0</v>
      </c>
      <c r="BJ668" s="14">
        <f>G668*H668</f>
        <v>0</v>
      </c>
      <c r="BK668" s="14"/>
      <c r="BL668" s="14">
        <v>783</v>
      </c>
      <c r="BW668" s="14" t="str">
        <f>I668</f>
        <v>21</v>
      </c>
    </row>
    <row r="669" spans="1:75" ht="15" customHeight="1">
      <c r="A669" s="32"/>
      <c r="D669" s="3" t="s">
        <v>2697</v>
      </c>
      <c r="E669" s="28" t="s">
        <v>1281</v>
      </c>
      <c r="G669" s="27">
        <v>376.00000000000006</v>
      </c>
      <c r="P669" s="33"/>
    </row>
    <row r="670" spans="1:75" ht="13.5" customHeight="1">
      <c r="A670" s="577" t="s">
        <v>3739</v>
      </c>
      <c r="B670" s="573" t="s">
        <v>1842</v>
      </c>
      <c r="C670" s="573" t="s">
        <v>3740</v>
      </c>
      <c r="D670" s="643" t="s">
        <v>3741</v>
      </c>
      <c r="E670" s="644"/>
      <c r="F670" s="37" t="s">
        <v>2398</v>
      </c>
      <c r="G670" s="14">
        <v>25</v>
      </c>
      <c r="H670" s="569"/>
      <c r="I670">
        <v>21</v>
      </c>
      <c r="J670" s="14">
        <f>G670*H670*0.44</f>
        <v>0</v>
      </c>
      <c r="K670" s="14">
        <f>G670*H670-J670</f>
        <v>0</v>
      </c>
      <c r="L670" s="14">
        <f>G670*H670</f>
        <v>0</v>
      </c>
      <c r="M670" s="14">
        <f>L670*(1+I670/100)</f>
        <v>0</v>
      </c>
      <c r="N670" s="14">
        <v>0</v>
      </c>
      <c r="O670" s="14">
        <f>G670*N670</f>
        <v>0</v>
      </c>
      <c r="P670" s="72" t="s">
        <v>1664</v>
      </c>
      <c r="Z670" s="14">
        <f>IF(AQ670="5",BJ670,0)</f>
        <v>0</v>
      </c>
      <c r="AB670" s="14">
        <f>IF(AQ670="1",BH670,0)</f>
        <v>0</v>
      </c>
      <c r="AC670" s="14">
        <f>IF(AQ670="1",BI670,0)</f>
        <v>0</v>
      </c>
      <c r="AD670" s="14">
        <f>IF(AQ670="7",BH670,0)</f>
        <v>0</v>
      </c>
      <c r="AE670" s="14">
        <f>IF(AQ670="7",BI670,0)</f>
        <v>0</v>
      </c>
      <c r="AF670" s="14">
        <f>IF(AQ670="2",BH670,0)</f>
        <v>0</v>
      </c>
      <c r="AG670" s="14">
        <f>IF(AQ670="2",BI670,0)</f>
        <v>0</v>
      </c>
      <c r="AH670" s="14">
        <f>IF(AQ670="0",BJ670,0)</f>
        <v>0</v>
      </c>
      <c r="AI670" s="15" t="s">
        <v>1842</v>
      </c>
      <c r="AJ670" s="14">
        <f>IF(AN670=0,P670,0)</f>
        <v>0</v>
      </c>
      <c r="AK670" s="14">
        <f>IF(AN670=15,P670,0)</f>
        <v>0</v>
      </c>
      <c r="AL670" s="14" t="str">
        <f>IF(AN670=21,P670,0)</f>
        <v>RTS I / 2023</v>
      </c>
      <c r="AN670" s="14">
        <v>21</v>
      </c>
      <c r="AO670" s="14">
        <f>H670*0.444843304843305</f>
        <v>0</v>
      </c>
      <c r="AP670" s="14">
        <f>H670*(1-0.444843304843305)</f>
        <v>0</v>
      </c>
      <c r="AQ670" s="55" t="s">
        <v>2435</v>
      </c>
      <c r="AV670" s="14">
        <f>AW670+AX670</f>
        <v>0</v>
      </c>
      <c r="AW670" s="14">
        <f>G670*AO670</f>
        <v>0</v>
      </c>
      <c r="AX670" s="14">
        <f>G670*AP670</f>
        <v>0</v>
      </c>
      <c r="AY670" s="55" t="s">
        <v>561</v>
      </c>
      <c r="AZ670" s="55" t="s">
        <v>84</v>
      </c>
      <c r="BA670" s="15" t="s">
        <v>1843</v>
      </c>
      <c r="BC670" s="14">
        <f>AW670+AX670</f>
        <v>0</v>
      </c>
      <c r="BD670" s="14">
        <f>H670/(100-BE670)*100</f>
        <v>0</v>
      </c>
      <c r="BE670" s="14">
        <v>0</v>
      </c>
      <c r="BF670" s="14">
        <f>O670</f>
        <v>0</v>
      </c>
      <c r="BH670" s="14">
        <f>G670*AO670</f>
        <v>0</v>
      </c>
      <c r="BI670" s="14">
        <f>G670*AP670</f>
        <v>0</v>
      </c>
      <c r="BJ670" s="14">
        <f>G670*H670</f>
        <v>0</v>
      </c>
      <c r="BK670" s="14"/>
      <c r="BL670" s="14">
        <v>783</v>
      </c>
      <c r="BW670" s="14">
        <f>J670</f>
        <v>0</v>
      </c>
    </row>
    <row r="671" spans="1:75" ht="15" customHeight="1">
      <c r="A671" s="32"/>
      <c r="D671" s="3">
        <v>25</v>
      </c>
      <c r="E671" s="28" t="s">
        <v>3742</v>
      </c>
      <c r="G671" s="27">
        <v>25</v>
      </c>
      <c r="P671" s="33"/>
      <c r="AO671"/>
      <c r="AP671"/>
    </row>
    <row r="672" spans="1:75" ht="15" customHeight="1">
      <c r="A672" s="65" t="s">
        <v>1683</v>
      </c>
      <c r="B672" s="26" t="s">
        <v>1842</v>
      </c>
      <c r="C672" s="26" t="s">
        <v>1348</v>
      </c>
      <c r="D672" s="649" t="s">
        <v>45</v>
      </c>
      <c r="E672" s="650"/>
      <c r="F672" s="74" t="s">
        <v>2262</v>
      </c>
      <c r="G672" s="74" t="s">
        <v>2262</v>
      </c>
      <c r="H672" s="74" t="s">
        <v>2262</v>
      </c>
      <c r="I672" s="74" t="s">
        <v>2262</v>
      </c>
      <c r="J672" s="2">
        <f>SUM(J673:J675)</f>
        <v>0</v>
      </c>
      <c r="K672" s="2">
        <f>SUM(K673:K675)</f>
        <v>0</v>
      </c>
      <c r="L672" s="2">
        <f>SUM(L673:L675)</f>
        <v>0</v>
      </c>
      <c r="M672" s="2">
        <f>SUM(M673:M675)</f>
        <v>0</v>
      </c>
      <c r="N672" s="15" t="s">
        <v>1683</v>
      </c>
      <c r="O672" s="2">
        <f>SUM(O673:O675)</f>
        <v>0.3049</v>
      </c>
      <c r="P672" s="47" t="s">
        <v>1683</v>
      </c>
      <c r="AI672" s="15" t="s">
        <v>1842</v>
      </c>
      <c r="AS672" s="2">
        <f>SUM(AJ673:AJ675)</f>
        <v>0</v>
      </c>
      <c r="AT672" s="2">
        <f>SUM(AK673:AK675)</f>
        <v>0</v>
      </c>
      <c r="AU672" s="2">
        <f>SUM(AL673:AL675)</f>
        <v>0</v>
      </c>
    </row>
    <row r="673" spans="1:75" ht="27" customHeight="1">
      <c r="A673" s="21" t="s">
        <v>531</v>
      </c>
      <c r="B673" s="37" t="s">
        <v>1842</v>
      </c>
      <c r="C673" s="37" t="s">
        <v>196</v>
      </c>
      <c r="D673" s="578" t="s">
        <v>1499</v>
      </c>
      <c r="E673" s="579"/>
      <c r="F673" s="37" t="s">
        <v>2398</v>
      </c>
      <c r="G673" s="14">
        <v>190</v>
      </c>
      <c r="H673" s="569"/>
      <c r="I673" s="55" t="s">
        <v>1720</v>
      </c>
      <c r="J673" s="14">
        <f>G673*AO673</f>
        <v>0</v>
      </c>
      <c r="K673" s="14">
        <f>G673*AP673</f>
        <v>0</v>
      </c>
      <c r="L673" s="14">
        <f>G673*H673</f>
        <v>0</v>
      </c>
      <c r="M673" s="14">
        <f>L673*(1+BW673/100)</f>
        <v>0</v>
      </c>
      <c r="N673" s="14">
        <v>2.0000000000000001E-4</v>
      </c>
      <c r="O673" s="14">
        <f>G673*N673</f>
        <v>3.7999999999999999E-2</v>
      </c>
      <c r="P673" s="72" t="s">
        <v>1664</v>
      </c>
      <c r="Z673" s="14">
        <f>IF(AQ673="5",BJ673,0)</f>
        <v>0</v>
      </c>
      <c r="AB673" s="14">
        <f>IF(AQ673="1",BH673,0)</f>
        <v>0</v>
      </c>
      <c r="AC673" s="14">
        <f>IF(AQ673="1",BI673,0)</f>
        <v>0</v>
      </c>
      <c r="AD673" s="14">
        <f>IF(AQ673="7",BH673,0)</f>
        <v>0</v>
      </c>
      <c r="AE673" s="14">
        <f>IF(AQ673="7",BI673,0)</f>
        <v>0</v>
      </c>
      <c r="AF673" s="14">
        <f>IF(AQ673="2",BH673,0)</f>
        <v>0</v>
      </c>
      <c r="AG673" s="14">
        <f>IF(AQ673="2",BI673,0)</f>
        <v>0</v>
      </c>
      <c r="AH673" s="14">
        <f>IF(AQ673="0",BJ673,0)</f>
        <v>0</v>
      </c>
      <c r="AI673" s="15" t="s">
        <v>1842</v>
      </c>
      <c r="AJ673" s="14">
        <f>IF(AN673=0,L673,0)</f>
        <v>0</v>
      </c>
      <c r="AK673" s="14">
        <f>IF(AN673=15,L673,0)</f>
        <v>0</v>
      </c>
      <c r="AL673" s="14">
        <f>IF(AN673=21,L673,0)</f>
        <v>0</v>
      </c>
      <c r="AN673" s="14">
        <v>21</v>
      </c>
      <c r="AO673" s="92">
        <f>H673*0.352014652014652</f>
        <v>0</v>
      </c>
      <c r="AP673" s="92">
        <f>H673*(1-0.352014652014652)</f>
        <v>0</v>
      </c>
      <c r="AQ673" s="55" t="s">
        <v>2435</v>
      </c>
      <c r="AV673" s="14">
        <f>AW673+AX673</f>
        <v>0</v>
      </c>
      <c r="AW673" s="14">
        <f>G673*AO673</f>
        <v>0</v>
      </c>
      <c r="AX673" s="14">
        <f>G673*AP673</f>
        <v>0</v>
      </c>
      <c r="AY673" s="55" t="s">
        <v>2162</v>
      </c>
      <c r="AZ673" s="55" t="s">
        <v>84</v>
      </c>
      <c r="BA673" s="15" t="s">
        <v>1843</v>
      </c>
      <c r="BC673" s="14">
        <f>AW673+AX673</f>
        <v>0</v>
      </c>
      <c r="BD673" s="14">
        <f>H673/(100-BE673)*100</f>
        <v>0</v>
      </c>
      <c r="BE673" s="14">
        <v>0</v>
      </c>
      <c r="BF673" s="14">
        <f>O673</f>
        <v>3.7999999999999999E-2</v>
      </c>
      <c r="BH673" s="14">
        <f>G673*AO673</f>
        <v>0</v>
      </c>
      <c r="BI673" s="14">
        <f>G673*AP673</f>
        <v>0</v>
      </c>
      <c r="BJ673" s="14">
        <f>G673*H673</f>
        <v>0</v>
      </c>
      <c r="BK673" s="14"/>
      <c r="BL673" s="14">
        <v>784</v>
      </c>
      <c r="BW673" s="14" t="str">
        <f>I673</f>
        <v>21</v>
      </c>
    </row>
    <row r="674" spans="1:75" ht="15" customHeight="1">
      <c r="A674" s="32"/>
      <c r="D674" s="3" t="s">
        <v>1669</v>
      </c>
      <c r="E674" s="28" t="s">
        <v>1683</v>
      </c>
      <c r="G674" s="27">
        <v>190.00000000000003</v>
      </c>
      <c r="P674" s="33"/>
    </row>
    <row r="675" spans="1:75" ht="13.5" customHeight="1">
      <c r="A675" s="21" t="s">
        <v>2367</v>
      </c>
      <c r="B675" s="37" t="s">
        <v>1842</v>
      </c>
      <c r="C675" s="37" t="s">
        <v>2205</v>
      </c>
      <c r="D675" s="578" t="s">
        <v>2026</v>
      </c>
      <c r="E675" s="579"/>
      <c r="F675" s="37" t="s">
        <v>2398</v>
      </c>
      <c r="G675" s="14">
        <v>785</v>
      </c>
      <c r="H675" s="569"/>
      <c r="I675" s="55" t="s">
        <v>1720</v>
      </c>
      <c r="J675" s="14">
        <f>G675*AO675</f>
        <v>0</v>
      </c>
      <c r="K675" s="14">
        <f>G675*AP675</f>
        <v>0</v>
      </c>
      <c r="L675" s="14">
        <f>G675*H675</f>
        <v>0</v>
      </c>
      <c r="M675" s="14">
        <f>L675*(1+BW675/100)</f>
        <v>0</v>
      </c>
      <c r="N675" s="14">
        <v>3.4000000000000002E-4</v>
      </c>
      <c r="O675" s="14">
        <f>G675*N675</f>
        <v>0.26690000000000003</v>
      </c>
      <c r="P675" s="72" t="s">
        <v>1664</v>
      </c>
      <c r="Z675" s="14">
        <f>IF(AQ675="5",BJ675,0)</f>
        <v>0</v>
      </c>
      <c r="AB675" s="14">
        <f>IF(AQ675="1",BH675,0)</f>
        <v>0</v>
      </c>
      <c r="AC675" s="14">
        <f>IF(AQ675="1",BI675,0)</f>
        <v>0</v>
      </c>
      <c r="AD675" s="14">
        <f>IF(AQ675="7",BH675,0)</f>
        <v>0</v>
      </c>
      <c r="AE675" s="14">
        <f>IF(AQ675="7",BI675,0)</f>
        <v>0</v>
      </c>
      <c r="AF675" s="14">
        <f>IF(AQ675="2",BH675,0)</f>
        <v>0</v>
      </c>
      <c r="AG675" s="14">
        <f>IF(AQ675="2",BI675,0)</f>
        <v>0</v>
      </c>
      <c r="AH675" s="14">
        <f>IF(AQ675="0",BJ675,0)</f>
        <v>0</v>
      </c>
      <c r="AI675" s="15" t="s">
        <v>1842</v>
      </c>
      <c r="AJ675" s="14">
        <f>IF(AN675=0,L675,0)</f>
        <v>0</v>
      </c>
      <c r="AK675" s="14">
        <f>IF(AN675=15,L675,0)</f>
        <v>0</v>
      </c>
      <c r="AL675" s="14">
        <f>IF(AN675=21,L675,0)</f>
        <v>0</v>
      </c>
      <c r="AN675" s="14">
        <v>21</v>
      </c>
      <c r="AO675" s="92">
        <f>H675*0.28421686746988</f>
        <v>0</v>
      </c>
      <c r="AP675" s="92">
        <f>H675*(1-0.28421686746988)</f>
        <v>0</v>
      </c>
      <c r="AQ675" s="55" t="s">
        <v>2435</v>
      </c>
      <c r="AV675" s="14">
        <f>AW675+AX675</f>
        <v>0</v>
      </c>
      <c r="AW675" s="14">
        <f>G675*AO675</f>
        <v>0</v>
      </c>
      <c r="AX675" s="14">
        <f>G675*AP675</f>
        <v>0</v>
      </c>
      <c r="AY675" s="55" t="s">
        <v>2162</v>
      </c>
      <c r="AZ675" s="55" t="s">
        <v>84</v>
      </c>
      <c r="BA675" s="15" t="s">
        <v>1843</v>
      </c>
      <c r="BC675" s="14">
        <f>AW675+AX675</f>
        <v>0</v>
      </c>
      <c r="BD675" s="14">
        <f>H675/(100-BE675)*100</f>
        <v>0</v>
      </c>
      <c r="BE675" s="14">
        <v>0</v>
      </c>
      <c r="BF675" s="14">
        <f>O675</f>
        <v>0.26690000000000003</v>
      </c>
      <c r="BH675" s="14">
        <f>G675*AO675</f>
        <v>0</v>
      </c>
      <c r="BI675" s="14">
        <f>G675*AP675</f>
        <v>0</v>
      </c>
      <c r="BJ675" s="14">
        <f>G675*H675</f>
        <v>0</v>
      </c>
      <c r="BK675" s="14"/>
      <c r="BL675" s="14">
        <v>784</v>
      </c>
      <c r="BW675" s="14" t="str">
        <f>I675</f>
        <v>21</v>
      </c>
    </row>
    <row r="676" spans="1:75" ht="15" customHeight="1">
      <c r="A676" s="32"/>
      <c r="D676" s="3" t="s">
        <v>642</v>
      </c>
      <c r="E676" s="28" t="s">
        <v>2172</v>
      </c>
      <c r="G676" s="27">
        <v>785.00000000000011</v>
      </c>
      <c r="P676" s="33"/>
    </row>
    <row r="677" spans="1:75" ht="15" customHeight="1">
      <c r="A677" s="65" t="s">
        <v>1683</v>
      </c>
      <c r="B677" s="26" t="s">
        <v>1842</v>
      </c>
      <c r="C677" s="26" t="s">
        <v>1315</v>
      </c>
      <c r="D677" s="649" t="s">
        <v>2736</v>
      </c>
      <c r="E677" s="650"/>
      <c r="F677" s="74" t="s">
        <v>2262</v>
      </c>
      <c r="G677" s="74" t="s">
        <v>2262</v>
      </c>
      <c r="H677" s="74" t="s">
        <v>2262</v>
      </c>
      <c r="I677" s="74" t="s">
        <v>2262</v>
      </c>
      <c r="J677" s="2">
        <f>SUM(J678:J680)</f>
        <v>0</v>
      </c>
      <c r="K677" s="2">
        <f>SUM(K678:K680)</f>
        <v>0</v>
      </c>
      <c r="L677" s="2">
        <f>SUM(L678:L680)</f>
        <v>0</v>
      </c>
      <c r="M677" s="2">
        <f>SUM(M678:M680)</f>
        <v>0</v>
      </c>
      <c r="N677" s="15" t="s">
        <v>1683</v>
      </c>
      <c r="O677" s="2">
        <f>SUM(O678:O680)</f>
        <v>0.15579999999999999</v>
      </c>
      <c r="P677" s="47" t="s">
        <v>1683</v>
      </c>
      <c r="AI677" s="15" t="s">
        <v>1842</v>
      </c>
      <c r="AS677" s="2">
        <f>SUM(AJ678:AJ680)</f>
        <v>0</v>
      </c>
      <c r="AT677" s="2">
        <f>SUM(AK678:AK680)</f>
        <v>0</v>
      </c>
      <c r="AU677" s="2">
        <f>SUM(AL678:AL680)</f>
        <v>0</v>
      </c>
    </row>
    <row r="678" spans="1:75" ht="27" customHeight="1">
      <c r="A678" s="21" t="s">
        <v>996</v>
      </c>
      <c r="B678" s="37" t="s">
        <v>1842</v>
      </c>
      <c r="C678" s="37" t="s">
        <v>1882</v>
      </c>
      <c r="D678" s="578" t="s">
        <v>95</v>
      </c>
      <c r="E678" s="579"/>
      <c r="F678" s="37" t="s">
        <v>2019</v>
      </c>
      <c r="G678" s="14">
        <v>9</v>
      </c>
      <c r="H678" s="569"/>
      <c r="I678" s="55" t="s">
        <v>1720</v>
      </c>
      <c r="J678" s="14">
        <f>G678*AO678</f>
        <v>0</v>
      </c>
      <c r="K678" s="14">
        <f>G678*AP678</f>
        <v>0</v>
      </c>
      <c r="L678" s="14">
        <f>G678*H678</f>
        <v>0</v>
      </c>
      <c r="M678" s="14">
        <f>L678*(1+BW678/100)</f>
        <v>0</v>
      </c>
      <c r="N678" s="14">
        <v>2.0000000000000001E-4</v>
      </c>
      <c r="O678" s="14">
        <f>G678*N678</f>
        <v>1.8000000000000002E-3</v>
      </c>
      <c r="P678" s="72" t="s">
        <v>1664</v>
      </c>
      <c r="Z678" s="14">
        <f>IF(AQ678="5",BJ678,0)</f>
        <v>0</v>
      </c>
      <c r="AB678" s="14">
        <f>IF(AQ678="1",BH678,0)</f>
        <v>0</v>
      </c>
      <c r="AC678" s="14">
        <f>IF(AQ678="1",BI678,0)</f>
        <v>0</v>
      </c>
      <c r="AD678" s="14">
        <f>IF(AQ678="7",BH678,0)</f>
        <v>0</v>
      </c>
      <c r="AE678" s="14">
        <f>IF(AQ678="7",BI678,0)</f>
        <v>0</v>
      </c>
      <c r="AF678" s="14">
        <f>IF(AQ678="2",BH678,0)</f>
        <v>0</v>
      </c>
      <c r="AG678" s="14">
        <f>IF(AQ678="2",BI678,0)</f>
        <v>0</v>
      </c>
      <c r="AH678" s="14">
        <f>IF(AQ678="0",BJ678,0)</f>
        <v>0</v>
      </c>
      <c r="AI678" s="15" t="s">
        <v>1842</v>
      </c>
      <c r="AJ678" s="14">
        <f>IF(AN678=0,L678,0)</f>
        <v>0</v>
      </c>
      <c r="AK678" s="14">
        <f>IF(AN678=15,L678,0)</f>
        <v>0</v>
      </c>
      <c r="AL678" s="14">
        <f>IF(AN678=21,L678,0)</f>
        <v>0</v>
      </c>
      <c r="AN678" s="14">
        <v>21</v>
      </c>
      <c r="AO678" s="92">
        <f>H678*0.783905703270312</f>
        <v>0</v>
      </c>
      <c r="AP678" s="92">
        <f>H678*(1-0.783905703270312)</f>
        <v>0</v>
      </c>
      <c r="AQ678" s="55" t="s">
        <v>2435</v>
      </c>
      <c r="AV678" s="14">
        <f>AW678+AX678</f>
        <v>0</v>
      </c>
      <c r="AW678" s="14">
        <f>G678*AO678</f>
        <v>0</v>
      </c>
      <c r="AX678" s="14">
        <f>G678*AP678</f>
        <v>0</v>
      </c>
      <c r="AY678" s="55" t="s">
        <v>1607</v>
      </c>
      <c r="AZ678" s="55" t="s">
        <v>84</v>
      </c>
      <c r="BA678" s="15" t="s">
        <v>1843</v>
      </c>
      <c r="BC678" s="14">
        <f>AW678+AX678</f>
        <v>0</v>
      </c>
      <c r="BD678" s="14">
        <f>H678/(100-BE678)*100</f>
        <v>0</v>
      </c>
      <c r="BE678" s="14">
        <v>0</v>
      </c>
      <c r="BF678" s="14">
        <f>O678</f>
        <v>1.8000000000000002E-3</v>
      </c>
      <c r="BH678" s="14">
        <f>G678*AO678</f>
        <v>0</v>
      </c>
      <c r="BI678" s="14">
        <f>G678*AP678</f>
        <v>0</v>
      </c>
      <c r="BJ678" s="14">
        <f>G678*H678</f>
        <v>0</v>
      </c>
      <c r="BK678" s="14"/>
      <c r="BL678" s="14">
        <v>786</v>
      </c>
      <c r="BW678" s="14" t="str">
        <f>I678</f>
        <v>21</v>
      </c>
    </row>
    <row r="679" spans="1:75" ht="15" customHeight="1">
      <c r="A679" s="32"/>
      <c r="D679" s="3" t="s">
        <v>922</v>
      </c>
      <c r="E679" s="28" t="s">
        <v>1683</v>
      </c>
      <c r="G679" s="27">
        <v>9</v>
      </c>
      <c r="P679" s="33"/>
    </row>
    <row r="680" spans="1:75" ht="27" customHeight="1">
      <c r="A680" s="20" t="s">
        <v>21</v>
      </c>
      <c r="B680" s="84" t="s">
        <v>1842</v>
      </c>
      <c r="C680" s="84" t="s">
        <v>2253</v>
      </c>
      <c r="D680" s="653" t="s">
        <v>1259</v>
      </c>
      <c r="E680" s="654"/>
      <c r="F680" s="84" t="s">
        <v>2398</v>
      </c>
      <c r="G680" s="6">
        <v>35</v>
      </c>
      <c r="H680" s="570"/>
      <c r="I680" s="18" t="s">
        <v>1720</v>
      </c>
      <c r="J680" s="6">
        <f>G680*AO680</f>
        <v>0</v>
      </c>
      <c r="K680" s="6">
        <f>G680*AP680</f>
        <v>0</v>
      </c>
      <c r="L680" s="6">
        <f>G680*H680</f>
        <v>0</v>
      </c>
      <c r="M680" s="6">
        <f>L680*(1+BW680/100)</f>
        <v>0</v>
      </c>
      <c r="N680" s="6">
        <v>4.4000000000000003E-3</v>
      </c>
      <c r="O680" s="6">
        <f>G680*N680</f>
        <v>0.154</v>
      </c>
      <c r="P680" s="109" t="s">
        <v>1664</v>
      </c>
      <c r="Z680" s="14">
        <f>IF(AQ680="5",BJ680,0)</f>
        <v>0</v>
      </c>
      <c r="AB680" s="14">
        <f>IF(AQ680="1",BH680,0)</f>
        <v>0</v>
      </c>
      <c r="AC680" s="14">
        <f>IF(AQ680="1",BI680,0)</f>
        <v>0</v>
      </c>
      <c r="AD680" s="14">
        <f>IF(AQ680="7",BH680,0)</f>
        <v>0</v>
      </c>
      <c r="AE680" s="14">
        <f>IF(AQ680="7",BI680,0)</f>
        <v>0</v>
      </c>
      <c r="AF680" s="14">
        <f>IF(AQ680="2",BH680,0)</f>
        <v>0</v>
      </c>
      <c r="AG680" s="14">
        <f>IF(AQ680="2",BI680,0)</f>
        <v>0</v>
      </c>
      <c r="AH680" s="14">
        <f>IF(AQ680="0",BJ680,0)</f>
        <v>0</v>
      </c>
      <c r="AI680" s="15" t="s">
        <v>1842</v>
      </c>
      <c r="AJ680" s="6">
        <f>IF(AN680=0,L680,0)</f>
        <v>0</v>
      </c>
      <c r="AK680" s="6">
        <f>IF(AN680=15,L680,0)</f>
        <v>0</v>
      </c>
      <c r="AL680" s="6">
        <f>IF(AN680=21,L680,0)</f>
        <v>0</v>
      </c>
      <c r="AN680" s="14">
        <v>21</v>
      </c>
      <c r="AO680" s="92">
        <f>H680*1</f>
        <v>0</v>
      </c>
      <c r="AP680" s="92">
        <f>H680*(1-1)</f>
        <v>0</v>
      </c>
      <c r="AQ680" s="18" t="s">
        <v>2435</v>
      </c>
      <c r="AV680" s="14">
        <f>AW680+AX680</f>
        <v>0</v>
      </c>
      <c r="AW680" s="14">
        <f>G680*AO680</f>
        <v>0</v>
      </c>
      <c r="AX680" s="14">
        <f>G680*AP680</f>
        <v>0</v>
      </c>
      <c r="AY680" s="55" t="s">
        <v>1607</v>
      </c>
      <c r="AZ680" s="55" t="s">
        <v>84</v>
      </c>
      <c r="BA680" s="15" t="s">
        <v>1843</v>
      </c>
      <c r="BC680" s="14">
        <f>AW680+AX680</f>
        <v>0</v>
      </c>
      <c r="BD680" s="14">
        <f>H680/(100-BE680)*100</f>
        <v>0</v>
      </c>
      <c r="BE680" s="14">
        <v>0</v>
      </c>
      <c r="BF680" s="14">
        <f>O680</f>
        <v>0.154</v>
      </c>
      <c r="BH680" s="6">
        <f>G680*AO680</f>
        <v>0</v>
      </c>
      <c r="BI680" s="6">
        <f>G680*AP680</f>
        <v>0</v>
      </c>
      <c r="BJ680" s="6">
        <f>G680*H680</f>
        <v>0</v>
      </c>
      <c r="BK680" s="6"/>
      <c r="BL680" s="14">
        <v>786</v>
      </c>
      <c r="BW680" s="14" t="str">
        <f>I680</f>
        <v>21</v>
      </c>
    </row>
    <row r="681" spans="1:75" ht="15" customHeight="1">
      <c r="A681" s="32"/>
      <c r="D681" s="3" t="s">
        <v>2691</v>
      </c>
      <c r="E681" s="28" t="s">
        <v>1363</v>
      </c>
      <c r="G681" s="27">
        <v>35</v>
      </c>
      <c r="P681" s="33"/>
    </row>
    <row r="682" spans="1:75" ht="15" customHeight="1">
      <c r="A682" s="65" t="s">
        <v>1683</v>
      </c>
      <c r="B682" s="26" t="s">
        <v>1842</v>
      </c>
      <c r="C682" s="26" t="s">
        <v>276</v>
      </c>
      <c r="D682" s="649" t="s">
        <v>1716</v>
      </c>
      <c r="E682" s="650"/>
      <c r="F682" s="74" t="s">
        <v>2262</v>
      </c>
      <c r="G682" s="74" t="s">
        <v>2262</v>
      </c>
      <c r="H682" s="74" t="s">
        <v>2262</v>
      </c>
      <c r="I682" s="74" t="s">
        <v>2262</v>
      </c>
      <c r="J682" s="2">
        <f>SUM(J683:J691)</f>
        <v>0</v>
      </c>
      <c r="K682" s="2">
        <f>SUM(K683:K691)</f>
        <v>0</v>
      </c>
      <c r="L682" s="2">
        <f>SUM(L683:L691)</f>
        <v>0</v>
      </c>
      <c r="M682" s="2">
        <f>SUM(M683:M691)</f>
        <v>0</v>
      </c>
      <c r="N682" s="15" t="s">
        <v>1683</v>
      </c>
      <c r="O682" s="2">
        <f>SUM(O683:O691)</f>
        <v>12.674199999999999</v>
      </c>
      <c r="P682" s="47" t="s">
        <v>1683</v>
      </c>
      <c r="AI682" s="15" t="s">
        <v>1842</v>
      </c>
      <c r="AS682" s="2">
        <f>SUM(AJ683:AJ691)</f>
        <v>0</v>
      </c>
      <c r="AT682" s="2">
        <f>SUM(AK683:AK691)</f>
        <v>0</v>
      </c>
      <c r="AU682" s="2">
        <f>SUM(AL683:AL691)</f>
        <v>0</v>
      </c>
    </row>
    <row r="683" spans="1:75" ht="13.5" customHeight="1">
      <c r="A683" s="21" t="s">
        <v>1093</v>
      </c>
      <c r="B683" s="37" t="s">
        <v>1842</v>
      </c>
      <c r="C683" s="37" t="s">
        <v>1127</v>
      </c>
      <c r="D683" s="578" t="s">
        <v>2183</v>
      </c>
      <c r="E683" s="579"/>
      <c r="F683" s="37" t="s">
        <v>2398</v>
      </c>
      <c r="G683" s="14">
        <v>680</v>
      </c>
      <c r="H683" s="569"/>
      <c r="I683" s="55" t="s">
        <v>1720</v>
      </c>
      <c r="J683" s="14">
        <f>G683*AO683</f>
        <v>0</v>
      </c>
      <c r="K683" s="14">
        <f>G683*AP683</f>
        <v>0</v>
      </c>
      <c r="L683" s="14">
        <f>G683*H683</f>
        <v>0</v>
      </c>
      <c r="M683" s="14">
        <f>L683*(1+BW683/100)</f>
        <v>0</v>
      </c>
      <c r="N683" s="14">
        <v>1.8380000000000001E-2</v>
      </c>
      <c r="O683" s="14">
        <f>G683*N683</f>
        <v>12.4984</v>
      </c>
      <c r="P683" s="72" t="s">
        <v>1664</v>
      </c>
      <c r="Z683" s="14">
        <f>IF(AQ683="5",BJ683,0)</f>
        <v>0</v>
      </c>
      <c r="AB683" s="14">
        <f>IF(AQ683="1",BH683,0)</f>
        <v>0</v>
      </c>
      <c r="AC683" s="14">
        <f>IF(AQ683="1",BI683,0)</f>
        <v>0</v>
      </c>
      <c r="AD683" s="14">
        <f>IF(AQ683="7",BH683,0)</f>
        <v>0</v>
      </c>
      <c r="AE683" s="14">
        <f>IF(AQ683="7",BI683,0)</f>
        <v>0</v>
      </c>
      <c r="AF683" s="14">
        <f>IF(AQ683="2",BH683,0)</f>
        <v>0</v>
      </c>
      <c r="AG683" s="14">
        <f>IF(AQ683="2",BI683,0)</f>
        <v>0</v>
      </c>
      <c r="AH683" s="14">
        <f>IF(AQ683="0",BJ683,0)</f>
        <v>0</v>
      </c>
      <c r="AI683" s="15" t="s">
        <v>1842</v>
      </c>
      <c r="AJ683" s="14">
        <f>IF(AN683=0,L683,0)</f>
        <v>0</v>
      </c>
      <c r="AK683" s="14">
        <f>IF(AN683=15,L683,0)</f>
        <v>0</v>
      </c>
      <c r="AL683" s="14">
        <f>IF(AN683=21,L683,0)</f>
        <v>0</v>
      </c>
      <c r="AN683" s="14">
        <v>21</v>
      </c>
      <c r="AO683" s="92">
        <f>H683*0.000685871056241427</f>
        <v>0</v>
      </c>
      <c r="AP683" s="92">
        <f>H683*(1-0.000685871056241427)</f>
        <v>0</v>
      </c>
      <c r="AQ683" s="55" t="s">
        <v>2422</v>
      </c>
      <c r="AV683" s="14">
        <f>AW683+AX683</f>
        <v>0</v>
      </c>
      <c r="AW683" s="14">
        <f>G683*AO683</f>
        <v>0</v>
      </c>
      <c r="AX683" s="14">
        <f>G683*AP683</f>
        <v>0</v>
      </c>
      <c r="AY683" s="55" t="s">
        <v>2698</v>
      </c>
      <c r="AZ683" s="55" t="s">
        <v>312</v>
      </c>
      <c r="BA683" s="15" t="s">
        <v>1843</v>
      </c>
      <c r="BC683" s="14">
        <f>AW683+AX683</f>
        <v>0</v>
      </c>
      <c r="BD683" s="14">
        <f>H683/(100-BE683)*100</f>
        <v>0</v>
      </c>
      <c r="BE683" s="14">
        <v>0</v>
      </c>
      <c r="BF683" s="14">
        <f>O683</f>
        <v>12.4984</v>
      </c>
      <c r="BH683" s="14">
        <f>G683*AO683</f>
        <v>0</v>
      </c>
      <c r="BI683" s="14">
        <f>G683*AP683</f>
        <v>0</v>
      </c>
      <c r="BJ683" s="14">
        <f>G683*H683</f>
        <v>0</v>
      </c>
      <c r="BK683" s="14"/>
      <c r="BL683" s="14">
        <v>94</v>
      </c>
      <c r="BW683" s="14" t="str">
        <f>I683</f>
        <v>21</v>
      </c>
    </row>
    <row r="684" spans="1:75" ht="15" customHeight="1">
      <c r="A684" s="32"/>
      <c r="D684" s="3" t="s">
        <v>1217</v>
      </c>
      <c r="E684" s="28" t="s">
        <v>1683</v>
      </c>
      <c r="G684" s="27">
        <v>680</v>
      </c>
      <c r="P684" s="33"/>
    </row>
    <row r="685" spans="1:75" ht="13.5" customHeight="1">
      <c r="A685" s="21" t="s">
        <v>532</v>
      </c>
      <c r="B685" s="37" t="s">
        <v>1842</v>
      </c>
      <c r="C685" s="37" t="s">
        <v>1837</v>
      </c>
      <c r="D685" s="578" t="s">
        <v>1016</v>
      </c>
      <c r="E685" s="579"/>
      <c r="F685" s="37" t="s">
        <v>2398</v>
      </c>
      <c r="G685" s="14">
        <v>2040</v>
      </c>
      <c r="H685" s="569"/>
      <c r="I685" s="55" t="s">
        <v>1720</v>
      </c>
      <c r="J685" s="14">
        <f>G685*AO685</f>
        <v>0</v>
      </c>
      <c r="K685" s="14">
        <f>G685*AP685</f>
        <v>0</v>
      </c>
      <c r="L685" s="14">
        <f>G685*H685</f>
        <v>0</v>
      </c>
      <c r="M685" s="14">
        <f>L685*(1+BW685/100)</f>
        <v>0</v>
      </c>
      <c r="N685" s="14">
        <v>0</v>
      </c>
      <c r="O685" s="14">
        <f>G685*N685</f>
        <v>0</v>
      </c>
      <c r="P685" s="72" t="s">
        <v>1664</v>
      </c>
      <c r="Z685" s="14">
        <f>IF(AQ685="5",BJ685,0)</f>
        <v>0</v>
      </c>
      <c r="AB685" s="14">
        <f>IF(AQ685="1",BH685,0)</f>
        <v>0</v>
      </c>
      <c r="AC685" s="14">
        <f>IF(AQ685="1",BI685,0)</f>
        <v>0</v>
      </c>
      <c r="AD685" s="14">
        <f>IF(AQ685="7",BH685,0)</f>
        <v>0</v>
      </c>
      <c r="AE685" s="14">
        <f>IF(AQ685="7",BI685,0)</f>
        <v>0</v>
      </c>
      <c r="AF685" s="14">
        <f>IF(AQ685="2",BH685,0)</f>
        <v>0</v>
      </c>
      <c r="AG685" s="14">
        <f>IF(AQ685="2",BI685,0)</f>
        <v>0</v>
      </c>
      <c r="AH685" s="14">
        <f>IF(AQ685="0",BJ685,0)</f>
        <v>0</v>
      </c>
      <c r="AI685" s="15" t="s">
        <v>1842</v>
      </c>
      <c r="AJ685" s="14">
        <f>IF(AN685=0,L685,0)</f>
        <v>0</v>
      </c>
      <c r="AK685" s="14">
        <f>IF(AN685=15,L685,0)</f>
        <v>0</v>
      </c>
      <c r="AL685" s="14">
        <f>IF(AN685=21,L685,0)</f>
        <v>0</v>
      </c>
      <c r="AN685" s="14">
        <v>21</v>
      </c>
      <c r="AO685" s="92">
        <f>H685*0</f>
        <v>0</v>
      </c>
      <c r="AP685" s="92">
        <f>H685*(1-0)</f>
        <v>0</v>
      </c>
      <c r="AQ685" s="55" t="s">
        <v>2422</v>
      </c>
      <c r="AV685" s="14">
        <f>AW685+AX685</f>
        <v>0</v>
      </c>
      <c r="AW685" s="14">
        <f>G685*AO685</f>
        <v>0</v>
      </c>
      <c r="AX685" s="14">
        <f>G685*AP685</f>
        <v>0</v>
      </c>
      <c r="AY685" s="55" t="s">
        <v>2698</v>
      </c>
      <c r="AZ685" s="55" t="s">
        <v>312</v>
      </c>
      <c r="BA685" s="15" t="s">
        <v>1843</v>
      </c>
      <c r="BC685" s="14">
        <f>AW685+AX685</f>
        <v>0</v>
      </c>
      <c r="BD685" s="14">
        <f>H685/(100-BE685)*100</f>
        <v>0</v>
      </c>
      <c r="BE685" s="14">
        <v>0</v>
      </c>
      <c r="BF685" s="14">
        <f>O685</f>
        <v>0</v>
      </c>
      <c r="BH685" s="14">
        <f>G685*AO685</f>
        <v>0</v>
      </c>
      <c r="BI685" s="14">
        <f>G685*AP685</f>
        <v>0</v>
      </c>
      <c r="BJ685" s="14">
        <f>G685*H685</f>
        <v>0</v>
      </c>
      <c r="BK685" s="14"/>
      <c r="BL685" s="14">
        <v>94</v>
      </c>
      <c r="BW685" s="14" t="str">
        <f>I685</f>
        <v>21</v>
      </c>
    </row>
    <row r="686" spans="1:75" ht="15" customHeight="1">
      <c r="A686" s="32"/>
      <c r="D686" s="3" t="s">
        <v>586</v>
      </c>
      <c r="E686" s="28" t="s">
        <v>1683</v>
      </c>
      <c r="G686" s="27">
        <v>2040.0000000000002</v>
      </c>
      <c r="P686" s="33"/>
    </row>
    <row r="687" spans="1:75" ht="13.5" customHeight="1">
      <c r="A687" s="21" t="s">
        <v>1323</v>
      </c>
      <c r="B687" s="37" t="s">
        <v>1842</v>
      </c>
      <c r="C687" s="37" t="s">
        <v>2776</v>
      </c>
      <c r="D687" s="578" t="s">
        <v>850</v>
      </c>
      <c r="E687" s="579"/>
      <c r="F687" s="37" t="s">
        <v>2398</v>
      </c>
      <c r="G687" s="14">
        <v>680</v>
      </c>
      <c r="H687" s="569"/>
      <c r="I687" s="55" t="s">
        <v>1720</v>
      </c>
      <c r="J687" s="14">
        <f>G687*AO687</f>
        <v>0</v>
      </c>
      <c r="K687" s="14">
        <f>G687*AP687</f>
        <v>0</v>
      </c>
      <c r="L687" s="14">
        <f>G687*H687</f>
        <v>0</v>
      </c>
      <c r="M687" s="14">
        <f>L687*(1+BW687/100)</f>
        <v>0</v>
      </c>
      <c r="N687" s="14">
        <v>0</v>
      </c>
      <c r="O687" s="14">
        <f>G687*N687</f>
        <v>0</v>
      </c>
      <c r="P687" s="72" t="s">
        <v>1664</v>
      </c>
      <c r="Z687" s="14">
        <f>IF(AQ687="5",BJ687,0)</f>
        <v>0</v>
      </c>
      <c r="AB687" s="14">
        <f>IF(AQ687="1",BH687,0)</f>
        <v>0</v>
      </c>
      <c r="AC687" s="14">
        <f>IF(AQ687="1",BI687,0)</f>
        <v>0</v>
      </c>
      <c r="AD687" s="14">
        <f>IF(AQ687="7",BH687,0)</f>
        <v>0</v>
      </c>
      <c r="AE687" s="14">
        <f>IF(AQ687="7",BI687,0)</f>
        <v>0</v>
      </c>
      <c r="AF687" s="14">
        <f>IF(AQ687="2",BH687,0)</f>
        <v>0</v>
      </c>
      <c r="AG687" s="14">
        <f>IF(AQ687="2",BI687,0)</f>
        <v>0</v>
      </c>
      <c r="AH687" s="14">
        <f>IF(AQ687="0",BJ687,0)</f>
        <v>0</v>
      </c>
      <c r="AI687" s="15" t="s">
        <v>1842</v>
      </c>
      <c r="AJ687" s="14">
        <f>IF(AN687=0,L687,0)</f>
        <v>0</v>
      </c>
      <c r="AK687" s="14">
        <f>IF(AN687=15,L687,0)</f>
        <v>0</v>
      </c>
      <c r="AL687" s="14">
        <f>IF(AN687=21,L687,0)</f>
        <v>0</v>
      </c>
      <c r="AN687" s="14">
        <v>21</v>
      </c>
      <c r="AO687" s="92">
        <f>H687*0</f>
        <v>0</v>
      </c>
      <c r="AP687" s="92">
        <f>H687*(1-0)</f>
        <v>0</v>
      </c>
      <c r="AQ687" s="55" t="s">
        <v>2422</v>
      </c>
      <c r="AV687" s="14">
        <f>AW687+AX687</f>
        <v>0</v>
      </c>
      <c r="AW687" s="14">
        <f>G687*AO687</f>
        <v>0</v>
      </c>
      <c r="AX687" s="14">
        <f>G687*AP687</f>
        <v>0</v>
      </c>
      <c r="AY687" s="55" t="s">
        <v>2698</v>
      </c>
      <c r="AZ687" s="55" t="s">
        <v>312</v>
      </c>
      <c r="BA687" s="15" t="s">
        <v>1843</v>
      </c>
      <c r="BC687" s="14">
        <f>AW687+AX687</f>
        <v>0</v>
      </c>
      <c r="BD687" s="14">
        <f>H687/(100-BE687)*100</f>
        <v>0</v>
      </c>
      <c r="BE687" s="14">
        <v>0</v>
      </c>
      <c r="BF687" s="14">
        <f>O687</f>
        <v>0</v>
      </c>
      <c r="BH687" s="14">
        <f>G687*AO687</f>
        <v>0</v>
      </c>
      <c r="BI687" s="14">
        <f>G687*AP687</f>
        <v>0</v>
      </c>
      <c r="BJ687" s="14">
        <f>G687*H687</f>
        <v>0</v>
      </c>
      <c r="BK687" s="14"/>
      <c r="BL687" s="14">
        <v>94</v>
      </c>
      <c r="BW687" s="14" t="str">
        <f>I687</f>
        <v>21</v>
      </c>
    </row>
    <row r="688" spans="1:75" ht="15" customHeight="1">
      <c r="A688" s="32"/>
      <c r="D688" s="3" t="s">
        <v>2526</v>
      </c>
      <c r="E688" s="28" t="s">
        <v>1683</v>
      </c>
      <c r="G688" s="27">
        <v>680</v>
      </c>
      <c r="P688" s="33"/>
    </row>
    <row r="689" spans="1:75" ht="13.5" customHeight="1">
      <c r="A689" s="21" t="s">
        <v>2365</v>
      </c>
      <c r="B689" s="37" t="s">
        <v>1842</v>
      </c>
      <c r="C689" s="37" t="s">
        <v>869</v>
      </c>
      <c r="D689" s="578" t="s">
        <v>851</v>
      </c>
      <c r="E689" s="579"/>
      <c r="F689" s="37" t="s">
        <v>2398</v>
      </c>
      <c r="G689" s="14">
        <v>120</v>
      </c>
      <c r="H689" s="569"/>
      <c r="I689" s="55" t="s">
        <v>1720</v>
      </c>
      <c r="J689" s="14">
        <f>G689*AO689</f>
        <v>0</v>
      </c>
      <c r="K689" s="14">
        <f>G689*AP689</f>
        <v>0</v>
      </c>
      <c r="L689" s="14">
        <f>G689*H689</f>
        <v>0</v>
      </c>
      <c r="M689" s="14">
        <f>L689*(1+BW689/100)</f>
        <v>0</v>
      </c>
      <c r="N689" s="14">
        <v>1.2099999999999999E-3</v>
      </c>
      <c r="O689" s="14">
        <f>G689*N689</f>
        <v>0.1452</v>
      </c>
      <c r="P689" s="72" t="s">
        <v>921</v>
      </c>
      <c r="Z689" s="14">
        <f>IF(AQ689="5",BJ689,0)</f>
        <v>0</v>
      </c>
      <c r="AB689" s="14">
        <f>IF(AQ689="1",BH689,0)</f>
        <v>0</v>
      </c>
      <c r="AC689" s="14">
        <f>IF(AQ689="1",BI689,0)</f>
        <v>0</v>
      </c>
      <c r="AD689" s="14">
        <f>IF(AQ689="7",BH689,0)</f>
        <v>0</v>
      </c>
      <c r="AE689" s="14">
        <f>IF(AQ689="7",BI689,0)</f>
        <v>0</v>
      </c>
      <c r="AF689" s="14">
        <f>IF(AQ689="2",BH689,0)</f>
        <v>0</v>
      </c>
      <c r="AG689" s="14">
        <f>IF(AQ689="2",BI689,0)</f>
        <v>0</v>
      </c>
      <c r="AH689" s="14">
        <f>IF(AQ689="0",BJ689,0)</f>
        <v>0</v>
      </c>
      <c r="AI689" s="15" t="s">
        <v>1842</v>
      </c>
      <c r="AJ689" s="14">
        <f>IF(AN689=0,L689,0)</f>
        <v>0</v>
      </c>
      <c r="AK689" s="14">
        <f>IF(AN689=15,L689,0)</f>
        <v>0</v>
      </c>
      <c r="AL689" s="14">
        <f>IF(AN689=21,L689,0)</f>
        <v>0</v>
      </c>
      <c r="AN689" s="14">
        <v>21</v>
      </c>
      <c r="AO689" s="92">
        <f>H689*0.327179487179487</f>
        <v>0</v>
      </c>
      <c r="AP689" s="92">
        <f>H689*(1-0.327179487179487)</f>
        <v>0</v>
      </c>
      <c r="AQ689" s="55" t="s">
        <v>2422</v>
      </c>
      <c r="AV689" s="14">
        <f>AW689+AX689</f>
        <v>0</v>
      </c>
      <c r="AW689" s="14">
        <f>G689*AO689</f>
        <v>0</v>
      </c>
      <c r="AX689" s="14">
        <f>G689*AP689</f>
        <v>0</v>
      </c>
      <c r="AY689" s="55" t="s">
        <v>2698</v>
      </c>
      <c r="AZ689" s="55" t="s">
        <v>312</v>
      </c>
      <c r="BA689" s="15" t="s">
        <v>1843</v>
      </c>
      <c r="BC689" s="14">
        <f>AW689+AX689</f>
        <v>0</v>
      </c>
      <c r="BD689" s="14">
        <f>H689/(100-BE689)*100</f>
        <v>0</v>
      </c>
      <c r="BE689" s="14">
        <v>0</v>
      </c>
      <c r="BF689" s="14">
        <f>O689</f>
        <v>0.1452</v>
      </c>
      <c r="BH689" s="14">
        <f>G689*AO689</f>
        <v>0</v>
      </c>
      <c r="BI689" s="14">
        <f>G689*AP689</f>
        <v>0</v>
      </c>
      <c r="BJ689" s="14">
        <f>G689*H689</f>
        <v>0</v>
      </c>
      <c r="BK689" s="14"/>
      <c r="BL689" s="14">
        <v>94</v>
      </c>
      <c r="BW689" s="14" t="str">
        <f>I689</f>
        <v>21</v>
      </c>
    </row>
    <row r="690" spans="1:75" ht="15" customHeight="1">
      <c r="A690" s="32"/>
      <c r="D690" s="3" t="s">
        <v>553</v>
      </c>
      <c r="E690" s="28" t="s">
        <v>1683</v>
      </c>
      <c r="G690" s="27">
        <v>120.00000000000001</v>
      </c>
      <c r="P690" s="33"/>
    </row>
    <row r="691" spans="1:75" ht="13.5" customHeight="1">
      <c r="A691" s="21" t="s">
        <v>1937</v>
      </c>
      <c r="B691" s="37" t="s">
        <v>1842</v>
      </c>
      <c r="C691" s="37" t="s">
        <v>2370</v>
      </c>
      <c r="D691" s="578" t="s">
        <v>1784</v>
      </c>
      <c r="E691" s="579"/>
      <c r="F691" s="37" t="s">
        <v>2398</v>
      </c>
      <c r="G691" s="14">
        <v>10</v>
      </c>
      <c r="H691" s="569"/>
      <c r="I691" s="55" t="s">
        <v>1720</v>
      </c>
      <c r="J691" s="14">
        <f>G691*AO691</f>
        <v>0</v>
      </c>
      <c r="K691" s="14">
        <f>G691*AP691</f>
        <v>0</v>
      </c>
      <c r="L691" s="14">
        <f>G691*H691</f>
        <v>0</v>
      </c>
      <c r="M691" s="14">
        <f>L691*(1+BW691/100)</f>
        <v>0</v>
      </c>
      <c r="N691" s="14">
        <v>3.0599999999999998E-3</v>
      </c>
      <c r="O691" s="14">
        <f>G691*N691</f>
        <v>3.0599999999999999E-2</v>
      </c>
      <c r="P691" s="72" t="s">
        <v>1664</v>
      </c>
      <c r="Z691" s="14">
        <f>IF(AQ691="5",BJ691,0)</f>
        <v>0</v>
      </c>
      <c r="AB691" s="14">
        <f>IF(AQ691="1",BH691,0)</f>
        <v>0</v>
      </c>
      <c r="AC691" s="14">
        <f>IF(AQ691="1",BI691,0)</f>
        <v>0</v>
      </c>
      <c r="AD691" s="14">
        <f>IF(AQ691="7",BH691,0)</f>
        <v>0</v>
      </c>
      <c r="AE691" s="14">
        <f>IF(AQ691="7",BI691,0)</f>
        <v>0</v>
      </c>
      <c r="AF691" s="14">
        <f>IF(AQ691="2",BH691,0)</f>
        <v>0</v>
      </c>
      <c r="AG691" s="14">
        <f>IF(AQ691="2",BI691,0)</f>
        <v>0</v>
      </c>
      <c r="AH691" s="14">
        <f>IF(AQ691="0",BJ691,0)</f>
        <v>0</v>
      </c>
      <c r="AI691" s="15" t="s">
        <v>1842</v>
      </c>
      <c r="AJ691" s="14">
        <f>IF(AN691=0,L691,0)</f>
        <v>0</v>
      </c>
      <c r="AK691" s="14">
        <f>IF(AN691=15,L691,0)</f>
        <v>0</v>
      </c>
      <c r="AL691" s="14">
        <f>IF(AN691=21,L691,0)</f>
        <v>0</v>
      </c>
      <c r="AN691" s="14">
        <v>21</v>
      </c>
      <c r="AO691" s="92">
        <f>H691*0.290324387920892</f>
        <v>0</v>
      </c>
      <c r="AP691" s="92">
        <f>H691*(1-0.290324387920892)</f>
        <v>0</v>
      </c>
      <c r="AQ691" s="55" t="s">
        <v>2422</v>
      </c>
      <c r="AV691" s="14">
        <f>AW691+AX691</f>
        <v>0</v>
      </c>
      <c r="AW691" s="14">
        <f>G691*AO691</f>
        <v>0</v>
      </c>
      <c r="AX691" s="14">
        <f>G691*AP691</f>
        <v>0</v>
      </c>
      <c r="AY691" s="55" t="s">
        <v>2698</v>
      </c>
      <c r="AZ691" s="55" t="s">
        <v>312</v>
      </c>
      <c r="BA691" s="15" t="s">
        <v>1843</v>
      </c>
      <c r="BC691" s="14">
        <f>AW691+AX691</f>
        <v>0</v>
      </c>
      <c r="BD691" s="14">
        <f>H691/(100-BE691)*100</f>
        <v>0</v>
      </c>
      <c r="BE691" s="14">
        <v>0</v>
      </c>
      <c r="BF691" s="14">
        <f>O691</f>
        <v>3.0599999999999999E-2</v>
      </c>
      <c r="BH691" s="14">
        <f>G691*AO691</f>
        <v>0</v>
      </c>
      <c r="BI691" s="14">
        <f>G691*AP691</f>
        <v>0</v>
      </c>
      <c r="BJ691" s="14">
        <f>G691*H691</f>
        <v>0</v>
      </c>
      <c r="BK691" s="14"/>
      <c r="BL691" s="14">
        <v>94</v>
      </c>
      <c r="BW691" s="14" t="str">
        <f>I691</f>
        <v>21</v>
      </c>
    </row>
    <row r="692" spans="1:75" ht="15" customHeight="1">
      <c r="A692" s="32"/>
      <c r="D692" s="3" t="s">
        <v>1416</v>
      </c>
      <c r="E692" s="28" t="s">
        <v>1683</v>
      </c>
      <c r="G692" s="27">
        <v>10</v>
      </c>
      <c r="P692" s="33"/>
    </row>
    <row r="693" spans="1:75" ht="15" customHeight="1">
      <c r="A693" s="65" t="s">
        <v>1683</v>
      </c>
      <c r="B693" s="26" t="s">
        <v>1842</v>
      </c>
      <c r="C693" s="26" t="s">
        <v>968</v>
      </c>
      <c r="D693" s="649" t="s">
        <v>1808</v>
      </c>
      <c r="E693" s="650"/>
      <c r="F693" s="74" t="s">
        <v>2262</v>
      </c>
      <c r="G693" s="74" t="s">
        <v>2262</v>
      </c>
      <c r="H693" s="74" t="s">
        <v>2262</v>
      </c>
      <c r="I693" s="74" t="s">
        <v>2262</v>
      </c>
      <c r="J693" s="2">
        <f>SUM(J694:J694)</f>
        <v>0</v>
      </c>
      <c r="K693" s="2">
        <f>SUM(K694:K694)</f>
        <v>0</v>
      </c>
      <c r="L693" s="2">
        <f>SUM(L694:L694)</f>
        <v>0</v>
      </c>
      <c r="M693" s="2">
        <f>SUM(M694:M694)</f>
        <v>0</v>
      </c>
      <c r="N693" s="15" t="s">
        <v>1683</v>
      </c>
      <c r="O693" s="2">
        <f>SUM(O694:O694)</f>
        <v>2.1600000000000001E-2</v>
      </c>
      <c r="P693" s="47" t="s">
        <v>1683</v>
      </c>
      <c r="AI693" s="15" t="s">
        <v>1842</v>
      </c>
      <c r="AS693" s="2">
        <f>SUM(AJ694:AJ694)</f>
        <v>0</v>
      </c>
      <c r="AT693" s="2">
        <f>SUM(AK694:AK694)</f>
        <v>0</v>
      </c>
      <c r="AU693" s="2">
        <f>SUM(AL694:AL694)</f>
        <v>0</v>
      </c>
    </row>
    <row r="694" spans="1:75" ht="13.5" customHeight="1">
      <c r="A694" s="21" t="s">
        <v>1915</v>
      </c>
      <c r="B694" s="37" t="s">
        <v>1842</v>
      </c>
      <c r="C694" s="37" t="s">
        <v>2158</v>
      </c>
      <c r="D694" s="578" t="s">
        <v>772</v>
      </c>
      <c r="E694" s="579"/>
      <c r="F694" s="37" t="s">
        <v>2398</v>
      </c>
      <c r="G694" s="14">
        <v>540</v>
      </c>
      <c r="H694" s="569"/>
      <c r="I694" s="55" t="s">
        <v>1720</v>
      </c>
      <c r="J694" s="14">
        <f>G694*AO694</f>
        <v>0</v>
      </c>
      <c r="K694" s="14">
        <f>G694*AP694</f>
        <v>0</v>
      </c>
      <c r="L694" s="14">
        <f>G694*H694</f>
        <v>0</v>
      </c>
      <c r="M694" s="14">
        <f>L694*(1+BW694/100)</f>
        <v>0</v>
      </c>
      <c r="N694" s="14">
        <v>4.0000000000000003E-5</v>
      </c>
      <c r="O694" s="14">
        <f>G694*N694</f>
        <v>2.1600000000000001E-2</v>
      </c>
      <c r="P694" s="72" t="s">
        <v>1664</v>
      </c>
      <c r="Z694" s="14">
        <f>IF(AQ694="5",BJ694,0)</f>
        <v>0</v>
      </c>
      <c r="AB694" s="14">
        <f>IF(AQ694="1",BH694,0)</f>
        <v>0</v>
      </c>
      <c r="AC694" s="14">
        <f>IF(AQ694="1",BI694,0)</f>
        <v>0</v>
      </c>
      <c r="AD694" s="14">
        <f>IF(AQ694="7",BH694,0)</f>
        <v>0</v>
      </c>
      <c r="AE694" s="14">
        <f>IF(AQ694="7",BI694,0)</f>
        <v>0</v>
      </c>
      <c r="AF694" s="14">
        <f>IF(AQ694="2",BH694,0)</f>
        <v>0</v>
      </c>
      <c r="AG694" s="14">
        <f>IF(AQ694="2",BI694,0)</f>
        <v>0</v>
      </c>
      <c r="AH694" s="14">
        <f>IF(AQ694="0",BJ694,0)</f>
        <v>0</v>
      </c>
      <c r="AI694" s="15" t="s">
        <v>1842</v>
      </c>
      <c r="AJ694" s="14">
        <f>IF(AN694=0,L694,0)</f>
        <v>0</v>
      </c>
      <c r="AK694" s="14">
        <f>IF(AN694=15,L694,0)</f>
        <v>0</v>
      </c>
      <c r="AL694" s="14">
        <f>IF(AN694=21,L694,0)</f>
        <v>0</v>
      </c>
      <c r="AN694" s="14">
        <v>21</v>
      </c>
      <c r="AO694" s="92">
        <f>H694*0.0135315985130112</f>
        <v>0</v>
      </c>
      <c r="AP694" s="92">
        <f>H694*(1-0.0135315985130112)</f>
        <v>0</v>
      </c>
      <c r="AQ694" s="55" t="s">
        <v>2422</v>
      </c>
      <c r="AV694" s="14">
        <f>AW694+AX694</f>
        <v>0</v>
      </c>
      <c r="AW694" s="14">
        <f>G694*AO694</f>
        <v>0</v>
      </c>
      <c r="AX694" s="14">
        <f>G694*AP694</f>
        <v>0</v>
      </c>
      <c r="AY694" s="55" t="s">
        <v>1492</v>
      </c>
      <c r="AZ694" s="55" t="s">
        <v>312</v>
      </c>
      <c r="BA694" s="15" t="s">
        <v>1843</v>
      </c>
      <c r="BC694" s="14">
        <f>AW694+AX694</f>
        <v>0</v>
      </c>
      <c r="BD694" s="14">
        <f>H694/(100-BE694)*100</f>
        <v>0</v>
      </c>
      <c r="BE694" s="14">
        <v>0</v>
      </c>
      <c r="BF694" s="14">
        <f>O694</f>
        <v>2.1600000000000001E-2</v>
      </c>
      <c r="BH694" s="14">
        <f>G694*AO694</f>
        <v>0</v>
      </c>
      <c r="BI694" s="14">
        <f>G694*AP694</f>
        <v>0</v>
      </c>
      <c r="BJ694" s="14">
        <f>G694*H694</f>
        <v>0</v>
      </c>
      <c r="BK694" s="14"/>
      <c r="BL694" s="14">
        <v>95</v>
      </c>
      <c r="BW694" s="14" t="str">
        <f>I694</f>
        <v>21</v>
      </c>
    </row>
    <row r="695" spans="1:75" ht="15" customHeight="1">
      <c r="A695" s="32"/>
      <c r="D695" s="3" t="s">
        <v>828</v>
      </c>
      <c r="E695" s="28" t="s">
        <v>1683</v>
      </c>
      <c r="G695" s="27">
        <v>540</v>
      </c>
      <c r="P695" s="33"/>
    </row>
    <row r="696" spans="1:75" ht="15" customHeight="1">
      <c r="A696" s="65" t="s">
        <v>1683</v>
      </c>
      <c r="B696" s="26" t="s">
        <v>1842</v>
      </c>
      <c r="C696" s="26" t="s">
        <v>273</v>
      </c>
      <c r="D696" s="649" t="s">
        <v>2711</v>
      </c>
      <c r="E696" s="650"/>
      <c r="F696" s="74" t="s">
        <v>2262</v>
      </c>
      <c r="G696" s="74" t="s">
        <v>2262</v>
      </c>
      <c r="H696" s="74" t="s">
        <v>2262</v>
      </c>
      <c r="I696" s="74" t="s">
        <v>2262</v>
      </c>
      <c r="J696" s="2">
        <f>SUM(J697:J697)</f>
        <v>0</v>
      </c>
      <c r="K696" s="2">
        <f>SUM(K697:K697)</f>
        <v>0</v>
      </c>
      <c r="L696" s="2">
        <f>SUM(L697:L697)</f>
        <v>0</v>
      </c>
      <c r="M696" s="2">
        <f>SUM(M697:M697)</f>
        <v>0</v>
      </c>
      <c r="N696" s="15" t="s">
        <v>1683</v>
      </c>
      <c r="O696" s="2">
        <f>SUM(O697:O697)</f>
        <v>1.3510425000000001</v>
      </c>
      <c r="P696" s="47" t="s">
        <v>1683</v>
      </c>
      <c r="AI696" s="15" t="s">
        <v>1842</v>
      </c>
      <c r="AS696" s="2">
        <f>SUM(AJ697:AJ697)</f>
        <v>0</v>
      </c>
      <c r="AT696" s="2">
        <f>SUM(AK697:AK697)</f>
        <v>0</v>
      </c>
      <c r="AU696" s="2">
        <f>SUM(AL697:AL697)</f>
        <v>0</v>
      </c>
    </row>
    <row r="697" spans="1:75" ht="13.5" customHeight="1">
      <c r="A697" s="21" t="s">
        <v>352</v>
      </c>
      <c r="B697" s="37" t="s">
        <v>1842</v>
      </c>
      <c r="C697" s="37" t="s">
        <v>333</v>
      </c>
      <c r="D697" s="578" t="s">
        <v>35</v>
      </c>
      <c r="E697" s="579"/>
      <c r="F697" s="37" t="s">
        <v>2359</v>
      </c>
      <c r="G697" s="14">
        <v>0.75</v>
      </c>
      <c r="H697" s="569"/>
      <c r="I697" s="55" t="s">
        <v>1720</v>
      </c>
      <c r="J697" s="14">
        <f>G697*AO697</f>
        <v>0</v>
      </c>
      <c r="K697" s="14">
        <f>G697*AP697</f>
        <v>0</v>
      </c>
      <c r="L697" s="14">
        <f>G697*H697</f>
        <v>0</v>
      </c>
      <c r="M697" s="14">
        <f>L697*(1+BW697/100)</f>
        <v>0</v>
      </c>
      <c r="N697" s="14">
        <v>1.80139</v>
      </c>
      <c r="O697" s="14">
        <f>G697*N697</f>
        <v>1.3510425000000001</v>
      </c>
      <c r="P697" s="72" t="s">
        <v>1664</v>
      </c>
      <c r="Z697" s="14">
        <f>IF(AQ697="5",BJ697,0)</f>
        <v>0</v>
      </c>
      <c r="AB697" s="14">
        <f>IF(AQ697="1",BH697,0)</f>
        <v>0</v>
      </c>
      <c r="AC697" s="14">
        <f>IF(AQ697="1",BI697,0)</f>
        <v>0</v>
      </c>
      <c r="AD697" s="14">
        <f>IF(AQ697="7",BH697,0)</f>
        <v>0</v>
      </c>
      <c r="AE697" s="14">
        <f>IF(AQ697="7",BI697,0)</f>
        <v>0</v>
      </c>
      <c r="AF697" s="14">
        <f>IF(AQ697="2",BH697,0)</f>
        <v>0</v>
      </c>
      <c r="AG697" s="14">
        <f>IF(AQ697="2",BI697,0)</f>
        <v>0</v>
      </c>
      <c r="AH697" s="14">
        <f>IF(AQ697="0",BJ697,0)</f>
        <v>0</v>
      </c>
      <c r="AI697" s="15" t="s">
        <v>1842</v>
      </c>
      <c r="AJ697" s="14">
        <f>IF(AN697=0,L697,0)</f>
        <v>0</v>
      </c>
      <c r="AK697" s="14">
        <f>IF(AN697=15,L697,0)</f>
        <v>0</v>
      </c>
      <c r="AL697" s="14">
        <f>IF(AN697=21,L697,0)</f>
        <v>0</v>
      </c>
      <c r="AN697" s="14">
        <v>21</v>
      </c>
      <c r="AO697" s="92">
        <f>H697*0.00831862505960962</f>
        <v>0</v>
      </c>
      <c r="AP697" s="92">
        <f>H697*(1-0.00831862505960962)</f>
        <v>0</v>
      </c>
      <c r="AQ697" s="55" t="s">
        <v>2422</v>
      </c>
      <c r="AV697" s="14">
        <f>AW697+AX697</f>
        <v>0</v>
      </c>
      <c r="AW697" s="14">
        <f>G697*AO697</f>
        <v>0</v>
      </c>
      <c r="AX697" s="14">
        <f>G697*AP697</f>
        <v>0</v>
      </c>
      <c r="AY697" s="55" t="s">
        <v>761</v>
      </c>
      <c r="AZ697" s="55" t="s">
        <v>312</v>
      </c>
      <c r="BA697" s="15" t="s">
        <v>1843</v>
      </c>
      <c r="BC697" s="14">
        <f>AW697+AX697</f>
        <v>0</v>
      </c>
      <c r="BD697" s="14">
        <f>H697/(100-BE697)*100</f>
        <v>0</v>
      </c>
      <c r="BE697" s="14">
        <v>0</v>
      </c>
      <c r="BF697" s="14">
        <f>O697</f>
        <v>1.3510425000000001</v>
      </c>
      <c r="BH697" s="14">
        <f>G697*AO697</f>
        <v>0</v>
      </c>
      <c r="BI697" s="14">
        <f>G697*AP697</f>
        <v>0</v>
      </c>
      <c r="BJ697" s="14">
        <f>G697*H697</f>
        <v>0</v>
      </c>
      <c r="BK697" s="14"/>
      <c r="BL697" s="14">
        <v>97</v>
      </c>
      <c r="BW697" s="14" t="str">
        <f>I697</f>
        <v>21</v>
      </c>
    </row>
    <row r="698" spans="1:75" ht="15" customHeight="1">
      <c r="A698" s="32"/>
      <c r="D698" s="3" t="s">
        <v>71</v>
      </c>
      <c r="E698" s="28" t="s">
        <v>551</v>
      </c>
      <c r="G698" s="27">
        <v>0.75000000000000011</v>
      </c>
      <c r="P698" s="33"/>
    </row>
    <row r="699" spans="1:75" ht="15" customHeight="1">
      <c r="A699" s="65" t="s">
        <v>1683</v>
      </c>
      <c r="B699" s="26" t="s">
        <v>1842</v>
      </c>
      <c r="C699" s="26" t="s">
        <v>1574</v>
      </c>
      <c r="D699" s="649" t="s">
        <v>1489</v>
      </c>
      <c r="E699" s="650"/>
      <c r="F699" s="74" t="s">
        <v>2262</v>
      </c>
      <c r="G699" s="74" t="s">
        <v>2262</v>
      </c>
      <c r="H699" s="74" t="s">
        <v>2262</v>
      </c>
      <c r="I699" s="74" t="s">
        <v>2262</v>
      </c>
      <c r="J699" s="2">
        <f>SUM(J700:J700)</f>
        <v>0</v>
      </c>
      <c r="K699" s="2">
        <f>SUM(K700:K700)</f>
        <v>0</v>
      </c>
      <c r="L699" s="2">
        <f>SUM(L700:L700)</f>
        <v>0</v>
      </c>
      <c r="M699" s="2">
        <f>SUM(M700:M700)</f>
        <v>0</v>
      </c>
      <c r="N699" s="15" t="s">
        <v>1683</v>
      </c>
      <c r="O699" s="2">
        <f>SUM(O700:O700)</f>
        <v>0</v>
      </c>
      <c r="P699" s="47" t="s">
        <v>1683</v>
      </c>
      <c r="AI699" s="15" t="s">
        <v>1842</v>
      </c>
      <c r="AS699" s="2">
        <f>SUM(AJ700:AJ700)</f>
        <v>0</v>
      </c>
      <c r="AT699" s="2">
        <f>SUM(AK700:AK700)</f>
        <v>0</v>
      </c>
      <c r="AU699" s="2">
        <f>SUM(AL700:AL700)</f>
        <v>0</v>
      </c>
    </row>
    <row r="700" spans="1:75" ht="13.5" customHeight="1">
      <c r="A700" s="21" t="s">
        <v>1040</v>
      </c>
      <c r="B700" s="37" t="s">
        <v>1842</v>
      </c>
      <c r="C700" s="37" t="s">
        <v>643</v>
      </c>
      <c r="D700" s="578" t="s">
        <v>448</v>
      </c>
      <c r="E700" s="579"/>
      <c r="F700" s="37" t="s">
        <v>1130</v>
      </c>
      <c r="G700" s="14">
        <v>837.65</v>
      </c>
      <c r="H700" s="569"/>
      <c r="I700" s="55" t="s">
        <v>1720</v>
      </c>
      <c r="J700" s="14">
        <f>G700*AO700</f>
        <v>0</v>
      </c>
      <c r="K700" s="14">
        <f>G700*AP700</f>
        <v>0</v>
      </c>
      <c r="L700" s="14">
        <f>G700*H700</f>
        <v>0</v>
      </c>
      <c r="M700" s="14">
        <f>L700*(1+BW700/100)</f>
        <v>0</v>
      </c>
      <c r="N700" s="14">
        <v>0</v>
      </c>
      <c r="O700" s="14">
        <f>G700*N700</f>
        <v>0</v>
      </c>
      <c r="P700" s="72" t="s">
        <v>1664</v>
      </c>
      <c r="Z700" s="14">
        <f>IF(AQ700="5",BJ700,0)</f>
        <v>0</v>
      </c>
      <c r="AB700" s="14">
        <f>IF(AQ700="1",BH700,0)</f>
        <v>0</v>
      </c>
      <c r="AC700" s="14">
        <f>IF(AQ700="1",BI700,0)</f>
        <v>0</v>
      </c>
      <c r="AD700" s="14">
        <f>IF(AQ700="7",BH700,0)</f>
        <v>0</v>
      </c>
      <c r="AE700" s="14">
        <f>IF(AQ700="7",BI700,0)</f>
        <v>0</v>
      </c>
      <c r="AF700" s="14">
        <f>IF(AQ700="2",BH700,0)</f>
        <v>0</v>
      </c>
      <c r="AG700" s="14">
        <f>IF(AQ700="2",BI700,0)</f>
        <v>0</v>
      </c>
      <c r="AH700" s="14">
        <f>IF(AQ700="0",BJ700,0)</f>
        <v>0</v>
      </c>
      <c r="AI700" s="15" t="s">
        <v>1842</v>
      </c>
      <c r="AJ700" s="14">
        <f>IF(AN700=0,L700,0)</f>
        <v>0</v>
      </c>
      <c r="AK700" s="14">
        <f>IF(AN700=15,L700,0)</f>
        <v>0</v>
      </c>
      <c r="AL700" s="14">
        <f>IF(AN700=21,L700,0)</f>
        <v>0</v>
      </c>
      <c r="AN700" s="14">
        <v>21</v>
      </c>
      <c r="AO700" s="92">
        <f>H700*0</f>
        <v>0</v>
      </c>
      <c r="AP700" s="92">
        <f>H700*(1-0)</f>
        <v>0</v>
      </c>
      <c r="AQ700" s="55" t="s">
        <v>1287</v>
      </c>
      <c r="AV700" s="14">
        <f>AW700+AX700</f>
        <v>0</v>
      </c>
      <c r="AW700" s="14">
        <f>G700*AO700</f>
        <v>0</v>
      </c>
      <c r="AX700" s="14">
        <f>G700*AP700</f>
        <v>0</v>
      </c>
      <c r="AY700" s="55" t="s">
        <v>2478</v>
      </c>
      <c r="AZ700" s="55" t="s">
        <v>312</v>
      </c>
      <c r="BA700" s="15" t="s">
        <v>1843</v>
      </c>
      <c r="BC700" s="14">
        <f>AW700+AX700</f>
        <v>0</v>
      </c>
      <c r="BD700" s="14">
        <f>H700/(100-BE700)*100</f>
        <v>0</v>
      </c>
      <c r="BE700" s="14">
        <v>0</v>
      </c>
      <c r="BF700" s="14">
        <f>O700</f>
        <v>0</v>
      </c>
      <c r="BH700" s="14">
        <f>G700*AO700</f>
        <v>0</v>
      </c>
      <c r="BI700" s="14">
        <f>G700*AP700</f>
        <v>0</v>
      </c>
      <c r="BJ700" s="14">
        <f>G700*H700</f>
        <v>0</v>
      </c>
      <c r="BK700" s="14"/>
      <c r="BL700" s="14"/>
      <c r="BW700" s="14" t="str">
        <f>I700</f>
        <v>21</v>
      </c>
    </row>
    <row r="701" spans="1:75" ht="15" customHeight="1">
      <c r="A701" s="32"/>
      <c r="D701" s="3" t="s">
        <v>2182</v>
      </c>
      <c r="E701" s="28" t="s">
        <v>1683</v>
      </c>
      <c r="G701" s="27">
        <v>837.65000000000009</v>
      </c>
      <c r="P701" s="33"/>
    </row>
    <row r="702" spans="1:75" ht="15" customHeight="1">
      <c r="A702" s="65" t="s">
        <v>1683</v>
      </c>
      <c r="B702" s="26" t="s">
        <v>1842</v>
      </c>
      <c r="C702" s="26" t="s">
        <v>2420</v>
      </c>
      <c r="D702" s="649" t="s">
        <v>2753</v>
      </c>
      <c r="E702" s="650"/>
      <c r="F702" s="74" t="s">
        <v>2262</v>
      </c>
      <c r="G702" s="74" t="s">
        <v>2262</v>
      </c>
      <c r="H702" s="74" t="s">
        <v>2262</v>
      </c>
      <c r="I702" s="74" t="s">
        <v>2262</v>
      </c>
      <c r="J702" s="2">
        <f>SUM(J703:J703)</f>
        <v>0</v>
      </c>
      <c r="K702" s="2">
        <f>SUM(K703:K703)</f>
        <v>0</v>
      </c>
      <c r="L702" s="2">
        <f>SUM(L703:L703)</f>
        <v>0</v>
      </c>
      <c r="M702" s="2">
        <f>SUM(M703:M703)</f>
        <v>0</v>
      </c>
      <c r="N702" s="15" t="s">
        <v>1683</v>
      </c>
      <c r="O702" s="2">
        <f>SUM(O703:O703)</f>
        <v>0</v>
      </c>
      <c r="P702" s="47" t="s">
        <v>1683</v>
      </c>
      <c r="AI702" s="15" t="s">
        <v>1842</v>
      </c>
      <c r="AS702" s="2">
        <f>SUM(AJ703:AJ703)</f>
        <v>0</v>
      </c>
      <c r="AT702" s="2">
        <f>SUM(AK703:AK703)</f>
        <v>0</v>
      </c>
      <c r="AU702" s="2">
        <f>SUM(AL703:AL703)</f>
        <v>0</v>
      </c>
    </row>
    <row r="703" spans="1:75" ht="13.5" customHeight="1">
      <c r="A703" s="21" t="s">
        <v>527</v>
      </c>
      <c r="B703" s="37" t="s">
        <v>1842</v>
      </c>
      <c r="C703" s="37" t="s">
        <v>2317</v>
      </c>
      <c r="D703" s="578" t="s">
        <v>1912</v>
      </c>
      <c r="E703" s="579"/>
      <c r="F703" s="37" t="s">
        <v>1130</v>
      </c>
      <c r="G703" s="14">
        <v>1.85</v>
      </c>
      <c r="H703" s="569"/>
      <c r="I703" s="55" t="s">
        <v>1720</v>
      </c>
      <c r="J703" s="14">
        <f>G703*AO703</f>
        <v>0</v>
      </c>
      <c r="K703" s="14">
        <f>G703*AP703</f>
        <v>0</v>
      </c>
      <c r="L703" s="14">
        <f>G703*H703</f>
        <v>0</v>
      </c>
      <c r="M703" s="14">
        <f>L703*(1+BW703/100)</f>
        <v>0</v>
      </c>
      <c r="N703" s="14">
        <v>0</v>
      </c>
      <c r="O703" s="14">
        <f>G703*N703</f>
        <v>0</v>
      </c>
      <c r="P703" s="72" t="s">
        <v>1664</v>
      </c>
      <c r="Z703" s="14">
        <f>IF(AQ703="5",BJ703,0)</f>
        <v>0</v>
      </c>
      <c r="AB703" s="14">
        <f>IF(AQ703="1",BH703,0)</f>
        <v>0</v>
      </c>
      <c r="AC703" s="14">
        <f>IF(AQ703="1",BI703,0)</f>
        <v>0</v>
      </c>
      <c r="AD703" s="14">
        <f>IF(AQ703="7",BH703,0)</f>
        <v>0</v>
      </c>
      <c r="AE703" s="14">
        <f>IF(AQ703="7",BI703,0)</f>
        <v>0</v>
      </c>
      <c r="AF703" s="14">
        <f>IF(AQ703="2",BH703,0)</f>
        <v>0</v>
      </c>
      <c r="AG703" s="14">
        <f>IF(AQ703="2",BI703,0)</f>
        <v>0</v>
      </c>
      <c r="AH703" s="14">
        <f>IF(AQ703="0",BJ703,0)</f>
        <v>0</v>
      </c>
      <c r="AI703" s="15" t="s">
        <v>1842</v>
      </c>
      <c r="AJ703" s="14">
        <f>IF(AN703=0,L703,0)</f>
        <v>0</v>
      </c>
      <c r="AK703" s="14">
        <f>IF(AN703=15,L703,0)</f>
        <v>0</v>
      </c>
      <c r="AL703" s="14">
        <f>IF(AN703=21,L703,0)</f>
        <v>0</v>
      </c>
      <c r="AN703" s="14">
        <v>21</v>
      </c>
      <c r="AO703" s="92">
        <f>H703*0</f>
        <v>0</v>
      </c>
      <c r="AP703" s="92">
        <f>H703*(1-0)</f>
        <v>0</v>
      </c>
      <c r="AQ703" s="55" t="s">
        <v>1287</v>
      </c>
      <c r="AV703" s="14">
        <f>AW703+AX703</f>
        <v>0</v>
      </c>
      <c r="AW703" s="14">
        <f>G703*AO703</f>
        <v>0</v>
      </c>
      <c r="AX703" s="14">
        <f>G703*AP703</f>
        <v>0</v>
      </c>
      <c r="AY703" s="55" t="s">
        <v>861</v>
      </c>
      <c r="AZ703" s="55" t="s">
        <v>312</v>
      </c>
      <c r="BA703" s="15" t="s">
        <v>1843</v>
      </c>
      <c r="BC703" s="14">
        <f>AW703+AX703</f>
        <v>0</v>
      </c>
      <c r="BD703" s="14">
        <f>H703/(100-BE703)*100</f>
        <v>0</v>
      </c>
      <c r="BE703" s="14">
        <v>0</v>
      </c>
      <c r="BF703" s="14">
        <f>O703</f>
        <v>0</v>
      </c>
      <c r="BH703" s="14">
        <f>G703*AO703</f>
        <v>0</v>
      </c>
      <c r="BI703" s="14">
        <f>G703*AP703</f>
        <v>0</v>
      </c>
      <c r="BJ703" s="14">
        <f>G703*H703</f>
        <v>0</v>
      </c>
      <c r="BK703" s="14"/>
      <c r="BL703" s="14"/>
      <c r="BW703" s="14" t="str">
        <f>I703</f>
        <v>21</v>
      </c>
    </row>
    <row r="704" spans="1:75" ht="15" customHeight="1">
      <c r="A704" s="32"/>
      <c r="D704" s="3" t="s">
        <v>766</v>
      </c>
      <c r="E704" s="28" t="s">
        <v>1683</v>
      </c>
      <c r="G704" s="27">
        <v>1.85</v>
      </c>
      <c r="P704" s="33"/>
    </row>
    <row r="705" spans="1:75" ht="15" customHeight="1">
      <c r="A705" s="65" t="s">
        <v>1683</v>
      </c>
      <c r="B705" s="26" t="s">
        <v>1842</v>
      </c>
      <c r="C705" s="26" t="s">
        <v>319</v>
      </c>
      <c r="D705" s="649" t="s">
        <v>2096</v>
      </c>
      <c r="E705" s="650"/>
      <c r="F705" s="74" t="s">
        <v>2262</v>
      </c>
      <c r="G705" s="74" t="s">
        <v>2262</v>
      </c>
      <c r="H705" s="74" t="s">
        <v>2262</v>
      </c>
      <c r="I705" s="74" t="s">
        <v>2262</v>
      </c>
      <c r="J705" s="2">
        <f>SUM(J706:J706)</f>
        <v>0</v>
      </c>
      <c r="K705" s="2">
        <f>SUM(K706:K706)</f>
        <v>0</v>
      </c>
      <c r="L705" s="2">
        <f>SUM(L706:L706)</f>
        <v>0</v>
      </c>
      <c r="M705" s="2">
        <f>SUM(M706:M706)</f>
        <v>0</v>
      </c>
      <c r="N705" s="15" t="s">
        <v>1683</v>
      </c>
      <c r="O705" s="2">
        <f>SUM(O706:O706)</f>
        <v>0</v>
      </c>
      <c r="P705" s="47" t="s">
        <v>1683</v>
      </c>
      <c r="AI705" s="15" t="s">
        <v>1842</v>
      </c>
      <c r="AS705" s="2">
        <f>SUM(AJ706:AJ706)</f>
        <v>0</v>
      </c>
      <c r="AT705" s="2">
        <f>SUM(AK706:AK706)</f>
        <v>0</v>
      </c>
      <c r="AU705" s="2">
        <f>SUM(AL706:AL706)</f>
        <v>0</v>
      </c>
    </row>
    <row r="706" spans="1:75" ht="13.5" customHeight="1">
      <c r="A706" s="21" t="s">
        <v>1021</v>
      </c>
      <c r="B706" s="37" t="s">
        <v>1842</v>
      </c>
      <c r="C706" s="37" t="s">
        <v>866</v>
      </c>
      <c r="D706" s="578" t="s">
        <v>2265</v>
      </c>
      <c r="E706" s="579"/>
      <c r="F706" s="37" t="s">
        <v>1130</v>
      </c>
      <c r="G706" s="14">
        <v>28.34</v>
      </c>
      <c r="H706" s="569"/>
      <c r="I706" s="55" t="s">
        <v>1720</v>
      </c>
      <c r="J706" s="14">
        <f>G706*AO706</f>
        <v>0</v>
      </c>
      <c r="K706" s="14">
        <f>G706*AP706</f>
        <v>0</v>
      </c>
      <c r="L706" s="14">
        <f>G706*H706</f>
        <v>0</v>
      </c>
      <c r="M706" s="14">
        <f>L706*(1+BW706/100)</f>
        <v>0</v>
      </c>
      <c r="N706" s="14">
        <v>0</v>
      </c>
      <c r="O706" s="14">
        <f>G706*N706</f>
        <v>0</v>
      </c>
      <c r="P706" s="72" t="s">
        <v>1664</v>
      </c>
      <c r="Z706" s="14">
        <f>IF(AQ706="5",BJ706,0)</f>
        <v>0</v>
      </c>
      <c r="AB706" s="14">
        <f>IF(AQ706="1",BH706,0)</f>
        <v>0</v>
      </c>
      <c r="AC706" s="14">
        <f>IF(AQ706="1",BI706,0)</f>
        <v>0</v>
      </c>
      <c r="AD706" s="14">
        <f>IF(AQ706="7",BH706,0)</f>
        <v>0</v>
      </c>
      <c r="AE706" s="14">
        <f>IF(AQ706="7",BI706,0)</f>
        <v>0</v>
      </c>
      <c r="AF706" s="14">
        <f>IF(AQ706="2",BH706,0)</f>
        <v>0</v>
      </c>
      <c r="AG706" s="14">
        <f>IF(AQ706="2",BI706,0)</f>
        <v>0</v>
      </c>
      <c r="AH706" s="14">
        <f>IF(AQ706="0",BJ706,0)</f>
        <v>0</v>
      </c>
      <c r="AI706" s="15" t="s">
        <v>1842</v>
      </c>
      <c r="AJ706" s="14">
        <f>IF(AN706=0,L706,0)</f>
        <v>0</v>
      </c>
      <c r="AK706" s="14">
        <f>IF(AN706=15,L706,0)</f>
        <v>0</v>
      </c>
      <c r="AL706" s="14">
        <f>IF(AN706=21,L706,0)</f>
        <v>0</v>
      </c>
      <c r="AN706" s="14">
        <v>21</v>
      </c>
      <c r="AO706" s="92">
        <f>H706*0</f>
        <v>0</v>
      </c>
      <c r="AP706" s="92">
        <f>H706*(1-0)</f>
        <v>0</v>
      </c>
      <c r="AQ706" s="55" t="s">
        <v>1287</v>
      </c>
      <c r="AV706" s="14">
        <f>AW706+AX706</f>
        <v>0</v>
      </c>
      <c r="AW706" s="14">
        <f>G706*AO706</f>
        <v>0</v>
      </c>
      <c r="AX706" s="14">
        <f>G706*AP706</f>
        <v>0</v>
      </c>
      <c r="AY706" s="55" t="s">
        <v>2198</v>
      </c>
      <c r="AZ706" s="55" t="s">
        <v>312</v>
      </c>
      <c r="BA706" s="15" t="s">
        <v>1843</v>
      </c>
      <c r="BC706" s="14">
        <f>AW706+AX706</f>
        <v>0</v>
      </c>
      <c r="BD706" s="14">
        <f>H706/(100-BE706)*100</f>
        <v>0</v>
      </c>
      <c r="BE706" s="14">
        <v>0</v>
      </c>
      <c r="BF706" s="14">
        <f>O706</f>
        <v>0</v>
      </c>
      <c r="BH706" s="14">
        <f>G706*AO706</f>
        <v>0</v>
      </c>
      <c r="BI706" s="14">
        <f>G706*AP706</f>
        <v>0</v>
      </c>
      <c r="BJ706" s="14">
        <f>G706*H706</f>
        <v>0</v>
      </c>
      <c r="BK706" s="14"/>
      <c r="BL706" s="14"/>
      <c r="BW706" s="14" t="str">
        <f>I706</f>
        <v>21</v>
      </c>
    </row>
    <row r="707" spans="1:75" ht="15" customHeight="1">
      <c r="A707" s="32"/>
      <c r="D707" s="3" t="s">
        <v>2377</v>
      </c>
      <c r="E707" s="28" t="s">
        <v>1683</v>
      </c>
      <c r="G707" s="27">
        <v>28.340000000000003</v>
      </c>
      <c r="P707" s="33"/>
    </row>
    <row r="708" spans="1:75" ht="15" customHeight="1">
      <c r="A708" s="65" t="s">
        <v>1683</v>
      </c>
      <c r="B708" s="26" t="s">
        <v>1842</v>
      </c>
      <c r="C708" s="26" t="s">
        <v>882</v>
      </c>
      <c r="D708" s="649" t="s">
        <v>2590</v>
      </c>
      <c r="E708" s="650"/>
      <c r="F708" s="74" t="s">
        <v>2262</v>
      </c>
      <c r="G708" s="74" t="s">
        <v>2262</v>
      </c>
      <c r="H708" s="74" t="s">
        <v>2262</v>
      </c>
      <c r="I708" s="74" t="s">
        <v>2262</v>
      </c>
      <c r="J708" s="2">
        <f>SUM(J709:J709)</f>
        <v>0</v>
      </c>
      <c r="K708" s="2">
        <f>SUM(K709:K709)</f>
        <v>0</v>
      </c>
      <c r="L708" s="2">
        <f>SUM(L709:L709)</f>
        <v>0</v>
      </c>
      <c r="M708" s="2">
        <f>SUM(M709:M709)</f>
        <v>0</v>
      </c>
      <c r="N708" s="15" t="s">
        <v>1683</v>
      </c>
      <c r="O708" s="2">
        <f>SUM(O709:O709)</f>
        <v>0</v>
      </c>
      <c r="P708" s="47" t="s">
        <v>1683</v>
      </c>
      <c r="AI708" s="15" t="s">
        <v>1842</v>
      </c>
      <c r="AS708" s="2">
        <f>SUM(AJ709:AJ709)</f>
        <v>0</v>
      </c>
      <c r="AT708" s="2">
        <f>SUM(AK709:AK709)</f>
        <v>0</v>
      </c>
      <c r="AU708" s="2">
        <f>SUM(AL709:AL709)</f>
        <v>0</v>
      </c>
    </row>
    <row r="709" spans="1:75" ht="13.5" customHeight="1">
      <c r="A709" s="21" t="s">
        <v>39</v>
      </c>
      <c r="B709" s="37" t="s">
        <v>1842</v>
      </c>
      <c r="C709" s="37" t="s">
        <v>1870</v>
      </c>
      <c r="D709" s="578" t="s">
        <v>2637</v>
      </c>
      <c r="E709" s="579"/>
      <c r="F709" s="37" t="s">
        <v>1130</v>
      </c>
      <c r="G709" s="14">
        <v>11.31</v>
      </c>
      <c r="H709" s="569"/>
      <c r="I709" s="55" t="s">
        <v>1720</v>
      </c>
      <c r="J709" s="14">
        <f>G709*AO709</f>
        <v>0</v>
      </c>
      <c r="K709" s="14">
        <f>G709*AP709</f>
        <v>0</v>
      </c>
      <c r="L709" s="14">
        <f>G709*H709</f>
        <v>0</v>
      </c>
      <c r="M709" s="14">
        <f>L709*(1+BW709/100)</f>
        <v>0</v>
      </c>
      <c r="N709" s="14">
        <v>0</v>
      </c>
      <c r="O709" s="14">
        <f>G709*N709</f>
        <v>0</v>
      </c>
      <c r="P709" s="72" t="s">
        <v>1664</v>
      </c>
      <c r="Z709" s="14">
        <f>IF(AQ709="5",BJ709,0)</f>
        <v>0</v>
      </c>
      <c r="AB709" s="14">
        <f>IF(AQ709="1",BH709,0)</f>
        <v>0</v>
      </c>
      <c r="AC709" s="14">
        <f>IF(AQ709="1",BI709,0)</f>
        <v>0</v>
      </c>
      <c r="AD709" s="14">
        <f>IF(AQ709="7",BH709,0)</f>
        <v>0</v>
      </c>
      <c r="AE709" s="14">
        <f>IF(AQ709="7",BI709,0)</f>
        <v>0</v>
      </c>
      <c r="AF709" s="14">
        <f>IF(AQ709="2",BH709,0)</f>
        <v>0</v>
      </c>
      <c r="AG709" s="14">
        <f>IF(AQ709="2",BI709,0)</f>
        <v>0</v>
      </c>
      <c r="AH709" s="14">
        <f>IF(AQ709="0",BJ709,0)</f>
        <v>0</v>
      </c>
      <c r="AI709" s="15" t="s">
        <v>1842</v>
      </c>
      <c r="AJ709" s="14">
        <f>IF(AN709=0,L709,0)</f>
        <v>0</v>
      </c>
      <c r="AK709" s="14">
        <f>IF(AN709=15,L709,0)</f>
        <v>0</v>
      </c>
      <c r="AL709" s="14">
        <f>IF(AN709=21,L709,0)</f>
        <v>0</v>
      </c>
      <c r="AN709" s="14">
        <v>21</v>
      </c>
      <c r="AO709" s="92">
        <f>H709*0</f>
        <v>0</v>
      </c>
      <c r="AP709" s="92">
        <f>H709*(1-0)</f>
        <v>0</v>
      </c>
      <c r="AQ709" s="55" t="s">
        <v>1287</v>
      </c>
      <c r="AV709" s="14">
        <f>AW709+AX709</f>
        <v>0</v>
      </c>
      <c r="AW709" s="14">
        <f>G709*AO709</f>
        <v>0</v>
      </c>
      <c r="AX709" s="14">
        <f>G709*AP709</f>
        <v>0</v>
      </c>
      <c r="AY709" s="55" t="s">
        <v>201</v>
      </c>
      <c r="AZ709" s="55" t="s">
        <v>312</v>
      </c>
      <c r="BA709" s="15" t="s">
        <v>1843</v>
      </c>
      <c r="BC709" s="14">
        <f>AW709+AX709</f>
        <v>0</v>
      </c>
      <c r="BD709" s="14">
        <f>H709/(100-BE709)*100</f>
        <v>0</v>
      </c>
      <c r="BE709" s="14">
        <v>0</v>
      </c>
      <c r="BF709" s="14">
        <f>O709</f>
        <v>0</v>
      </c>
      <c r="BH709" s="14">
        <f>G709*AO709</f>
        <v>0</v>
      </c>
      <c r="BI709" s="14">
        <f>G709*AP709</f>
        <v>0</v>
      </c>
      <c r="BJ709" s="14">
        <f>G709*H709</f>
        <v>0</v>
      </c>
      <c r="BK709" s="14"/>
      <c r="BL709" s="14"/>
      <c r="BW709" s="14" t="str">
        <f>I709</f>
        <v>21</v>
      </c>
    </row>
    <row r="710" spans="1:75" ht="15" customHeight="1">
      <c r="A710" s="32"/>
      <c r="D710" s="3" t="s">
        <v>2430</v>
      </c>
      <c r="E710" s="28" t="s">
        <v>1683</v>
      </c>
      <c r="G710" s="27">
        <v>11.31</v>
      </c>
      <c r="P710" s="33"/>
    </row>
    <row r="711" spans="1:75" ht="15" customHeight="1">
      <c r="A711" s="65" t="s">
        <v>1683</v>
      </c>
      <c r="B711" s="26" t="s">
        <v>1842</v>
      </c>
      <c r="C711" s="26" t="s">
        <v>479</v>
      </c>
      <c r="D711" s="649" t="s">
        <v>322</v>
      </c>
      <c r="E711" s="650"/>
      <c r="F711" s="74" t="s">
        <v>2262</v>
      </c>
      <c r="G711" s="74" t="s">
        <v>2262</v>
      </c>
      <c r="H711" s="74" t="s">
        <v>2262</v>
      </c>
      <c r="I711" s="74" t="s">
        <v>2262</v>
      </c>
      <c r="J711" s="2">
        <f>SUM(J712:J712)</f>
        <v>0</v>
      </c>
      <c r="K711" s="2">
        <f>SUM(K712:K712)</f>
        <v>0</v>
      </c>
      <c r="L711" s="2">
        <f>SUM(L712:L712)</f>
        <v>0</v>
      </c>
      <c r="M711" s="2">
        <f>SUM(M712:M712)</f>
        <v>0</v>
      </c>
      <c r="N711" s="15" t="s">
        <v>1683</v>
      </c>
      <c r="O711" s="2">
        <f>SUM(O712:O712)</f>
        <v>0</v>
      </c>
      <c r="P711" s="47" t="s">
        <v>1683</v>
      </c>
      <c r="AI711" s="15" t="s">
        <v>1842</v>
      </c>
      <c r="AS711" s="2">
        <f>SUM(AJ712:AJ712)</f>
        <v>0</v>
      </c>
      <c r="AT711" s="2">
        <f>SUM(AK712:AK712)</f>
        <v>0</v>
      </c>
      <c r="AU711" s="2">
        <f>SUM(AL712:AL712)</f>
        <v>0</v>
      </c>
    </row>
    <row r="712" spans="1:75" ht="13.5" customHeight="1">
      <c r="A712" s="21" t="s">
        <v>2104</v>
      </c>
      <c r="B712" s="37" t="s">
        <v>1842</v>
      </c>
      <c r="C712" s="37" t="s">
        <v>1865</v>
      </c>
      <c r="D712" s="578" t="s">
        <v>2635</v>
      </c>
      <c r="E712" s="579"/>
      <c r="F712" s="37" t="s">
        <v>1130</v>
      </c>
      <c r="G712" s="14">
        <v>2.66</v>
      </c>
      <c r="H712" s="569"/>
      <c r="I712" s="55" t="s">
        <v>1720</v>
      </c>
      <c r="J712" s="14">
        <f>G712*AO712</f>
        <v>0</v>
      </c>
      <c r="K712" s="14">
        <f>G712*AP712</f>
        <v>0</v>
      </c>
      <c r="L712" s="14">
        <f>G712*H712</f>
        <v>0</v>
      </c>
      <c r="M712" s="14">
        <f>L712*(1+BW712/100)</f>
        <v>0</v>
      </c>
      <c r="N712" s="14">
        <v>0</v>
      </c>
      <c r="O712" s="14">
        <f>G712*N712</f>
        <v>0</v>
      </c>
      <c r="P712" s="72" t="s">
        <v>1664</v>
      </c>
      <c r="Z712" s="14">
        <f>IF(AQ712="5",BJ712,0)</f>
        <v>0</v>
      </c>
      <c r="AB712" s="14">
        <f>IF(AQ712="1",BH712,0)</f>
        <v>0</v>
      </c>
      <c r="AC712" s="14">
        <f>IF(AQ712="1",BI712,0)</f>
        <v>0</v>
      </c>
      <c r="AD712" s="14">
        <f>IF(AQ712="7",BH712,0)</f>
        <v>0</v>
      </c>
      <c r="AE712" s="14">
        <f>IF(AQ712="7",BI712,0)</f>
        <v>0</v>
      </c>
      <c r="AF712" s="14">
        <f>IF(AQ712="2",BH712,0)</f>
        <v>0</v>
      </c>
      <c r="AG712" s="14">
        <f>IF(AQ712="2",BI712,0)</f>
        <v>0</v>
      </c>
      <c r="AH712" s="14">
        <f>IF(AQ712="0",BJ712,0)</f>
        <v>0</v>
      </c>
      <c r="AI712" s="15" t="s">
        <v>1842</v>
      </c>
      <c r="AJ712" s="14">
        <f>IF(AN712=0,L712,0)</f>
        <v>0</v>
      </c>
      <c r="AK712" s="14">
        <f>IF(AN712=15,L712,0)</f>
        <v>0</v>
      </c>
      <c r="AL712" s="14">
        <f>IF(AN712=21,L712,0)</f>
        <v>0</v>
      </c>
      <c r="AN712" s="14">
        <v>21</v>
      </c>
      <c r="AO712" s="92">
        <f>H712*0</f>
        <v>0</v>
      </c>
      <c r="AP712" s="92">
        <f>H712*(1-0)</f>
        <v>0</v>
      </c>
      <c r="AQ712" s="55" t="s">
        <v>1287</v>
      </c>
      <c r="AV712" s="14">
        <f>AW712+AX712</f>
        <v>0</v>
      </c>
      <c r="AW712" s="14">
        <f>G712*AO712</f>
        <v>0</v>
      </c>
      <c r="AX712" s="14">
        <f>G712*AP712</f>
        <v>0</v>
      </c>
      <c r="AY712" s="55" t="s">
        <v>566</v>
      </c>
      <c r="AZ712" s="55" t="s">
        <v>312</v>
      </c>
      <c r="BA712" s="15" t="s">
        <v>1843</v>
      </c>
      <c r="BC712" s="14">
        <f>AW712+AX712</f>
        <v>0</v>
      </c>
      <c r="BD712" s="14">
        <f>H712/(100-BE712)*100</f>
        <v>0</v>
      </c>
      <c r="BE712" s="14">
        <v>0</v>
      </c>
      <c r="BF712" s="14">
        <f>O712</f>
        <v>0</v>
      </c>
      <c r="BH712" s="14">
        <f>G712*AO712</f>
        <v>0</v>
      </c>
      <c r="BI712" s="14">
        <f>G712*AP712</f>
        <v>0</v>
      </c>
      <c r="BJ712" s="14">
        <f>G712*H712</f>
        <v>0</v>
      </c>
      <c r="BK712" s="14"/>
      <c r="BL712" s="14"/>
      <c r="BW712" s="14" t="str">
        <f>I712</f>
        <v>21</v>
      </c>
    </row>
    <row r="713" spans="1:75" ht="15" customHeight="1">
      <c r="A713" s="32"/>
      <c r="D713" s="3" t="s">
        <v>1854</v>
      </c>
      <c r="E713" s="28" t="s">
        <v>1683</v>
      </c>
      <c r="G713" s="27">
        <v>2.66</v>
      </c>
      <c r="P713" s="33"/>
    </row>
    <row r="714" spans="1:75" ht="15" customHeight="1">
      <c r="A714" s="65" t="s">
        <v>1683</v>
      </c>
      <c r="B714" s="26" t="s">
        <v>1842</v>
      </c>
      <c r="C714" s="26" t="s">
        <v>1613</v>
      </c>
      <c r="D714" s="649" t="s">
        <v>1147</v>
      </c>
      <c r="E714" s="650"/>
      <c r="F714" s="74" t="s">
        <v>2262</v>
      </c>
      <c r="G714" s="74" t="s">
        <v>2262</v>
      </c>
      <c r="H714" s="74" t="s">
        <v>2262</v>
      </c>
      <c r="I714" s="74" t="s">
        <v>2262</v>
      </c>
      <c r="J714" s="2">
        <f>SUM(J715:J715)</f>
        <v>0</v>
      </c>
      <c r="K714" s="2">
        <f>SUM(K715:K715)</f>
        <v>0</v>
      </c>
      <c r="L714" s="2">
        <f>SUM(L715:L715)</f>
        <v>0</v>
      </c>
      <c r="M714" s="2">
        <f>SUM(M715:M715)</f>
        <v>0</v>
      </c>
      <c r="N714" s="15" t="s">
        <v>1683</v>
      </c>
      <c r="O714" s="2">
        <f>SUM(O715:O715)</f>
        <v>0</v>
      </c>
      <c r="P714" s="47" t="s">
        <v>1683</v>
      </c>
      <c r="AI714" s="15" t="s">
        <v>1842</v>
      </c>
      <c r="AS714" s="2">
        <f>SUM(AJ715:AJ715)</f>
        <v>0</v>
      </c>
      <c r="AT714" s="2">
        <f>SUM(AK715:AK715)</f>
        <v>0</v>
      </c>
      <c r="AU714" s="2">
        <f>SUM(AL715:AL715)</f>
        <v>0</v>
      </c>
    </row>
    <row r="715" spans="1:75" ht="13.5" customHeight="1">
      <c r="A715" s="21" t="s">
        <v>2215</v>
      </c>
      <c r="B715" s="37" t="s">
        <v>1842</v>
      </c>
      <c r="C715" s="37" t="s">
        <v>2072</v>
      </c>
      <c r="D715" s="578" t="s">
        <v>1945</v>
      </c>
      <c r="E715" s="579"/>
      <c r="F715" s="37" t="s">
        <v>1130</v>
      </c>
      <c r="G715" s="14">
        <v>7.83</v>
      </c>
      <c r="H715" s="569"/>
      <c r="I715" s="55" t="s">
        <v>1720</v>
      </c>
      <c r="J715" s="14">
        <f>G715*AO715</f>
        <v>0</v>
      </c>
      <c r="K715" s="14">
        <f>G715*AP715</f>
        <v>0</v>
      </c>
      <c r="L715" s="14">
        <f>G715*H715</f>
        <v>0</v>
      </c>
      <c r="M715" s="14">
        <f>L715*(1+BW715/100)</f>
        <v>0</v>
      </c>
      <c r="N715" s="14">
        <v>0</v>
      </c>
      <c r="O715" s="14">
        <f>G715*N715</f>
        <v>0</v>
      </c>
      <c r="P715" s="72" t="s">
        <v>1664</v>
      </c>
      <c r="Z715" s="14">
        <f>IF(AQ715="5",BJ715,0)</f>
        <v>0</v>
      </c>
      <c r="AB715" s="14">
        <f>IF(AQ715="1",BH715,0)</f>
        <v>0</v>
      </c>
      <c r="AC715" s="14">
        <f>IF(AQ715="1",BI715,0)</f>
        <v>0</v>
      </c>
      <c r="AD715" s="14">
        <f>IF(AQ715="7",BH715,0)</f>
        <v>0</v>
      </c>
      <c r="AE715" s="14">
        <f>IF(AQ715="7",BI715,0)</f>
        <v>0</v>
      </c>
      <c r="AF715" s="14">
        <f>IF(AQ715="2",BH715,0)</f>
        <v>0</v>
      </c>
      <c r="AG715" s="14">
        <f>IF(AQ715="2",BI715,0)</f>
        <v>0</v>
      </c>
      <c r="AH715" s="14">
        <f>IF(AQ715="0",BJ715,0)</f>
        <v>0</v>
      </c>
      <c r="AI715" s="15" t="s">
        <v>1842</v>
      </c>
      <c r="AJ715" s="14">
        <f>IF(AN715=0,L715,0)</f>
        <v>0</v>
      </c>
      <c r="AK715" s="14">
        <f>IF(AN715=15,L715,0)</f>
        <v>0</v>
      </c>
      <c r="AL715" s="14">
        <f>IF(AN715=21,L715,0)</f>
        <v>0</v>
      </c>
      <c r="AN715" s="14">
        <v>21</v>
      </c>
      <c r="AO715" s="92">
        <f>H715*0</f>
        <v>0</v>
      </c>
      <c r="AP715" s="92">
        <f>H715*(1-0)</f>
        <v>0</v>
      </c>
      <c r="AQ715" s="55" t="s">
        <v>1287</v>
      </c>
      <c r="AV715" s="14">
        <f>AW715+AX715</f>
        <v>0</v>
      </c>
      <c r="AW715" s="14">
        <f>G715*AO715</f>
        <v>0</v>
      </c>
      <c r="AX715" s="14">
        <f>G715*AP715</f>
        <v>0</v>
      </c>
      <c r="AY715" s="55" t="s">
        <v>1107</v>
      </c>
      <c r="AZ715" s="55" t="s">
        <v>312</v>
      </c>
      <c r="BA715" s="15" t="s">
        <v>1843</v>
      </c>
      <c r="BC715" s="14">
        <f>AW715+AX715</f>
        <v>0</v>
      </c>
      <c r="BD715" s="14">
        <f>H715/(100-BE715)*100</f>
        <v>0</v>
      </c>
      <c r="BE715" s="14">
        <v>0</v>
      </c>
      <c r="BF715" s="14">
        <f>O715</f>
        <v>0</v>
      </c>
      <c r="BH715" s="14">
        <f>G715*AO715</f>
        <v>0</v>
      </c>
      <c r="BI715" s="14">
        <f>G715*AP715</f>
        <v>0</v>
      </c>
      <c r="BJ715" s="14">
        <f>G715*H715</f>
        <v>0</v>
      </c>
      <c r="BK715" s="14"/>
      <c r="BL715" s="14"/>
      <c r="BW715" s="14" t="str">
        <f>I715</f>
        <v>21</v>
      </c>
    </row>
    <row r="716" spans="1:75" ht="15" customHeight="1">
      <c r="A716" s="32"/>
      <c r="D716" s="3" t="s">
        <v>2170</v>
      </c>
      <c r="E716" s="28" t="s">
        <v>1683</v>
      </c>
      <c r="G716" s="27">
        <v>7.830000000000001</v>
      </c>
      <c r="P716" s="33"/>
    </row>
    <row r="717" spans="1:75" ht="15" customHeight="1">
      <c r="A717" s="65" t="s">
        <v>1683</v>
      </c>
      <c r="B717" s="26" t="s">
        <v>1842</v>
      </c>
      <c r="C717" s="26" t="s">
        <v>2015</v>
      </c>
      <c r="D717" s="649" t="s">
        <v>738</v>
      </c>
      <c r="E717" s="650"/>
      <c r="F717" s="74" t="s">
        <v>2262</v>
      </c>
      <c r="G717" s="74" t="s">
        <v>2262</v>
      </c>
      <c r="H717" s="74" t="s">
        <v>2262</v>
      </c>
      <c r="I717" s="74" t="s">
        <v>2262</v>
      </c>
      <c r="J717" s="2">
        <f>SUM(J718:J718)</f>
        <v>0</v>
      </c>
      <c r="K717" s="2">
        <f>SUM(K718:K718)</f>
        <v>0</v>
      </c>
      <c r="L717" s="2">
        <f>SUM(L718:L718)</f>
        <v>0</v>
      </c>
      <c r="M717" s="2">
        <f>SUM(M718:M718)</f>
        <v>0</v>
      </c>
      <c r="N717" s="15" t="s">
        <v>1683</v>
      </c>
      <c r="O717" s="2">
        <f>SUM(O718:O718)</f>
        <v>0</v>
      </c>
      <c r="P717" s="47" t="s">
        <v>1683</v>
      </c>
      <c r="AI717" s="15" t="s">
        <v>1842</v>
      </c>
      <c r="AS717" s="2">
        <f>SUM(AJ718:AJ718)</f>
        <v>0</v>
      </c>
      <c r="AT717" s="2">
        <f>SUM(AK718:AK718)</f>
        <v>0</v>
      </c>
      <c r="AU717" s="2">
        <f>SUM(AL718:AL718)</f>
        <v>0</v>
      </c>
    </row>
    <row r="718" spans="1:75" ht="13.5" customHeight="1">
      <c r="A718" s="21" t="s">
        <v>1899</v>
      </c>
      <c r="B718" s="37" t="s">
        <v>1842</v>
      </c>
      <c r="C718" s="37" t="s">
        <v>142</v>
      </c>
      <c r="D718" s="578" t="s">
        <v>1588</v>
      </c>
      <c r="E718" s="579"/>
      <c r="F718" s="37" t="s">
        <v>1130</v>
      </c>
      <c r="G718" s="14">
        <v>18.829999999999998</v>
      </c>
      <c r="H718" s="569"/>
      <c r="I718" s="55" t="s">
        <v>1720</v>
      </c>
      <c r="J718" s="14">
        <f>G718*AO718</f>
        <v>0</v>
      </c>
      <c r="K718" s="14">
        <f>G718*AP718</f>
        <v>0</v>
      </c>
      <c r="L718" s="14">
        <f>G718*H718</f>
        <v>0</v>
      </c>
      <c r="M718" s="14">
        <f>L718*(1+BW718/100)</f>
        <v>0</v>
      </c>
      <c r="N718" s="14">
        <v>0</v>
      </c>
      <c r="O718" s="14">
        <f>G718*N718</f>
        <v>0</v>
      </c>
      <c r="P718" s="72" t="s">
        <v>1664</v>
      </c>
      <c r="Z718" s="14">
        <f>IF(AQ718="5",BJ718,0)</f>
        <v>0</v>
      </c>
      <c r="AB718" s="14">
        <f>IF(AQ718="1",BH718,0)</f>
        <v>0</v>
      </c>
      <c r="AC718" s="14">
        <f>IF(AQ718="1",BI718,0)</f>
        <v>0</v>
      </c>
      <c r="AD718" s="14">
        <f>IF(AQ718="7",BH718,0)</f>
        <v>0</v>
      </c>
      <c r="AE718" s="14">
        <f>IF(AQ718="7",BI718,0)</f>
        <v>0</v>
      </c>
      <c r="AF718" s="14">
        <f>IF(AQ718="2",BH718,0)</f>
        <v>0</v>
      </c>
      <c r="AG718" s="14">
        <f>IF(AQ718="2",BI718,0)</f>
        <v>0</v>
      </c>
      <c r="AH718" s="14">
        <f>IF(AQ718="0",BJ718,0)</f>
        <v>0</v>
      </c>
      <c r="AI718" s="15" t="s">
        <v>1842</v>
      </c>
      <c r="AJ718" s="14">
        <f>IF(AN718=0,L718,0)</f>
        <v>0</v>
      </c>
      <c r="AK718" s="14">
        <f>IF(AN718=15,L718,0)</f>
        <v>0</v>
      </c>
      <c r="AL718" s="14">
        <f>IF(AN718=21,L718,0)</f>
        <v>0</v>
      </c>
      <c r="AN718" s="14">
        <v>21</v>
      </c>
      <c r="AO718" s="92">
        <f>H718*0</f>
        <v>0</v>
      </c>
      <c r="AP718" s="92">
        <f>H718*(1-0)</f>
        <v>0</v>
      </c>
      <c r="AQ718" s="55" t="s">
        <v>1287</v>
      </c>
      <c r="AV718" s="14">
        <f>AW718+AX718</f>
        <v>0</v>
      </c>
      <c r="AW718" s="14">
        <f>G718*AO718</f>
        <v>0</v>
      </c>
      <c r="AX718" s="14">
        <f>G718*AP718</f>
        <v>0</v>
      </c>
      <c r="AY718" s="55" t="s">
        <v>2444</v>
      </c>
      <c r="AZ718" s="55" t="s">
        <v>312</v>
      </c>
      <c r="BA718" s="15" t="s">
        <v>1843</v>
      </c>
      <c r="BC718" s="14">
        <f>AW718+AX718</f>
        <v>0</v>
      </c>
      <c r="BD718" s="14">
        <f>H718/(100-BE718)*100</f>
        <v>0</v>
      </c>
      <c r="BE718" s="14">
        <v>0</v>
      </c>
      <c r="BF718" s="14">
        <f>O718</f>
        <v>0</v>
      </c>
      <c r="BH718" s="14">
        <f>G718*AO718</f>
        <v>0</v>
      </c>
      <c r="BI718" s="14">
        <f>G718*AP718</f>
        <v>0</v>
      </c>
      <c r="BJ718" s="14">
        <f>G718*H718</f>
        <v>0</v>
      </c>
      <c r="BK718" s="14"/>
      <c r="BL718" s="14"/>
      <c r="BW718" s="14" t="str">
        <f>I718</f>
        <v>21</v>
      </c>
    </row>
    <row r="719" spans="1:75" ht="15" customHeight="1">
      <c r="A719" s="32"/>
      <c r="D719" s="3" t="s">
        <v>548</v>
      </c>
      <c r="E719" s="28" t="s">
        <v>1683</v>
      </c>
      <c r="G719" s="27">
        <v>18.830000000000002</v>
      </c>
      <c r="P719" s="33"/>
    </row>
    <row r="720" spans="1:75" ht="15" customHeight="1">
      <c r="A720" s="65" t="s">
        <v>1683</v>
      </c>
      <c r="B720" s="26" t="s">
        <v>1842</v>
      </c>
      <c r="C720" s="26" t="s">
        <v>1916</v>
      </c>
      <c r="D720" s="649" t="s">
        <v>2152</v>
      </c>
      <c r="E720" s="650"/>
      <c r="F720" s="74" t="s">
        <v>2262</v>
      </c>
      <c r="G720" s="74" t="s">
        <v>2262</v>
      </c>
      <c r="H720" s="74" t="s">
        <v>2262</v>
      </c>
      <c r="I720" s="74" t="s">
        <v>2262</v>
      </c>
      <c r="J720" s="2">
        <f>SUM(J721:J721)</f>
        <v>0</v>
      </c>
      <c r="K720" s="2">
        <f>SUM(K721:K721)</f>
        <v>0</v>
      </c>
      <c r="L720" s="2">
        <f>SUM(L721:L721)</f>
        <v>0</v>
      </c>
      <c r="M720" s="2">
        <f>SUM(M721:M721)</f>
        <v>0</v>
      </c>
      <c r="N720" s="15" t="s">
        <v>1683</v>
      </c>
      <c r="O720" s="2">
        <f>SUM(O721:O721)</f>
        <v>0</v>
      </c>
      <c r="P720" s="47" t="s">
        <v>1683</v>
      </c>
      <c r="AI720" s="15" t="s">
        <v>1842</v>
      </c>
      <c r="AS720" s="2">
        <f>SUM(AJ721:AJ721)</f>
        <v>0</v>
      </c>
      <c r="AT720" s="2">
        <f>SUM(AK721:AK721)</f>
        <v>0</v>
      </c>
      <c r="AU720" s="2">
        <f>SUM(AL721:AL721)</f>
        <v>0</v>
      </c>
    </row>
    <row r="721" spans="1:75" ht="13.5" customHeight="1">
      <c r="A721" s="21" t="s">
        <v>833</v>
      </c>
      <c r="B721" s="37" t="s">
        <v>1842</v>
      </c>
      <c r="C721" s="37" t="s">
        <v>757</v>
      </c>
      <c r="D721" s="578" t="s">
        <v>1888</v>
      </c>
      <c r="E721" s="579"/>
      <c r="F721" s="37" t="s">
        <v>1130</v>
      </c>
      <c r="G721" s="14">
        <v>4.29</v>
      </c>
      <c r="H721" s="569"/>
      <c r="I721" s="55" t="s">
        <v>1720</v>
      </c>
      <c r="J721" s="14">
        <f>G721*AO721</f>
        <v>0</v>
      </c>
      <c r="K721" s="14">
        <f>G721*AP721</f>
        <v>0</v>
      </c>
      <c r="L721" s="14">
        <f>G721*H721</f>
        <v>0</v>
      </c>
      <c r="M721" s="14">
        <f>L721*(1+BW721/100)</f>
        <v>0</v>
      </c>
      <c r="N721" s="14">
        <v>0</v>
      </c>
      <c r="O721" s="14">
        <f>G721*N721</f>
        <v>0</v>
      </c>
      <c r="P721" s="72" t="s">
        <v>1664</v>
      </c>
      <c r="Z721" s="14">
        <f>IF(AQ721="5",BJ721,0)</f>
        <v>0</v>
      </c>
      <c r="AB721" s="14">
        <f>IF(AQ721="1",BH721,0)</f>
        <v>0</v>
      </c>
      <c r="AC721" s="14">
        <f>IF(AQ721="1",BI721,0)</f>
        <v>0</v>
      </c>
      <c r="AD721" s="14">
        <f>IF(AQ721="7",BH721,0)</f>
        <v>0</v>
      </c>
      <c r="AE721" s="14">
        <f>IF(AQ721="7",BI721,0)</f>
        <v>0</v>
      </c>
      <c r="AF721" s="14">
        <f>IF(AQ721="2",BH721,0)</f>
        <v>0</v>
      </c>
      <c r="AG721" s="14">
        <f>IF(AQ721="2",BI721,0)</f>
        <v>0</v>
      </c>
      <c r="AH721" s="14">
        <f>IF(AQ721="0",BJ721,0)</f>
        <v>0</v>
      </c>
      <c r="AI721" s="15" t="s">
        <v>1842</v>
      </c>
      <c r="AJ721" s="14">
        <f>IF(AN721=0,L721,0)</f>
        <v>0</v>
      </c>
      <c r="AK721" s="14">
        <f>IF(AN721=15,L721,0)</f>
        <v>0</v>
      </c>
      <c r="AL721" s="14">
        <f>IF(AN721=21,L721,0)</f>
        <v>0</v>
      </c>
      <c r="AN721" s="14">
        <v>21</v>
      </c>
      <c r="AO721" s="92">
        <f>H721*0</f>
        <v>0</v>
      </c>
      <c r="AP721" s="92">
        <f>H721*(1-0)</f>
        <v>0</v>
      </c>
      <c r="AQ721" s="55" t="s">
        <v>1287</v>
      </c>
      <c r="AV721" s="14">
        <f>AW721+AX721</f>
        <v>0</v>
      </c>
      <c r="AW721" s="14">
        <f>G721*AO721</f>
        <v>0</v>
      </c>
      <c r="AX721" s="14">
        <f>G721*AP721</f>
        <v>0</v>
      </c>
      <c r="AY721" s="55" t="s">
        <v>1019</v>
      </c>
      <c r="AZ721" s="55" t="s">
        <v>312</v>
      </c>
      <c r="BA721" s="15" t="s">
        <v>1843</v>
      </c>
      <c r="BC721" s="14">
        <f>AW721+AX721</f>
        <v>0</v>
      </c>
      <c r="BD721" s="14">
        <f>H721/(100-BE721)*100</f>
        <v>0</v>
      </c>
      <c r="BE721" s="14">
        <v>0</v>
      </c>
      <c r="BF721" s="14">
        <f>O721</f>
        <v>0</v>
      </c>
      <c r="BH721" s="14">
        <f>G721*AO721</f>
        <v>0</v>
      </c>
      <c r="BI721" s="14">
        <f>G721*AP721</f>
        <v>0</v>
      </c>
      <c r="BJ721" s="14">
        <f>G721*H721</f>
        <v>0</v>
      </c>
      <c r="BK721" s="14"/>
      <c r="BL721" s="14"/>
      <c r="BW721" s="14" t="str">
        <f>I721</f>
        <v>21</v>
      </c>
    </row>
    <row r="722" spans="1:75" ht="15" customHeight="1">
      <c r="A722" s="32"/>
      <c r="D722" s="3" t="s">
        <v>1060</v>
      </c>
      <c r="E722" s="28" t="s">
        <v>1683</v>
      </c>
      <c r="G722" s="27">
        <v>4.29</v>
      </c>
      <c r="P722" s="33"/>
    </row>
    <row r="723" spans="1:75" ht="15" customHeight="1">
      <c r="A723" s="65" t="s">
        <v>1683</v>
      </c>
      <c r="B723" s="26" t="s">
        <v>1842</v>
      </c>
      <c r="C723" s="26" t="s">
        <v>33</v>
      </c>
      <c r="D723" s="649" t="s">
        <v>286</v>
      </c>
      <c r="E723" s="650"/>
      <c r="F723" s="74" t="s">
        <v>2262</v>
      </c>
      <c r="G723" s="74" t="s">
        <v>2262</v>
      </c>
      <c r="H723" s="74" t="s">
        <v>2262</v>
      </c>
      <c r="I723" s="74" t="s">
        <v>2262</v>
      </c>
      <c r="J723" s="2">
        <f>SUM(J724:J724)</f>
        <v>0</v>
      </c>
      <c r="K723" s="2">
        <f>SUM(K724:K724)</f>
        <v>0</v>
      </c>
      <c r="L723" s="2">
        <f>SUM(L724:L724)</f>
        <v>0</v>
      </c>
      <c r="M723" s="2">
        <f>SUM(M724:M724)</f>
        <v>0</v>
      </c>
      <c r="N723" s="15" t="s">
        <v>1683</v>
      </c>
      <c r="O723" s="2">
        <f>SUM(O724:O724)</f>
        <v>0</v>
      </c>
      <c r="P723" s="47" t="s">
        <v>1683</v>
      </c>
      <c r="AI723" s="15" t="s">
        <v>1842</v>
      </c>
      <c r="AS723" s="2">
        <f>SUM(AJ724:AJ724)</f>
        <v>0</v>
      </c>
      <c r="AT723" s="2">
        <f>SUM(AK724:AK724)</f>
        <v>0</v>
      </c>
      <c r="AU723" s="2">
        <f>SUM(AL724:AL724)</f>
        <v>0</v>
      </c>
    </row>
    <row r="724" spans="1:75" ht="13.5" customHeight="1">
      <c r="A724" s="21" t="s">
        <v>1923</v>
      </c>
      <c r="B724" s="37" t="s">
        <v>1842</v>
      </c>
      <c r="C724" s="37" t="s">
        <v>2340</v>
      </c>
      <c r="D724" s="578" t="s">
        <v>1483</v>
      </c>
      <c r="E724" s="579"/>
      <c r="F724" s="37" t="s">
        <v>1130</v>
      </c>
      <c r="G724" s="14">
        <v>9.5500000000000007</v>
      </c>
      <c r="H724" s="569"/>
      <c r="I724" s="55" t="s">
        <v>1720</v>
      </c>
      <c r="J724" s="14">
        <f>G724*AO724</f>
        <v>0</v>
      </c>
      <c r="K724" s="14">
        <f>G724*AP724</f>
        <v>0</v>
      </c>
      <c r="L724" s="14">
        <f>G724*H724</f>
        <v>0</v>
      </c>
      <c r="M724" s="14">
        <f>L724*(1+BW724/100)</f>
        <v>0</v>
      </c>
      <c r="N724" s="14">
        <v>0</v>
      </c>
      <c r="O724" s="14">
        <f>G724*N724</f>
        <v>0</v>
      </c>
      <c r="P724" s="72" t="s">
        <v>1664</v>
      </c>
      <c r="Z724" s="14">
        <f>IF(AQ724="5",BJ724,0)</f>
        <v>0</v>
      </c>
      <c r="AB724" s="14">
        <f>IF(AQ724="1",BH724,0)</f>
        <v>0</v>
      </c>
      <c r="AC724" s="14">
        <f>IF(AQ724="1",BI724,0)</f>
        <v>0</v>
      </c>
      <c r="AD724" s="14">
        <f>IF(AQ724="7",BH724,0)</f>
        <v>0</v>
      </c>
      <c r="AE724" s="14">
        <f>IF(AQ724="7",BI724,0)</f>
        <v>0</v>
      </c>
      <c r="AF724" s="14">
        <f>IF(AQ724="2",BH724,0)</f>
        <v>0</v>
      </c>
      <c r="AG724" s="14">
        <f>IF(AQ724="2",BI724,0)</f>
        <v>0</v>
      </c>
      <c r="AH724" s="14">
        <f>IF(AQ724="0",BJ724,0)</f>
        <v>0</v>
      </c>
      <c r="AI724" s="15" t="s">
        <v>1842</v>
      </c>
      <c r="AJ724" s="14">
        <f>IF(AN724=0,L724,0)</f>
        <v>0</v>
      </c>
      <c r="AK724" s="14">
        <f>IF(AN724=15,L724,0)</f>
        <v>0</v>
      </c>
      <c r="AL724" s="14">
        <f>IF(AN724=21,L724,0)</f>
        <v>0</v>
      </c>
      <c r="AN724" s="14">
        <v>21</v>
      </c>
      <c r="AO724" s="92">
        <f>H724*0</f>
        <v>0</v>
      </c>
      <c r="AP724" s="92">
        <f>H724*(1-0)</f>
        <v>0</v>
      </c>
      <c r="AQ724" s="55" t="s">
        <v>1287</v>
      </c>
      <c r="AV724" s="14">
        <f>AW724+AX724</f>
        <v>0</v>
      </c>
      <c r="AW724" s="14">
        <f>G724*AO724</f>
        <v>0</v>
      </c>
      <c r="AX724" s="14">
        <f>G724*AP724</f>
        <v>0</v>
      </c>
      <c r="AY724" s="55" t="s">
        <v>229</v>
      </c>
      <c r="AZ724" s="55" t="s">
        <v>312</v>
      </c>
      <c r="BA724" s="15" t="s">
        <v>1843</v>
      </c>
      <c r="BC724" s="14">
        <f>AW724+AX724</f>
        <v>0</v>
      </c>
      <c r="BD724" s="14">
        <f>H724/(100-BE724)*100</f>
        <v>0</v>
      </c>
      <c r="BE724" s="14">
        <v>0</v>
      </c>
      <c r="BF724" s="14">
        <f>O724</f>
        <v>0</v>
      </c>
      <c r="BH724" s="14">
        <f>G724*AO724</f>
        <v>0</v>
      </c>
      <c r="BI724" s="14">
        <f>G724*AP724</f>
        <v>0</v>
      </c>
      <c r="BJ724" s="14">
        <f>G724*H724</f>
        <v>0</v>
      </c>
      <c r="BK724" s="14"/>
      <c r="BL724" s="14"/>
      <c r="BW724" s="14" t="str">
        <f>I724</f>
        <v>21</v>
      </c>
    </row>
    <row r="725" spans="1:75" ht="15" customHeight="1">
      <c r="A725" s="32"/>
      <c r="D725" s="3" t="s">
        <v>1310</v>
      </c>
      <c r="E725" s="28" t="s">
        <v>1683</v>
      </c>
      <c r="G725" s="27">
        <v>9.5500000000000007</v>
      </c>
      <c r="P725" s="33"/>
    </row>
    <row r="726" spans="1:75" ht="15" customHeight="1">
      <c r="A726" s="65" t="s">
        <v>1683</v>
      </c>
      <c r="B726" s="26" t="s">
        <v>1842</v>
      </c>
      <c r="C726" s="26" t="s">
        <v>1993</v>
      </c>
      <c r="D726" s="649" t="s">
        <v>2239</v>
      </c>
      <c r="E726" s="650"/>
      <c r="F726" s="74" t="s">
        <v>2262</v>
      </c>
      <c r="G726" s="74" t="s">
        <v>2262</v>
      </c>
      <c r="H726" s="74" t="s">
        <v>2262</v>
      </c>
      <c r="I726" s="74" t="s">
        <v>2262</v>
      </c>
      <c r="J726" s="2">
        <f>SUM(J727:J727)</f>
        <v>0</v>
      </c>
      <c r="K726" s="2">
        <f>SUM(K727:K727)</f>
        <v>0</v>
      </c>
      <c r="L726" s="2">
        <f>SUM(L727:L727)</f>
        <v>0</v>
      </c>
      <c r="M726" s="2">
        <f>SUM(M727:M727)</f>
        <v>0</v>
      </c>
      <c r="N726" s="15" t="s">
        <v>1683</v>
      </c>
      <c r="O726" s="2">
        <f>SUM(O727:O727)</f>
        <v>0</v>
      </c>
      <c r="P726" s="47" t="s">
        <v>1683</v>
      </c>
      <c r="AI726" s="15" t="s">
        <v>1842</v>
      </c>
      <c r="AS726" s="2">
        <f>SUM(AJ727:AJ727)</f>
        <v>0</v>
      </c>
      <c r="AT726" s="2">
        <f>SUM(AK727:AK727)</f>
        <v>0</v>
      </c>
      <c r="AU726" s="2">
        <f>SUM(AL727:AL727)</f>
        <v>0</v>
      </c>
    </row>
    <row r="727" spans="1:75" ht="13.5" customHeight="1">
      <c r="A727" s="21" t="s">
        <v>1591</v>
      </c>
      <c r="B727" s="37" t="s">
        <v>1842</v>
      </c>
      <c r="C727" s="37" t="s">
        <v>2197</v>
      </c>
      <c r="D727" s="578" t="s">
        <v>186</v>
      </c>
      <c r="E727" s="579"/>
      <c r="F727" s="37" t="s">
        <v>1130</v>
      </c>
      <c r="G727" s="14">
        <v>3.12</v>
      </c>
      <c r="H727" s="569"/>
      <c r="I727" s="55" t="s">
        <v>1720</v>
      </c>
      <c r="J727" s="14">
        <f>G727*AO727</f>
        <v>0</v>
      </c>
      <c r="K727" s="14">
        <f>G727*AP727</f>
        <v>0</v>
      </c>
      <c r="L727" s="14">
        <f>G727*H727</f>
        <v>0</v>
      </c>
      <c r="M727" s="14">
        <f>L727*(1+BW727/100)</f>
        <v>0</v>
      </c>
      <c r="N727" s="14">
        <v>0</v>
      </c>
      <c r="O727" s="14">
        <f>G727*N727</f>
        <v>0</v>
      </c>
      <c r="P727" s="72" t="s">
        <v>1664</v>
      </c>
      <c r="Z727" s="14">
        <f>IF(AQ727="5",BJ727,0)</f>
        <v>0</v>
      </c>
      <c r="AB727" s="14">
        <f>IF(AQ727="1",BH727,0)</f>
        <v>0</v>
      </c>
      <c r="AC727" s="14">
        <f>IF(AQ727="1",BI727,0)</f>
        <v>0</v>
      </c>
      <c r="AD727" s="14">
        <f>IF(AQ727="7",BH727,0)</f>
        <v>0</v>
      </c>
      <c r="AE727" s="14">
        <f>IF(AQ727="7",BI727,0)</f>
        <v>0</v>
      </c>
      <c r="AF727" s="14">
        <f>IF(AQ727="2",BH727,0)</f>
        <v>0</v>
      </c>
      <c r="AG727" s="14">
        <f>IF(AQ727="2",BI727,0)</f>
        <v>0</v>
      </c>
      <c r="AH727" s="14">
        <f>IF(AQ727="0",BJ727,0)</f>
        <v>0</v>
      </c>
      <c r="AI727" s="15" t="s">
        <v>1842</v>
      </c>
      <c r="AJ727" s="14">
        <f>IF(AN727=0,L727,0)</f>
        <v>0</v>
      </c>
      <c r="AK727" s="14">
        <f>IF(AN727=15,L727,0)</f>
        <v>0</v>
      </c>
      <c r="AL727" s="14">
        <f>IF(AN727=21,L727,0)</f>
        <v>0</v>
      </c>
      <c r="AN727" s="14">
        <v>21</v>
      </c>
      <c r="AO727" s="92">
        <f>H727*0</f>
        <v>0</v>
      </c>
      <c r="AP727" s="92">
        <f>H727*(1-0)</f>
        <v>0</v>
      </c>
      <c r="AQ727" s="55" t="s">
        <v>1287</v>
      </c>
      <c r="AV727" s="14">
        <f>AW727+AX727</f>
        <v>0</v>
      </c>
      <c r="AW727" s="14">
        <f>G727*AO727</f>
        <v>0</v>
      </c>
      <c r="AX727" s="14">
        <f>G727*AP727</f>
        <v>0</v>
      </c>
      <c r="AY727" s="55" t="s">
        <v>2235</v>
      </c>
      <c r="AZ727" s="55" t="s">
        <v>312</v>
      </c>
      <c r="BA727" s="15" t="s">
        <v>1843</v>
      </c>
      <c r="BC727" s="14">
        <f>AW727+AX727</f>
        <v>0</v>
      </c>
      <c r="BD727" s="14">
        <f>H727/(100-BE727)*100</f>
        <v>0</v>
      </c>
      <c r="BE727" s="14">
        <v>0</v>
      </c>
      <c r="BF727" s="14">
        <f>O727</f>
        <v>0</v>
      </c>
      <c r="BH727" s="14">
        <f>G727*AO727</f>
        <v>0</v>
      </c>
      <c r="BI727" s="14">
        <f>G727*AP727</f>
        <v>0</v>
      </c>
      <c r="BJ727" s="14">
        <f>G727*H727</f>
        <v>0</v>
      </c>
      <c r="BK727" s="14"/>
      <c r="BL727" s="14"/>
      <c r="BW727" s="14" t="str">
        <f>I727</f>
        <v>21</v>
      </c>
    </row>
    <row r="728" spans="1:75" ht="15" customHeight="1">
      <c r="A728" s="32"/>
      <c r="D728" s="3" t="s">
        <v>868</v>
      </c>
      <c r="E728" s="28" t="s">
        <v>1683</v>
      </c>
      <c r="G728" s="27">
        <v>3.12</v>
      </c>
      <c r="P728" s="33"/>
    </row>
    <row r="729" spans="1:75" ht="15" customHeight="1">
      <c r="A729" s="65" t="s">
        <v>1683</v>
      </c>
      <c r="B729" s="26" t="s">
        <v>1842</v>
      </c>
      <c r="C729" s="26" t="s">
        <v>1420</v>
      </c>
      <c r="D729" s="649" t="s">
        <v>1054</v>
      </c>
      <c r="E729" s="650"/>
      <c r="F729" s="74" t="s">
        <v>2262</v>
      </c>
      <c r="G729" s="74" t="s">
        <v>2262</v>
      </c>
      <c r="H729" s="74" t="s">
        <v>2262</v>
      </c>
      <c r="I729" s="74" t="s">
        <v>2262</v>
      </c>
      <c r="J729" s="2">
        <f>SUM(J730:J730)</f>
        <v>0</v>
      </c>
      <c r="K729" s="2">
        <f>SUM(K730:K730)</f>
        <v>0</v>
      </c>
      <c r="L729" s="2">
        <f>SUM(L730:L730)</f>
        <v>0</v>
      </c>
      <c r="M729" s="2">
        <f>SUM(M730:M730)</f>
        <v>0</v>
      </c>
      <c r="N729" s="15" t="s">
        <v>1683</v>
      </c>
      <c r="O729" s="2">
        <f>SUM(O730:O730)</f>
        <v>0</v>
      </c>
      <c r="P729" s="47" t="s">
        <v>1683</v>
      </c>
      <c r="AI729" s="15" t="s">
        <v>1842</v>
      </c>
      <c r="AS729" s="2">
        <f>SUM(AJ730:AJ730)</f>
        <v>0</v>
      </c>
      <c r="AT729" s="2">
        <f>SUM(AK730:AK730)</f>
        <v>0</v>
      </c>
      <c r="AU729" s="2">
        <f>SUM(AL730:AL730)</f>
        <v>0</v>
      </c>
    </row>
    <row r="730" spans="1:75" ht="13.5" customHeight="1">
      <c r="A730" s="21" t="s">
        <v>2226</v>
      </c>
      <c r="B730" s="37" t="s">
        <v>1842</v>
      </c>
      <c r="C730" s="37" t="s">
        <v>119</v>
      </c>
      <c r="D730" s="578" t="s">
        <v>122</v>
      </c>
      <c r="E730" s="579"/>
      <c r="F730" s="37" t="s">
        <v>1130</v>
      </c>
      <c r="G730" s="14">
        <v>1.86</v>
      </c>
      <c r="H730" s="569"/>
      <c r="I730" s="55" t="s">
        <v>1720</v>
      </c>
      <c r="J730" s="14">
        <f>G730*AO730</f>
        <v>0</v>
      </c>
      <c r="K730" s="14">
        <f>G730*AP730</f>
        <v>0</v>
      </c>
      <c r="L730" s="14">
        <f>G730*H730</f>
        <v>0</v>
      </c>
      <c r="M730" s="14">
        <f>L730*(1+BW730/100)</f>
        <v>0</v>
      </c>
      <c r="N730" s="14">
        <v>0</v>
      </c>
      <c r="O730" s="14">
        <f>G730*N730</f>
        <v>0</v>
      </c>
      <c r="P730" s="72" t="s">
        <v>1664</v>
      </c>
      <c r="Z730" s="14">
        <f>IF(AQ730="5",BJ730,0)</f>
        <v>0</v>
      </c>
      <c r="AB730" s="14">
        <f>IF(AQ730="1",BH730,0)</f>
        <v>0</v>
      </c>
      <c r="AC730" s="14">
        <f>IF(AQ730="1",BI730,0)</f>
        <v>0</v>
      </c>
      <c r="AD730" s="14">
        <f>IF(AQ730="7",BH730,0)</f>
        <v>0</v>
      </c>
      <c r="AE730" s="14">
        <f>IF(AQ730="7",BI730,0)</f>
        <v>0</v>
      </c>
      <c r="AF730" s="14">
        <f>IF(AQ730="2",BH730,0)</f>
        <v>0</v>
      </c>
      <c r="AG730" s="14">
        <f>IF(AQ730="2",BI730,0)</f>
        <v>0</v>
      </c>
      <c r="AH730" s="14">
        <f>IF(AQ730="0",BJ730,0)</f>
        <v>0</v>
      </c>
      <c r="AI730" s="15" t="s">
        <v>1842</v>
      </c>
      <c r="AJ730" s="14">
        <f>IF(AN730=0,L730,0)</f>
        <v>0</v>
      </c>
      <c r="AK730" s="14">
        <f>IF(AN730=15,L730,0)</f>
        <v>0</v>
      </c>
      <c r="AL730" s="14">
        <f>IF(AN730=21,L730,0)</f>
        <v>0</v>
      </c>
      <c r="AN730" s="14">
        <v>21</v>
      </c>
      <c r="AO730" s="92">
        <f>H730*0</f>
        <v>0</v>
      </c>
      <c r="AP730" s="92">
        <f>H730*(1-0)</f>
        <v>0</v>
      </c>
      <c r="AQ730" s="55" t="s">
        <v>1287</v>
      </c>
      <c r="AV730" s="14">
        <f>AW730+AX730</f>
        <v>0</v>
      </c>
      <c r="AW730" s="14">
        <f>G730*AO730</f>
        <v>0</v>
      </c>
      <c r="AX730" s="14">
        <f>G730*AP730</f>
        <v>0</v>
      </c>
      <c r="AY730" s="55" t="s">
        <v>1931</v>
      </c>
      <c r="AZ730" s="55" t="s">
        <v>312</v>
      </c>
      <c r="BA730" s="15" t="s">
        <v>1843</v>
      </c>
      <c r="BC730" s="14">
        <f>AW730+AX730</f>
        <v>0</v>
      </c>
      <c r="BD730" s="14">
        <f>H730/(100-BE730)*100</f>
        <v>0</v>
      </c>
      <c r="BE730" s="14">
        <v>0</v>
      </c>
      <c r="BF730" s="14">
        <f>O730</f>
        <v>0</v>
      </c>
      <c r="BH730" s="14">
        <f>G730*AO730</f>
        <v>0</v>
      </c>
      <c r="BI730" s="14">
        <f>G730*AP730</f>
        <v>0</v>
      </c>
      <c r="BJ730" s="14">
        <f>G730*H730</f>
        <v>0</v>
      </c>
      <c r="BK730" s="14"/>
      <c r="BL730" s="14"/>
      <c r="BW730" s="14" t="str">
        <f>I730</f>
        <v>21</v>
      </c>
    </row>
    <row r="731" spans="1:75" ht="15" customHeight="1">
      <c r="A731" s="32"/>
      <c r="D731" s="3" t="s">
        <v>1674</v>
      </c>
      <c r="E731" s="28" t="s">
        <v>1683</v>
      </c>
      <c r="G731" s="27">
        <v>1.86</v>
      </c>
      <c r="P731" s="33"/>
    </row>
    <row r="732" spans="1:75" ht="15" customHeight="1">
      <c r="A732" s="65" t="s">
        <v>1683</v>
      </c>
      <c r="B732" s="26" t="s">
        <v>1842</v>
      </c>
      <c r="C732" s="26" t="s">
        <v>804</v>
      </c>
      <c r="D732" s="649" t="s">
        <v>1036</v>
      </c>
      <c r="E732" s="650"/>
      <c r="F732" s="74" t="s">
        <v>2262</v>
      </c>
      <c r="G732" s="74" t="s">
        <v>2262</v>
      </c>
      <c r="H732" s="74" t="s">
        <v>2262</v>
      </c>
      <c r="I732" s="74" t="s">
        <v>2262</v>
      </c>
      <c r="J732" s="2">
        <f>SUM(J733:J739)</f>
        <v>0</v>
      </c>
      <c r="K732" s="2">
        <f>SUM(K733:K739)</f>
        <v>0</v>
      </c>
      <c r="L732" s="2">
        <f>SUM(L733:L739)</f>
        <v>0</v>
      </c>
      <c r="M732" s="2">
        <f>SUM(M733:M739)</f>
        <v>0</v>
      </c>
      <c r="N732" s="15" t="s">
        <v>1683</v>
      </c>
      <c r="O732" s="2">
        <f>SUM(O733:O739)</f>
        <v>0</v>
      </c>
      <c r="P732" s="47" t="s">
        <v>1683</v>
      </c>
      <c r="AI732" s="15" t="s">
        <v>1842</v>
      </c>
      <c r="AS732" s="2">
        <f>SUM(AJ733:AJ739)</f>
        <v>0</v>
      </c>
      <c r="AT732" s="2">
        <f>SUM(AK733:AK739)</f>
        <v>0</v>
      </c>
      <c r="AU732" s="2">
        <f>SUM(AL733:AL739)</f>
        <v>0</v>
      </c>
    </row>
    <row r="733" spans="1:75" ht="13.5" customHeight="1">
      <c r="A733" s="21" t="s">
        <v>2087</v>
      </c>
      <c r="B733" s="37" t="s">
        <v>1842</v>
      </c>
      <c r="C733" s="37" t="s">
        <v>2479</v>
      </c>
      <c r="D733" s="578" t="s">
        <v>634</v>
      </c>
      <c r="E733" s="579"/>
      <c r="F733" s="37" t="s">
        <v>1130</v>
      </c>
      <c r="G733" s="14">
        <v>14.5</v>
      </c>
      <c r="H733" s="569"/>
      <c r="I733" s="55" t="s">
        <v>1720</v>
      </c>
      <c r="J733" s="14">
        <f>G733*AO733</f>
        <v>0</v>
      </c>
      <c r="K733" s="14">
        <f>G733*AP733</f>
        <v>0</v>
      </c>
      <c r="L733" s="14">
        <f>G733*H733</f>
        <v>0</v>
      </c>
      <c r="M733" s="14">
        <f>L733*(1+BW733/100)</f>
        <v>0</v>
      </c>
      <c r="N733" s="14">
        <v>0</v>
      </c>
      <c r="O733" s="14">
        <f>G733*N733</f>
        <v>0</v>
      </c>
      <c r="P733" s="72" t="s">
        <v>1664</v>
      </c>
      <c r="Z733" s="14">
        <f>IF(AQ733="5",BJ733,0)</f>
        <v>0</v>
      </c>
      <c r="AB733" s="14">
        <f>IF(AQ733="1",BH733,0)</f>
        <v>0</v>
      </c>
      <c r="AC733" s="14">
        <f>IF(AQ733="1",BI733,0)</f>
        <v>0</v>
      </c>
      <c r="AD733" s="14">
        <f>IF(AQ733="7",BH733,0)</f>
        <v>0</v>
      </c>
      <c r="AE733" s="14">
        <f>IF(AQ733="7",BI733,0)</f>
        <v>0</v>
      </c>
      <c r="AF733" s="14">
        <f>IF(AQ733="2",BH733,0)</f>
        <v>0</v>
      </c>
      <c r="AG733" s="14">
        <f>IF(AQ733="2",BI733,0)</f>
        <v>0</v>
      </c>
      <c r="AH733" s="14">
        <f>IF(AQ733="0",BJ733,0)</f>
        <v>0</v>
      </c>
      <c r="AI733" s="15" t="s">
        <v>1842</v>
      </c>
      <c r="AJ733" s="14">
        <f>IF(AN733=0,L733,0)</f>
        <v>0</v>
      </c>
      <c r="AK733" s="14">
        <f>IF(AN733=15,L733,0)</f>
        <v>0</v>
      </c>
      <c r="AL733" s="14">
        <f>IF(AN733=21,L733,0)</f>
        <v>0</v>
      </c>
      <c r="AN733" s="14">
        <v>21</v>
      </c>
      <c r="AO733" s="92">
        <f>H733*0</f>
        <v>0</v>
      </c>
      <c r="AP733" s="92">
        <f>H733*(1-0)</f>
        <v>0</v>
      </c>
      <c r="AQ733" s="55" t="s">
        <v>1287</v>
      </c>
      <c r="AV733" s="14">
        <f>AW733+AX733</f>
        <v>0</v>
      </c>
      <c r="AW733" s="14">
        <f>G733*AO733</f>
        <v>0</v>
      </c>
      <c r="AX733" s="14">
        <f>G733*AP733</f>
        <v>0</v>
      </c>
      <c r="AY733" s="55" t="s">
        <v>992</v>
      </c>
      <c r="AZ733" s="55" t="s">
        <v>312</v>
      </c>
      <c r="BA733" s="15" t="s">
        <v>1843</v>
      </c>
      <c r="BC733" s="14">
        <f>AW733+AX733</f>
        <v>0</v>
      </c>
      <c r="BD733" s="14">
        <f>H733/(100-BE733)*100</f>
        <v>0</v>
      </c>
      <c r="BE733" s="14">
        <v>0</v>
      </c>
      <c r="BF733" s="14">
        <f>O733</f>
        <v>0</v>
      </c>
      <c r="BH733" s="14">
        <f>G733*AO733</f>
        <v>0</v>
      </c>
      <c r="BI733" s="14">
        <f>G733*AP733</f>
        <v>0</v>
      </c>
      <c r="BJ733" s="14">
        <f>G733*H733</f>
        <v>0</v>
      </c>
      <c r="BK733" s="14"/>
      <c r="BL733" s="14"/>
      <c r="BW733" s="14" t="str">
        <f>I733</f>
        <v>21</v>
      </c>
    </row>
    <row r="734" spans="1:75" ht="15" customHeight="1">
      <c r="A734" s="32"/>
      <c r="D734" s="3" t="s">
        <v>61</v>
      </c>
      <c r="E734" s="28" t="s">
        <v>1683</v>
      </c>
      <c r="G734" s="27">
        <v>14.500000000000002</v>
      </c>
      <c r="P734" s="33"/>
    </row>
    <row r="735" spans="1:75" ht="13.5" customHeight="1">
      <c r="A735" s="21" t="s">
        <v>663</v>
      </c>
      <c r="B735" s="37" t="s">
        <v>1842</v>
      </c>
      <c r="C735" s="37" t="s">
        <v>662</v>
      </c>
      <c r="D735" s="578" t="s">
        <v>1805</v>
      </c>
      <c r="E735" s="579"/>
      <c r="F735" s="37" t="s">
        <v>1130</v>
      </c>
      <c r="G735" s="14">
        <v>14.5</v>
      </c>
      <c r="H735" s="569"/>
      <c r="I735" s="55" t="s">
        <v>1720</v>
      </c>
      <c r="J735" s="14">
        <f>G735*AO735</f>
        <v>0</v>
      </c>
      <c r="K735" s="14">
        <f>G735*AP735</f>
        <v>0</v>
      </c>
      <c r="L735" s="14">
        <f>G735*H735</f>
        <v>0</v>
      </c>
      <c r="M735" s="14">
        <f>L735*(1+BW735/100)</f>
        <v>0</v>
      </c>
      <c r="N735" s="14">
        <v>0</v>
      </c>
      <c r="O735" s="14">
        <f>G735*N735</f>
        <v>0</v>
      </c>
      <c r="P735" s="72" t="s">
        <v>1664</v>
      </c>
      <c r="Z735" s="14">
        <f>IF(AQ735="5",BJ735,0)</f>
        <v>0</v>
      </c>
      <c r="AB735" s="14">
        <f>IF(AQ735="1",BH735,0)</f>
        <v>0</v>
      </c>
      <c r="AC735" s="14">
        <f>IF(AQ735="1",BI735,0)</f>
        <v>0</v>
      </c>
      <c r="AD735" s="14">
        <f>IF(AQ735="7",BH735,0)</f>
        <v>0</v>
      </c>
      <c r="AE735" s="14">
        <f>IF(AQ735="7",BI735,0)</f>
        <v>0</v>
      </c>
      <c r="AF735" s="14">
        <f>IF(AQ735="2",BH735,0)</f>
        <v>0</v>
      </c>
      <c r="AG735" s="14">
        <f>IF(AQ735="2",BI735,0)</f>
        <v>0</v>
      </c>
      <c r="AH735" s="14">
        <f>IF(AQ735="0",BJ735,0)</f>
        <v>0</v>
      </c>
      <c r="AI735" s="15" t="s">
        <v>1842</v>
      </c>
      <c r="AJ735" s="14">
        <f>IF(AN735=0,L735,0)</f>
        <v>0</v>
      </c>
      <c r="AK735" s="14">
        <f>IF(AN735=15,L735,0)</f>
        <v>0</v>
      </c>
      <c r="AL735" s="14">
        <f>IF(AN735=21,L735,0)</f>
        <v>0</v>
      </c>
      <c r="AN735" s="14">
        <v>21</v>
      </c>
      <c r="AO735" s="92">
        <f>H735*0</f>
        <v>0</v>
      </c>
      <c r="AP735" s="92">
        <f>H735*(1-0)</f>
        <v>0</v>
      </c>
      <c r="AQ735" s="55" t="s">
        <v>1287</v>
      </c>
      <c r="AV735" s="14">
        <f>AW735+AX735</f>
        <v>0</v>
      </c>
      <c r="AW735" s="14">
        <f>G735*AO735</f>
        <v>0</v>
      </c>
      <c r="AX735" s="14">
        <f>G735*AP735</f>
        <v>0</v>
      </c>
      <c r="AY735" s="55" t="s">
        <v>992</v>
      </c>
      <c r="AZ735" s="55" t="s">
        <v>312</v>
      </c>
      <c r="BA735" s="15" t="s">
        <v>1843</v>
      </c>
      <c r="BC735" s="14">
        <f>AW735+AX735</f>
        <v>0</v>
      </c>
      <c r="BD735" s="14">
        <f>H735/(100-BE735)*100</f>
        <v>0</v>
      </c>
      <c r="BE735" s="14">
        <v>0</v>
      </c>
      <c r="BF735" s="14">
        <f>O735</f>
        <v>0</v>
      </c>
      <c r="BH735" s="14">
        <f>G735*AO735</f>
        <v>0</v>
      </c>
      <c r="BI735" s="14">
        <f>G735*AP735</f>
        <v>0</v>
      </c>
      <c r="BJ735" s="14">
        <f>G735*H735</f>
        <v>0</v>
      </c>
      <c r="BK735" s="14"/>
      <c r="BL735" s="14"/>
      <c r="BW735" s="14" t="str">
        <f>I735</f>
        <v>21</v>
      </c>
    </row>
    <row r="736" spans="1:75" ht="15" customHeight="1">
      <c r="A736" s="32"/>
      <c r="D736" s="3" t="s">
        <v>61</v>
      </c>
      <c r="E736" s="28" t="s">
        <v>1240</v>
      </c>
      <c r="G736" s="27">
        <v>14.500000000000002</v>
      </c>
      <c r="P736" s="33"/>
    </row>
    <row r="737" spans="1:75" ht="13.5" customHeight="1">
      <c r="A737" s="21" t="s">
        <v>1126</v>
      </c>
      <c r="B737" s="37" t="s">
        <v>1842</v>
      </c>
      <c r="C737" s="37" t="s">
        <v>359</v>
      </c>
      <c r="D737" s="578" t="s">
        <v>1070</v>
      </c>
      <c r="E737" s="579"/>
      <c r="F737" s="37" t="s">
        <v>1130</v>
      </c>
      <c r="G737" s="14">
        <v>217.5</v>
      </c>
      <c r="H737" s="569"/>
      <c r="I737" s="55" t="s">
        <v>1720</v>
      </c>
      <c r="J737" s="14">
        <f>G737*AO737</f>
        <v>0</v>
      </c>
      <c r="K737" s="14">
        <f>G737*AP737</f>
        <v>0</v>
      </c>
      <c r="L737" s="14">
        <f>G737*H737</f>
        <v>0</v>
      </c>
      <c r="M737" s="14">
        <f>L737*(1+BW737/100)</f>
        <v>0</v>
      </c>
      <c r="N737" s="14">
        <v>0</v>
      </c>
      <c r="O737" s="14">
        <f>G737*N737</f>
        <v>0</v>
      </c>
      <c r="P737" s="72" t="s">
        <v>1664</v>
      </c>
      <c r="Z737" s="14">
        <f>IF(AQ737="5",BJ737,0)</f>
        <v>0</v>
      </c>
      <c r="AB737" s="14">
        <f>IF(AQ737="1",BH737,0)</f>
        <v>0</v>
      </c>
      <c r="AC737" s="14">
        <f>IF(AQ737="1",BI737,0)</f>
        <v>0</v>
      </c>
      <c r="AD737" s="14">
        <f>IF(AQ737="7",BH737,0)</f>
        <v>0</v>
      </c>
      <c r="AE737" s="14">
        <f>IF(AQ737="7",BI737,0)</f>
        <v>0</v>
      </c>
      <c r="AF737" s="14">
        <f>IF(AQ737="2",BH737,0)</f>
        <v>0</v>
      </c>
      <c r="AG737" s="14">
        <f>IF(AQ737="2",BI737,0)</f>
        <v>0</v>
      </c>
      <c r="AH737" s="14">
        <f>IF(AQ737="0",BJ737,0)</f>
        <v>0</v>
      </c>
      <c r="AI737" s="15" t="s">
        <v>1842</v>
      </c>
      <c r="AJ737" s="14">
        <f>IF(AN737=0,L737,0)</f>
        <v>0</v>
      </c>
      <c r="AK737" s="14">
        <f>IF(AN737=15,L737,0)</f>
        <v>0</v>
      </c>
      <c r="AL737" s="14">
        <f>IF(AN737=21,L737,0)</f>
        <v>0</v>
      </c>
      <c r="AN737" s="14">
        <v>21</v>
      </c>
      <c r="AO737" s="92">
        <f>H737*0</f>
        <v>0</v>
      </c>
      <c r="AP737" s="92">
        <f>H737*(1-0)</f>
        <v>0</v>
      </c>
      <c r="AQ737" s="55" t="s">
        <v>1287</v>
      </c>
      <c r="AV737" s="14">
        <f>AW737+AX737</f>
        <v>0</v>
      </c>
      <c r="AW737" s="14">
        <f>G737*AO737</f>
        <v>0</v>
      </c>
      <c r="AX737" s="14">
        <f>G737*AP737</f>
        <v>0</v>
      </c>
      <c r="AY737" s="55" t="s">
        <v>992</v>
      </c>
      <c r="AZ737" s="55" t="s">
        <v>312</v>
      </c>
      <c r="BA737" s="15" t="s">
        <v>1843</v>
      </c>
      <c r="BC737" s="14">
        <f>AW737+AX737</f>
        <v>0</v>
      </c>
      <c r="BD737" s="14">
        <f>H737/(100-BE737)*100</f>
        <v>0</v>
      </c>
      <c r="BE737" s="14">
        <v>0</v>
      </c>
      <c r="BF737" s="14">
        <f>O737</f>
        <v>0</v>
      </c>
      <c r="BH737" s="14">
        <f>G737*AO737</f>
        <v>0</v>
      </c>
      <c r="BI737" s="14">
        <f>G737*AP737</f>
        <v>0</v>
      </c>
      <c r="BJ737" s="14">
        <f>G737*H737</f>
        <v>0</v>
      </c>
      <c r="BK737" s="14"/>
      <c r="BL737" s="14"/>
      <c r="BW737" s="14" t="str">
        <f>I737</f>
        <v>21</v>
      </c>
    </row>
    <row r="738" spans="1:75" ht="15" customHeight="1">
      <c r="A738" s="32"/>
      <c r="D738" s="3" t="s">
        <v>1954</v>
      </c>
      <c r="E738" s="28" t="s">
        <v>1683</v>
      </c>
      <c r="G738" s="27">
        <v>217.50000000000003</v>
      </c>
      <c r="P738" s="33"/>
    </row>
    <row r="739" spans="1:75" ht="27" customHeight="1">
      <c r="A739" s="21" t="s">
        <v>42</v>
      </c>
      <c r="B739" s="37" t="s">
        <v>1842</v>
      </c>
      <c r="C739" s="37" t="s">
        <v>825</v>
      </c>
      <c r="D739" s="578" t="s">
        <v>1964</v>
      </c>
      <c r="E739" s="579"/>
      <c r="F739" s="37" t="s">
        <v>1130</v>
      </c>
      <c r="G739" s="14">
        <v>14.5</v>
      </c>
      <c r="H739" s="569"/>
      <c r="I739" s="55" t="s">
        <v>1720</v>
      </c>
      <c r="J739" s="14">
        <f>G739*AO739</f>
        <v>0</v>
      </c>
      <c r="K739" s="14">
        <f>G739*AP739</f>
        <v>0</v>
      </c>
      <c r="L739" s="14">
        <f>G739*H739</f>
        <v>0</v>
      </c>
      <c r="M739" s="14">
        <f>L739*(1+BW739/100)</f>
        <v>0</v>
      </c>
      <c r="N739" s="14">
        <v>0</v>
      </c>
      <c r="O739" s="14">
        <f>G739*N739</f>
        <v>0</v>
      </c>
      <c r="P739" s="72" t="s">
        <v>1664</v>
      </c>
      <c r="Z739" s="14">
        <f>IF(AQ739="5",BJ739,0)</f>
        <v>0</v>
      </c>
      <c r="AB739" s="14">
        <f>IF(AQ739="1",BH739,0)</f>
        <v>0</v>
      </c>
      <c r="AC739" s="14">
        <f>IF(AQ739="1",BI739,0)</f>
        <v>0</v>
      </c>
      <c r="AD739" s="14">
        <f>IF(AQ739="7",BH739,0)</f>
        <v>0</v>
      </c>
      <c r="AE739" s="14">
        <f>IF(AQ739="7",BI739,0)</f>
        <v>0</v>
      </c>
      <c r="AF739" s="14">
        <f>IF(AQ739="2",BH739,0)</f>
        <v>0</v>
      </c>
      <c r="AG739" s="14">
        <f>IF(AQ739="2",BI739,0)</f>
        <v>0</v>
      </c>
      <c r="AH739" s="14">
        <f>IF(AQ739="0",BJ739,0)</f>
        <v>0</v>
      </c>
      <c r="AI739" s="15" t="s">
        <v>1842</v>
      </c>
      <c r="AJ739" s="14">
        <f>IF(AN739=0,L739,0)</f>
        <v>0</v>
      </c>
      <c r="AK739" s="14">
        <f>IF(AN739=15,L739,0)</f>
        <v>0</v>
      </c>
      <c r="AL739" s="14">
        <f>IF(AN739=21,L739,0)</f>
        <v>0</v>
      </c>
      <c r="AN739" s="14">
        <v>21</v>
      </c>
      <c r="AO739" s="92">
        <f>H739*0</f>
        <v>0</v>
      </c>
      <c r="AP739" s="92">
        <f>H739*(1-0)</f>
        <v>0</v>
      </c>
      <c r="AQ739" s="55" t="s">
        <v>1287</v>
      </c>
      <c r="AV739" s="14">
        <f>AW739+AX739</f>
        <v>0</v>
      </c>
      <c r="AW739" s="14">
        <f>G739*AO739</f>
        <v>0</v>
      </c>
      <c r="AX739" s="14">
        <f>G739*AP739</f>
        <v>0</v>
      </c>
      <c r="AY739" s="55" t="s">
        <v>992</v>
      </c>
      <c r="AZ739" s="55" t="s">
        <v>312</v>
      </c>
      <c r="BA739" s="15" t="s">
        <v>1843</v>
      </c>
      <c r="BC739" s="14">
        <f>AW739+AX739</f>
        <v>0</v>
      </c>
      <c r="BD739" s="14">
        <f>H739/(100-BE739)*100</f>
        <v>0</v>
      </c>
      <c r="BE739" s="14">
        <v>0</v>
      </c>
      <c r="BF739" s="14">
        <f>O739</f>
        <v>0</v>
      </c>
      <c r="BH739" s="14">
        <f>G739*AO739</f>
        <v>0</v>
      </c>
      <c r="BI739" s="14">
        <f>G739*AP739</f>
        <v>0</v>
      </c>
      <c r="BJ739" s="14">
        <f>G739*H739</f>
        <v>0</v>
      </c>
      <c r="BK739" s="14"/>
      <c r="BL739" s="14"/>
      <c r="BW739" s="14" t="str">
        <f>I739</f>
        <v>21</v>
      </c>
    </row>
    <row r="740" spans="1:75" ht="15" customHeight="1">
      <c r="A740" s="32"/>
      <c r="D740" s="3" t="s">
        <v>61</v>
      </c>
      <c r="E740" s="28" t="s">
        <v>1683</v>
      </c>
      <c r="G740" s="27">
        <v>14.500000000000002</v>
      </c>
      <c r="P740" s="33"/>
    </row>
    <row r="741" spans="1:75" ht="15" customHeight="1">
      <c r="A741" s="70" t="s">
        <v>1683</v>
      </c>
      <c r="B741" s="40" t="s">
        <v>557</v>
      </c>
      <c r="C741" s="40" t="s">
        <v>1683</v>
      </c>
      <c r="D741" s="647" t="s">
        <v>2002</v>
      </c>
      <c r="E741" s="648"/>
      <c r="F741" s="22" t="s">
        <v>2262</v>
      </c>
      <c r="G741" s="22" t="s">
        <v>2262</v>
      </c>
      <c r="H741" s="22" t="s">
        <v>2262</v>
      </c>
      <c r="I741" s="22" t="s">
        <v>2262</v>
      </c>
      <c r="J741" s="89">
        <f>J742+J756+J765+J777+J787+J790+J804+J812+J829+J843+J862+J941+J960+J1005+J1028+J1047+J1053+J1066+J1071+J1080+J1085+J1088+J1091+J1094+J1097+J1100+J1103+J1106</f>
        <v>0</v>
      </c>
      <c r="K741" s="89">
        <f>K742+K756+K765+K777+K787+K790+K804+K812+K829+K843+K862+K941+K960+K1005+K1028+K1047+K1053+K1066+K1071+K1080+K1085+K1088+K1091+K1094+K1097+K1100+K1103+K1106</f>
        <v>0</v>
      </c>
      <c r="L741" s="89">
        <f>L742+L756+L765+L777+L787+L790+L804+L812+L829+L843+L862+L941+L960+L1005+L1028+L1047+L1053+L1066+L1071+L1080+L1085+L1088+L1091+L1094+L1097+L1100+L1103+L1106</f>
        <v>0</v>
      </c>
      <c r="M741" s="89">
        <f>M742+M756+M765+M777+M787+M790+M804+M812+M829+M843+M862+M941+M960+M1005+M1028+M1047+M1053+M1066+M1071+M1080+M1085+M1088+M1091+M1094+M1097+M1100+M1103+M1106</f>
        <v>0</v>
      </c>
      <c r="N741" s="61" t="s">
        <v>1683</v>
      </c>
      <c r="O741" s="89">
        <f>O742+O756+O765+O777+O787+O790+O804+O812+O829+O843+O862+O941+O960+O1005+O1028+O1047+O1053+O1066+O1071+O1080+O1085+O1088+O1091+O1094+O1097+O1100+O1103+O1106</f>
        <v>275.08404540000004</v>
      </c>
      <c r="P741" s="1" t="s">
        <v>1683</v>
      </c>
    </row>
    <row r="742" spans="1:75" ht="15" customHeight="1">
      <c r="A742" s="65" t="s">
        <v>1683</v>
      </c>
      <c r="B742" s="26" t="s">
        <v>557</v>
      </c>
      <c r="C742" s="26" t="s">
        <v>1940</v>
      </c>
      <c r="D742" s="649" t="s">
        <v>2469</v>
      </c>
      <c r="E742" s="650"/>
      <c r="F742" s="74" t="s">
        <v>2262</v>
      </c>
      <c r="G742" s="74" t="s">
        <v>2262</v>
      </c>
      <c r="H742" s="74" t="s">
        <v>2262</v>
      </c>
      <c r="I742" s="74" t="s">
        <v>2262</v>
      </c>
      <c r="J742" s="2">
        <f>SUM(J743:J753)</f>
        <v>0</v>
      </c>
      <c r="K742" s="2">
        <f>SUM(K743:K753)</f>
        <v>0</v>
      </c>
      <c r="L742" s="2">
        <f>SUM(L743:L753)</f>
        <v>0</v>
      </c>
      <c r="M742" s="2">
        <f>SUM(M743:M753)</f>
        <v>0</v>
      </c>
      <c r="N742" s="15" t="s">
        <v>1683</v>
      </c>
      <c r="O742" s="2">
        <f>SUM(O743:O753)</f>
        <v>74.861159999999998</v>
      </c>
      <c r="P742" s="47" t="s">
        <v>1683</v>
      </c>
      <c r="AI742" s="15" t="s">
        <v>557</v>
      </c>
      <c r="AS742" s="2">
        <f>SUM(AJ743:AJ753)</f>
        <v>0</v>
      </c>
      <c r="AT742" s="2">
        <f>SUM(AK743:AK753)</f>
        <v>0</v>
      </c>
      <c r="AU742" s="2">
        <f>SUM(AL743:AL753)</f>
        <v>0</v>
      </c>
    </row>
    <row r="743" spans="1:75" ht="13.5" customHeight="1">
      <c r="A743" s="21" t="s">
        <v>1432</v>
      </c>
      <c r="B743" s="37" t="s">
        <v>557</v>
      </c>
      <c r="C743" s="37" t="s">
        <v>1442</v>
      </c>
      <c r="D743" s="578" t="s">
        <v>1690</v>
      </c>
      <c r="E743" s="579"/>
      <c r="F743" s="37" t="s">
        <v>2398</v>
      </c>
      <c r="G743" s="14">
        <v>162</v>
      </c>
      <c r="H743" s="569"/>
      <c r="I743" s="55" t="s">
        <v>1720</v>
      </c>
      <c r="J743" s="14">
        <f>G743*AO743</f>
        <v>0</v>
      </c>
      <c r="K743" s="14">
        <f>G743*AP743</f>
        <v>0</v>
      </c>
      <c r="L743" s="14">
        <f>G743*H743</f>
        <v>0</v>
      </c>
      <c r="M743" s="14">
        <f>L743*(1+BW743/100)</f>
        <v>0</v>
      </c>
      <c r="N743" s="14">
        <v>0.37018000000000001</v>
      </c>
      <c r="O743" s="14">
        <f>G743*N743</f>
        <v>59.969160000000002</v>
      </c>
      <c r="P743" s="72" t="s">
        <v>1664</v>
      </c>
      <c r="Z743" s="14">
        <f>IF(AQ743="5",BJ743,0)</f>
        <v>0</v>
      </c>
      <c r="AB743" s="14">
        <f>IF(AQ743="1",BH743,0)</f>
        <v>0</v>
      </c>
      <c r="AC743" s="14">
        <f>IF(AQ743="1",BI743,0)</f>
        <v>0</v>
      </c>
      <c r="AD743" s="14">
        <f>IF(AQ743="7",BH743,0)</f>
        <v>0</v>
      </c>
      <c r="AE743" s="14">
        <f>IF(AQ743="7",BI743,0)</f>
        <v>0</v>
      </c>
      <c r="AF743" s="14">
        <f>IF(AQ743="2",BH743,0)</f>
        <v>0</v>
      </c>
      <c r="AG743" s="14">
        <f>IF(AQ743="2",BI743,0)</f>
        <v>0</v>
      </c>
      <c r="AH743" s="14">
        <f>IF(AQ743="0",BJ743,0)</f>
        <v>0</v>
      </c>
      <c r="AI743" s="15" t="s">
        <v>557</v>
      </c>
      <c r="AJ743" s="14">
        <f>IF(AN743=0,L743,0)</f>
        <v>0</v>
      </c>
      <c r="AK743" s="14">
        <f>IF(AN743=15,L743,0)</f>
        <v>0</v>
      </c>
      <c r="AL743" s="14">
        <f>IF(AN743=21,L743,0)</f>
        <v>0</v>
      </c>
      <c r="AN743" s="14">
        <v>21</v>
      </c>
      <c r="AO743" s="92">
        <f>H743*0.160418060200669</f>
        <v>0</v>
      </c>
      <c r="AP743" s="92">
        <f>H743*(1-0.160418060200669)</f>
        <v>0</v>
      </c>
      <c r="AQ743" s="55" t="s">
        <v>2422</v>
      </c>
      <c r="AV743" s="14">
        <f>AW743+AX743</f>
        <v>0</v>
      </c>
      <c r="AW743" s="14">
        <f>G743*AO743</f>
        <v>0</v>
      </c>
      <c r="AX743" s="14">
        <f>G743*AP743</f>
        <v>0</v>
      </c>
      <c r="AY743" s="55" t="s">
        <v>1194</v>
      </c>
      <c r="AZ743" s="55" t="s">
        <v>1247</v>
      </c>
      <c r="BA743" s="15" t="s">
        <v>1982</v>
      </c>
      <c r="BC743" s="14">
        <f>AW743+AX743</f>
        <v>0</v>
      </c>
      <c r="BD743" s="14">
        <f>H743/(100-BE743)*100</f>
        <v>0</v>
      </c>
      <c r="BE743" s="14">
        <v>0</v>
      </c>
      <c r="BF743" s="14">
        <f>O743</f>
        <v>59.969160000000002</v>
      </c>
      <c r="BH743" s="14">
        <f>G743*AO743</f>
        <v>0</v>
      </c>
      <c r="BI743" s="14">
        <f>G743*AP743</f>
        <v>0</v>
      </c>
      <c r="BJ743" s="14">
        <f>G743*H743</f>
        <v>0</v>
      </c>
      <c r="BK743" s="14"/>
      <c r="BL743" s="14">
        <v>18</v>
      </c>
      <c r="BW743" s="14" t="str">
        <f>I743</f>
        <v>21</v>
      </c>
    </row>
    <row r="744" spans="1:75" ht="15" customHeight="1">
      <c r="A744" s="32"/>
      <c r="D744" s="3" t="s">
        <v>2458</v>
      </c>
      <c r="E744" s="28" t="s">
        <v>1683</v>
      </c>
      <c r="G744" s="27">
        <v>162</v>
      </c>
      <c r="P744" s="33"/>
    </row>
    <row r="745" spans="1:75" ht="13.5" customHeight="1">
      <c r="A745" s="20" t="s">
        <v>2225</v>
      </c>
      <c r="B745" s="84" t="s">
        <v>557</v>
      </c>
      <c r="C745" s="84" t="s">
        <v>197</v>
      </c>
      <c r="D745" s="653" t="s">
        <v>2464</v>
      </c>
      <c r="E745" s="654"/>
      <c r="F745" s="84" t="s">
        <v>2359</v>
      </c>
      <c r="G745" s="6">
        <v>24.3</v>
      </c>
      <c r="H745" s="570"/>
      <c r="I745" s="18" t="s">
        <v>1720</v>
      </c>
      <c r="J745" s="6">
        <f>G745*AO745</f>
        <v>0</v>
      </c>
      <c r="K745" s="6">
        <f>G745*AP745</f>
        <v>0</v>
      </c>
      <c r="L745" s="6">
        <f>G745*H745</f>
        <v>0</v>
      </c>
      <c r="M745" s="6">
        <f>L745*(1+BW745/100)</f>
        <v>0</v>
      </c>
      <c r="N745" s="6">
        <v>0.6</v>
      </c>
      <c r="O745" s="6">
        <f>G745*N745</f>
        <v>14.58</v>
      </c>
      <c r="P745" s="109" t="s">
        <v>1664</v>
      </c>
      <c r="Z745" s="14">
        <f>IF(AQ745="5",BJ745,0)</f>
        <v>0</v>
      </c>
      <c r="AB745" s="14">
        <f>IF(AQ745="1",BH745,0)</f>
        <v>0</v>
      </c>
      <c r="AC745" s="14">
        <f>IF(AQ745="1",BI745,0)</f>
        <v>0</v>
      </c>
      <c r="AD745" s="14">
        <f>IF(AQ745="7",BH745,0)</f>
        <v>0</v>
      </c>
      <c r="AE745" s="14">
        <f>IF(AQ745="7",BI745,0)</f>
        <v>0</v>
      </c>
      <c r="AF745" s="14">
        <f>IF(AQ745="2",BH745,0)</f>
        <v>0</v>
      </c>
      <c r="AG745" s="14">
        <f>IF(AQ745="2",BI745,0)</f>
        <v>0</v>
      </c>
      <c r="AH745" s="14">
        <f>IF(AQ745="0",BJ745,0)</f>
        <v>0</v>
      </c>
      <c r="AI745" s="15" t="s">
        <v>557</v>
      </c>
      <c r="AJ745" s="6">
        <f>IF(AN745=0,L745,0)</f>
        <v>0</v>
      </c>
      <c r="AK745" s="6">
        <f>IF(AN745=15,L745,0)</f>
        <v>0</v>
      </c>
      <c r="AL745" s="6">
        <f>IF(AN745=21,L745,0)</f>
        <v>0</v>
      </c>
      <c r="AN745" s="14">
        <v>21</v>
      </c>
      <c r="AO745" s="92">
        <f>H745*1</f>
        <v>0</v>
      </c>
      <c r="AP745" s="92">
        <f>H745*(1-1)</f>
        <v>0</v>
      </c>
      <c r="AQ745" s="18" t="s">
        <v>2422</v>
      </c>
      <c r="AV745" s="14">
        <f>AW745+AX745</f>
        <v>0</v>
      </c>
      <c r="AW745" s="14">
        <f>G745*AO745</f>
        <v>0</v>
      </c>
      <c r="AX745" s="14">
        <f>G745*AP745</f>
        <v>0</v>
      </c>
      <c r="AY745" s="55" t="s">
        <v>1194</v>
      </c>
      <c r="AZ745" s="55" t="s">
        <v>1247</v>
      </c>
      <c r="BA745" s="15" t="s">
        <v>1982</v>
      </c>
      <c r="BC745" s="14">
        <f>AW745+AX745</f>
        <v>0</v>
      </c>
      <c r="BD745" s="14">
        <f>H745/(100-BE745)*100</f>
        <v>0</v>
      </c>
      <c r="BE745" s="14">
        <v>0</v>
      </c>
      <c r="BF745" s="14">
        <f>O745</f>
        <v>14.58</v>
      </c>
      <c r="BH745" s="6">
        <f>G745*AO745</f>
        <v>0</v>
      </c>
      <c r="BI745" s="6">
        <f>G745*AP745</f>
        <v>0</v>
      </c>
      <c r="BJ745" s="6">
        <f>G745*H745</f>
        <v>0</v>
      </c>
      <c r="BK745" s="6"/>
      <c r="BL745" s="14">
        <v>18</v>
      </c>
      <c r="BW745" s="14" t="str">
        <f>I745</f>
        <v>21</v>
      </c>
    </row>
    <row r="746" spans="1:75" ht="15" customHeight="1">
      <c r="A746" s="32"/>
      <c r="D746" s="3" t="s">
        <v>920</v>
      </c>
      <c r="E746" s="28" t="s">
        <v>1683</v>
      </c>
      <c r="G746" s="27">
        <v>24.3</v>
      </c>
      <c r="P746" s="33"/>
    </row>
    <row r="747" spans="1:75" ht="13.5" customHeight="1">
      <c r="A747" s="20" t="s">
        <v>1262</v>
      </c>
      <c r="B747" s="84" t="s">
        <v>557</v>
      </c>
      <c r="C747" s="84" t="s">
        <v>2401</v>
      </c>
      <c r="D747" s="653" t="s">
        <v>2185</v>
      </c>
      <c r="E747" s="654"/>
      <c r="F747" s="84" t="s">
        <v>2398</v>
      </c>
      <c r="G747" s="6">
        <v>252</v>
      </c>
      <c r="H747" s="570"/>
      <c r="I747" s="18" t="s">
        <v>1720</v>
      </c>
      <c r="J747" s="6">
        <f>G747*AO747</f>
        <v>0</v>
      </c>
      <c r="K747" s="6">
        <f>G747*AP747</f>
        <v>0</v>
      </c>
      <c r="L747" s="6">
        <f>G747*H747</f>
        <v>0</v>
      </c>
      <c r="M747" s="6">
        <f>L747*(1+BW747/100)</f>
        <v>0</v>
      </c>
      <c r="N747" s="6">
        <v>1E-3</v>
      </c>
      <c r="O747" s="6">
        <f>G747*N747</f>
        <v>0.252</v>
      </c>
      <c r="P747" s="109" t="s">
        <v>1664</v>
      </c>
      <c r="Z747" s="14">
        <f>IF(AQ747="5",BJ747,0)</f>
        <v>0</v>
      </c>
      <c r="AB747" s="14">
        <f>IF(AQ747="1",BH747,0)</f>
        <v>0</v>
      </c>
      <c r="AC747" s="14">
        <f>IF(AQ747="1",BI747,0)</f>
        <v>0</v>
      </c>
      <c r="AD747" s="14">
        <f>IF(AQ747="7",BH747,0)</f>
        <v>0</v>
      </c>
      <c r="AE747" s="14">
        <f>IF(AQ747="7",BI747,0)</f>
        <v>0</v>
      </c>
      <c r="AF747" s="14">
        <f>IF(AQ747="2",BH747,0)</f>
        <v>0</v>
      </c>
      <c r="AG747" s="14">
        <f>IF(AQ747="2",BI747,0)</f>
        <v>0</v>
      </c>
      <c r="AH747" s="14">
        <f>IF(AQ747="0",BJ747,0)</f>
        <v>0</v>
      </c>
      <c r="AI747" s="15" t="s">
        <v>557</v>
      </c>
      <c r="AJ747" s="6">
        <f>IF(AN747=0,L747,0)</f>
        <v>0</v>
      </c>
      <c r="AK747" s="6">
        <f>IF(AN747=15,L747,0)</f>
        <v>0</v>
      </c>
      <c r="AL747" s="6">
        <f>IF(AN747=21,L747,0)</f>
        <v>0</v>
      </c>
      <c r="AN747" s="14">
        <v>21</v>
      </c>
      <c r="AO747" s="92">
        <f>H747*1</f>
        <v>0</v>
      </c>
      <c r="AP747" s="92">
        <f>H747*(1-1)</f>
        <v>0</v>
      </c>
      <c r="AQ747" s="18" t="s">
        <v>2422</v>
      </c>
      <c r="AV747" s="14">
        <f>AW747+AX747</f>
        <v>0</v>
      </c>
      <c r="AW747" s="14">
        <f>G747*AO747</f>
        <v>0</v>
      </c>
      <c r="AX747" s="14">
        <f>G747*AP747</f>
        <v>0</v>
      </c>
      <c r="AY747" s="55" t="s">
        <v>1194</v>
      </c>
      <c r="AZ747" s="55" t="s">
        <v>1247</v>
      </c>
      <c r="BA747" s="15" t="s">
        <v>1982</v>
      </c>
      <c r="BC747" s="14">
        <f>AW747+AX747</f>
        <v>0</v>
      </c>
      <c r="BD747" s="14">
        <f>H747/(100-BE747)*100</f>
        <v>0</v>
      </c>
      <c r="BE747" s="14">
        <v>0</v>
      </c>
      <c r="BF747" s="14">
        <f>O747</f>
        <v>0.252</v>
      </c>
      <c r="BH747" s="6">
        <f>G747*AO747</f>
        <v>0</v>
      </c>
      <c r="BI747" s="6">
        <f>G747*AP747</f>
        <v>0</v>
      </c>
      <c r="BJ747" s="6">
        <f>G747*H747</f>
        <v>0</v>
      </c>
      <c r="BK747" s="6"/>
      <c r="BL747" s="14">
        <v>18</v>
      </c>
      <c r="BW747" s="14" t="str">
        <f>I747</f>
        <v>21</v>
      </c>
    </row>
    <row r="748" spans="1:75" ht="15" customHeight="1">
      <c r="A748" s="32"/>
      <c r="D748" s="3" t="s">
        <v>2602</v>
      </c>
      <c r="E748" s="28" t="s">
        <v>1683</v>
      </c>
      <c r="G748" s="27">
        <v>210.00000000000003</v>
      </c>
      <c r="P748" s="33"/>
    </row>
    <row r="749" spans="1:75" ht="15" customHeight="1">
      <c r="A749" s="32"/>
      <c r="D749" s="3" t="s">
        <v>1455</v>
      </c>
      <c r="E749" s="28" t="s">
        <v>1683</v>
      </c>
      <c r="G749" s="27">
        <v>42</v>
      </c>
      <c r="P749" s="33"/>
    </row>
    <row r="750" spans="1:75" ht="13.5" customHeight="1">
      <c r="A750" s="20" t="s">
        <v>2193</v>
      </c>
      <c r="B750" s="84" t="s">
        <v>557</v>
      </c>
      <c r="C750" s="84" t="s">
        <v>1869</v>
      </c>
      <c r="D750" s="653" t="s">
        <v>853</v>
      </c>
      <c r="E750" s="654"/>
      <c r="F750" s="84" t="s">
        <v>2398</v>
      </c>
      <c r="G750" s="6">
        <v>300</v>
      </c>
      <c r="H750" s="570"/>
      <c r="I750" s="18" t="s">
        <v>1720</v>
      </c>
      <c r="J750" s="6">
        <f>G750*AO750</f>
        <v>0</v>
      </c>
      <c r="K750" s="6">
        <f>G750*AP750</f>
        <v>0</v>
      </c>
      <c r="L750" s="6">
        <f>G750*H750</f>
        <v>0</v>
      </c>
      <c r="M750" s="6">
        <f>L750*(1+BW750/100)</f>
        <v>0</v>
      </c>
      <c r="N750" s="6">
        <v>0</v>
      </c>
      <c r="O750" s="6">
        <f>G750*N750</f>
        <v>0</v>
      </c>
      <c r="P750" s="109" t="s">
        <v>1664</v>
      </c>
      <c r="Z750" s="14">
        <f>IF(AQ750="5",BJ750,0)</f>
        <v>0</v>
      </c>
      <c r="AB750" s="14">
        <f>IF(AQ750="1",BH750,0)</f>
        <v>0</v>
      </c>
      <c r="AC750" s="14">
        <f>IF(AQ750="1",BI750,0)</f>
        <v>0</v>
      </c>
      <c r="AD750" s="14">
        <f>IF(AQ750="7",BH750,0)</f>
        <v>0</v>
      </c>
      <c r="AE750" s="14">
        <f>IF(AQ750="7",BI750,0)</f>
        <v>0</v>
      </c>
      <c r="AF750" s="14">
        <f>IF(AQ750="2",BH750,0)</f>
        <v>0</v>
      </c>
      <c r="AG750" s="14">
        <f>IF(AQ750="2",BI750,0)</f>
        <v>0</v>
      </c>
      <c r="AH750" s="14">
        <f>IF(AQ750="0",BJ750,0)</f>
        <v>0</v>
      </c>
      <c r="AI750" s="15" t="s">
        <v>557</v>
      </c>
      <c r="AJ750" s="6">
        <f>IF(AN750=0,L750,0)</f>
        <v>0</v>
      </c>
      <c r="AK750" s="6">
        <f>IF(AN750=15,L750,0)</f>
        <v>0</v>
      </c>
      <c r="AL750" s="6">
        <f>IF(AN750=21,L750,0)</f>
        <v>0</v>
      </c>
      <c r="AN750" s="14">
        <v>21</v>
      </c>
      <c r="AO750" s="92">
        <f>H750*1</f>
        <v>0</v>
      </c>
      <c r="AP750" s="92">
        <f>H750*(1-1)</f>
        <v>0</v>
      </c>
      <c r="AQ750" s="18" t="s">
        <v>2422</v>
      </c>
      <c r="AV750" s="14">
        <f>AW750+AX750</f>
        <v>0</v>
      </c>
      <c r="AW750" s="14">
        <f>G750*AO750</f>
        <v>0</v>
      </c>
      <c r="AX750" s="14">
        <f>G750*AP750</f>
        <v>0</v>
      </c>
      <c r="AY750" s="55" t="s">
        <v>1194</v>
      </c>
      <c r="AZ750" s="55" t="s">
        <v>1247</v>
      </c>
      <c r="BA750" s="15" t="s">
        <v>1982</v>
      </c>
      <c r="BC750" s="14">
        <f>AW750+AX750</f>
        <v>0</v>
      </c>
      <c r="BD750" s="14">
        <f>H750/(100-BE750)*100</f>
        <v>0</v>
      </c>
      <c r="BE750" s="14">
        <v>0</v>
      </c>
      <c r="BF750" s="14">
        <f>O750</f>
        <v>0</v>
      </c>
      <c r="BH750" s="6">
        <f>G750*AO750</f>
        <v>0</v>
      </c>
      <c r="BI750" s="6">
        <f>G750*AP750</f>
        <v>0</v>
      </c>
      <c r="BJ750" s="6">
        <f>G750*H750</f>
        <v>0</v>
      </c>
      <c r="BK750" s="6"/>
      <c r="BL750" s="14">
        <v>18</v>
      </c>
      <c r="BW750" s="14" t="str">
        <f>I750</f>
        <v>21</v>
      </c>
    </row>
    <row r="751" spans="1:75" ht="15" customHeight="1">
      <c r="A751" s="32"/>
      <c r="D751" s="3" t="s">
        <v>1115</v>
      </c>
      <c r="E751" s="28" t="s">
        <v>1683</v>
      </c>
      <c r="G751" s="27">
        <v>250.00000000000003</v>
      </c>
      <c r="P751" s="33"/>
    </row>
    <row r="752" spans="1:75" ht="15" customHeight="1">
      <c r="A752" s="32"/>
      <c r="D752" s="3" t="s">
        <v>582</v>
      </c>
      <c r="E752" s="28" t="s">
        <v>1683</v>
      </c>
      <c r="G752" s="27">
        <v>50.000000000000007</v>
      </c>
      <c r="P752" s="33"/>
    </row>
    <row r="753" spans="1:75" ht="13.5" customHeight="1">
      <c r="A753" s="20" t="s">
        <v>2578</v>
      </c>
      <c r="B753" s="84" t="s">
        <v>557</v>
      </c>
      <c r="C753" s="84" t="s">
        <v>904</v>
      </c>
      <c r="D753" s="653" t="s">
        <v>1929</v>
      </c>
      <c r="E753" s="654"/>
      <c r="F753" s="84" t="s">
        <v>2398</v>
      </c>
      <c r="G753" s="6">
        <v>300</v>
      </c>
      <c r="H753" s="570"/>
      <c r="I753" s="18" t="s">
        <v>1720</v>
      </c>
      <c r="J753" s="6">
        <f>G753*AO753</f>
        <v>0</v>
      </c>
      <c r="K753" s="6">
        <f>G753*AP753</f>
        <v>0</v>
      </c>
      <c r="L753" s="6">
        <f>G753*H753</f>
        <v>0</v>
      </c>
      <c r="M753" s="6">
        <f>L753*(1+BW753/100)</f>
        <v>0</v>
      </c>
      <c r="N753" s="6">
        <v>2.0000000000000001E-4</v>
      </c>
      <c r="O753" s="6">
        <f>G753*N753</f>
        <v>6.0000000000000005E-2</v>
      </c>
      <c r="P753" s="109" t="s">
        <v>1664</v>
      </c>
      <c r="Z753" s="14">
        <f>IF(AQ753="5",BJ753,0)</f>
        <v>0</v>
      </c>
      <c r="AB753" s="14">
        <f>IF(AQ753="1",BH753,0)</f>
        <v>0</v>
      </c>
      <c r="AC753" s="14">
        <f>IF(AQ753="1",BI753,0)</f>
        <v>0</v>
      </c>
      <c r="AD753" s="14">
        <f>IF(AQ753="7",BH753,0)</f>
        <v>0</v>
      </c>
      <c r="AE753" s="14">
        <f>IF(AQ753="7",BI753,0)</f>
        <v>0</v>
      </c>
      <c r="AF753" s="14">
        <f>IF(AQ753="2",BH753,0)</f>
        <v>0</v>
      </c>
      <c r="AG753" s="14">
        <f>IF(AQ753="2",BI753,0)</f>
        <v>0</v>
      </c>
      <c r="AH753" s="14">
        <f>IF(AQ753="0",BJ753,0)</f>
        <v>0</v>
      </c>
      <c r="AI753" s="15" t="s">
        <v>557</v>
      </c>
      <c r="AJ753" s="6">
        <f>IF(AN753=0,L753,0)</f>
        <v>0</v>
      </c>
      <c r="AK753" s="6">
        <f>IF(AN753=15,L753,0)</f>
        <v>0</v>
      </c>
      <c r="AL753" s="6">
        <f>IF(AN753=21,L753,0)</f>
        <v>0</v>
      </c>
      <c r="AN753" s="14">
        <v>21</v>
      </c>
      <c r="AO753" s="92">
        <f>H753*1</f>
        <v>0</v>
      </c>
      <c r="AP753" s="92">
        <f>H753*(1-1)</f>
        <v>0</v>
      </c>
      <c r="AQ753" s="18" t="s">
        <v>2422</v>
      </c>
      <c r="AV753" s="14">
        <f>AW753+AX753</f>
        <v>0</v>
      </c>
      <c r="AW753" s="14">
        <f>G753*AO753</f>
        <v>0</v>
      </c>
      <c r="AX753" s="14">
        <f>G753*AP753</f>
        <v>0</v>
      </c>
      <c r="AY753" s="55" t="s">
        <v>1194</v>
      </c>
      <c r="AZ753" s="55" t="s">
        <v>1247</v>
      </c>
      <c r="BA753" s="15" t="s">
        <v>1982</v>
      </c>
      <c r="BC753" s="14">
        <f>AW753+AX753</f>
        <v>0</v>
      </c>
      <c r="BD753" s="14">
        <f>H753/(100-BE753)*100</f>
        <v>0</v>
      </c>
      <c r="BE753" s="14">
        <v>0</v>
      </c>
      <c r="BF753" s="14">
        <f>O753</f>
        <v>6.0000000000000005E-2</v>
      </c>
      <c r="BH753" s="6">
        <f>G753*AO753</f>
        <v>0</v>
      </c>
      <c r="BI753" s="6">
        <f>G753*AP753</f>
        <v>0</v>
      </c>
      <c r="BJ753" s="6">
        <f>G753*H753</f>
        <v>0</v>
      </c>
      <c r="BK753" s="6"/>
      <c r="BL753" s="14">
        <v>18</v>
      </c>
      <c r="BW753" s="14" t="str">
        <f>I753</f>
        <v>21</v>
      </c>
    </row>
    <row r="754" spans="1:75" ht="15" customHeight="1">
      <c r="A754" s="32"/>
      <c r="D754" s="3" t="s">
        <v>1115</v>
      </c>
      <c r="E754" s="28" t="s">
        <v>1683</v>
      </c>
      <c r="G754" s="27">
        <v>250.00000000000003</v>
      </c>
      <c r="P754" s="33"/>
    </row>
    <row r="755" spans="1:75" ht="15" customHeight="1">
      <c r="A755" s="32"/>
      <c r="D755" s="3" t="s">
        <v>582</v>
      </c>
      <c r="E755" s="28" t="s">
        <v>1683</v>
      </c>
      <c r="G755" s="27">
        <v>50.000000000000007</v>
      </c>
      <c r="P755" s="33"/>
    </row>
    <row r="756" spans="1:75" ht="15" customHeight="1">
      <c r="A756" s="65" t="s">
        <v>1683</v>
      </c>
      <c r="B756" s="26" t="s">
        <v>557</v>
      </c>
      <c r="C756" s="26" t="s">
        <v>1448</v>
      </c>
      <c r="D756" s="649" t="s">
        <v>2352</v>
      </c>
      <c r="E756" s="650"/>
      <c r="F756" s="74" t="s">
        <v>2262</v>
      </c>
      <c r="G756" s="74" t="s">
        <v>2262</v>
      </c>
      <c r="H756" s="74" t="s">
        <v>2262</v>
      </c>
      <c r="I756" s="74" t="s">
        <v>2262</v>
      </c>
      <c r="J756" s="2">
        <f>SUM(J757:J763)</f>
        <v>0</v>
      </c>
      <c r="K756" s="2">
        <f>SUM(K757:K763)</f>
        <v>0</v>
      </c>
      <c r="L756" s="2">
        <f>SUM(L757:L763)</f>
        <v>0</v>
      </c>
      <c r="M756" s="2">
        <f>SUM(M757:M763)</f>
        <v>0</v>
      </c>
      <c r="N756" s="15" t="s">
        <v>1683</v>
      </c>
      <c r="O756" s="2">
        <f>SUM(O757:O763)</f>
        <v>57.00848640000001</v>
      </c>
      <c r="P756" s="47" t="s">
        <v>1683</v>
      </c>
      <c r="AI756" s="15" t="s">
        <v>557</v>
      </c>
      <c r="AS756" s="2">
        <f>SUM(AJ757:AJ763)</f>
        <v>0</v>
      </c>
      <c r="AT756" s="2">
        <f>SUM(AK757:AK763)</f>
        <v>0</v>
      </c>
      <c r="AU756" s="2">
        <f>SUM(AL757:AL763)</f>
        <v>0</v>
      </c>
    </row>
    <row r="757" spans="1:75" ht="13.5" customHeight="1">
      <c r="A757" s="10" t="s">
        <v>720</v>
      </c>
      <c r="B757" s="11" t="s">
        <v>557</v>
      </c>
      <c r="C757" s="11" t="s">
        <v>560</v>
      </c>
      <c r="D757" s="659" t="s">
        <v>2301</v>
      </c>
      <c r="E757" s="660"/>
      <c r="F757" s="11" t="s">
        <v>2398</v>
      </c>
      <c r="G757" s="63">
        <v>177.18</v>
      </c>
      <c r="H757" s="569"/>
      <c r="I757" s="104" t="s">
        <v>1720</v>
      </c>
      <c r="J757" s="63">
        <f>G757*AO757</f>
        <v>0</v>
      </c>
      <c r="K757" s="63">
        <f>G757*AP757</f>
        <v>0</v>
      </c>
      <c r="L757" s="63">
        <f>G757*H757</f>
        <v>0</v>
      </c>
      <c r="M757" s="63">
        <f>L757*(1+BW757/100)</f>
        <v>0</v>
      </c>
      <c r="N757" s="63">
        <v>0.27964</v>
      </c>
      <c r="O757" s="63">
        <f>G757*N757</f>
        <v>49.546615200000005</v>
      </c>
      <c r="P757" s="90" t="s">
        <v>1664</v>
      </c>
      <c r="Z757" s="14">
        <f>IF(AQ757="5",BJ757,0)</f>
        <v>0</v>
      </c>
      <c r="AB757" s="14">
        <f>IF(AQ757="1",BH757,0)</f>
        <v>0</v>
      </c>
      <c r="AC757" s="14">
        <f>IF(AQ757="1",BI757,0)</f>
        <v>0</v>
      </c>
      <c r="AD757" s="14">
        <f>IF(AQ757="7",BH757,0)</f>
        <v>0</v>
      </c>
      <c r="AE757" s="14">
        <f>IF(AQ757="7",BI757,0)</f>
        <v>0</v>
      </c>
      <c r="AF757" s="14">
        <f>IF(AQ757="2",BH757,0)</f>
        <v>0</v>
      </c>
      <c r="AG757" s="14">
        <f>IF(AQ757="2",BI757,0)</f>
        <v>0</v>
      </c>
      <c r="AH757" s="14">
        <f>IF(AQ757="0",BJ757,0)</f>
        <v>0</v>
      </c>
      <c r="AI757" s="15" t="s">
        <v>557</v>
      </c>
      <c r="AJ757" s="14">
        <f>IF(AN757=0,L757,0)</f>
        <v>0</v>
      </c>
      <c r="AK757" s="14">
        <f>IF(AN757=15,L757,0)</f>
        <v>0</v>
      </c>
      <c r="AL757" s="14">
        <f>IF(AN757=21,L757,0)</f>
        <v>0</v>
      </c>
      <c r="AN757" s="14">
        <v>21</v>
      </c>
      <c r="AO757" s="92">
        <f>H757*0.870179245283019</f>
        <v>0</v>
      </c>
      <c r="AP757" s="92">
        <f>H757*(1-0.870179245283019)</f>
        <v>0</v>
      </c>
      <c r="AQ757" s="55" t="s">
        <v>2422</v>
      </c>
      <c r="AV757" s="14">
        <f>AW757+AX757</f>
        <v>0</v>
      </c>
      <c r="AW757" s="14">
        <f>G757*AO757</f>
        <v>0</v>
      </c>
      <c r="AX757" s="14">
        <f>G757*AP757</f>
        <v>0</v>
      </c>
      <c r="AY757" s="55" t="s">
        <v>1757</v>
      </c>
      <c r="AZ757" s="55" t="s">
        <v>1082</v>
      </c>
      <c r="BA757" s="15" t="s">
        <v>1982</v>
      </c>
      <c r="BC757" s="14">
        <f>AW757+AX757</f>
        <v>0</v>
      </c>
      <c r="BD757" s="14">
        <f>H757/(100-BE757)*100</f>
        <v>0</v>
      </c>
      <c r="BE757" s="14">
        <v>0</v>
      </c>
      <c r="BF757" s="14">
        <f>O757</f>
        <v>49.546615200000005</v>
      </c>
      <c r="BH757" s="14">
        <f>G757*AO757</f>
        <v>0</v>
      </c>
      <c r="BI757" s="14">
        <f>G757*AP757</f>
        <v>0</v>
      </c>
      <c r="BJ757" s="14">
        <f>G757*H757</f>
        <v>0</v>
      </c>
      <c r="BK757" s="14"/>
      <c r="BL757" s="14">
        <v>31</v>
      </c>
      <c r="BW757" s="14" t="str">
        <f>I757</f>
        <v>21</v>
      </c>
    </row>
    <row r="758" spans="1:75" ht="15" customHeight="1">
      <c r="A758" s="35"/>
      <c r="B758" s="23"/>
      <c r="C758" s="23"/>
      <c r="D758" s="98" t="s">
        <v>2020</v>
      </c>
      <c r="E758" s="96" t="s">
        <v>307</v>
      </c>
      <c r="F758" s="23"/>
      <c r="G758" s="75">
        <v>69.02000000000001</v>
      </c>
      <c r="H758" s="23"/>
      <c r="I758" s="23"/>
      <c r="J758" s="23"/>
      <c r="K758" s="23"/>
      <c r="L758" s="23"/>
      <c r="M758" s="23"/>
      <c r="N758" s="23"/>
      <c r="O758" s="23"/>
      <c r="P758" s="95"/>
    </row>
    <row r="759" spans="1:75" ht="15" customHeight="1">
      <c r="A759" s="35"/>
      <c r="B759" s="23"/>
      <c r="C759" s="23"/>
      <c r="D759" s="98" t="s">
        <v>2020</v>
      </c>
      <c r="E759" s="96" t="s">
        <v>1405</v>
      </c>
      <c r="F759" s="23"/>
      <c r="G759" s="75">
        <v>69.02000000000001</v>
      </c>
      <c r="H759" s="23"/>
      <c r="I759" s="23"/>
      <c r="J759" s="23"/>
      <c r="K759" s="23"/>
      <c r="L759" s="23"/>
      <c r="M759" s="23"/>
      <c r="N759" s="23"/>
      <c r="O759" s="23"/>
      <c r="P759" s="95"/>
    </row>
    <row r="760" spans="1:75" ht="15" customHeight="1">
      <c r="A760" s="35"/>
      <c r="B760" s="23"/>
      <c r="C760" s="23"/>
      <c r="D760" s="98" t="s">
        <v>787</v>
      </c>
      <c r="E760" s="96" t="s">
        <v>631</v>
      </c>
      <c r="F760" s="23"/>
      <c r="G760" s="75">
        <v>-12.360000000000001</v>
      </c>
      <c r="H760" s="23"/>
      <c r="I760" s="23"/>
      <c r="J760" s="23"/>
      <c r="K760" s="23"/>
      <c r="L760" s="23"/>
      <c r="M760" s="23"/>
      <c r="N760" s="23"/>
      <c r="O760" s="23"/>
      <c r="P760" s="95"/>
    </row>
    <row r="761" spans="1:75" ht="15" customHeight="1">
      <c r="A761" s="35"/>
      <c r="B761" s="23"/>
      <c r="C761" s="23"/>
      <c r="D761" s="98" t="s">
        <v>2299</v>
      </c>
      <c r="E761" s="96" t="s">
        <v>2050</v>
      </c>
      <c r="F761" s="23"/>
      <c r="G761" s="75">
        <v>14.000000000000002</v>
      </c>
      <c r="H761" s="23"/>
      <c r="I761" s="23"/>
      <c r="J761" s="23"/>
      <c r="K761" s="23"/>
      <c r="L761" s="23"/>
      <c r="M761" s="23"/>
      <c r="N761" s="23"/>
      <c r="O761" s="23"/>
      <c r="P761" s="95"/>
    </row>
    <row r="762" spans="1:75" ht="15" customHeight="1">
      <c r="A762" s="35"/>
      <c r="B762" s="23"/>
      <c r="C762" s="23"/>
      <c r="D762" s="98" t="s">
        <v>343</v>
      </c>
      <c r="E762" s="96" t="s">
        <v>1012</v>
      </c>
      <c r="F762" s="23"/>
      <c r="G762" s="75">
        <v>37.5</v>
      </c>
      <c r="H762" s="23"/>
      <c r="I762" s="23"/>
      <c r="J762" s="23"/>
      <c r="K762" s="23"/>
      <c r="L762" s="23"/>
      <c r="M762" s="23"/>
      <c r="N762" s="23"/>
      <c r="O762" s="23"/>
      <c r="P762" s="95"/>
    </row>
    <row r="763" spans="1:75" ht="13.5" customHeight="1">
      <c r="A763" s="10" t="s">
        <v>1627</v>
      </c>
      <c r="B763" s="11" t="s">
        <v>557</v>
      </c>
      <c r="C763" s="11" t="s">
        <v>2264</v>
      </c>
      <c r="D763" s="659" t="s">
        <v>1828</v>
      </c>
      <c r="E763" s="660"/>
      <c r="F763" s="11" t="s">
        <v>2398</v>
      </c>
      <c r="G763" s="63">
        <v>32.130000000000003</v>
      </c>
      <c r="H763" s="569"/>
      <c r="I763" s="104" t="s">
        <v>1720</v>
      </c>
      <c r="J763" s="63">
        <f>G763*AO763</f>
        <v>0</v>
      </c>
      <c r="K763" s="63">
        <f>G763*AP763</f>
        <v>0</v>
      </c>
      <c r="L763" s="63">
        <f>G763*H763</f>
        <v>0</v>
      </c>
      <c r="M763" s="63">
        <f>L763*(1+BW763/100)</f>
        <v>0</v>
      </c>
      <c r="N763" s="63">
        <v>0.23224</v>
      </c>
      <c r="O763" s="63">
        <f>G763*N763</f>
        <v>7.4618712000000009</v>
      </c>
      <c r="P763" s="90" t="s">
        <v>1664</v>
      </c>
      <c r="Z763" s="14">
        <f>IF(AQ763="5",BJ763,0)</f>
        <v>0</v>
      </c>
      <c r="AB763" s="14">
        <f>IF(AQ763="1",BH763,0)</f>
        <v>0</v>
      </c>
      <c r="AC763" s="14">
        <f>IF(AQ763="1",BI763,0)</f>
        <v>0</v>
      </c>
      <c r="AD763" s="14">
        <f>IF(AQ763="7",BH763,0)</f>
        <v>0</v>
      </c>
      <c r="AE763" s="14">
        <f>IF(AQ763="7",BI763,0)</f>
        <v>0</v>
      </c>
      <c r="AF763" s="14">
        <f>IF(AQ763="2",BH763,0)</f>
        <v>0</v>
      </c>
      <c r="AG763" s="14">
        <f>IF(AQ763="2",BI763,0)</f>
        <v>0</v>
      </c>
      <c r="AH763" s="14">
        <f>IF(AQ763="0",BJ763,0)</f>
        <v>0</v>
      </c>
      <c r="AI763" s="15" t="s">
        <v>557</v>
      </c>
      <c r="AJ763" s="14">
        <f>IF(AN763=0,L763,0)</f>
        <v>0</v>
      </c>
      <c r="AK763" s="14">
        <f>IF(AN763=15,L763,0)</f>
        <v>0</v>
      </c>
      <c r="AL763" s="14">
        <f>IF(AN763=21,L763,0)</f>
        <v>0</v>
      </c>
      <c r="AN763" s="14">
        <v>21</v>
      </c>
      <c r="AO763" s="92">
        <f>H763*0.869681722341801</f>
        <v>0</v>
      </c>
      <c r="AP763" s="92">
        <f>H763*(1-0.869681722341801)</f>
        <v>0</v>
      </c>
      <c r="AQ763" s="55" t="s">
        <v>2422</v>
      </c>
      <c r="AV763" s="14">
        <f>AW763+AX763</f>
        <v>0</v>
      </c>
      <c r="AW763" s="14">
        <f>G763*AO763</f>
        <v>0</v>
      </c>
      <c r="AX763" s="14">
        <f>G763*AP763</f>
        <v>0</v>
      </c>
      <c r="AY763" s="55" t="s">
        <v>1757</v>
      </c>
      <c r="AZ763" s="55" t="s">
        <v>1082</v>
      </c>
      <c r="BA763" s="15" t="s">
        <v>1982</v>
      </c>
      <c r="BC763" s="14">
        <f>AW763+AX763</f>
        <v>0</v>
      </c>
      <c r="BD763" s="14">
        <f>H763/(100-BE763)*100</f>
        <v>0</v>
      </c>
      <c r="BE763" s="14">
        <v>0</v>
      </c>
      <c r="BF763" s="14">
        <f>O763</f>
        <v>7.4618712000000009</v>
      </c>
      <c r="BH763" s="14">
        <f>G763*AO763</f>
        <v>0</v>
      </c>
      <c r="BI763" s="14">
        <f>G763*AP763</f>
        <v>0</v>
      </c>
      <c r="BJ763" s="14">
        <f>G763*H763</f>
        <v>0</v>
      </c>
      <c r="BK763" s="14"/>
      <c r="BL763" s="14">
        <v>31</v>
      </c>
      <c r="BW763" s="14" t="str">
        <f>I763</f>
        <v>21</v>
      </c>
    </row>
    <row r="764" spans="1:75" ht="15" customHeight="1">
      <c r="A764" s="35"/>
      <c r="B764" s="23"/>
      <c r="C764" s="23"/>
      <c r="D764" s="98" t="s">
        <v>2132</v>
      </c>
      <c r="E764" s="96" t="s">
        <v>841</v>
      </c>
      <c r="F764" s="23"/>
      <c r="G764" s="75">
        <v>32.130000000000003</v>
      </c>
      <c r="H764" s="23"/>
      <c r="I764" s="23"/>
      <c r="J764" s="23"/>
      <c r="K764" s="23"/>
      <c r="L764" s="23"/>
      <c r="M764" s="23"/>
      <c r="N764" s="23"/>
      <c r="O764" s="23"/>
      <c r="P764" s="95"/>
    </row>
    <row r="765" spans="1:75" ht="15" customHeight="1">
      <c r="A765" s="65" t="s">
        <v>1683</v>
      </c>
      <c r="B765" s="26" t="s">
        <v>557</v>
      </c>
      <c r="C765" s="26" t="s">
        <v>2723</v>
      </c>
      <c r="D765" s="649" t="s">
        <v>562</v>
      </c>
      <c r="E765" s="650"/>
      <c r="F765" s="74" t="s">
        <v>2262</v>
      </c>
      <c r="G765" s="74" t="s">
        <v>2262</v>
      </c>
      <c r="H765" s="74" t="s">
        <v>2262</v>
      </c>
      <c r="I765" s="74" t="s">
        <v>2262</v>
      </c>
      <c r="J765" s="2">
        <f>SUM(J766:J774)</f>
        <v>0</v>
      </c>
      <c r="K765" s="2">
        <f>SUM(K766:K774)</f>
        <v>0</v>
      </c>
      <c r="L765" s="2">
        <f>SUM(L766:L774)</f>
        <v>0</v>
      </c>
      <c r="M765" s="2">
        <f>SUM(M766:M774)</f>
        <v>0</v>
      </c>
      <c r="N765" s="15" t="s">
        <v>1683</v>
      </c>
      <c r="O765" s="2">
        <f>SUM(O766:O774)</f>
        <v>9.2590164999999995</v>
      </c>
      <c r="P765" s="47" t="s">
        <v>1683</v>
      </c>
      <c r="AI765" s="15" t="s">
        <v>557</v>
      </c>
      <c r="AS765" s="2">
        <f>SUM(AJ766:AJ774)</f>
        <v>0</v>
      </c>
      <c r="AT765" s="2">
        <f>SUM(AK766:AK774)</f>
        <v>0</v>
      </c>
      <c r="AU765" s="2">
        <f>SUM(AL766:AL774)</f>
        <v>0</v>
      </c>
    </row>
    <row r="766" spans="1:75" ht="13.5" customHeight="1">
      <c r="A766" s="21" t="s">
        <v>360</v>
      </c>
      <c r="B766" s="37" t="s">
        <v>557</v>
      </c>
      <c r="C766" s="37" t="s">
        <v>967</v>
      </c>
      <c r="D766" s="578" t="s">
        <v>2119</v>
      </c>
      <c r="E766" s="579"/>
      <c r="F766" s="37" t="s">
        <v>2398</v>
      </c>
      <c r="G766" s="14">
        <v>522.6</v>
      </c>
      <c r="H766" s="569"/>
      <c r="I766" s="55" t="s">
        <v>1720</v>
      </c>
      <c r="J766" s="14">
        <f>G766*AO766</f>
        <v>0</v>
      </c>
      <c r="K766" s="14">
        <f>G766*AP766</f>
        <v>0</v>
      </c>
      <c r="L766" s="14">
        <f>G766*H766</f>
        <v>0</v>
      </c>
      <c r="M766" s="14">
        <f>L766*(1+BW766/100)</f>
        <v>0</v>
      </c>
      <c r="N766" s="14">
        <v>1.2149999999999999E-2</v>
      </c>
      <c r="O766" s="14">
        <f>G766*N766</f>
        <v>6.3495900000000001</v>
      </c>
      <c r="P766" s="72" t="s">
        <v>1664</v>
      </c>
      <c r="Z766" s="14">
        <f>IF(AQ766="5",BJ766,0)</f>
        <v>0</v>
      </c>
      <c r="AB766" s="14">
        <f>IF(AQ766="1",BH766,0)</f>
        <v>0</v>
      </c>
      <c r="AC766" s="14">
        <f>IF(AQ766="1",BI766,0)</f>
        <v>0</v>
      </c>
      <c r="AD766" s="14">
        <f>IF(AQ766="7",BH766,0)</f>
        <v>0</v>
      </c>
      <c r="AE766" s="14">
        <f>IF(AQ766="7",BI766,0)</f>
        <v>0</v>
      </c>
      <c r="AF766" s="14">
        <f>IF(AQ766="2",BH766,0)</f>
        <v>0</v>
      </c>
      <c r="AG766" s="14">
        <f>IF(AQ766="2",BI766,0)</f>
        <v>0</v>
      </c>
      <c r="AH766" s="14">
        <f>IF(AQ766="0",BJ766,0)</f>
        <v>0</v>
      </c>
      <c r="AI766" s="15" t="s">
        <v>557</v>
      </c>
      <c r="AJ766" s="14">
        <f>IF(AN766=0,L766,0)</f>
        <v>0</v>
      </c>
      <c r="AK766" s="14">
        <f>IF(AN766=15,L766,0)</f>
        <v>0</v>
      </c>
      <c r="AL766" s="14">
        <f>IF(AN766=21,L766,0)</f>
        <v>0</v>
      </c>
      <c r="AN766" s="14">
        <v>21</v>
      </c>
      <c r="AO766" s="92">
        <f>H766*0.422757389945742</f>
        <v>0</v>
      </c>
      <c r="AP766" s="92">
        <f>H766*(1-0.422757389945742)</f>
        <v>0</v>
      </c>
      <c r="AQ766" s="55" t="s">
        <v>2422</v>
      </c>
      <c r="AV766" s="14">
        <f>AW766+AX766</f>
        <v>0</v>
      </c>
      <c r="AW766" s="14">
        <f>G766*AO766</f>
        <v>0</v>
      </c>
      <c r="AX766" s="14">
        <f>G766*AP766</f>
        <v>0</v>
      </c>
      <c r="AY766" s="55" t="s">
        <v>1728</v>
      </c>
      <c r="AZ766" s="55" t="s">
        <v>1082</v>
      </c>
      <c r="BA766" s="15" t="s">
        <v>1982</v>
      </c>
      <c r="BC766" s="14">
        <f>AW766+AX766</f>
        <v>0</v>
      </c>
      <c r="BD766" s="14">
        <f>H766/(100-BE766)*100</f>
        <v>0</v>
      </c>
      <c r="BE766" s="14">
        <v>0</v>
      </c>
      <c r="BF766" s="14">
        <f>O766</f>
        <v>6.3495900000000001</v>
      </c>
      <c r="BH766" s="14">
        <f>G766*AO766</f>
        <v>0</v>
      </c>
      <c r="BI766" s="14">
        <f>G766*AP766</f>
        <v>0</v>
      </c>
      <c r="BJ766" s="14">
        <f>G766*H766</f>
        <v>0</v>
      </c>
      <c r="BK766" s="14"/>
      <c r="BL766" s="14">
        <v>34</v>
      </c>
      <c r="BW766" s="14" t="str">
        <f>I766</f>
        <v>21</v>
      </c>
    </row>
    <row r="767" spans="1:75" ht="15" customHeight="1">
      <c r="A767" s="32"/>
      <c r="D767" s="3" t="s">
        <v>518</v>
      </c>
      <c r="E767" s="28" t="s">
        <v>1299</v>
      </c>
      <c r="G767" s="27">
        <v>440.00000000000006</v>
      </c>
      <c r="P767" s="33"/>
    </row>
    <row r="768" spans="1:75" ht="15" customHeight="1">
      <c r="A768" s="32"/>
      <c r="D768" s="3" t="s">
        <v>2646</v>
      </c>
      <c r="E768" s="28" t="s">
        <v>1753</v>
      </c>
      <c r="G768" s="27">
        <v>82.600000000000009</v>
      </c>
      <c r="P768" s="33"/>
    </row>
    <row r="769" spans="1:75" ht="13.5" customHeight="1">
      <c r="A769" s="20" t="s">
        <v>639</v>
      </c>
      <c r="B769" s="84" t="s">
        <v>557</v>
      </c>
      <c r="C769" s="84" t="s">
        <v>373</v>
      </c>
      <c r="D769" s="653" t="s">
        <v>1349</v>
      </c>
      <c r="E769" s="654"/>
      <c r="F769" s="84" t="s">
        <v>2398</v>
      </c>
      <c r="G769" s="6">
        <v>549.15</v>
      </c>
      <c r="H769" s="570"/>
      <c r="I769" s="18" t="s">
        <v>1720</v>
      </c>
      <c r="J769" s="6">
        <f>G769*AO769</f>
        <v>0</v>
      </c>
      <c r="K769" s="6">
        <f>G769*AP769</f>
        <v>0</v>
      </c>
      <c r="L769" s="6">
        <f>G769*H769</f>
        <v>0</v>
      </c>
      <c r="M769" s="6">
        <f>L769*(1+BW769/100)</f>
        <v>0</v>
      </c>
      <c r="N769" s="6">
        <v>1.1199999999999999E-3</v>
      </c>
      <c r="O769" s="6">
        <f>G769*N769</f>
        <v>0.61504799999999993</v>
      </c>
      <c r="P769" s="109" t="s">
        <v>1664</v>
      </c>
      <c r="Z769" s="14">
        <f>IF(AQ769="5",BJ769,0)</f>
        <v>0</v>
      </c>
      <c r="AB769" s="14">
        <f>IF(AQ769="1",BH769,0)</f>
        <v>0</v>
      </c>
      <c r="AC769" s="14">
        <f>IF(AQ769="1",BI769,0)</f>
        <v>0</v>
      </c>
      <c r="AD769" s="14">
        <f>IF(AQ769="7",BH769,0)</f>
        <v>0</v>
      </c>
      <c r="AE769" s="14">
        <f>IF(AQ769="7",BI769,0)</f>
        <v>0</v>
      </c>
      <c r="AF769" s="14">
        <f>IF(AQ769="2",BH769,0)</f>
        <v>0</v>
      </c>
      <c r="AG769" s="14">
        <f>IF(AQ769="2",BI769,0)</f>
        <v>0</v>
      </c>
      <c r="AH769" s="14">
        <f>IF(AQ769="0",BJ769,0)</f>
        <v>0</v>
      </c>
      <c r="AI769" s="15" t="s">
        <v>557</v>
      </c>
      <c r="AJ769" s="6">
        <f>IF(AN769=0,L769,0)</f>
        <v>0</v>
      </c>
      <c r="AK769" s="6">
        <f>IF(AN769=15,L769,0)</f>
        <v>0</v>
      </c>
      <c r="AL769" s="6">
        <f>IF(AN769=21,L769,0)</f>
        <v>0</v>
      </c>
      <c r="AN769" s="14">
        <v>21</v>
      </c>
      <c r="AO769" s="92">
        <f>H769*1</f>
        <v>0</v>
      </c>
      <c r="AP769" s="92">
        <f>H769*(1-1)</f>
        <v>0</v>
      </c>
      <c r="AQ769" s="18" t="s">
        <v>2422</v>
      </c>
      <c r="AV769" s="14">
        <f>AW769+AX769</f>
        <v>0</v>
      </c>
      <c r="AW769" s="14">
        <f>G769*AO769</f>
        <v>0</v>
      </c>
      <c r="AX769" s="14">
        <f>G769*AP769</f>
        <v>0</v>
      </c>
      <c r="AY769" s="55" t="s">
        <v>1728</v>
      </c>
      <c r="AZ769" s="55" t="s">
        <v>1082</v>
      </c>
      <c r="BA769" s="15" t="s">
        <v>1982</v>
      </c>
      <c r="BC769" s="14">
        <f>AW769+AX769</f>
        <v>0</v>
      </c>
      <c r="BD769" s="14">
        <f>H769/(100-BE769)*100</f>
        <v>0</v>
      </c>
      <c r="BE769" s="14">
        <v>0</v>
      </c>
      <c r="BF769" s="14">
        <f>O769</f>
        <v>0.61504799999999993</v>
      </c>
      <c r="BH769" s="6">
        <f>G769*AO769</f>
        <v>0</v>
      </c>
      <c r="BI769" s="6">
        <f>G769*AP769</f>
        <v>0</v>
      </c>
      <c r="BJ769" s="6">
        <f>G769*H769</f>
        <v>0</v>
      </c>
      <c r="BK769" s="6"/>
      <c r="BL769" s="14">
        <v>34</v>
      </c>
      <c r="BW769" s="14" t="str">
        <f>I769</f>
        <v>21</v>
      </c>
    </row>
    <row r="770" spans="1:75" ht="15" customHeight="1">
      <c r="A770" s="32"/>
      <c r="D770" s="3" t="s">
        <v>1099</v>
      </c>
      <c r="E770" s="28" t="s">
        <v>1971</v>
      </c>
      <c r="G770" s="27">
        <v>523</v>
      </c>
      <c r="P770" s="33"/>
    </row>
    <row r="771" spans="1:75" ht="15" customHeight="1">
      <c r="A771" s="32"/>
      <c r="D771" s="3" t="s">
        <v>953</v>
      </c>
      <c r="E771" s="28" t="s">
        <v>1683</v>
      </c>
      <c r="G771" s="27">
        <v>26.150000000000002</v>
      </c>
      <c r="P771" s="33"/>
    </row>
    <row r="772" spans="1:75" ht="13.5" customHeight="1">
      <c r="A772" s="21" t="s">
        <v>2785</v>
      </c>
      <c r="B772" s="37" t="s">
        <v>557</v>
      </c>
      <c r="C772" s="37" t="s">
        <v>1593</v>
      </c>
      <c r="D772" s="578" t="s">
        <v>277</v>
      </c>
      <c r="E772" s="579"/>
      <c r="F772" s="37" t="s">
        <v>2398</v>
      </c>
      <c r="G772" s="14">
        <v>523</v>
      </c>
      <c r="H772" s="569"/>
      <c r="I772" s="55" t="s">
        <v>1720</v>
      </c>
      <c r="J772" s="14">
        <f>G772*AO772</f>
        <v>0</v>
      </c>
      <c r="K772" s="14">
        <f>G772*AP772</f>
        <v>0</v>
      </c>
      <c r="L772" s="14">
        <f>G772*H772</f>
        <v>0</v>
      </c>
      <c r="M772" s="14">
        <f>L772*(1+BW772/100)</f>
        <v>0</v>
      </c>
      <c r="N772" s="14">
        <v>1.81E-3</v>
      </c>
      <c r="O772" s="14">
        <f>G772*N772</f>
        <v>0.94662999999999997</v>
      </c>
      <c r="P772" s="72" t="s">
        <v>1664</v>
      </c>
      <c r="Z772" s="14">
        <f>IF(AQ772="5",BJ772,0)</f>
        <v>0</v>
      </c>
      <c r="AB772" s="14">
        <f>IF(AQ772="1",BH772,0)</f>
        <v>0</v>
      </c>
      <c r="AC772" s="14">
        <f>IF(AQ772="1",BI772,0)</f>
        <v>0</v>
      </c>
      <c r="AD772" s="14">
        <f>IF(AQ772="7",BH772,0)</f>
        <v>0</v>
      </c>
      <c r="AE772" s="14">
        <f>IF(AQ772="7",BI772,0)</f>
        <v>0</v>
      </c>
      <c r="AF772" s="14">
        <f>IF(AQ772="2",BH772,0)</f>
        <v>0</v>
      </c>
      <c r="AG772" s="14">
        <f>IF(AQ772="2",BI772,0)</f>
        <v>0</v>
      </c>
      <c r="AH772" s="14">
        <f>IF(AQ772="0",BJ772,0)</f>
        <v>0</v>
      </c>
      <c r="AI772" s="15" t="s">
        <v>557</v>
      </c>
      <c r="AJ772" s="14">
        <f>IF(AN772=0,L772,0)</f>
        <v>0</v>
      </c>
      <c r="AK772" s="14">
        <f>IF(AN772=15,L772,0)</f>
        <v>0</v>
      </c>
      <c r="AL772" s="14">
        <f>IF(AN772=21,L772,0)</f>
        <v>0</v>
      </c>
      <c r="AN772" s="14">
        <v>21</v>
      </c>
      <c r="AO772" s="92">
        <f>H772*0.697743055555555</f>
        <v>0</v>
      </c>
      <c r="AP772" s="92">
        <f>H772*(1-0.697743055555555)</f>
        <v>0</v>
      </c>
      <c r="AQ772" s="55" t="s">
        <v>2422</v>
      </c>
      <c r="AV772" s="14">
        <f>AW772+AX772</f>
        <v>0</v>
      </c>
      <c r="AW772" s="14">
        <f>G772*AO772</f>
        <v>0</v>
      </c>
      <c r="AX772" s="14">
        <f>G772*AP772</f>
        <v>0</v>
      </c>
      <c r="AY772" s="55" t="s">
        <v>1728</v>
      </c>
      <c r="AZ772" s="55" t="s">
        <v>1082</v>
      </c>
      <c r="BA772" s="15" t="s">
        <v>1982</v>
      </c>
      <c r="BC772" s="14">
        <f>AW772+AX772</f>
        <v>0</v>
      </c>
      <c r="BD772" s="14">
        <f>H772/(100-BE772)*100</f>
        <v>0</v>
      </c>
      <c r="BE772" s="14">
        <v>0</v>
      </c>
      <c r="BF772" s="14">
        <f>O772</f>
        <v>0.94662999999999997</v>
      </c>
      <c r="BH772" s="14">
        <f>G772*AO772</f>
        <v>0</v>
      </c>
      <c r="BI772" s="14">
        <f>G772*AP772</f>
        <v>0</v>
      </c>
      <c r="BJ772" s="14">
        <f>G772*H772</f>
        <v>0</v>
      </c>
      <c r="BK772" s="14"/>
      <c r="BL772" s="14">
        <v>34</v>
      </c>
      <c r="BW772" s="14" t="str">
        <f>I772</f>
        <v>21</v>
      </c>
    </row>
    <row r="773" spans="1:75" ht="15" customHeight="1">
      <c r="A773" s="32"/>
      <c r="D773" s="3" t="s">
        <v>1099</v>
      </c>
      <c r="E773" s="28" t="s">
        <v>1683</v>
      </c>
      <c r="G773" s="27">
        <v>523</v>
      </c>
      <c r="P773" s="33"/>
    </row>
    <row r="774" spans="1:75" ht="13.5" customHeight="1">
      <c r="A774" s="21" t="s">
        <v>2538</v>
      </c>
      <c r="B774" s="37" t="s">
        <v>557</v>
      </c>
      <c r="C774" s="37" t="s">
        <v>959</v>
      </c>
      <c r="D774" s="578" t="s">
        <v>156</v>
      </c>
      <c r="E774" s="579"/>
      <c r="F774" s="37" t="s">
        <v>2398</v>
      </c>
      <c r="G774" s="14">
        <v>49.35</v>
      </c>
      <c r="H774" s="569"/>
      <c r="I774" s="55" t="s">
        <v>1720</v>
      </c>
      <c r="J774" s="14">
        <f>G774*AO774</f>
        <v>0</v>
      </c>
      <c r="K774" s="14">
        <f>G774*AP774</f>
        <v>0</v>
      </c>
      <c r="L774" s="14">
        <f>G774*H774</f>
        <v>0</v>
      </c>
      <c r="M774" s="14">
        <f>L774*(1+BW774/100)</f>
        <v>0</v>
      </c>
      <c r="N774" s="14">
        <v>2.7310000000000001E-2</v>
      </c>
      <c r="O774" s="14">
        <f>G774*N774</f>
        <v>1.3477485</v>
      </c>
      <c r="P774" s="72" t="s">
        <v>1664</v>
      </c>
      <c r="Z774" s="14">
        <f>IF(AQ774="5",BJ774,0)</f>
        <v>0</v>
      </c>
      <c r="AB774" s="14">
        <f>IF(AQ774="1",BH774,0)</f>
        <v>0</v>
      </c>
      <c r="AC774" s="14">
        <f>IF(AQ774="1",BI774,0)</f>
        <v>0</v>
      </c>
      <c r="AD774" s="14">
        <f>IF(AQ774="7",BH774,0)</f>
        <v>0</v>
      </c>
      <c r="AE774" s="14">
        <f>IF(AQ774="7",BI774,0)</f>
        <v>0</v>
      </c>
      <c r="AF774" s="14">
        <f>IF(AQ774="2",BH774,0)</f>
        <v>0</v>
      </c>
      <c r="AG774" s="14">
        <f>IF(AQ774="2",BI774,0)</f>
        <v>0</v>
      </c>
      <c r="AH774" s="14">
        <f>IF(AQ774="0",BJ774,0)</f>
        <v>0</v>
      </c>
      <c r="AI774" s="15" t="s">
        <v>557</v>
      </c>
      <c r="AJ774" s="14">
        <f>IF(AN774=0,L774,0)</f>
        <v>0</v>
      </c>
      <c r="AK774" s="14">
        <f>IF(AN774=15,L774,0)</f>
        <v>0</v>
      </c>
      <c r="AL774" s="14">
        <f>IF(AN774=21,L774,0)</f>
        <v>0</v>
      </c>
      <c r="AN774" s="14">
        <v>21</v>
      </c>
      <c r="AO774" s="92">
        <f>H774*0.559242647058824</f>
        <v>0</v>
      </c>
      <c r="AP774" s="92">
        <f>H774*(1-0.559242647058824)</f>
        <v>0</v>
      </c>
      <c r="AQ774" s="55" t="s">
        <v>2422</v>
      </c>
      <c r="AV774" s="14">
        <f>AW774+AX774</f>
        <v>0</v>
      </c>
      <c r="AW774" s="14">
        <f>G774*AO774</f>
        <v>0</v>
      </c>
      <c r="AX774" s="14">
        <f>G774*AP774</f>
        <v>0</v>
      </c>
      <c r="AY774" s="55" t="s">
        <v>1728</v>
      </c>
      <c r="AZ774" s="55" t="s">
        <v>1082</v>
      </c>
      <c r="BA774" s="15" t="s">
        <v>1982</v>
      </c>
      <c r="BC774" s="14">
        <f>AW774+AX774</f>
        <v>0</v>
      </c>
      <c r="BD774" s="14">
        <f>H774/(100-BE774)*100</f>
        <v>0</v>
      </c>
      <c r="BE774" s="14">
        <v>0</v>
      </c>
      <c r="BF774" s="14">
        <f>O774</f>
        <v>1.3477485</v>
      </c>
      <c r="BH774" s="14">
        <f>G774*AO774</f>
        <v>0</v>
      </c>
      <c r="BI774" s="14">
        <f>G774*AP774</f>
        <v>0</v>
      </c>
      <c r="BJ774" s="14">
        <f>G774*H774</f>
        <v>0</v>
      </c>
      <c r="BK774" s="14"/>
      <c r="BL774" s="14">
        <v>34</v>
      </c>
      <c r="BW774" s="14" t="str">
        <f>I774</f>
        <v>21</v>
      </c>
    </row>
    <row r="775" spans="1:75" ht="15" customHeight="1">
      <c r="A775" s="32"/>
      <c r="D775" s="3" t="s">
        <v>1762</v>
      </c>
      <c r="E775" s="28" t="s">
        <v>924</v>
      </c>
      <c r="G775" s="27">
        <v>59.750000000000007</v>
      </c>
      <c r="P775" s="33"/>
    </row>
    <row r="776" spans="1:75" ht="15" customHeight="1">
      <c r="A776" s="32"/>
      <c r="D776" s="3" t="s">
        <v>711</v>
      </c>
      <c r="E776" s="28" t="s">
        <v>370</v>
      </c>
      <c r="G776" s="27">
        <v>-10.4</v>
      </c>
      <c r="P776" s="33"/>
    </row>
    <row r="777" spans="1:75" ht="15" customHeight="1">
      <c r="A777" s="65" t="s">
        <v>1683</v>
      </c>
      <c r="B777" s="26" t="s">
        <v>557</v>
      </c>
      <c r="C777" s="26" t="s">
        <v>2399</v>
      </c>
      <c r="D777" s="649" t="s">
        <v>1813</v>
      </c>
      <c r="E777" s="650"/>
      <c r="F777" s="74" t="s">
        <v>2262</v>
      </c>
      <c r="G777" s="74" t="s">
        <v>2262</v>
      </c>
      <c r="H777" s="74" t="s">
        <v>2262</v>
      </c>
      <c r="I777" s="74" t="s">
        <v>2262</v>
      </c>
      <c r="J777" s="2">
        <f>SUM(J778:J785)</f>
        <v>0</v>
      </c>
      <c r="K777" s="2">
        <f>SUM(K778:K785)</f>
        <v>0</v>
      </c>
      <c r="L777" s="2">
        <f>SUM(L778:L785)</f>
        <v>0</v>
      </c>
      <c r="M777" s="2">
        <f>SUM(M778:M785)</f>
        <v>0</v>
      </c>
      <c r="N777" s="15" t="s">
        <v>1683</v>
      </c>
      <c r="O777" s="2">
        <f>SUM(O778:O785)</f>
        <v>35.263852700000001</v>
      </c>
      <c r="P777" s="47" t="s">
        <v>1683</v>
      </c>
      <c r="AI777" s="15" t="s">
        <v>557</v>
      </c>
      <c r="AS777" s="2">
        <f>SUM(AJ778:AJ785)</f>
        <v>0</v>
      </c>
      <c r="AT777" s="2">
        <f>SUM(AK778:AK785)</f>
        <v>0</v>
      </c>
      <c r="AU777" s="2">
        <f>SUM(AL778:AL785)</f>
        <v>0</v>
      </c>
    </row>
    <row r="778" spans="1:75" ht="13.5" customHeight="1">
      <c r="A778" s="21" t="s">
        <v>1148</v>
      </c>
      <c r="B778" s="37" t="s">
        <v>557</v>
      </c>
      <c r="C778" s="37" t="s">
        <v>975</v>
      </c>
      <c r="D778" s="578" t="s">
        <v>638</v>
      </c>
      <c r="E778" s="579"/>
      <c r="F778" s="37" t="s">
        <v>2359</v>
      </c>
      <c r="G778" s="14">
        <v>11.62</v>
      </c>
      <c r="H778" s="569"/>
      <c r="I778" s="55" t="s">
        <v>1720</v>
      </c>
      <c r="J778" s="14">
        <f>G778*AO778</f>
        <v>0</v>
      </c>
      <c r="K778" s="14">
        <f>G778*AP778</f>
        <v>0</v>
      </c>
      <c r="L778" s="14">
        <f>G778*H778</f>
        <v>0</v>
      </c>
      <c r="M778" s="14">
        <f>L778*(1+BW778/100)</f>
        <v>0</v>
      </c>
      <c r="N778" s="14">
        <v>2.5251100000000002</v>
      </c>
      <c r="O778" s="14">
        <f>G778*N778</f>
        <v>29.3417782</v>
      </c>
      <c r="P778" s="72" t="s">
        <v>1664</v>
      </c>
      <c r="Z778" s="14">
        <f>IF(AQ778="5",BJ778,0)</f>
        <v>0</v>
      </c>
      <c r="AB778" s="14">
        <f>IF(AQ778="1",BH778,0)</f>
        <v>0</v>
      </c>
      <c r="AC778" s="14">
        <f>IF(AQ778="1",BI778,0)</f>
        <v>0</v>
      </c>
      <c r="AD778" s="14">
        <f>IF(AQ778="7",BH778,0)</f>
        <v>0</v>
      </c>
      <c r="AE778" s="14">
        <f>IF(AQ778="7",BI778,0)</f>
        <v>0</v>
      </c>
      <c r="AF778" s="14">
        <f>IF(AQ778="2",BH778,0)</f>
        <v>0</v>
      </c>
      <c r="AG778" s="14">
        <f>IF(AQ778="2",BI778,0)</f>
        <v>0</v>
      </c>
      <c r="AH778" s="14">
        <f>IF(AQ778="0",BJ778,0)</f>
        <v>0</v>
      </c>
      <c r="AI778" s="15" t="s">
        <v>557</v>
      </c>
      <c r="AJ778" s="14">
        <f>IF(AN778=0,L778,0)</f>
        <v>0</v>
      </c>
      <c r="AK778" s="14">
        <f>IF(AN778=15,L778,0)</f>
        <v>0</v>
      </c>
      <c r="AL778" s="14">
        <f>IF(AN778=21,L778,0)</f>
        <v>0</v>
      </c>
      <c r="AN778" s="14">
        <v>21</v>
      </c>
      <c r="AO778" s="92">
        <f>H778*0.817775818639799</f>
        <v>0</v>
      </c>
      <c r="AP778" s="92">
        <f>H778*(1-0.817775818639799)</f>
        <v>0</v>
      </c>
      <c r="AQ778" s="55" t="s">
        <v>2422</v>
      </c>
      <c r="AV778" s="14">
        <f>AW778+AX778</f>
        <v>0</v>
      </c>
      <c r="AW778" s="14">
        <f>G778*AO778</f>
        <v>0</v>
      </c>
      <c r="AX778" s="14">
        <f>G778*AP778</f>
        <v>0</v>
      </c>
      <c r="AY778" s="55" t="s">
        <v>1768</v>
      </c>
      <c r="AZ778" s="55" t="s">
        <v>1781</v>
      </c>
      <c r="BA778" s="15" t="s">
        <v>1982</v>
      </c>
      <c r="BC778" s="14">
        <f>AW778+AX778</f>
        <v>0</v>
      </c>
      <c r="BD778" s="14">
        <f>H778/(100-BE778)*100</f>
        <v>0</v>
      </c>
      <c r="BE778" s="14">
        <v>0</v>
      </c>
      <c r="BF778" s="14">
        <f>O778</f>
        <v>29.3417782</v>
      </c>
      <c r="BH778" s="14">
        <f>G778*AO778</f>
        <v>0</v>
      </c>
      <c r="BI778" s="14">
        <f>G778*AP778</f>
        <v>0</v>
      </c>
      <c r="BJ778" s="14">
        <f>G778*H778</f>
        <v>0</v>
      </c>
      <c r="BK778" s="14"/>
      <c r="BL778" s="14">
        <v>41</v>
      </c>
      <c r="BW778" s="14" t="str">
        <f>I778</f>
        <v>21</v>
      </c>
    </row>
    <row r="779" spans="1:75" ht="15" customHeight="1">
      <c r="A779" s="32"/>
      <c r="D779" s="3" t="s">
        <v>2604</v>
      </c>
      <c r="E779" s="28" t="s">
        <v>267</v>
      </c>
      <c r="G779" s="27">
        <v>10.73</v>
      </c>
      <c r="P779" s="33"/>
    </row>
    <row r="780" spans="1:75" ht="15" customHeight="1">
      <c r="A780" s="32"/>
      <c r="D780" s="3" t="s">
        <v>54</v>
      </c>
      <c r="E780" s="28" t="s">
        <v>270</v>
      </c>
      <c r="G780" s="27">
        <v>0.89000000000000012</v>
      </c>
      <c r="P780" s="33"/>
    </row>
    <row r="781" spans="1:75" ht="13.5" customHeight="1">
      <c r="A781" s="21" t="s">
        <v>2164</v>
      </c>
      <c r="B781" s="37" t="s">
        <v>557</v>
      </c>
      <c r="C781" s="37" t="s">
        <v>1193</v>
      </c>
      <c r="D781" s="578" t="s">
        <v>682</v>
      </c>
      <c r="E781" s="579"/>
      <c r="F781" s="37" t="s">
        <v>2019</v>
      </c>
      <c r="G781" s="14">
        <v>85.9</v>
      </c>
      <c r="H781" s="569"/>
      <c r="I781" s="55" t="s">
        <v>1720</v>
      </c>
      <c r="J781" s="14">
        <f>G781*AO781</f>
        <v>0</v>
      </c>
      <c r="K781" s="14">
        <f>G781*AP781</f>
        <v>0</v>
      </c>
      <c r="L781" s="14">
        <f>G781*H781</f>
        <v>0</v>
      </c>
      <c r="M781" s="14">
        <f>L781*(1+BW781/100)</f>
        <v>0</v>
      </c>
      <c r="N781" s="14">
        <v>4.965E-2</v>
      </c>
      <c r="O781" s="14">
        <f>G781*N781</f>
        <v>4.2649350000000004</v>
      </c>
      <c r="P781" s="72" t="s">
        <v>1664</v>
      </c>
      <c r="Z781" s="14">
        <f>IF(AQ781="5",BJ781,0)</f>
        <v>0</v>
      </c>
      <c r="AB781" s="14">
        <f>IF(AQ781="1",BH781,0)</f>
        <v>0</v>
      </c>
      <c r="AC781" s="14">
        <f>IF(AQ781="1",BI781,0)</f>
        <v>0</v>
      </c>
      <c r="AD781" s="14">
        <f>IF(AQ781="7",BH781,0)</f>
        <v>0</v>
      </c>
      <c r="AE781" s="14">
        <f>IF(AQ781="7",BI781,0)</f>
        <v>0</v>
      </c>
      <c r="AF781" s="14">
        <f>IF(AQ781="2",BH781,0)</f>
        <v>0</v>
      </c>
      <c r="AG781" s="14">
        <f>IF(AQ781="2",BI781,0)</f>
        <v>0</v>
      </c>
      <c r="AH781" s="14">
        <f>IF(AQ781="0",BJ781,0)</f>
        <v>0</v>
      </c>
      <c r="AI781" s="15" t="s">
        <v>557</v>
      </c>
      <c r="AJ781" s="14">
        <f>IF(AN781=0,L781,0)</f>
        <v>0</v>
      </c>
      <c r="AK781" s="14">
        <f>IF(AN781=15,L781,0)</f>
        <v>0</v>
      </c>
      <c r="AL781" s="14">
        <f>IF(AN781=21,L781,0)</f>
        <v>0</v>
      </c>
      <c r="AN781" s="14">
        <v>21</v>
      </c>
      <c r="AO781" s="92">
        <f>H781*0.176910112359551</f>
        <v>0</v>
      </c>
      <c r="AP781" s="92">
        <f>H781*(1-0.176910112359551)</f>
        <v>0</v>
      </c>
      <c r="AQ781" s="55" t="s">
        <v>2422</v>
      </c>
      <c r="AV781" s="14">
        <f>AW781+AX781</f>
        <v>0</v>
      </c>
      <c r="AW781" s="14">
        <f>G781*AO781</f>
        <v>0</v>
      </c>
      <c r="AX781" s="14">
        <f>G781*AP781</f>
        <v>0</v>
      </c>
      <c r="AY781" s="55" t="s">
        <v>1768</v>
      </c>
      <c r="AZ781" s="55" t="s">
        <v>1781</v>
      </c>
      <c r="BA781" s="15" t="s">
        <v>1982</v>
      </c>
      <c r="BC781" s="14">
        <f>AW781+AX781</f>
        <v>0</v>
      </c>
      <c r="BD781" s="14">
        <f>H781/(100-BE781)*100</f>
        <v>0</v>
      </c>
      <c r="BE781" s="14">
        <v>0</v>
      </c>
      <c r="BF781" s="14">
        <f>O781</f>
        <v>4.2649350000000004</v>
      </c>
      <c r="BH781" s="14">
        <f>G781*AO781</f>
        <v>0</v>
      </c>
      <c r="BI781" s="14">
        <f>G781*AP781</f>
        <v>0</v>
      </c>
      <c r="BJ781" s="14">
        <f>G781*H781</f>
        <v>0</v>
      </c>
      <c r="BK781" s="14"/>
      <c r="BL781" s="14">
        <v>41</v>
      </c>
      <c r="BW781" s="14" t="str">
        <f>I781</f>
        <v>21</v>
      </c>
    </row>
    <row r="782" spans="1:75" ht="15" customHeight="1">
      <c r="A782" s="32"/>
      <c r="D782" s="3" t="s">
        <v>1965</v>
      </c>
      <c r="E782" s="28" t="s">
        <v>1683</v>
      </c>
      <c r="G782" s="27">
        <v>85.9</v>
      </c>
      <c r="P782" s="33"/>
    </row>
    <row r="783" spans="1:75" ht="13.5" customHeight="1">
      <c r="A783" s="21" t="s">
        <v>20</v>
      </c>
      <c r="B783" s="37" t="s">
        <v>557</v>
      </c>
      <c r="C783" s="37" t="s">
        <v>1590</v>
      </c>
      <c r="D783" s="578" t="s">
        <v>2014</v>
      </c>
      <c r="E783" s="579"/>
      <c r="F783" s="37" t="s">
        <v>2019</v>
      </c>
      <c r="G783" s="14">
        <v>85.9</v>
      </c>
      <c r="H783" s="569"/>
      <c r="I783" s="55" t="s">
        <v>1720</v>
      </c>
      <c r="J783" s="14">
        <f>G783*AO783</f>
        <v>0</v>
      </c>
      <c r="K783" s="14">
        <f>G783*AP783</f>
        <v>0</v>
      </c>
      <c r="L783" s="14">
        <f>G783*H783</f>
        <v>0</v>
      </c>
      <c r="M783" s="14">
        <f>L783*(1+BW783/100)</f>
        <v>0</v>
      </c>
      <c r="N783" s="14">
        <v>0</v>
      </c>
      <c r="O783" s="14">
        <f>G783*N783</f>
        <v>0</v>
      </c>
      <c r="P783" s="72" t="s">
        <v>1664</v>
      </c>
      <c r="Z783" s="14">
        <f>IF(AQ783="5",BJ783,0)</f>
        <v>0</v>
      </c>
      <c r="AB783" s="14">
        <f>IF(AQ783="1",BH783,0)</f>
        <v>0</v>
      </c>
      <c r="AC783" s="14">
        <f>IF(AQ783="1",BI783,0)</f>
        <v>0</v>
      </c>
      <c r="AD783" s="14">
        <f>IF(AQ783="7",BH783,0)</f>
        <v>0</v>
      </c>
      <c r="AE783" s="14">
        <f>IF(AQ783="7",BI783,0)</f>
        <v>0</v>
      </c>
      <c r="AF783" s="14">
        <f>IF(AQ783="2",BH783,0)</f>
        <v>0</v>
      </c>
      <c r="AG783" s="14">
        <f>IF(AQ783="2",BI783,0)</f>
        <v>0</v>
      </c>
      <c r="AH783" s="14">
        <f>IF(AQ783="0",BJ783,0)</f>
        <v>0</v>
      </c>
      <c r="AI783" s="15" t="s">
        <v>557</v>
      </c>
      <c r="AJ783" s="14">
        <f>IF(AN783=0,L783,0)</f>
        <v>0</v>
      </c>
      <c r="AK783" s="14">
        <f>IF(AN783=15,L783,0)</f>
        <v>0</v>
      </c>
      <c r="AL783" s="14">
        <f>IF(AN783=21,L783,0)</f>
        <v>0</v>
      </c>
      <c r="AN783" s="14">
        <v>21</v>
      </c>
      <c r="AO783" s="92">
        <f>H783*0</f>
        <v>0</v>
      </c>
      <c r="AP783" s="92">
        <f>H783*(1-0)</f>
        <v>0</v>
      </c>
      <c r="AQ783" s="55" t="s">
        <v>2422</v>
      </c>
      <c r="AV783" s="14">
        <f>AW783+AX783</f>
        <v>0</v>
      </c>
      <c r="AW783" s="14">
        <f>G783*AO783</f>
        <v>0</v>
      </c>
      <c r="AX783" s="14">
        <f>G783*AP783</f>
        <v>0</v>
      </c>
      <c r="AY783" s="55" t="s">
        <v>1768</v>
      </c>
      <c r="AZ783" s="55" t="s">
        <v>1781</v>
      </c>
      <c r="BA783" s="15" t="s">
        <v>1982</v>
      </c>
      <c r="BC783" s="14">
        <f>AW783+AX783</f>
        <v>0</v>
      </c>
      <c r="BD783" s="14">
        <f>H783/(100-BE783)*100</f>
        <v>0</v>
      </c>
      <c r="BE783" s="14">
        <v>0</v>
      </c>
      <c r="BF783" s="14">
        <f>O783</f>
        <v>0</v>
      </c>
      <c r="BH783" s="14">
        <f>G783*AO783</f>
        <v>0</v>
      </c>
      <c r="BI783" s="14">
        <f>G783*AP783</f>
        <v>0</v>
      </c>
      <c r="BJ783" s="14">
        <f>G783*H783</f>
        <v>0</v>
      </c>
      <c r="BK783" s="14"/>
      <c r="BL783" s="14">
        <v>41</v>
      </c>
      <c r="BW783" s="14" t="str">
        <f>I783</f>
        <v>21</v>
      </c>
    </row>
    <row r="784" spans="1:75" ht="15" customHeight="1">
      <c r="A784" s="32"/>
      <c r="D784" s="3" t="s">
        <v>222</v>
      </c>
      <c r="E784" s="28" t="s">
        <v>1683</v>
      </c>
      <c r="G784" s="27">
        <v>85.9</v>
      </c>
      <c r="P784" s="33"/>
    </row>
    <row r="785" spans="1:75" ht="13.5" customHeight="1">
      <c r="A785" s="21" t="s">
        <v>1830</v>
      </c>
      <c r="B785" s="37" t="s">
        <v>557</v>
      </c>
      <c r="C785" s="37" t="s">
        <v>1560</v>
      </c>
      <c r="D785" s="578" t="s">
        <v>2482</v>
      </c>
      <c r="E785" s="579"/>
      <c r="F785" s="37" t="s">
        <v>1130</v>
      </c>
      <c r="G785" s="14">
        <v>1.63</v>
      </c>
      <c r="H785" s="569"/>
      <c r="I785" s="55" t="s">
        <v>1720</v>
      </c>
      <c r="J785" s="14">
        <f>G785*AO785</f>
        <v>0</v>
      </c>
      <c r="K785" s="14">
        <f>G785*AP785</f>
        <v>0</v>
      </c>
      <c r="L785" s="14">
        <f>G785*H785</f>
        <v>0</v>
      </c>
      <c r="M785" s="14">
        <f>L785*(1+BW785/100)</f>
        <v>0</v>
      </c>
      <c r="N785" s="14">
        <v>1.0166500000000001</v>
      </c>
      <c r="O785" s="14">
        <f>G785*N785</f>
        <v>1.6571395</v>
      </c>
      <c r="P785" s="72" t="s">
        <v>1664</v>
      </c>
      <c r="Z785" s="14">
        <f>IF(AQ785="5",BJ785,0)</f>
        <v>0</v>
      </c>
      <c r="AB785" s="14">
        <f>IF(AQ785="1",BH785,0)</f>
        <v>0</v>
      </c>
      <c r="AC785" s="14">
        <f>IF(AQ785="1",BI785,0)</f>
        <v>0</v>
      </c>
      <c r="AD785" s="14">
        <f>IF(AQ785="7",BH785,0)</f>
        <v>0</v>
      </c>
      <c r="AE785" s="14">
        <f>IF(AQ785="7",BI785,0)</f>
        <v>0</v>
      </c>
      <c r="AF785" s="14">
        <f>IF(AQ785="2",BH785,0)</f>
        <v>0</v>
      </c>
      <c r="AG785" s="14">
        <f>IF(AQ785="2",BI785,0)</f>
        <v>0</v>
      </c>
      <c r="AH785" s="14">
        <f>IF(AQ785="0",BJ785,0)</f>
        <v>0</v>
      </c>
      <c r="AI785" s="15" t="s">
        <v>557</v>
      </c>
      <c r="AJ785" s="14">
        <f>IF(AN785=0,L785,0)</f>
        <v>0</v>
      </c>
      <c r="AK785" s="14">
        <f>IF(AN785=15,L785,0)</f>
        <v>0</v>
      </c>
      <c r="AL785" s="14">
        <f>IF(AN785=21,L785,0)</f>
        <v>0</v>
      </c>
      <c r="AN785" s="14">
        <v>21</v>
      </c>
      <c r="AO785" s="92">
        <f>H785*0.74693366289268</f>
        <v>0</v>
      </c>
      <c r="AP785" s="92">
        <f>H785*(1-0.74693366289268)</f>
        <v>0</v>
      </c>
      <c r="AQ785" s="55" t="s">
        <v>2422</v>
      </c>
      <c r="AV785" s="14">
        <f>AW785+AX785</f>
        <v>0</v>
      </c>
      <c r="AW785" s="14">
        <f>G785*AO785</f>
        <v>0</v>
      </c>
      <c r="AX785" s="14">
        <f>G785*AP785</f>
        <v>0</v>
      </c>
      <c r="AY785" s="55" t="s">
        <v>1768</v>
      </c>
      <c r="AZ785" s="55" t="s">
        <v>1781</v>
      </c>
      <c r="BA785" s="15" t="s">
        <v>1982</v>
      </c>
      <c r="BC785" s="14">
        <f>AW785+AX785</f>
        <v>0</v>
      </c>
      <c r="BD785" s="14">
        <f>H785/(100-BE785)*100</f>
        <v>0</v>
      </c>
      <c r="BE785" s="14">
        <v>0</v>
      </c>
      <c r="BF785" s="14">
        <f>O785</f>
        <v>1.6571395</v>
      </c>
      <c r="BH785" s="14">
        <f>G785*AO785</f>
        <v>0</v>
      </c>
      <c r="BI785" s="14">
        <f>G785*AP785</f>
        <v>0</v>
      </c>
      <c r="BJ785" s="14">
        <f>G785*H785</f>
        <v>0</v>
      </c>
      <c r="BK785" s="14"/>
      <c r="BL785" s="14">
        <v>41</v>
      </c>
      <c r="BW785" s="14" t="str">
        <f>I785</f>
        <v>21</v>
      </c>
    </row>
    <row r="786" spans="1:75" ht="15" customHeight="1">
      <c r="A786" s="32"/>
      <c r="D786" s="3" t="s">
        <v>713</v>
      </c>
      <c r="E786" s="28" t="s">
        <v>940</v>
      </c>
      <c r="G786" s="27">
        <v>1.6300000000000001</v>
      </c>
      <c r="P786" s="33"/>
    </row>
    <row r="787" spans="1:75" ht="15" customHeight="1">
      <c r="A787" s="65" t="s">
        <v>1683</v>
      </c>
      <c r="B787" s="26" t="s">
        <v>557</v>
      </c>
      <c r="C787" s="26" t="s">
        <v>1769</v>
      </c>
      <c r="D787" s="649" t="s">
        <v>1752</v>
      </c>
      <c r="E787" s="650"/>
      <c r="F787" s="74" t="s">
        <v>2262</v>
      </c>
      <c r="G787" s="74" t="s">
        <v>2262</v>
      </c>
      <c r="H787" s="74" t="s">
        <v>2262</v>
      </c>
      <c r="I787" s="74" t="s">
        <v>2262</v>
      </c>
      <c r="J787" s="2">
        <f>SUM(J788:J788)</f>
        <v>0</v>
      </c>
      <c r="K787" s="2">
        <f>SUM(K788:K788)</f>
        <v>0</v>
      </c>
      <c r="L787" s="2">
        <f>SUM(L788:L788)</f>
        <v>0</v>
      </c>
      <c r="M787" s="2">
        <f>SUM(M788:M788)</f>
        <v>0</v>
      </c>
      <c r="N787" s="15" t="s">
        <v>1683</v>
      </c>
      <c r="O787" s="2">
        <f>SUM(O788:O788)</f>
        <v>0</v>
      </c>
      <c r="P787" s="47" t="s">
        <v>1683</v>
      </c>
      <c r="AI787" s="15" t="s">
        <v>557</v>
      </c>
      <c r="AS787" s="2">
        <f>SUM(AJ788:AJ788)</f>
        <v>0</v>
      </c>
      <c r="AT787" s="2">
        <f>SUM(AK788:AK788)</f>
        <v>0</v>
      </c>
      <c r="AU787" s="2">
        <f>SUM(AL788:AL788)</f>
        <v>0</v>
      </c>
    </row>
    <row r="788" spans="1:75" ht="13.5" customHeight="1">
      <c r="A788" s="10" t="s">
        <v>1377</v>
      </c>
      <c r="B788" s="11" t="s">
        <v>557</v>
      </c>
      <c r="C788" s="11" t="s">
        <v>469</v>
      </c>
      <c r="D788" s="659" t="s">
        <v>1417</v>
      </c>
      <c r="E788" s="660"/>
      <c r="F788" s="11" t="s">
        <v>2398</v>
      </c>
      <c r="G788" s="63">
        <v>139</v>
      </c>
      <c r="H788" s="569"/>
      <c r="I788" s="104" t="s">
        <v>1720</v>
      </c>
      <c r="J788" s="63">
        <f>G788*AO788</f>
        <v>0</v>
      </c>
      <c r="K788" s="63">
        <f>G788*AP788</f>
        <v>0</v>
      </c>
      <c r="L788" s="63">
        <f>G788*H788</f>
        <v>0</v>
      </c>
      <c r="M788" s="63">
        <f>L788*(1+BW788/100)</f>
        <v>0</v>
      </c>
      <c r="N788" s="63">
        <v>0</v>
      </c>
      <c r="O788" s="63">
        <f>G788*N788</f>
        <v>0</v>
      </c>
      <c r="P788" s="90" t="s">
        <v>921</v>
      </c>
      <c r="Z788" s="14">
        <f>IF(AQ788="5",BJ788,0)</f>
        <v>0</v>
      </c>
      <c r="AB788" s="14">
        <f>IF(AQ788="1",BH788,0)</f>
        <v>0</v>
      </c>
      <c r="AC788" s="14">
        <f>IF(AQ788="1",BI788,0)</f>
        <v>0</v>
      </c>
      <c r="AD788" s="14">
        <f>IF(AQ788="7",BH788,0)</f>
        <v>0</v>
      </c>
      <c r="AE788" s="14">
        <f>IF(AQ788="7",BI788,0)</f>
        <v>0</v>
      </c>
      <c r="AF788" s="14">
        <f>IF(AQ788="2",BH788,0)</f>
        <v>0</v>
      </c>
      <c r="AG788" s="14">
        <f>IF(AQ788="2",BI788,0)</f>
        <v>0</v>
      </c>
      <c r="AH788" s="14">
        <f>IF(AQ788="0",BJ788,0)</f>
        <v>0</v>
      </c>
      <c r="AI788" s="15" t="s">
        <v>557</v>
      </c>
      <c r="AJ788" s="14">
        <f>IF(AN788=0,L788,0)</f>
        <v>0</v>
      </c>
      <c r="AK788" s="14">
        <f>IF(AN788=15,L788,0)</f>
        <v>0</v>
      </c>
      <c r="AL788" s="14">
        <f>IF(AN788=21,L788,0)</f>
        <v>0</v>
      </c>
      <c r="AN788" s="14">
        <v>21</v>
      </c>
      <c r="AO788" s="92">
        <f>H788*0</f>
        <v>0</v>
      </c>
      <c r="AP788" s="92">
        <f>H788*(1-0)</f>
        <v>0</v>
      </c>
      <c r="AQ788" s="55" t="s">
        <v>2422</v>
      </c>
      <c r="AV788" s="14">
        <f>AW788+AX788</f>
        <v>0</v>
      </c>
      <c r="AW788" s="14">
        <f>G788*AO788</f>
        <v>0</v>
      </c>
      <c r="AX788" s="14">
        <f>G788*AP788</f>
        <v>0</v>
      </c>
      <c r="AY788" s="55" t="s">
        <v>1536</v>
      </c>
      <c r="AZ788" s="55" t="s">
        <v>159</v>
      </c>
      <c r="BA788" s="15" t="s">
        <v>1982</v>
      </c>
      <c r="BC788" s="14">
        <f>AW788+AX788</f>
        <v>0</v>
      </c>
      <c r="BD788" s="14">
        <f>H788/(100-BE788)*100</f>
        <v>0</v>
      </c>
      <c r="BE788" s="14">
        <v>0</v>
      </c>
      <c r="BF788" s="14">
        <f>O788</f>
        <v>0</v>
      </c>
      <c r="BH788" s="14">
        <f>G788*AO788</f>
        <v>0</v>
      </c>
      <c r="BI788" s="14">
        <f>G788*AP788</f>
        <v>0</v>
      </c>
      <c r="BJ788" s="14">
        <f>G788*H788</f>
        <v>0</v>
      </c>
      <c r="BK788" s="14"/>
      <c r="BL788" s="14">
        <v>61</v>
      </c>
      <c r="BW788" s="14" t="str">
        <f>I788</f>
        <v>21</v>
      </c>
    </row>
    <row r="789" spans="1:75" ht="15" customHeight="1">
      <c r="A789" s="35"/>
      <c r="B789" s="23"/>
      <c r="C789" s="23"/>
      <c r="D789" s="98" t="s">
        <v>2060</v>
      </c>
      <c r="E789" s="96" t="s">
        <v>1015</v>
      </c>
      <c r="F789" s="23"/>
      <c r="G789" s="75">
        <v>139</v>
      </c>
      <c r="H789" s="23"/>
      <c r="I789" s="23"/>
      <c r="J789" s="23"/>
      <c r="K789" s="23"/>
      <c r="L789" s="23"/>
      <c r="M789" s="23"/>
      <c r="N789" s="23"/>
      <c r="O789" s="23"/>
      <c r="P789" s="95"/>
    </row>
    <row r="790" spans="1:75" ht="15" customHeight="1">
      <c r="A790" s="5" t="s">
        <v>1683</v>
      </c>
      <c r="B790" s="79" t="s">
        <v>557</v>
      </c>
      <c r="C790" s="79" t="s">
        <v>2725</v>
      </c>
      <c r="D790" s="661" t="s">
        <v>1986</v>
      </c>
      <c r="E790" s="662"/>
      <c r="F790" s="49" t="s">
        <v>2262</v>
      </c>
      <c r="G790" s="49" t="s">
        <v>2262</v>
      </c>
      <c r="H790" s="49" t="s">
        <v>2262</v>
      </c>
      <c r="I790" s="49" t="s">
        <v>2262</v>
      </c>
      <c r="J790" s="60">
        <f>SUM(J791:J802)</f>
        <v>0</v>
      </c>
      <c r="K790" s="60">
        <f>SUM(K791:K802)</f>
        <v>0</v>
      </c>
      <c r="L790" s="60">
        <f>SUM(L791:L802)</f>
        <v>0</v>
      </c>
      <c r="M790" s="60">
        <f>SUM(M791:M802)</f>
        <v>0</v>
      </c>
      <c r="N790" s="31" t="s">
        <v>1683</v>
      </c>
      <c r="O790" s="60">
        <f>SUM(O791:O802)</f>
        <v>3.2818909999999999</v>
      </c>
      <c r="P790" s="13" t="s">
        <v>1683</v>
      </c>
      <c r="AI790" s="15" t="s">
        <v>557</v>
      </c>
      <c r="AS790" s="2">
        <f>SUM(AJ791:AJ802)</f>
        <v>0</v>
      </c>
      <c r="AT790" s="2">
        <f>SUM(AK791:AK802)</f>
        <v>0</v>
      </c>
      <c r="AU790" s="2">
        <f>SUM(AL791:AL802)</f>
        <v>0</v>
      </c>
    </row>
    <row r="791" spans="1:75" ht="27" customHeight="1">
      <c r="A791" s="21" t="s">
        <v>2084</v>
      </c>
      <c r="B791" s="37" t="s">
        <v>557</v>
      </c>
      <c r="C791" s="37" t="s">
        <v>378</v>
      </c>
      <c r="D791" s="578" t="s">
        <v>2621</v>
      </c>
      <c r="E791" s="579"/>
      <c r="F791" s="37" t="s">
        <v>2398</v>
      </c>
      <c r="G791" s="14">
        <v>107</v>
      </c>
      <c r="H791" s="569"/>
      <c r="I791" s="55" t="s">
        <v>1720</v>
      </c>
      <c r="J791" s="14">
        <f>G791*AO791</f>
        <v>0</v>
      </c>
      <c r="K791" s="14">
        <f>G791*AP791</f>
        <v>0</v>
      </c>
      <c r="L791" s="14">
        <f>G791*H791</f>
        <v>0</v>
      </c>
      <c r="M791" s="14">
        <f>L791*(1+BW791/100)</f>
        <v>0</v>
      </c>
      <c r="N791" s="14">
        <v>1.542E-2</v>
      </c>
      <c r="O791" s="14">
        <f>G791*N791</f>
        <v>1.64994</v>
      </c>
      <c r="P791" s="72" t="s">
        <v>1664</v>
      </c>
      <c r="Z791" s="14">
        <f>IF(AQ791="5",BJ791,0)</f>
        <v>0</v>
      </c>
      <c r="AB791" s="14">
        <f>IF(AQ791="1",BH791,0)</f>
        <v>0</v>
      </c>
      <c r="AC791" s="14">
        <f>IF(AQ791="1",BI791,0)</f>
        <v>0</v>
      </c>
      <c r="AD791" s="14">
        <f>IF(AQ791="7",BH791,0)</f>
        <v>0</v>
      </c>
      <c r="AE791" s="14">
        <f>IF(AQ791="7",BI791,0)</f>
        <v>0</v>
      </c>
      <c r="AF791" s="14">
        <f>IF(AQ791="2",BH791,0)</f>
        <v>0</v>
      </c>
      <c r="AG791" s="14">
        <f>IF(AQ791="2",BI791,0)</f>
        <v>0</v>
      </c>
      <c r="AH791" s="14">
        <f>IF(AQ791="0",BJ791,0)</f>
        <v>0</v>
      </c>
      <c r="AI791" s="15" t="s">
        <v>557</v>
      </c>
      <c r="AJ791" s="14">
        <f>IF(AN791=0,L791,0)</f>
        <v>0</v>
      </c>
      <c r="AK791" s="14">
        <f>IF(AN791=15,L791,0)</f>
        <v>0</v>
      </c>
      <c r="AL791" s="14">
        <f>IF(AN791=21,L791,0)</f>
        <v>0</v>
      </c>
      <c r="AN791" s="14">
        <v>21</v>
      </c>
      <c r="AO791" s="92">
        <f>H791*0.705038961038961</f>
        <v>0</v>
      </c>
      <c r="AP791" s="92">
        <f>H791*(1-0.705038961038961)</f>
        <v>0</v>
      </c>
      <c r="AQ791" s="55" t="s">
        <v>2422</v>
      </c>
      <c r="AV791" s="14">
        <f>AW791+AX791</f>
        <v>0</v>
      </c>
      <c r="AW791" s="14">
        <f>G791*AO791</f>
        <v>0</v>
      </c>
      <c r="AX791" s="14">
        <f>G791*AP791</f>
        <v>0</v>
      </c>
      <c r="AY791" s="55" t="s">
        <v>1075</v>
      </c>
      <c r="AZ791" s="55" t="s">
        <v>159</v>
      </c>
      <c r="BA791" s="15" t="s">
        <v>1982</v>
      </c>
      <c r="BC791" s="14">
        <f>AW791+AX791</f>
        <v>0</v>
      </c>
      <c r="BD791" s="14">
        <f>H791/(100-BE791)*100</f>
        <v>0</v>
      </c>
      <c r="BE791" s="14">
        <v>0</v>
      </c>
      <c r="BF791" s="14">
        <f>O791</f>
        <v>1.64994</v>
      </c>
      <c r="BH791" s="14">
        <f>G791*AO791</f>
        <v>0</v>
      </c>
      <c r="BI791" s="14">
        <f>G791*AP791</f>
        <v>0</v>
      </c>
      <c r="BJ791" s="14">
        <f>G791*H791</f>
        <v>0</v>
      </c>
      <c r="BK791" s="14"/>
      <c r="BL791" s="14">
        <v>62</v>
      </c>
      <c r="BW791" s="14" t="str">
        <f>I791</f>
        <v>21</v>
      </c>
    </row>
    <row r="792" spans="1:75" ht="15" customHeight="1">
      <c r="A792" s="32"/>
      <c r="D792" s="3" t="s">
        <v>1004</v>
      </c>
      <c r="E792" s="28" t="s">
        <v>1380</v>
      </c>
      <c r="G792" s="27">
        <v>70</v>
      </c>
      <c r="P792" s="33"/>
    </row>
    <row r="793" spans="1:75" ht="15" customHeight="1">
      <c r="A793" s="32"/>
      <c r="D793" s="3" t="s">
        <v>2394</v>
      </c>
      <c r="E793" s="28" t="s">
        <v>1012</v>
      </c>
      <c r="G793" s="27">
        <v>37</v>
      </c>
      <c r="P793" s="33"/>
    </row>
    <row r="794" spans="1:75" ht="13.5" customHeight="1">
      <c r="A794" s="21" t="s">
        <v>2719</v>
      </c>
      <c r="B794" s="37" t="s">
        <v>557</v>
      </c>
      <c r="C794" s="37" t="s">
        <v>1090</v>
      </c>
      <c r="D794" s="578" t="s">
        <v>1793</v>
      </c>
      <c r="E794" s="579"/>
      <c r="F794" s="37" t="s">
        <v>2398</v>
      </c>
      <c r="G794" s="14">
        <v>35</v>
      </c>
      <c r="H794" s="569"/>
      <c r="I794" s="55" t="s">
        <v>1720</v>
      </c>
      <c r="J794" s="14">
        <f>G794*AO794</f>
        <v>0</v>
      </c>
      <c r="K794" s="14">
        <f>G794*AP794</f>
        <v>0</v>
      </c>
      <c r="L794" s="14">
        <f>G794*H794</f>
        <v>0</v>
      </c>
      <c r="M794" s="14">
        <f>L794*(1+BW794/100)</f>
        <v>0</v>
      </c>
      <c r="N794" s="14">
        <v>0</v>
      </c>
      <c r="O794" s="14">
        <f>G794*N794</f>
        <v>0</v>
      </c>
      <c r="P794" s="72" t="s">
        <v>1664</v>
      </c>
      <c r="Z794" s="14">
        <f>IF(AQ794="5",BJ794,0)</f>
        <v>0</v>
      </c>
      <c r="AB794" s="14">
        <f>IF(AQ794="1",BH794,0)</f>
        <v>0</v>
      </c>
      <c r="AC794" s="14">
        <f>IF(AQ794="1",BI794,0)</f>
        <v>0</v>
      </c>
      <c r="AD794" s="14">
        <f>IF(AQ794="7",BH794,0)</f>
        <v>0</v>
      </c>
      <c r="AE794" s="14">
        <f>IF(AQ794="7",BI794,0)</f>
        <v>0</v>
      </c>
      <c r="AF794" s="14">
        <f>IF(AQ794="2",BH794,0)</f>
        <v>0</v>
      </c>
      <c r="AG794" s="14">
        <f>IF(AQ794="2",BI794,0)</f>
        <v>0</v>
      </c>
      <c r="AH794" s="14">
        <f>IF(AQ794="0",BJ794,0)</f>
        <v>0</v>
      </c>
      <c r="AI794" s="15" t="s">
        <v>557</v>
      </c>
      <c r="AJ794" s="14">
        <f>IF(AN794=0,L794,0)</f>
        <v>0</v>
      </c>
      <c r="AK794" s="14">
        <f>IF(AN794=15,L794,0)</f>
        <v>0</v>
      </c>
      <c r="AL794" s="14">
        <f>IF(AN794=21,L794,0)</f>
        <v>0</v>
      </c>
      <c r="AN794" s="14">
        <v>21</v>
      </c>
      <c r="AO794" s="92">
        <f>H794*0</f>
        <v>0</v>
      </c>
      <c r="AP794" s="92">
        <f>H794*(1-0)</f>
        <v>0</v>
      </c>
      <c r="AQ794" s="55" t="s">
        <v>2422</v>
      </c>
      <c r="AV794" s="14">
        <f>AW794+AX794</f>
        <v>0</v>
      </c>
      <c r="AW794" s="14">
        <f>G794*AO794</f>
        <v>0</v>
      </c>
      <c r="AX794" s="14">
        <f>G794*AP794</f>
        <v>0</v>
      </c>
      <c r="AY794" s="55" t="s">
        <v>1075</v>
      </c>
      <c r="AZ794" s="55" t="s">
        <v>159</v>
      </c>
      <c r="BA794" s="15" t="s">
        <v>1982</v>
      </c>
      <c r="BC794" s="14">
        <f>AW794+AX794</f>
        <v>0</v>
      </c>
      <c r="BD794" s="14">
        <f>H794/(100-BE794)*100</f>
        <v>0</v>
      </c>
      <c r="BE794" s="14">
        <v>0</v>
      </c>
      <c r="BF794" s="14">
        <f>O794</f>
        <v>0</v>
      </c>
      <c r="BH794" s="14">
        <f>G794*AO794</f>
        <v>0</v>
      </c>
      <c r="BI794" s="14">
        <f>G794*AP794</f>
        <v>0</v>
      </c>
      <c r="BJ794" s="14">
        <f>G794*H794</f>
        <v>0</v>
      </c>
      <c r="BK794" s="14"/>
      <c r="BL794" s="14">
        <v>62</v>
      </c>
      <c r="BW794" s="14" t="str">
        <f>I794</f>
        <v>21</v>
      </c>
    </row>
    <row r="795" spans="1:75" ht="15" customHeight="1">
      <c r="A795" s="32"/>
      <c r="D795" s="3" t="s">
        <v>2166</v>
      </c>
      <c r="E795" s="28" t="s">
        <v>1722</v>
      </c>
      <c r="G795" s="27">
        <v>35</v>
      </c>
      <c r="P795" s="33"/>
    </row>
    <row r="796" spans="1:75" ht="13.5" customHeight="1">
      <c r="A796" s="20" t="s">
        <v>1376</v>
      </c>
      <c r="B796" s="84" t="s">
        <v>557</v>
      </c>
      <c r="C796" s="84" t="s">
        <v>2009</v>
      </c>
      <c r="D796" s="653" t="s">
        <v>57</v>
      </c>
      <c r="E796" s="654"/>
      <c r="F796" s="84" t="s">
        <v>2398</v>
      </c>
      <c r="G796" s="6">
        <v>35</v>
      </c>
      <c r="H796" s="570"/>
      <c r="I796" s="18" t="s">
        <v>1720</v>
      </c>
      <c r="J796" s="6">
        <f>G796*AO796</f>
        <v>0</v>
      </c>
      <c r="K796" s="6">
        <f>G796*AP796</f>
        <v>0</v>
      </c>
      <c r="L796" s="6">
        <f>G796*H796</f>
        <v>0</v>
      </c>
      <c r="M796" s="6">
        <f>L796*(1+BW796/100)</f>
        <v>0</v>
      </c>
      <c r="N796" s="6">
        <v>3.5999999999999999E-3</v>
      </c>
      <c r="O796" s="6">
        <f>G796*N796</f>
        <v>0.126</v>
      </c>
      <c r="P796" s="109" t="s">
        <v>1664</v>
      </c>
      <c r="Z796" s="14">
        <f>IF(AQ796="5",BJ796,0)</f>
        <v>0</v>
      </c>
      <c r="AB796" s="14">
        <f>IF(AQ796="1",BH796,0)</f>
        <v>0</v>
      </c>
      <c r="AC796" s="14">
        <f>IF(AQ796="1",BI796,0)</f>
        <v>0</v>
      </c>
      <c r="AD796" s="14">
        <f>IF(AQ796="7",BH796,0)</f>
        <v>0</v>
      </c>
      <c r="AE796" s="14">
        <f>IF(AQ796="7",BI796,0)</f>
        <v>0</v>
      </c>
      <c r="AF796" s="14">
        <f>IF(AQ796="2",BH796,0)</f>
        <v>0</v>
      </c>
      <c r="AG796" s="14">
        <f>IF(AQ796="2",BI796,0)</f>
        <v>0</v>
      </c>
      <c r="AH796" s="14">
        <f>IF(AQ796="0",BJ796,0)</f>
        <v>0</v>
      </c>
      <c r="AI796" s="15" t="s">
        <v>557</v>
      </c>
      <c r="AJ796" s="6">
        <f>IF(AN796=0,L796,0)</f>
        <v>0</v>
      </c>
      <c r="AK796" s="6">
        <f>IF(AN796=15,L796,0)</f>
        <v>0</v>
      </c>
      <c r="AL796" s="6">
        <f>IF(AN796=21,L796,0)</f>
        <v>0</v>
      </c>
      <c r="AN796" s="14">
        <v>21</v>
      </c>
      <c r="AO796" s="92">
        <f>H796*1</f>
        <v>0</v>
      </c>
      <c r="AP796" s="92">
        <f>H796*(1-1)</f>
        <v>0</v>
      </c>
      <c r="AQ796" s="18" t="s">
        <v>2422</v>
      </c>
      <c r="AV796" s="14">
        <f>AW796+AX796</f>
        <v>0</v>
      </c>
      <c r="AW796" s="14">
        <f>G796*AO796</f>
        <v>0</v>
      </c>
      <c r="AX796" s="14">
        <f>G796*AP796</f>
        <v>0</v>
      </c>
      <c r="AY796" s="55" t="s">
        <v>1075</v>
      </c>
      <c r="AZ796" s="55" t="s">
        <v>159</v>
      </c>
      <c r="BA796" s="15" t="s">
        <v>1982</v>
      </c>
      <c r="BC796" s="14">
        <f>AW796+AX796</f>
        <v>0</v>
      </c>
      <c r="BD796" s="14">
        <f>H796/(100-BE796)*100</f>
        <v>0</v>
      </c>
      <c r="BE796" s="14">
        <v>0</v>
      </c>
      <c r="BF796" s="14">
        <f>O796</f>
        <v>0.126</v>
      </c>
      <c r="BH796" s="6">
        <f>G796*AO796</f>
        <v>0</v>
      </c>
      <c r="BI796" s="6">
        <f>G796*AP796</f>
        <v>0</v>
      </c>
      <c r="BJ796" s="6">
        <f>G796*H796</f>
        <v>0</v>
      </c>
      <c r="BK796" s="6"/>
      <c r="BL796" s="14">
        <v>62</v>
      </c>
      <c r="BW796" s="14" t="str">
        <f>I796</f>
        <v>21</v>
      </c>
    </row>
    <row r="797" spans="1:75" ht="15" customHeight="1">
      <c r="A797" s="32"/>
      <c r="D797" s="3" t="s">
        <v>2166</v>
      </c>
      <c r="E797" s="28" t="s">
        <v>1683</v>
      </c>
      <c r="G797" s="27">
        <v>35</v>
      </c>
      <c r="P797" s="33"/>
    </row>
    <row r="798" spans="1:75" ht="13.5" customHeight="1">
      <c r="A798" s="21" t="s">
        <v>2658</v>
      </c>
      <c r="B798" s="37" t="s">
        <v>557</v>
      </c>
      <c r="C798" s="37" t="s">
        <v>2018</v>
      </c>
      <c r="D798" s="578" t="s">
        <v>494</v>
      </c>
      <c r="E798" s="579"/>
      <c r="F798" s="37" t="s">
        <v>2398</v>
      </c>
      <c r="G798" s="14">
        <v>70</v>
      </c>
      <c r="H798" s="569"/>
      <c r="I798" s="55" t="s">
        <v>1720</v>
      </c>
      <c r="J798" s="14">
        <f>G798*AO798</f>
        <v>0</v>
      </c>
      <c r="K798" s="14">
        <f>G798*AP798</f>
        <v>0</v>
      </c>
      <c r="L798" s="14">
        <f>G798*H798</f>
        <v>0</v>
      </c>
      <c r="M798" s="14">
        <f>L798*(1+BW798/100)</f>
        <v>0</v>
      </c>
      <c r="N798" s="14">
        <v>0</v>
      </c>
      <c r="O798" s="14">
        <f>G798*N798</f>
        <v>0</v>
      </c>
      <c r="P798" s="72" t="s">
        <v>1664</v>
      </c>
      <c r="Z798" s="14">
        <f>IF(AQ798="5",BJ798,0)</f>
        <v>0</v>
      </c>
      <c r="AB798" s="14">
        <f>IF(AQ798="1",BH798,0)</f>
        <v>0</v>
      </c>
      <c r="AC798" s="14">
        <f>IF(AQ798="1",BI798,0)</f>
        <v>0</v>
      </c>
      <c r="AD798" s="14">
        <f>IF(AQ798="7",BH798,0)</f>
        <v>0</v>
      </c>
      <c r="AE798" s="14">
        <f>IF(AQ798="7",BI798,0)</f>
        <v>0</v>
      </c>
      <c r="AF798" s="14">
        <f>IF(AQ798="2",BH798,0)</f>
        <v>0</v>
      </c>
      <c r="AG798" s="14">
        <f>IF(AQ798="2",BI798,0)</f>
        <v>0</v>
      </c>
      <c r="AH798" s="14">
        <f>IF(AQ798="0",BJ798,0)</f>
        <v>0</v>
      </c>
      <c r="AI798" s="15" t="s">
        <v>557</v>
      </c>
      <c r="AJ798" s="14">
        <f>IF(AN798=0,L798,0)</f>
        <v>0</v>
      </c>
      <c r="AK798" s="14">
        <f>IF(AN798=15,L798,0)</f>
        <v>0</v>
      </c>
      <c r="AL798" s="14">
        <f>IF(AN798=21,L798,0)</f>
        <v>0</v>
      </c>
      <c r="AN798" s="14">
        <v>21</v>
      </c>
      <c r="AO798" s="92">
        <f>H798*1</f>
        <v>0</v>
      </c>
      <c r="AP798" s="92">
        <f>H798*(1-1)</f>
        <v>0</v>
      </c>
      <c r="AQ798" s="55" t="s">
        <v>2422</v>
      </c>
      <c r="AV798" s="14">
        <f>AW798+AX798</f>
        <v>0</v>
      </c>
      <c r="AW798" s="14">
        <f>G798*AO798</f>
        <v>0</v>
      </c>
      <c r="AX798" s="14">
        <f>G798*AP798</f>
        <v>0</v>
      </c>
      <c r="AY798" s="55" t="s">
        <v>1075</v>
      </c>
      <c r="AZ798" s="55" t="s">
        <v>159</v>
      </c>
      <c r="BA798" s="15" t="s">
        <v>1982</v>
      </c>
      <c r="BC798" s="14">
        <f>AW798+AX798</f>
        <v>0</v>
      </c>
      <c r="BD798" s="14">
        <f>H798/(100-BE798)*100</f>
        <v>0</v>
      </c>
      <c r="BE798" s="14">
        <v>0</v>
      </c>
      <c r="BF798" s="14">
        <f>O798</f>
        <v>0</v>
      </c>
      <c r="BH798" s="14">
        <f>G798*AO798</f>
        <v>0</v>
      </c>
      <c r="BI798" s="14">
        <f>G798*AP798</f>
        <v>0</v>
      </c>
      <c r="BJ798" s="14">
        <f>G798*H798</f>
        <v>0</v>
      </c>
      <c r="BK798" s="14"/>
      <c r="BL798" s="14">
        <v>62</v>
      </c>
      <c r="BW798" s="14" t="str">
        <f>I798</f>
        <v>21</v>
      </c>
    </row>
    <row r="799" spans="1:75" ht="15" customHeight="1">
      <c r="A799" s="32"/>
      <c r="D799" s="3" t="s">
        <v>1919</v>
      </c>
      <c r="E799" s="28" t="s">
        <v>1683</v>
      </c>
      <c r="G799" s="27">
        <v>70</v>
      </c>
      <c r="P799" s="33"/>
    </row>
    <row r="800" spans="1:75" ht="13.5" customHeight="1">
      <c r="A800" s="21" t="s">
        <v>513</v>
      </c>
      <c r="B800" s="37" t="s">
        <v>557</v>
      </c>
      <c r="C800" s="37" t="s">
        <v>1069</v>
      </c>
      <c r="D800" s="578" t="s">
        <v>686</v>
      </c>
      <c r="E800" s="579"/>
      <c r="F800" s="37" t="s">
        <v>2398</v>
      </c>
      <c r="G800" s="14">
        <v>8</v>
      </c>
      <c r="H800" s="569"/>
      <c r="I800" s="55" t="s">
        <v>1720</v>
      </c>
      <c r="J800" s="14">
        <f>G800*AO800</f>
        <v>0</v>
      </c>
      <c r="K800" s="14">
        <f>G800*AP800</f>
        <v>0</v>
      </c>
      <c r="L800" s="14">
        <f>G800*H800</f>
        <v>0</v>
      </c>
      <c r="M800" s="14">
        <f>L800*(1+BW800/100)</f>
        <v>0</v>
      </c>
      <c r="N800" s="14">
        <v>2.4309999999999998E-2</v>
      </c>
      <c r="O800" s="14">
        <f>G800*N800</f>
        <v>0.19447999999999999</v>
      </c>
      <c r="P800" s="72" t="s">
        <v>1664</v>
      </c>
      <c r="Z800" s="14">
        <f>IF(AQ800="5",BJ800,0)</f>
        <v>0</v>
      </c>
      <c r="AB800" s="14">
        <f>IF(AQ800="1",BH800,0)</f>
        <v>0</v>
      </c>
      <c r="AC800" s="14">
        <f>IF(AQ800="1",BI800,0)</f>
        <v>0</v>
      </c>
      <c r="AD800" s="14">
        <f>IF(AQ800="7",BH800,0)</f>
        <v>0</v>
      </c>
      <c r="AE800" s="14">
        <f>IF(AQ800="7",BI800,0)</f>
        <v>0</v>
      </c>
      <c r="AF800" s="14">
        <f>IF(AQ800="2",BH800,0)</f>
        <v>0</v>
      </c>
      <c r="AG800" s="14">
        <f>IF(AQ800="2",BI800,0)</f>
        <v>0</v>
      </c>
      <c r="AH800" s="14">
        <f>IF(AQ800="0",BJ800,0)</f>
        <v>0</v>
      </c>
      <c r="AI800" s="15" t="s">
        <v>557</v>
      </c>
      <c r="AJ800" s="14">
        <f>IF(AN800=0,L800,0)</f>
        <v>0</v>
      </c>
      <c r="AK800" s="14">
        <f>IF(AN800=15,L800,0)</f>
        <v>0</v>
      </c>
      <c r="AL800" s="14">
        <f>IF(AN800=21,L800,0)</f>
        <v>0</v>
      </c>
      <c r="AN800" s="14">
        <v>21</v>
      </c>
      <c r="AO800" s="92">
        <f>H800*0.411530685920578</f>
        <v>0</v>
      </c>
      <c r="AP800" s="92">
        <f>H800*(1-0.411530685920578)</f>
        <v>0</v>
      </c>
      <c r="AQ800" s="55" t="s">
        <v>2422</v>
      </c>
      <c r="AV800" s="14">
        <f>AW800+AX800</f>
        <v>0</v>
      </c>
      <c r="AW800" s="14">
        <f>G800*AO800</f>
        <v>0</v>
      </c>
      <c r="AX800" s="14">
        <f>G800*AP800</f>
        <v>0</v>
      </c>
      <c r="AY800" s="55" t="s">
        <v>1075</v>
      </c>
      <c r="AZ800" s="55" t="s">
        <v>159</v>
      </c>
      <c r="BA800" s="15" t="s">
        <v>1982</v>
      </c>
      <c r="BC800" s="14">
        <f>AW800+AX800</f>
        <v>0</v>
      </c>
      <c r="BD800" s="14">
        <f>H800/(100-BE800)*100</f>
        <v>0</v>
      </c>
      <c r="BE800" s="14">
        <v>0</v>
      </c>
      <c r="BF800" s="14">
        <f>O800</f>
        <v>0.19447999999999999</v>
      </c>
      <c r="BH800" s="14">
        <f>G800*AO800</f>
        <v>0</v>
      </c>
      <c r="BI800" s="14">
        <f>G800*AP800</f>
        <v>0</v>
      </c>
      <c r="BJ800" s="14">
        <f>G800*H800</f>
        <v>0</v>
      </c>
      <c r="BK800" s="14"/>
      <c r="BL800" s="14">
        <v>62</v>
      </c>
      <c r="BW800" s="14" t="str">
        <f>I800</f>
        <v>21</v>
      </c>
    </row>
    <row r="801" spans="1:75" ht="15" customHeight="1">
      <c r="A801" s="32"/>
      <c r="D801" s="3" t="s">
        <v>1924</v>
      </c>
      <c r="E801" s="28" t="s">
        <v>1683</v>
      </c>
      <c r="G801" s="27">
        <v>8</v>
      </c>
      <c r="P801" s="33"/>
    </row>
    <row r="802" spans="1:75" ht="40.5" customHeight="1">
      <c r="A802" s="21" t="s">
        <v>1456</v>
      </c>
      <c r="B802" s="37" t="s">
        <v>557</v>
      </c>
      <c r="C802" s="37" t="s">
        <v>378</v>
      </c>
      <c r="D802" s="578" t="s">
        <v>1614</v>
      </c>
      <c r="E802" s="579"/>
      <c r="F802" s="37" t="s">
        <v>2398</v>
      </c>
      <c r="G802" s="14">
        <v>85.05</v>
      </c>
      <c r="H802" s="569"/>
      <c r="I802" s="55" t="s">
        <v>1720</v>
      </c>
      <c r="J802" s="14">
        <f>G802*AO802</f>
        <v>0</v>
      </c>
      <c r="K802" s="14">
        <f>G802*AP802</f>
        <v>0</v>
      </c>
      <c r="L802" s="14">
        <f>G802*H802</f>
        <v>0</v>
      </c>
      <c r="M802" s="14">
        <f>L802*(1+BW802/100)</f>
        <v>0</v>
      </c>
      <c r="N802" s="14">
        <v>1.542E-2</v>
      </c>
      <c r="O802" s="14">
        <f>G802*N802</f>
        <v>1.3114709999999998</v>
      </c>
      <c r="P802" s="72" t="s">
        <v>1664</v>
      </c>
      <c r="Z802" s="14">
        <f>IF(AQ802="5",BJ802,0)</f>
        <v>0</v>
      </c>
      <c r="AB802" s="14">
        <f>IF(AQ802="1",BH802,0)</f>
        <v>0</v>
      </c>
      <c r="AC802" s="14">
        <f>IF(AQ802="1",BI802,0)</f>
        <v>0</v>
      </c>
      <c r="AD802" s="14">
        <f>IF(AQ802="7",BH802,0)</f>
        <v>0</v>
      </c>
      <c r="AE802" s="14">
        <f>IF(AQ802="7",BI802,0)</f>
        <v>0</v>
      </c>
      <c r="AF802" s="14">
        <f>IF(AQ802="2",BH802,0)</f>
        <v>0</v>
      </c>
      <c r="AG802" s="14">
        <f>IF(AQ802="2",BI802,0)</f>
        <v>0</v>
      </c>
      <c r="AH802" s="14">
        <f>IF(AQ802="0",BJ802,0)</f>
        <v>0</v>
      </c>
      <c r="AI802" s="15" t="s">
        <v>557</v>
      </c>
      <c r="AJ802" s="14">
        <f>IF(AN802=0,L802,0)</f>
        <v>0</v>
      </c>
      <c r="AK802" s="14">
        <f>IF(AN802=15,L802,0)</f>
        <v>0</v>
      </c>
      <c r="AL802" s="14">
        <f>IF(AN802=21,L802,0)</f>
        <v>0</v>
      </c>
      <c r="AN802" s="14">
        <v>21</v>
      </c>
      <c r="AO802" s="92">
        <f>H802*0.661014925373134</f>
        <v>0</v>
      </c>
      <c r="AP802" s="92">
        <f>H802*(1-0.661014925373134)</f>
        <v>0</v>
      </c>
      <c r="AQ802" s="55" t="s">
        <v>2422</v>
      </c>
      <c r="AV802" s="14">
        <f>AW802+AX802</f>
        <v>0</v>
      </c>
      <c r="AW802" s="14">
        <f>G802*AO802</f>
        <v>0</v>
      </c>
      <c r="AX802" s="14">
        <f>G802*AP802</f>
        <v>0</v>
      </c>
      <c r="AY802" s="55" t="s">
        <v>1075</v>
      </c>
      <c r="AZ802" s="55" t="s">
        <v>159</v>
      </c>
      <c r="BA802" s="15" t="s">
        <v>1982</v>
      </c>
      <c r="BC802" s="14">
        <f>AW802+AX802</f>
        <v>0</v>
      </c>
      <c r="BD802" s="14">
        <f>H802/(100-BE802)*100</f>
        <v>0</v>
      </c>
      <c r="BE802" s="14">
        <v>0</v>
      </c>
      <c r="BF802" s="14">
        <f>O802</f>
        <v>1.3114709999999998</v>
      </c>
      <c r="BH802" s="14">
        <f>G802*AO802</f>
        <v>0</v>
      </c>
      <c r="BI802" s="14">
        <f>G802*AP802</f>
        <v>0</v>
      </c>
      <c r="BJ802" s="14">
        <f>G802*H802</f>
        <v>0</v>
      </c>
      <c r="BK802" s="14"/>
      <c r="BL802" s="14">
        <v>62</v>
      </c>
      <c r="BW802" s="14" t="str">
        <f>I802</f>
        <v>21</v>
      </c>
    </row>
    <row r="803" spans="1:75" ht="15" customHeight="1">
      <c r="A803" s="32"/>
      <c r="D803" s="3" t="s">
        <v>1474</v>
      </c>
      <c r="E803" s="28" t="s">
        <v>2471</v>
      </c>
      <c r="G803" s="27">
        <v>85.050000000000011</v>
      </c>
      <c r="P803" s="33"/>
    </row>
    <row r="804" spans="1:75" ht="15" customHeight="1">
      <c r="A804" s="65" t="s">
        <v>1683</v>
      </c>
      <c r="B804" s="26" t="s">
        <v>557</v>
      </c>
      <c r="C804" s="26" t="s">
        <v>555</v>
      </c>
      <c r="D804" s="649" t="s">
        <v>2466</v>
      </c>
      <c r="E804" s="650"/>
      <c r="F804" s="74" t="s">
        <v>2262</v>
      </c>
      <c r="G804" s="74" t="s">
        <v>2262</v>
      </c>
      <c r="H804" s="74" t="s">
        <v>2262</v>
      </c>
      <c r="I804" s="74" t="s">
        <v>2262</v>
      </c>
      <c r="J804" s="2">
        <f>SUM(J805:J810)</f>
        <v>0</v>
      </c>
      <c r="K804" s="2">
        <f>SUM(K805:K810)</f>
        <v>0</v>
      </c>
      <c r="L804" s="2">
        <f>SUM(L805:L810)</f>
        <v>0</v>
      </c>
      <c r="M804" s="2">
        <f>SUM(M805:M810)</f>
        <v>0</v>
      </c>
      <c r="N804" s="15" t="s">
        <v>1683</v>
      </c>
      <c r="O804" s="2">
        <f>SUM(O805:O810)</f>
        <v>17.238520000000001</v>
      </c>
      <c r="P804" s="47" t="s">
        <v>1683</v>
      </c>
      <c r="AI804" s="15" t="s">
        <v>557</v>
      </c>
      <c r="AS804" s="2">
        <f>SUM(AJ805:AJ810)</f>
        <v>0</v>
      </c>
      <c r="AT804" s="2">
        <f>SUM(AK805:AK810)</f>
        <v>0</v>
      </c>
      <c r="AU804" s="2">
        <f>SUM(AL805:AL810)</f>
        <v>0</v>
      </c>
    </row>
    <row r="805" spans="1:75" ht="13.5" customHeight="1">
      <c r="A805" s="21" t="s">
        <v>1819</v>
      </c>
      <c r="B805" s="37" t="s">
        <v>557</v>
      </c>
      <c r="C805" s="37" t="s">
        <v>1658</v>
      </c>
      <c r="D805" s="578" t="s">
        <v>2481</v>
      </c>
      <c r="E805" s="579"/>
      <c r="F805" s="37" t="s">
        <v>2398</v>
      </c>
      <c r="G805" s="14">
        <v>28</v>
      </c>
      <c r="H805" s="569"/>
      <c r="I805" s="55" t="s">
        <v>1720</v>
      </c>
      <c r="J805" s="14">
        <f>G805*AO805</f>
        <v>0</v>
      </c>
      <c r="K805" s="14">
        <f>G805*AP805</f>
        <v>0</v>
      </c>
      <c r="L805" s="14">
        <f>G805*H805</f>
        <v>0</v>
      </c>
      <c r="M805" s="14">
        <f>L805*(1+BW805/100)</f>
        <v>0</v>
      </c>
      <c r="N805" s="14">
        <v>5.2500000000000003E-3</v>
      </c>
      <c r="O805" s="14">
        <f>G805*N805</f>
        <v>0.14700000000000002</v>
      </c>
      <c r="P805" s="72" t="s">
        <v>1664</v>
      </c>
      <c r="Z805" s="14">
        <f>IF(AQ805="5",BJ805,0)</f>
        <v>0</v>
      </c>
      <c r="AB805" s="14">
        <f>IF(AQ805="1",BH805,0)</f>
        <v>0</v>
      </c>
      <c r="AC805" s="14">
        <f>IF(AQ805="1",BI805,0)</f>
        <v>0</v>
      </c>
      <c r="AD805" s="14">
        <f>IF(AQ805="7",BH805,0)</f>
        <v>0</v>
      </c>
      <c r="AE805" s="14">
        <f>IF(AQ805="7",BI805,0)</f>
        <v>0</v>
      </c>
      <c r="AF805" s="14">
        <f>IF(AQ805="2",BH805,0)</f>
        <v>0</v>
      </c>
      <c r="AG805" s="14">
        <f>IF(AQ805="2",BI805,0)</f>
        <v>0</v>
      </c>
      <c r="AH805" s="14">
        <f>IF(AQ805="0",BJ805,0)</f>
        <v>0</v>
      </c>
      <c r="AI805" s="15" t="s">
        <v>557</v>
      </c>
      <c r="AJ805" s="14">
        <f>IF(AN805=0,L805,0)</f>
        <v>0</v>
      </c>
      <c r="AK805" s="14">
        <f>IF(AN805=15,L805,0)</f>
        <v>0</v>
      </c>
      <c r="AL805" s="14">
        <f>IF(AN805=21,L805,0)</f>
        <v>0</v>
      </c>
      <c r="AN805" s="14">
        <v>21</v>
      </c>
      <c r="AO805" s="92">
        <f>H805*0.910067137809187</f>
        <v>0</v>
      </c>
      <c r="AP805" s="92">
        <f>H805*(1-0.910067137809187)</f>
        <v>0</v>
      </c>
      <c r="AQ805" s="55" t="s">
        <v>2422</v>
      </c>
      <c r="AV805" s="14">
        <f>AW805+AX805</f>
        <v>0</v>
      </c>
      <c r="AW805" s="14">
        <f>G805*AO805</f>
        <v>0</v>
      </c>
      <c r="AX805" s="14">
        <f>G805*AP805</f>
        <v>0</v>
      </c>
      <c r="AY805" s="55" t="s">
        <v>2238</v>
      </c>
      <c r="AZ805" s="55" t="s">
        <v>159</v>
      </c>
      <c r="BA805" s="15" t="s">
        <v>1982</v>
      </c>
      <c r="BC805" s="14">
        <f>AW805+AX805</f>
        <v>0</v>
      </c>
      <c r="BD805" s="14">
        <f>H805/(100-BE805)*100</f>
        <v>0</v>
      </c>
      <c r="BE805" s="14">
        <v>0</v>
      </c>
      <c r="BF805" s="14">
        <f>O805</f>
        <v>0.14700000000000002</v>
      </c>
      <c r="BH805" s="14">
        <f>G805*AO805</f>
        <v>0</v>
      </c>
      <c r="BI805" s="14">
        <f>G805*AP805</f>
        <v>0</v>
      </c>
      <c r="BJ805" s="14">
        <f>G805*H805</f>
        <v>0</v>
      </c>
      <c r="BK805" s="14"/>
      <c r="BL805" s="14">
        <v>63</v>
      </c>
      <c r="BW805" s="14" t="str">
        <f>I805</f>
        <v>21</v>
      </c>
    </row>
    <row r="806" spans="1:75" ht="15" customHeight="1">
      <c r="A806" s="32"/>
      <c r="D806" s="3" t="s">
        <v>1018</v>
      </c>
      <c r="E806" s="28" t="s">
        <v>677</v>
      </c>
      <c r="G806" s="27">
        <v>28.000000000000004</v>
      </c>
      <c r="P806" s="33"/>
    </row>
    <row r="807" spans="1:75" ht="13.5" customHeight="1">
      <c r="A807" s="20" t="s">
        <v>421</v>
      </c>
      <c r="B807" s="84" t="s">
        <v>557</v>
      </c>
      <c r="C807" s="84" t="s">
        <v>385</v>
      </c>
      <c r="D807" s="653" t="s">
        <v>2383</v>
      </c>
      <c r="E807" s="654"/>
      <c r="F807" s="84" t="s">
        <v>2398</v>
      </c>
      <c r="G807" s="6">
        <v>33.6</v>
      </c>
      <c r="H807" s="570"/>
      <c r="I807" s="18" t="s">
        <v>1720</v>
      </c>
      <c r="J807" s="6">
        <f>G807*AO807</f>
        <v>0</v>
      </c>
      <c r="K807" s="6">
        <f>G807*AP807</f>
        <v>0</v>
      </c>
      <c r="L807" s="6">
        <f>G807*H807</f>
        <v>0</v>
      </c>
      <c r="M807" s="6">
        <f>L807*(1+BW807/100)</f>
        <v>0</v>
      </c>
      <c r="N807" s="6">
        <v>1.8200000000000001E-2</v>
      </c>
      <c r="O807" s="6">
        <f>G807*N807</f>
        <v>0.61152000000000006</v>
      </c>
      <c r="P807" s="109" t="s">
        <v>1664</v>
      </c>
      <c r="Z807" s="14">
        <f>IF(AQ807="5",BJ807,0)</f>
        <v>0</v>
      </c>
      <c r="AB807" s="14">
        <f>IF(AQ807="1",BH807,0)</f>
        <v>0</v>
      </c>
      <c r="AC807" s="14">
        <f>IF(AQ807="1",BI807,0)</f>
        <v>0</v>
      </c>
      <c r="AD807" s="14">
        <f>IF(AQ807="7",BH807,0)</f>
        <v>0</v>
      </c>
      <c r="AE807" s="14">
        <f>IF(AQ807="7",BI807,0)</f>
        <v>0</v>
      </c>
      <c r="AF807" s="14">
        <f>IF(AQ807="2",BH807,0)</f>
        <v>0</v>
      </c>
      <c r="AG807" s="14">
        <f>IF(AQ807="2",BI807,0)</f>
        <v>0</v>
      </c>
      <c r="AH807" s="14">
        <f>IF(AQ807="0",BJ807,0)</f>
        <v>0</v>
      </c>
      <c r="AI807" s="15" t="s">
        <v>557</v>
      </c>
      <c r="AJ807" s="6">
        <f>IF(AN807=0,L807,0)</f>
        <v>0</v>
      </c>
      <c r="AK807" s="6">
        <f>IF(AN807=15,L807,0)</f>
        <v>0</v>
      </c>
      <c r="AL807" s="6">
        <f>IF(AN807=21,L807,0)</f>
        <v>0</v>
      </c>
      <c r="AN807" s="14">
        <v>21</v>
      </c>
      <c r="AO807" s="92">
        <f>H807*1</f>
        <v>0</v>
      </c>
      <c r="AP807" s="92">
        <f>H807*(1-1)</f>
        <v>0</v>
      </c>
      <c r="AQ807" s="18" t="s">
        <v>2422</v>
      </c>
      <c r="AV807" s="14">
        <f>AW807+AX807</f>
        <v>0</v>
      </c>
      <c r="AW807" s="14">
        <f>G807*AO807</f>
        <v>0</v>
      </c>
      <c r="AX807" s="14">
        <f>G807*AP807</f>
        <v>0</v>
      </c>
      <c r="AY807" s="55" t="s">
        <v>2238</v>
      </c>
      <c r="AZ807" s="55" t="s">
        <v>159</v>
      </c>
      <c r="BA807" s="15" t="s">
        <v>1982</v>
      </c>
      <c r="BC807" s="14">
        <f>AW807+AX807</f>
        <v>0</v>
      </c>
      <c r="BD807" s="14">
        <f>H807/(100-BE807)*100</f>
        <v>0</v>
      </c>
      <c r="BE807" s="14">
        <v>0</v>
      </c>
      <c r="BF807" s="14">
        <f>O807</f>
        <v>0.61152000000000006</v>
      </c>
      <c r="BH807" s="6">
        <f>G807*AO807</f>
        <v>0</v>
      </c>
      <c r="BI807" s="6">
        <f>G807*AP807</f>
        <v>0</v>
      </c>
      <c r="BJ807" s="6">
        <f>G807*H807</f>
        <v>0</v>
      </c>
      <c r="BK807" s="6"/>
      <c r="BL807" s="14">
        <v>63</v>
      </c>
      <c r="BW807" s="14" t="str">
        <f>I807</f>
        <v>21</v>
      </c>
    </row>
    <row r="808" spans="1:75" ht="15" customHeight="1">
      <c r="A808" s="32"/>
      <c r="D808" s="3" t="s">
        <v>2665</v>
      </c>
      <c r="E808" s="28" t="s">
        <v>1683</v>
      </c>
      <c r="G808" s="27">
        <v>28.000000000000004</v>
      </c>
      <c r="P808" s="33"/>
    </row>
    <row r="809" spans="1:75" ht="15" customHeight="1">
      <c r="A809" s="32"/>
      <c r="D809" s="3" t="s">
        <v>336</v>
      </c>
      <c r="E809" s="28" t="s">
        <v>1683</v>
      </c>
      <c r="G809" s="27">
        <v>5.6000000000000005</v>
      </c>
      <c r="P809" s="33"/>
    </row>
    <row r="810" spans="1:75" ht="13.5" customHeight="1">
      <c r="A810" s="21" t="s">
        <v>2135</v>
      </c>
      <c r="B810" s="37" t="s">
        <v>557</v>
      </c>
      <c r="C810" s="37" t="s">
        <v>885</v>
      </c>
      <c r="D810" s="578" t="s">
        <v>2074</v>
      </c>
      <c r="E810" s="579"/>
      <c r="F810" s="37" t="s">
        <v>2398</v>
      </c>
      <c r="G810" s="14">
        <v>103</v>
      </c>
      <c r="H810" s="569"/>
      <c r="I810" s="55" t="s">
        <v>1720</v>
      </c>
      <c r="J810" s="14">
        <f>G810*AO810</f>
        <v>0</v>
      </c>
      <c r="K810" s="14">
        <f>G810*AP810</f>
        <v>0</v>
      </c>
      <c r="L810" s="14">
        <f>G810*H810</f>
        <v>0</v>
      </c>
      <c r="M810" s="14">
        <f>L810*(1+BW810/100)</f>
        <v>0</v>
      </c>
      <c r="N810" s="14">
        <v>0.16</v>
      </c>
      <c r="O810" s="14">
        <f>G810*N810</f>
        <v>16.48</v>
      </c>
      <c r="P810" s="72" t="s">
        <v>1664</v>
      </c>
      <c r="Z810" s="14">
        <f>IF(AQ810="5",BJ810,0)</f>
        <v>0</v>
      </c>
      <c r="AB810" s="14">
        <f>IF(AQ810="1",BH810,0)</f>
        <v>0</v>
      </c>
      <c r="AC810" s="14">
        <f>IF(AQ810="1",BI810,0)</f>
        <v>0</v>
      </c>
      <c r="AD810" s="14">
        <f>IF(AQ810="7",BH810,0)</f>
        <v>0</v>
      </c>
      <c r="AE810" s="14">
        <f>IF(AQ810="7",BI810,0)</f>
        <v>0</v>
      </c>
      <c r="AF810" s="14">
        <f>IF(AQ810="2",BH810,0)</f>
        <v>0</v>
      </c>
      <c r="AG810" s="14">
        <f>IF(AQ810="2",BI810,0)</f>
        <v>0</v>
      </c>
      <c r="AH810" s="14">
        <f>IF(AQ810="0",BJ810,0)</f>
        <v>0</v>
      </c>
      <c r="AI810" s="15" t="s">
        <v>557</v>
      </c>
      <c r="AJ810" s="14">
        <f>IF(AN810=0,L810,0)</f>
        <v>0</v>
      </c>
      <c r="AK810" s="14">
        <f>IF(AN810=15,L810,0)</f>
        <v>0</v>
      </c>
      <c r="AL810" s="14">
        <f>IF(AN810=21,L810,0)</f>
        <v>0</v>
      </c>
      <c r="AN810" s="14">
        <v>21</v>
      </c>
      <c r="AO810" s="92">
        <f>H810*0.88700894877447</f>
        <v>0</v>
      </c>
      <c r="AP810" s="92">
        <f>H810*(1-0.88700894877447)</f>
        <v>0</v>
      </c>
      <c r="AQ810" s="55" t="s">
        <v>2422</v>
      </c>
      <c r="AV810" s="14">
        <f>AW810+AX810</f>
        <v>0</v>
      </c>
      <c r="AW810" s="14">
        <f>G810*AO810</f>
        <v>0</v>
      </c>
      <c r="AX810" s="14">
        <f>G810*AP810</f>
        <v>0</v>
      </c>
      <c r="AY810" s="55" t="s">
        <v>2238</v>
      </c>
      <c r="AZ810" s="55" t="s">
        <v>159</v>
      </c>
      <c r="BA810" s="15" t="s">
        <v>1982</v>
      </c>
      <c r="BC810" s="14">
        <f>AW810+AX810</f>
        <v>0</v>
      </c>
      <c r="BD810" s="14">
        <f>H810/(100-BE810)*100</f>
        <v>0</v>
      </c>
      <c r="BE810" s="14">
        <v>0</v>
      </c>
      <c r="BF810" s="14">
        <f>O810</f>
        <v>16.48</v>
      </c>
      <c r="BH810" s="14">
        <f>G810*AO810</f>
        <v>0</v>
      </c>
      <c r="BI810" s="14">
        <f>G810*AP810</f>
        <v>0</v>
      </c>
      <c r="BJ810" s="14">
        <f>G810*H810</f>
        <v>0</v>
      </c>
      <c r="BK810" s="14"/>
      <c r="BL810" s="14">
        <v>63</v>
      </c>
      <c r="BW810" s="14" t="str">
        <f>I810</f>
        <v>21</v>
      </c>
    </row>
    <row r="811" spans="1:75" ht="15" customHeight="1">
      <c r="A811" s="32"/>
      <c r="D811" s="3" t="s">
        <v>1522</v>
      </c>
      <c r="E811" s="28" t="s">
        <v>59</v>
      </c>
      <c r="G811" s="27">
        <v>103.00000000000001</v>
      </c>
      <c r="P811" s="33"/>
    </row>
    <row r="812" spans="1:75" ht="15" customHeight="1">
      <c r="A812" s="65" t="s">
        <v>1683</v>
      </c>
      <c r="B812" s="26" t="s">
        <v>557</v>
      </c>
      <c r="C812" s="26" t="s">
        <v>1191</v>
      </c>
      <c r="D812" s="649" t="s">
        <v>2491</v>
      </c>
      <c r="E812" s="650"/>
      <c r="F812" s="74" t="s">
        <v>2262</v>
      </c>
      <c r="G812" s="74" t="s">
        <v>2262</v>
      </c>
      <c r="H812" s="74" t="s">
        <v>2262</v>
      </c>
      <c r="I812" s="74" t="s">
        <v>2262</v>
      </c>
      <c r="J812" s="2">
        <f>SUM(J813:J827)</f>
        <v>0</v>
      </c>
      <c r="K812" s="2">
        <f>SUM(K813:K827)</f>
        <v>0</v>
      </c>
      <c r="L812" s="2">
        <f>SUM(L813:L827)</f>
        <v>0</v>
      </c>
      <c r="M812" s="2">
        <f>SUM(M813:M827)</f>
        <v>0</v>
      </c>
      <c r="N812" s="15" t="s">
        <v>1683</v>
      </c>
      <c r="O812" s="2">
        <f>SUM(O813:O827)</f>
        <v>0.49931999999999993</v>
      </c>
      <c r="P812" s="47" t="s">
        <v>1683</v>
      </c>
      <c r="AI812" s="15" t="s">
        <v>557</v>
      </c>
      <c r="AS812" s="2">
        <f>SUM(AJ813:AJ827)</f>
        <v>0</v>
      </c>
      <c r="AT812" s="2">
        <f>SUM(AK813:AK827)</f>
        <v>0</v>
      </c>
      <c r="AU812" s="2">
        <f>SUM(AL813:AL827)</f>
        <v>0</v>
      </c>
    </row>
    <row r="813" spans="1:75" ht="13.5" customHeight="1">
      <c r="A813" s="21" t="s">
        <v>1687</v>
      </c>
      <c r="B813" s="37" t="s">
        <v>557</v>
      </c>
      <c r="C813" s="37" t="s">
        <v>2151</v>
      </c>
      <c r="D813" s="578" t="s">
        <v>2223</v>
      </c>
      <c r="E813" s="579"/>
      <c r="F813" s="37" t="s">
        <v>595</v>
      </c>
      <c r="G813" s="14">
        <v>10</v>
      </c>
      <c r="H813" s="569"/>
      <c r="I813" s="55" t="s">
        <v>1720</v>
      </c>
      <c r="J813" s="14">
        <f>G813*AO813</f>
        <v>0</v>
      </c>
      <c r="K813" s="14">
        <f>G813*AP813</f>
        <v>0</v>
      </c>
      <c r="L813" s="14">
        <f>G813*H813</f>
        <v>0</v>
      </c>
      <c r="M813" s="14">
        <f>L813*(1+BW813/100)</f>
        <v>0</v>
      </c>
      <c r="N813" s="14">
        <v>1.8970000000000001E-2</v>
      </c>
      <c r="O813" s="14">
        <f>G813*N813</f>
        <v>0.18970000000000001</v>
      </c>
      <c r="P813" s="72" t="s">
        <v>1664</v>
      </c>
      <c r="Z813" s="14">
        <f>IF(AQ813="5",BJ813,0)</f>
        <v>0</v>
      </c>
      <c r="AB813" s="14">
        <f>IF(AQ813="1",BH813,0)</f>
        <v>0</v>
      </c>
      <c r="AC813" s="14">
        <f>IF(AQ813="1",BI813,0)</f>
        <v>0</v>
      </c>
      <c r="AD813" s="14">
        <f>IF(AQ813="7",BH813,0)</f>
        <v>0</v>
      </c>
      <c r="AE813" s="14">
        <f>IF(AQ813="7",BI813,0)</f>
        <v>0</v>
      </c>
      <c r="AF813" s="14">
        <f>IF(AQ813="2",BH813,0)</f>
        <v>0</v>
      </c>
      <c r="AG813" s="14">
        <f>IF(AQ813="2",BI813,0)</f>
        <v>0</v>
      </c>
      <c r="AH813" s="14">
        <f>IF(AQ813="0",BJ813,0)</f>
        <v>0</v>
      </c>
      <c r="AI813" s="15" t="s">
        <v>557</v>
      </c>
      <c r="AJ813" s="14">
        <f>IF(AN813=0,L813,0)</f>
        <v>0</v>
      </c>
      <c r="AK813" s="14">
        <f>IF(AN813=15,L813,0)</f>
        <v>0</v>
      </c>
      <c r="AL813" s="14">
        <f>IF(AN813=21,L813,0)</f>
        <v>0</v>
      </c>
      <c r="AN813" s="14">
        <v>21</v>
      </c>
      <c r="AO813" s="92">
        <f>H813*0.0222968906720161</f>
        <v>0</v>
      </c>
      <c r="AP813" s="92">
        <f>H813*(1-0.0222968906720161)</f>
        <v>0</v>
      </c>
      <c r="AQ813" s="55" t="s">
        <v>2422</v>
      </c>
      <c r="AV813" s="14">
        <f>AW813+AX813</f>
        <v>0</v>
      </c>
      <c r="AW813" s="14">
        <f>G813*AO813</f>
        <v>0</v>
      </c>
      <c r="AX813" s="14">
        <f>G813*AP813</f>
        <v>0</v>
      </c>
      <c r="AY813" s="55" t="s">
        <v>1638</v>
      </c>
      <c r="AZ813" s="55" t="s">
        <v>159</v>
      </c>
      <c r="BA813" s="15" t="s">
        <v>1982</v>
      </c>
      <c r="BC813" s="14">
        <f>AW813+AX813</f>
        <v>0</v>
      </c>
      <c r="BD813" s="14">
        <f>H813/(100-BE813)*100</f>
        <v>0</v>
      </c>
      <c r="BE813" s="14">
        <v>0</v>
      </c>
      <c r="BF813" s="14">
        <f>O813</f>
        <v>0.18970000000000001</v>
      </c>
      <c r="BH813" s="14">
        <f>G813*AO813</f>
        <v>0</v>
      </c>
      <c r="BI813" s="14">
        <f>G813*AP813</f>
        <v>0</v>
      </c>
      <c r="BJ813" s="14">
        <f>G813*H813</f>
        <v>0</v>
      </c>
      <c r="BK813" s="14"/>
      <c r="BL813" s="14">
        <v>64</v>
      </c>
      <c r="BW813" s="14" t="str">
        <f>I813</f>
        <v>21</v>
      </c>
    </row>
    <row r="814" spans="1:75" ht="15" customHeight="1">
      <c r="A814" s="32"/>
      <c r="D814" s="3" t="s">
        <v>55</v>
      </c>
      <c r="E814" s="28" t="s">
        <v>1683</v>
      </c>
      <c r="G814" s="27">
        <v>10</v>
      </c>
      <c r="P814" s="33"/>
    </row>
    <row r="815" spans="1:75" ht="13.5" customHeight="1">
      <c r="A815" s="20" t="s">
        <v>667</v>
      </c>
      <c r="B815" s="84" t="s">
        <v>557</v>
      </c>
      <c r="C815" s="84" t="s">
        <v>821</v>
      </c>
      <c r="D815" s="653" t="s">
        <v>2387</v>
      </c>
      <c r="E815" s="654"/>
      <c r="F815" s="84" t="s">
        <v>595</v>
      </c>
      <c r="G815" s="6">
        <v>4</v>
      </c>
      <c r="H815" s="570"/>
      <c r="I815" s="18" t="s">
        <v>1720</v>
      </c>
      <c r="J815" s="6">
        <f>G815*AO815</f>
        <v>0</v>
      </c>
      <c r="K815" s="6">
        <f>G815*AP815</f>
        <v>0</v>
      </c>
      <c r="L815" s="6">
        <f>G815*H815</f>
        <v>0</v>
      </c>
      <c r="M815" s="6">
        <f>L815*(1+BW815/100)</f>
        <v>0</v>
      </c>
      <c r="N815" s="6">
        <v>1.056E-2</v>
      </c>
      <c r="O815" s="6">
        <f>G815*N815</f>
        <v>4.224E-2</v>
      </c>
      <c r="P815" s="109" t="s">
        <v>1664</v>
      </c>
      <c r="Z815" s="14">
        <f>IF(AQ815="5",BJ815,0)</f>
        <v>0</v>
      </c>
      <c r="AB815" s="14">
        <f>IF(AQ815="1",BH815,0)</f>
        <v>0</v>
      </c>
      <c r="AC815" s="14">
        <f>IF(AQ815="1",BI815,0)</f>
        <v>0</v>
      </c>
      <c r="AD815" s="14">
        <f>IF(AQ815="7",BH815,0)</f>
        <v>0</v>
      </c>
      <c r="AE815" s="14">
        <f>IF(AQ815="7",BI815,0)</f>
        <v>0</v>
      </c>
      <c r="AF815" s="14">
        <f>IF(AQ815="2",BH815,0)</f>
        <v>0</v>
      </c>
      <c r="AG815" s="14">
        <f>IF(AQ815="2",BI815,0)</f>
        <v>0</v>
      </c>
      <c r="AH815" s="14">
        <f>IF(AQ815="0",BJ815,0)</f>
        <v>0</v>
      </c>
      <c r="AI815" s="15" t="s">
        <v>557</v>
      </c>
      <c r="AJ815" s="6">
        <f>IF(AN815=0,L815,0)</f>
        <v>0</v>
      </c>
      <c r="AK815" s="6">
        <f>IF(AN815=15,L815,0)</f>
        <v>0</v>
      </c>
      <c r="AL815" s="6">
        <f>IF(AN815=21,L815,0)</f>
        <v>0</v>
      </c>
      <c r="AN815" s="14">
        <v>21</v>
      </c>
      <c r="AO815" s="92">
        <f>H815*1</f>
        <v>0</v>
      </c>
      <c r="AP815" s="92">
        <f>H815*(1-1)</f>
        <v>0</v>
      </c>
      <c r="AQ815" s="18" t="s">
        <v>2422</v>
      </c>
      <c r="AV815" s="14">
        <f>AW815+AX815</f>
        <v>0</v>
      </c>
      <c r="AW815" s="14">
        <f>G815*AO815</f>
        <v>0</v>
      </c>
      <c r="AX815" s="14">
        <f>G815*AP815</f>
        <v>0</v>
      </c>
      <c r="AY815" s="55" t="s">
        <v>1638</v>
      </c>
      <c r="AZ815" s="55" t="s">
        <v>159</v>
      </c>
      <c r="BA815" s="15" t="s">
        <v>1982</v>
      </c>
      <c r="BC815" s="14">
        <f>AW815+AX815</f>
        <v>0</v>
      </c>
      <c r="BD815" s="14">
        <f>H815/(100-BE815)*100</f>
        <v>0</v>
      </c>
      <c r="BE815" s="14">
        <v>0</v>
      </c>
      <c r="BF815" s="14">
        <f>O815</f>
        <v>4.224E-2</v>
      </c>
      <c r="BH815" s="6">
        <f>G815*AO815</f>
        <v>0</v>
      </c>
      <c r="BI815" s="6">
        <f>G815*AP815</f>
        <v>0</v>
      </c>
      <c r="BJ815" s="6">
        <f>G815*H815</f>
        <v>0</v>
      </c>
      <c r="BK815" s="6"/>
      <c r="BL815" s="14">
        <v>64</v>
      </c>
      <c r="BW815" s="14" t="str">
        <f>I815</f>
        <v>21</v>
      </c>
    </row>
    <row r="816" spans="1:75" ht="15" customHeight="1">
      <c r="A816" s="32"/>
      <c r="D816" s="3" t="s">
        <v>272</v>
      </c>
      <c r="E816" s="28" t="s">
        <v>1683</v>
      </c>
      <c r="G816" s="27">
        <v>4</v>
      </c>
      <c r="P816" s="33"/>
    </row>
    <row r="817" spans="1:75" ht="13.5" customHeight="1">
      <c r="A817" s="20" t="s">
        <v>2241</v>
      </c>
      <c r="B817" s="84" t="s">
        <v>557</v>
      </c>
      <c r="C817" s="84" t="s">
        <v>2742</v>
      </c>
      <c r="D817" s="653" t="s">
        <v>2010</v>
      </c>
      <c r="E817" s="654"/>
      <c r="F817" s="84" t="s">
        <v>595</v>
      </c>
      <c r="G817" s="6">
        <v>4</v>
      </c>
      <c r="H817" s="570"/>
      <c r="I817" s="18" t="s">
        <v>1720</v>
      </c>
      <c r="J817" s="6">
        <f>G817*AO817</f>
        <v>0</v>
      </c>
      <c r="K817" s="6">
        <f>G817*AP817</f>
        <v>0</v>
      </c>
      <c r="L817" s="6">
        <f>G817*H817</f>
        <v>0</v>
      </c>
      <c r="M817" s="6">
        <f>L817*(1+BW817/100)</f>
        <v>0</v>
      </c>
      <c r="N817" s="6">
        <v>1.081E-2</v>
      </c>
      <c r="O817" s="6">
        <f>G817*N817</f>
        <v>4.3240000000000001E-2</v>
      </c>
      <c r="P817" s="109" t="s">
        <v>1664</v>
      </c>
      <c r="Z817" s="14">
        <f>IF(AQ817="5",BJ817,0)</f>
        <v>0</v>
      </c>
      <c r="AB817" s="14">
        <f>IF(AQ817="1",BH817,0)</f>
        <v>0</v>
      </c>
      <c r="AC817" s="14">
        <f>IF(AQ817="1",BI817,0)</f>
        <v>0</v>
      </c>
      <c r="AD817" s="14">
        <f>IF(AQ817="7",BH817,0)</f>
        <v>0</v>
      </c>
      <c r="AE817" s="14">
        <f>IF(AQ817="7",BI817,0)</f>
        <v>0</v>
      </c>
      <c r="AF817" s="14">
        <f>IF(AQ817="2",BH817,0)</f>
        <v>0</v>
      </c>
      <c r="AG817" s="14">
        <f>IF(AQ817="2",BI817,0)</f>
        <v>0</v>
      </c>
      <c r="AH817" s="14">
        <f>IF(AQ817="0",BJ817,0)</f>
        <v>0</v>
      </c>
      <c r="AI817" s="15" t="s">
        <v>557</v>
      </c>
      <c r="AJ817" s="6">
        <f>IF(AN817=0,L817,0)</f>
        <v>0</v>
      </c>
      <c r="AK817" s="6">
        <f>IF(AN817=15,L817,0)</f>
        <v>0</v>
      </c>
      <c r="AL817" s="6">
        <f>IF(AN817=21,L817,0)</f>
        <v>0</v>
      </c>
      <c r="AN817" s="14">
        <v>21</v>
      </c>
      <c r="AO817" s="92">
        <f>H817*1</f>
        <v>0</v>
      </c>
      <c r="AP817" s="92">
        <f>H817*(1-1)</f>
        <v>0</v>
      </c>
      <c r="AQ817" s="18" t="s">
        <v>2422</v>
      </c>
      <c r="AV817" s="14">
        <f>AW817+AX817</f>
        <v>0</v>
      </c>
      <c r="AW817" s="14">
        <f>G817*AO817</f>
        <v>0</v>
      </c>
      <c r="AX817" s="14">
        <f>G817*AP817</f>
        <v>0</v>
      </c>
      <c r="AY817" s="55" t="s">
        <v>1638</v>
      </c>
      <c r="AZ817" s="55" t="s">
        <v>159</v>
      </c>
      <c r="BA817" s="15" t="s">
        <v>1982</v>
      </c>
      <c r="BC817" s="14">
        <f>AW817+AX817</f>
        <v>0</v>
      </c>
      <c r="BD817" s="14">
        <f>H817/(100-BE817)*100</f>
        <v>0</v>
      </c>
      <c r="BE817" s="14">
        <v>0</v>
      </c>
      <c r="BF817" s="14">
        <f>O817</f>
        <v>4.3240000000000001E-2</v>
      </c>
      <c r="BH817" s="6">
        <f>G817*AO817</f>
        <v>0</v>
      </c>
      <c r="BI817" s="6">
        <f>G817*AP817</f>
        <v>0</v>
      </c>
      <c r="BJ817" s="6">
        <f>G817*H817</f>
        <v>0</v>
      </c>
      <c r="BK817" s="6"/>
      <c r="BL817" s="14">
        <v>64</v>
      </c>
      <c r="BW817" s="14" t="str">
        <f>I817</f>
        <v>21</v>
      </c>
    </row>
    <row r="818" spans="1:75" ht="15" customHeight="1">
      <c r="A818" s="32"/>
      <c r="D818" s="3" t="s">
        <v>354</v>
      </c>
      <c r="E818" s="28" t="s">
        <v>1683</v>
      </c>
      <c r="G818" s="27">
        <v>4</v>
      </c>
      <c r="P818" s="33"/>
    </row>
    <row r="819" spans="1:75" ht="13.5" customHeight="1">
      <c r="A819" s="20" t="s">
        <v>2675</v>
      </c>
      <c r="B819" s="84" t="s">
        <v>557</v>
      </c>
      <c r="C819" s="84" t="s">
        <v>1307</v>
      </c>
      <c r="D819" s="653" t="s">
        <v>23</v>
      </c>
      <c r="E819" s="654"/>
      <c r="F819" s="84" t="s">
        <v>595</v>
      </c>
      <c r="G819" s="6">
        <v>2</v>
      </c>
      <c r="H819" s="570"/>
      <c r="I819" s="18" t="s">
        <v>1720</v>
      </c>
      <c r="J819" s="6">
        <f>G819*AO819</f>
        <v>0</v>
      </c>
      <c r="K819" s="6">
        <f>G819*AP819</f>
        <v>0</v>
      </c>
      <c r="L819" s="6">
        <f>G819*H819</f>
        <v>0</v>
      </c>
      <c r="M819" s="6">
        <f>L819*(1+BW819/100)</f>
        <v>0</v>
      </c>
      <c r="N819" s="6">
        <v>1.107E-2</v>
      </c>
      <c r="O819" s="6">
        <f>G819*N819</f>
        <v>2.214E-2</v>
      </c>
      <c r="P819" s="109" t="s">
        <v>1664</v>
      </c>
      <c r="Z819" s="14">
        <f>IF(AQ819="5",BJ819,0)</f>
        <v>0</v>
      </c>
      <c r="AB819" s="14">
        <f>IF(AQ819="1",BH819,0)</f>
        <v>0</v>
      </c>
      <c r="AC819" s="14">
        <f>IF(AQ819="1",BI819,0)</f>
        <v>0</v>
      </c>
      <c r="AD819" s="14">
        <f>IF(AQ819="7",BH819,0)</f>
        <v>0</v>
      </c>
      <c r="AE819" s="14">
        <f>IF(AQ819="7",BI819,0)</f>
        <v>0</v>
      </c>
      <c r="AF819" s="14">
        <f>IF(AQ819="2",BH819,0)</f>
        <v>0</v>
      </c>
      <c r="AG819" s="14">
        <f>IF(AQ819="2",BI819,0)</f>
        <v>0</v>
      </c>
      <c r="AH819" s="14">
        <f>IF(AQ819="0",BJ819,0)</f>
        <v>0</v>
      </c>
      <c r="AI819" s="15" t="s">
        <v>557</v>
      </c>
      <c r="AJ819" s="6">
        <f>IF(AN819=0,L819,0)</f>
        <v>0</v>
      </c>
      <c r="AK819" s="6">
        <f>IF(AN819=15,L819,0)</f>
        <v>0</v>
      </c>
      <c r="AL819" s="6">
        <f>IF(AN819=21,L819,0)</f>
        <v>0</v>
      </c>
      <c r="AN819" s="14">
        <v>21</v>
      </c>
      <c r="AO819" s="92">
        <f>H819*1</f>
        <v>0</v>
      </c>
      <c r="AP819" s="92">
        <f>H819*(1-1)</f>
        <v>0</v>
      </c>
      <c r="AQ819" s="18" t="s">
        <v>2422</v>
      </c>
      <c r="AV819" s="14">
        <f>AW819+AX819</f>
        <v>0</v>
      </c>
      <c r="AW819" s="14">
        <f>G819*AO819</f>
        <v>0</v>
      </c>
      <c r="AX819" s="14">
        <f>G819*AP819</f>
        <v>0</v>
      </c>
      <c r="AY819" s="55" t="s">
        <v>1638</v>
      </c>
      <c r="AZ819" s="55" t="s">
        <v>159</v>
      </c>
      <c r="BA819" s="15" t="s">
        <v>1982</v>
      </c>
      <c r="BC819" s="14">
        <f>AW819+AX819</f>
        <v>0</v>
      </c>
      <c r="BD819" s="14">
        <f>H819/(100-BE819)*100</f>
        <v>0</v>
      </c>
      <c r="BE819" s="14">
        <v>0</v>
      </c>
      <c r="BF819" s="14">
        <f>O819</f>
        <v>2.214E-2</v>
      </c>
      <c r="BH819" s="6">
        <f>G819*AO819</f>
        <v>0</v>
      </c>
      <c r="BI819" s="6">
        <f>G819*AP819</f>
        <v>0</v>
      </c>
      <c r="BJ819" s="6">
        <f>G819*H819</f>
        <v>0</v>
      </c>
      <c r="BK819" s="6"/>
      <c r="BL819" s="14">
        <v>64</v>
      </c>
      <c r="BW819" s="14" t="str">
        <f>I819</f>
        <v>21</v>
      </c>
    </row>
    <row r="820" spans="1:75" ht="15" customHeight="1">
      <c r="A820" s="32"/>
      <c r="D820" s="3" t="s">
        <v>1676</v>
      </c>
      <c r="E820" s="28" t="s">
        <v>1683</v>
      </c>
      <c r="G820" s="27">
        <v>2</v>
      </c>
      <c r="P820" s="33"/>
    </row>
    <row r="821" spans="1:75" ht="13.5" customHeight="1">
      <c r="A821" s="20" t="s">
        <v>1771</v>
      </c>
      <c r="B821" s="84" t="s">
        <v>557</v>
      </c>
      <c r="C821" s="84" t="s">
        <v>1812</v>
      </c>
      <c r="D821" s="653" t="s">
        <v>514</v>
      </c>
      <c r="E821" s="654"/>
      <c r="F821" s="84" t="s">
        <v>595</v>
      </c>
      <c r="G821" s="6">
        <v>2</v>
      </c>
      <c r="H821" s="570"/>
      <c r="I821" s="18" t="s">
        <v>1720</v>
      </c>
      <c r="J821" s="6">
        <f>G821*AO821</f>
        <v>0</v>
      </c>
      <c r="K821" s="6">
        <f>G821*AP821</f>
        <v>0</v>
      </c>
      <c r="L821" s="6">
        <f>G821*H821</f>
        <v>0</v>
      </c>
      <c r="M821" s="6">
        <f>L821*(1+BW821/100)</f>
        <v>0</v>
      </c>
      <c r="N821" s="6">
        <v>1.9E-2</v>
      </c>
      <c r="O821" s="6">
        <f>G821*N821</f>
        <v>3.7999999999999999E-2</v>
      </c>
      <c r="P821" s="109" t="s">
        <v>1664</v>
      </c>
      <c r="Z821" s="14">
        <f>IF(AQ821="5",BJ821,0)</f>
        <v>0</v>
      </c>
      <c r="AB821" s="14">
        <f>IF(AQ821="1",BH821,0)</f>
        <v>0</v>
      </c>
      <c r="AC821" s="14">
        <f>IF(AQ821="1",BI821,0)</f>
        <v>0</v>
      </c>
      <c r="AD821" s="14">
        <f>IF(AQ821="7",BH821,0)</f>
        <v>0</v>
      </c>
      <c r="AE821" s="14">
        <f>IF(AQ821="7",BI821,0)</f>
        <v>0</v>
      </c>
      <c r="AF821" s="14">
        <f>IF(AQ821="2",BH821,0)</f>
        <v>0</v>
      </c>
      <c r="AG821" s="14">
        <f>IF(AQ821="2",BI821,0)</f>
        <v>0</v>
      </c>
      <c r="AH821" s="14">
        <f>IF(AQ821="0",BJ821,0)</f>
        <v>0</v>
      </c>
      <c r="AI821" s="15" t="s">
        <v>557</v>
      </c>
      <c r="AJ821" s="6">
        <f>IF(AN821=0,L821,0)</f>
        <v>0</v>
      </c>
      <c r="AK821" s="6">
        <f>IF(AN821=15,L821,0)</f>
        <v>0</v>
      </c>
      <c r="AL821" s="6">
        <f>IF(AN821=21,L821,0)</f>
        <v>0</v>
      </c>
      <c r="AN821" s="14">
        <v>21</v>
      </c>
      <c r="AO821" s="92">
        <f>H821*1</f>
        <v>0</v>
      </c>
      <c r="AP821" s="92">
        <f>H821*(1-1)</f>
        <v>0</v>
      </c>
      <c r="AQ821" s="18" t="s">
        <v>2422</v>
      </c>
      <c r="AV821" s="14">
        <f>AW821+AX821</f>
        <v>0</v>
      </c>
      <c r="AW821" s="14">
        <f>G821*AO821</f>
        <v>0</v>
      </c>
      <c r="AX821" s="14">
        <f>G821*AP821</f>
        <v>0</v>
      </c>
      <c r="AY821" s="55" t="s">
        <v>1638</v>
      </c>
      <c r="AZ821" s="55" t="s">
        <v>159</v>
      </c>
      <c r="BA821" s="15" t="s">
        <v>1982</v>
      </c>
      <c r="BC821" s="14">
        <f>AW821+AX821</f>
        <v>0</v>
      </c>
      <c r="BD821" s="14">
        <f>H821/(100-BE821)*100</f>
        <v>0</v>
      </c>
      <c r="BE821" s="14">
        <v>0</v>
      </c>
      <c r="BF821" s="14">
        <f>O821</f>
        <v>3.7999999999999999E-2</v>
      </c>
      <c r="BH821" s="6">
        <f>G821*AO821</f>
        <v>0</v>
      </c>
      <c r="BI821" s="6">
        <f>G821*AP821</f>
        <v>0</v>
      </c>
      <c r="BJ821" s="6">
        <f>G821*H821</f>
        <v>0</v>
      </c>
      <c r="BK821" s="6"/>
      <c r="BL821" s="14">
        <v>64</v>
      </c>
      <c r="BW821" s="14" t="str">
        <f>I821</f>
        <v>21</v>
      </c>
    </row>
    <row r="822" spans="1:75" ht="15" customHeight="1">
      <c r="A822" s="32"/>
      <c r="D822" s="3" t="s">
        <v>1676</v>
      </c>
      <c r="E822" s="28" t="s">
        <v>1683</v>
      </c>
      <c r="G822" s="27">
        <v>2</v>
      </c>
      <c r="P822" s="33"/>
    </row>
    <row r="823" spans="1:75" ht="13.5" customHeight="1">
      <c r="A823" s="20" t="s">
        <v>2016</v>
      </c>
      <c r="B823" s="84" t="s">
        <v>557</v>
      </c>
      <c r="C823" s="84" t="s">
        <v>741</v>
      </c>
      <c r="D823" s="653" t="s">
        <v>2768</v>
      </c>
      <c r="E823" s="654"/>
      <c r="F823" s="84" t="s">
        <v>595</v>
      </c>
      <c r="G823" s="6">
        <v>4</v>
      </c>
      <c r="H823" s="570"/>
      <c r="I823" s="18" t="s">
        <v>1720</v>
      </c>
      <c r="J823" s="6">
        <f>G823*AO823</f>
        <v>0</v>
      </c>
      <c r="K823" s="6">
        <f>G823*AP823</f>
        <v>0</v>
      </c>
      <c r="L823" s="6">
        <f>G823*H823</f>
        <v>0</v>
      </c>
      <c r="M823" s="6">
        <f>L823*(1+BW823/100)</f>
        <v>0</v>
      </c>
      <c r="N823" s="6">
        <v>1.7000000000000001E-2</v>
      </c>
      <c r="O823" s="6">
        <f>G823*N823</f>
        <v>6.8000000000000005E-2</v>
      </c>
      <c r="P823" s="109" t="s">
        <v>1664</v>
      </c>
      <c r="Z823" s="14">
        <f>IF(AQ823="5",BJ823,0)</f>
        <v>0</v>
      </c>
      <c r="AB823" s="14">
        <f>IF(AQ823="1",BH823,0)</f>
        <v>0</v>
      </c>
      <c r="AC823" s="14">
        <f>IF(AQ823="1",BI823,0)</f>
        <v>0</v>
      </c>
      <c r="AD823" s="14">
        <f>IF(AQ823="7",BH823,0)</f>
        <v>0</v>
      </c>
      <c r="AE823" s="14">
        <f>IF(AQ823="7",BI823,0)</f>
        <v>0</v>
      </c>
      <c r="AF823" s="14">
        <f>IF(AQ823="2",BH823,0)</f>
        <v>0</v>
      </c>
      <c r="AG823" s="14">
        <f>IF(AQ823="2",BI823,0)</f>
        <v>0</v>
      </c>
      <c r="AH823" s="14">
        <f>IF(AQ823="0",BJ823,0)</f>
        <v>0</v>
      </c>
      <c r="AI823" s="15" t="s">
        <v>557</v>
      </c>
      <c r="AJ823" s="6">
        <f>IF(AN823=0,L823,0)</f>
        <v>0</v>
      </c>
      <c r="AK823" s="6">
        <f>IF(AN823=15,L823,0)</f>
        <v>0</v>
      </c>
      <c r="AL823" s="6">
        <f>IF(AN823=21,L823,0)</f>
        <v>0</v>
      </c>
      <c r="AN823" s="14">
        <v>21</v>
      </c>
      <c r="AO823" s="92">
        <f>H823*1</f>
        <v>0</v>
      </c>
      <c r="AP823" s="92">
        <f>H823*(1-1)</f>
        <v>0</v>
      </c>
      <c r="AQ823" s="18" t="s">
        <v>2422</v>
      </c>
      <c r="AV823" s="14">
        <f>AW823+AX823</f>
        <v>0</v>
      </c>
      <c r="AW823" s="14">
        <f>G823*AO823</f>
        <v>0</v>
      </c>
      <c r="AX823" s="14">
        <f>G823*AP823</f>
        <v>0</v>
      </c>
      <c r="AY823" s="55" t="s">
        <v>1638</v>
      </c>
      <c r="AZ823" s="55" t="s">
        <v>159</v>
      </c>
      <c r="BA823" s="15" t="s">
        <v>1982</v>
      </c>
      <c r="BC823" s="14">
        <f>AW823+AX823</f>
        <v>0</v>
      </c>
      <c r="BD823" s="14">
        <f>H823/(100-BE823)*100</f>
        <v>0</v>
      </c>
      <c r="BE823" s="14">
        <v>0</v>
      </c>
      <c r="BF823" s="14">
        <f>O823</f>
        <v>6.8000000000000005E-2</v>
      </c>
      <c r="BH823" s="6">
        <f>G823*AO823</f>
        <v>0</v>
      </c>
      <c r="BI823" s="6">
        <f>G823*AP823</f>
        <v>0</v>
      </c>
      <c r="BJ823" s="6">
        <f>G823*H823</f>
        <v>0</v>
      </c>
      <c r="BK823" s="6"/>
      <c r="BL823" s="14">
        <v>64</v>
      </c>
      <c r="BW823" s="14" t="str">
        <f>I823</f>
        <v>21</v>
      </c>
    </row>
    <row r="824" spans="1:75" ht="15" customHeight="1">
      <c r="A824" s="32"/>
      <c r="D824" s="3" t="s">
        <v>272</v>
      </c>
      <c r="E824" s="28" t="s">
        <v>1683</v>
      </c>
      <c r="G824" s="27">
        <v>4</v>
      </c>
      <c r="P824" s="33"/>
    </row>
    <row r="825" spans="1:75" ht="13.5" customHeight="1">
      <c r="A825" s="20" t="s">
        <v>1636</v>
      </c>
      <c r="B825" s="84" t="s">
        <v>557</v>
      </c>
      <c r="C825" s="84" t="s">
        <v>2345</v>
      </c>
      <c r="D825" s="653" t="s">
        <v>1314</v>
      </c>
      <c r="E825" s="654"/>
      <c r="F825" s="84" t="s">
        <v>595</v>
      </c>
      <c r="G825" s="6">
        <v>2</v>
      </c>
      <c r="H825" s="570"/>
      <c r="I825" s="18" t="s">
        <v>1720</v>
      </c>
      <c r="J825" s="6">
        <f>G825*AO825</f>
        <v>0</v>
      </c>
      <c r="K825" s="6">
        <f>G825*AP825</f>
        <v>0</v>
      </c>
      <c r="L825" s="6">
        <f>G825*H825</f>
        <v>0</v>
      </c>
      <c r="M825" s="6">
        <f>L825*(1+BW825/100)</f>
        <v>0</v>
      </c>
      <c r="N825" s="6">
        <v>2.1000000000000001E-2</v>
      </c>
      <c r="O825" s="6">
        <f>G825*N825</f>
        <v>4.2000000000000003E-2</v>
      </c>
      <c r="P825" s="109" t="s">
        <v>1664</v>
      </c>
      <c r="Z825" s="14">
        <f>IF(AQ825="5",BJ825,0)</f>
        <v>0</v>
      </c>
      <c r="AB825" s="14">
        <f>IF(AQ825="1",BH825,0)</f>
        <v>0</v>
      </c>
      <c r="AC825" s="14">
        <f>IF(AQ825="1",BI825,0)</f>
        <v>0</v>
      </c>
      <c r="AD825" s="14">
        <f>IF(AQ825="7",BH825,0)</f>
        <v>0</v>
      </c>
      <c r="AE825" s="14">
        <f>IF(AQ825="7",BI825,0)</f>
        <v>0</v>
      </c>
      <c r="AF825" s="14">
        <f>IF(AQ825="2",BH825,0)</f>
        <v>0</v>
      </c>
      <c r="AG825" s="14">
        <f>IF(AQ825="2",BI825,0)</f>
        <v>0</v>
      </c>
      <c r="AH825" s="14">
        <f>IF(AQ825="0",BJ825,0)</f>
        <v>0</v>
      </c>
      <c r="AI825" s="15" t="s">
        <v>557</v>
      </c>
      <c r="AJ825" s="6">
        <f>IF(AN825=0,L825,0)</f>
        <v>0</v>
      </c>
      <c r="AK825" s="6">
        <f>IF(AN825=15,L825,0)</f>
        <v>0</v>
      </c>
      <c r="AL825" s="6">
        <f>IF(AN825=21,L825,0)</f>
        <v>0</v>
      </c>
      <c r="AN825" s="14">
        <v>21</v>
      </c>
      <c r="AO825" s="92">
        <f>H825*1</f>
        <v>0</v>
      </c>
      <c r="AP825" s="92">
        <f>H825*(1-1)</f>
        <v>0</v>
      </c>
      <c r="AQ825" s="18" t="s">
        <v>2422</v>
      </c>
      <c r="AV825" s="14">
        <f>AW825+AX825</f>
        <v>0</v>
      </c>
      <c r="AW825" s="14">
        <f>G825*AO825</f>
        <v>0</v>
      </c>
      <c r="AX825" s="14">
        <f>G825*AP825</f>
        <v>0</v>
      </c>
      <c r="AY825" s="55" t="s">
        <v>1638</v>
      </c>
      <c r="AZ825" s="55" t="s">
        <v>159</v>
      </c>
      <c r="BA825" s="15" t="s">
        <v>1982</v>
      </c>
      <c r="BC825" s="14">
        <f>AW825+AX825</f>
        <v>0</v>
      </c>
      <c r="BD825" s="14">
        <f>H825/(100-BE825)*100</f>
        <v>0</v>
      </c>
      <c r="BE825" s="14">
        <v>0</v>
      </c>
      <c r="BF825" s="14">
        <f>O825</f>
        <v>4.2000000000000003E-2</v>
      </c>
      <c r="BH825" s="6">
        <f>G825*AO825</f>
        <v>0</v>
      </c>
      <c r="BI825" s="6">
        <f>G825*AP825</f>
        <v>0</v>
      </c>
      <c r="BJ825" s="6">
        <f>G825*H825</f>
        <v>0</v>
      </c>
      <c r="BK825" s="6"/>
      <c r="BL825" s="14">
        <v>64</v>
      </c>
      <c r="BW825" s="14" t="str">
        <f>I825</f>
        <v>21</v>
      </c>
    </row>
    <row r="826" spans="1:75" ht="15" customHeight="1">
      <c r="A826" s="32"/>
      <c r="D826" s="3" t="s">
        <v>1676</v>
      </c>
      <c r="E826" s="28" t="s">
        <v>1683</v>
      </c>
      <c r="G826" s="27">
        <v>2</v>
      </c>
      <c r="P826" s="33"/>
    </row>
    <row r="827" spans="1:75" ht="13.5" customHeight="1">
      <c r="A827" s="20" t="s">
        <v>1353</v>
      </c>
      <c r="B827" s="84" t="s">
        <v>557</v>
      </c>
      <c r="C827" s="84" t="s">
        <v>1744</v>
      </c>
      <c r="D827" s="653" t="s">
        <v>304</v>
      </c>
      <c r="E827" s="654"/>
      <c r="F827" s="84" t="s">
        <v>595</v>
      </c>
      <c r="G827" s="6">
        <v>2</v>
      </c>
      <c r="H827" s="570"/>
      <c r="I827" s="18" t="s">
        <v>1720</v>
      </c>
      <c r="J827" s="6">
        <f>G827*AO827</f>
        <v>0</v>
      </c>
      <c r="K827" s="6">
        <f>G827*AP827</f>
        <v>0</v>
      </c>
      <c r="L827" s="6">
        <f>G827*H827</f>
        <v>0</v>
      </c>
      <c r="M827" s="6">
        <f>L827*(1+BW827/100)</f>
        <v>0</v>
      </c>
      <c r="N827" s="6">
        <v>2.7E-2</v>
      </c>
      <c r="O827" s="6">
        <f>G827*N827</f>
        <v>5.3999999999999999E-2</v>
      </c>
      <c r="P827" s="109" t="s">
        <v>1664</v>
      </c>
      <c r="Z827" s="14">
        <f>IF(AQ827="5",BJ827,0)</f>
        <v>0</v>
      </c>
      <c r="AB827" s="14">
        <f>IF(AQ827="1",BH827,0)</f>
        <v>0</v>
      </c>
      <c r="AC827" s="14">
        <f>IF(AQ827="1",BI827,0)</f>
        <v>0</v>
      </c>
      <c r="AD827" s="14">
        <f>IF(AQ827="7",BH827,0)</f>
        <v>0</v>
      </c>
      <c r="AE827" s="14">
        <f>IF(AQ827="7",BI827,0)</f>
        <v>0</v>
      </c>
      <c r="AF827" s="14">
        <f>IF(AQ827="2",BH827,0)</f>
        <v>0</v>
      </c>
      <c r="AG827" s="14">
        <f>IF(AQ827="2",BI827,0)</f>
        <v>0</v>
      </c>
      <c r="AH827" s="14">
        <f>IF(AQ827="0",BJ827,0)</f>
        <v>0</v>
      </c>
      <c r="AI827" s="15" t="s">
        <v>557</v>
      </c>
      <c r="AJ827" s="6">
        <f>IF(AN827=0,L827,0)</f>
        <v>0</v>
      </c>
      <c r="AK827" s="6">
        <f>IF(AN827=15,L827,0)</f>
        <v>0</v>
      </c>
      <c r="AL827" s="6">
        <f>IF(AN827=21,L827,0)</f>
        <v>0</v>
      </c>
      <c r="AN827" s="14">
        <v>21</v>
      </c>
      <c r="AO827" s="92">
        <f>H827*1</f>
        <v>0</v>
      </c>
      <c r="AP827" s="92">
        <f>H827*(1-1)</f>
        <v>0</v>
      </c>
      <c r="AQ827" s="18" t="s">
        <v>2422</v>
      </c>
      <c r="AV827" s="14">
        <f>AW827+AX827</f>
        <v>0</v>
      </c>
      <c r="AW827" s="14">
        <f>G827*AO827</f>
        <v>0</v>
      </c>
      <c r="AX827" s="14">
        <f>G827*AP827</f>
        <v>0</v>
      </c>
      <c r="AY827" s="55" t="s">
        <v>1638</v>
      </c>
      <c r="AZ827" s="55" t="s">
        <v>159</v>
      </c>
      <c r="BA827" s="15" t="s">
        <v>1982</v>
      </c>
      <c r="BC827" s="14">
        <f>AW827+AX827</f>
        <v>0</v>
      </c>
      <c r="BD827" s="14">
        <f>H827/(100-BE827)*100</f>
        <v>0</v>
      </c>
      <c r="BE827" s="14">
        <v>0</v>
      </c>
      <c r="BF827" s="14">
        <f>O827</f>
        <v>5.3999999999999999E-2</v>
      </c>
      <c r="BH827" s="6">
        <f>G827*AO827</f>
        <v>0</v>
      </c>
      <c r="BI827" s="6">
        <f>G827*AP827</f>
        <v>0</v>
      </c>
      <c r="BJ827" s="6">
        <f>G827*H827</f>
        <v>0</v>
      </c>
      <c r="BK827" s="6"/>
      <c r="BL827" s="14">
        <v>64</v>
      </c>
      <c r="BW827" s="14" t="str">
        <f>I827</f>
        <v>21</v>
      </c>
    </row>
    <row r="828" spans="1:75" ht="15" customHeight="1">
      <c r="A828" s="32"/>
      <c r="D828" s="3" t="s">
        <v>1676</v>
      </c>
      <c r="E828" s="28" t="s">
        <v>1038</v>
      </c>
      <c r="G828" s="27">
        <v>2</v>
      </c>
      <c r="P828" s="33"/>
    </row>
    <row r="829" spans="1:75" ht="15" customHeight="1">
      <c r="A829" s="65" t="s">
        <v>1683</v>
      </c>
      <c r="B829" s="26" t="s">
        <v>557</v>
      </c>
      <c r="C829" s="26" t="s">
        <v>153</v>
      </c>
      <c r="D829" s="649" t="s">
        <v>2753</v>
      </c>
      <c r="E829" s="650"/>
      <c r="F829" s="74" t="s">
        <v>2262</v>
      </c>
      <c r="G829" s="74" t="s">
        <v>2262</v>
      </c>
      <c r="H829" s="74" t="s">
        <v>2262</v>
      </c>
      <c r="I829" s="74" t="s">
        <v>2262</v>
      </c>
      <c r="J829" s="2">
        <f>SUM(J830:J840)</f>
        <v>0</v>
      </c>
      <c r="K829" s="2">
        <f>SUM(K830:K840)</f>
        <v>0</v>
      </c>
      <c r="L829" s="2">
        <f>SUM(L830:L840)</f>
        <v>0</v>
      </c>
      <c r="M829" s="2">
        <f>SUM(M830:M840)</f>
        <v>0</v>
      </c>
      <c r="N829" s="15" t="s">
        <v>1683</v>
      </c>
      <c r="O829" s="2">
        <f>SUM(O830:O840)</f>
        <v>1.172085</v>
      </c>
      <c r="P829" s="47" t="s">
        <v>1683</v>
      </c>
      <c r="AI829" s="15" t="s">
        <v>557</v>
      </c>
      <c r="AS829" s="2">
        <f>SUM(AJ830:AJ840)</f>
        <v>0</v>
      </c>
      <c r="AT829" s="2">
        <f>SUM(AK830:AK840)</f>
        <v>0</v>
      </c>
      <c r="AU829" s="2">
        <f>SUM(AL830:AL840)</f>
        <v>0</v>
      </c>
    </row>
    <row r="830" spans="1:75" ht="27" customHeight="1">
      <c r="A830" s="21" t="s">
        <v>1878</v>
      </c>
      <c r="B830" s="37" t="s">
        <v>557</v>
      </c>
      <c r="C830" s="37" t="s">
        <v>2769</v>
      </c>
      <c r="D830" s="578" t="s">
        <v>875</v>
      </c>
      <c r="E830" s="579"/>
      <c r="F830" s="37" t="s">
        <v>2398</v>
      </c>
      <c r="G830" s="14">
        <v>306.8</v>
      </c>
      <c r="H830" s="569"/>
      <c r="I830" s="55" t="s">
        <v>1720</v>
      </c>
      <c r="J830" s="14">
        <f>G830*AO830</f>
        <v>0</v>
      </c>
      <c r="K830" s="14">
        <f>G830*AP830</f>
        <v>0</v>
      </c>
      <c r="L830" s="14">
        <f>G830*H830</f>
        <v>0</v>
      </c>
      <c r="M830" s="14">
        <f>L830*(1+BW830/100)</f>
        <v>0</v>
      </c>
      <c r="N830" s="14">
        <v>2.4499999999999999E-3</v>
      </c>
      <c r="O830" s="14">
        <f>G830*N830</f>
        <v>0.75165999999999999</v>
      </c>
      <c r="P830" s="72" t="s">
        <v>1664</v>
      </c>
      <c r="Z830" s="14">
        <f>IF(AQ830="5",BJ830,0)</f>
        <v>0</v>
      </c>
      <c r="AB830" s="14">
        <f>IF(AQ830="1",BH830,0)</f>
        <v>0</v>
      </c>
      <c r="AC830" s="14">
        <f>IF(AQ830="1",BI830,0)</f>
        <v>0</v>
      </c>
      <c r="AD830" s="14">
        <f>IF(AQ830="7",BH830,0)</f>
        <v>0</v>
      </c>
      <c r="AE830" s="14">
        <f>IF(AQ830="7",BI830,0)</f>
        <v>0</v>
      </c>
      <c r="AF830" s="14">
        <f>IF(AQ830="2",BH830,0)</f>
        <v>0</v>
      </c>
      <c r="AG830" s="14">
        <f>IF(AQ830="2",BI830,0)</f>
        <v>0</v>
      </c>
      <c r="AH830" s="14">
        <f>IF(AQ830="0",BJ830,0)</f>
        <v>0</v>
      </c>
      <c r="AI830" s="15" t="s">
        <v>557</v>
      </c>
      <c r="AJ830" s="14">
        <f>IF(AN830=0,L830,0)</f>
        <v>0</v>
      </c>
      <c r="AK830" s="14">
        <f>IF(AN830=15,L830,0)</f>
        <v>0</v>
      </c>
      <c r="AL830" s="14">
        <f>IF(AN830=21,L830,0)</f>
        <v>0</v>
      </c>
      <c r="AN830" s="14">
        <v>21</v>
      </c>
      <c r="AO830" s="92">
        <f>H830*0.665844700944386</f>
        <v>0</v>
      </c>
      <c r="AP830" s="92">
        <f>H830*(1-0.665844700944386)</f>
        <v>0</v>
      </c>
      <c r="AQ830" s="55" t="s">
        <v>2435</v>
      </c>
      <c r="AV830" s="14">
        <f>AW830+AX830</f>
        <v>0</v>
      </c>
      <c r="AW830" s="14">
        <f>G830*AO830</f>
        <v>0</v>
      </c>
      <c r="AX830" s="14">
        <f>G830*AP830</f>
        <v>0</v>
      </c>
      <c r="AY830" s="55" t="s">
        <v>2124</v>
      </c>
      <c r="AZ830" s="55" t="s">
        <v>855</v>
      </c>
      <c r="BA830" s="15" t="s">
        <v>1982</v>
      </c>
      <c r="BC830" s="14">
        <f>AW830+AX830</f>
        <v>0</v>
      </c>
      <c r="BD830" s="14">
        <f>H830/(100-BE830)*100</f>
        <v>0</v>
      </c>
      <c r="BE830" s="14">
        <v>0</v>
      </c>
      <c r="BF830" s="14">
        <f>O830</f>
        <v>0.75165999999999999</v>
      </c>
      <c r="BH830" s="14">
        <f>G830*AO830</f>
        <v>0</v>
      </c>
      <c r="BI830" s="14">
        <f>G830*AP830</f>
        <v>0</v>
      </c>
      <c r="BJ830" s="14">
        <f>G830*H830</f>
        <v>0</v>
      </c>
      <c r="BK830" s="14"/>
      <c r="BL830" s="14">
        <v>711</v>
      </c>
      <c r="BW830" s="14" t="str">
        <f>I830</f>
        <v>21</v>
      </c>
    </row>
    <row r="831" spans="1:75" ht="15" customHeight="1">
      <c r="A831" s="32"/>
      <c r="D831" s="3" t="s">
        <v>937</v>
      </c>
      <c r="E831" s="28" t="s">
        <v>1427</v>
      </c>
      <c r="G831" s="27">
        <v>306.8</v>
      </c>
      <c r="P831" s="33"/>
    </row>
    <row r="832" spans="1:75" ht="27" customHeight="1">
      <c r="A832" s="20" t="s">
        <v>1855</v>
      </c>
      <c r="B832" s="84" t="s">
        <v>557</v>
      </c>
      <c r="C832" s="84" t="s">
        <v>1869</v>
      </c>
      <c r="D832" s="653" t="s">
        <v>2553</v>
      </c>
      <c r="E832" s="654"/>
      <c r="F832" s="84" t="s">
        <v>2398</v>
      </c>
      <c r="G832" s="6">
        <v>368.4</v>
      </c>
      <c r="H832" s="570"/>
      <c r="I832" s="18" t="s">
        <v>1720</v>
      </c>
      <c r="J832" s="6">
        <f>G832*AO832</f>
        <v>0</v>
      </c>
      <c r="K832" s="6">
        <f>G832*AP832</f>
        <v>0</v>
      </c>
      <c r="L832" s="6">
        <f>G832*H832</f>
        <v>0</v>
      </c>
      <c r="M832" s="6">
        <f>L832*(1+BW832/100)</f>
        <v>0</v>
      </c>
      <c r="N832" s="6">
        <v>0</v>
      </c>
      <c r="O832" s="6">
        <f>G832*N832</f>
        <v>0</v>
      </c>
      <c r="P832" s="109" t="s">
        <v>1664</v>
      </c>
      <c r="Z832" s="14">
        <f>IF(AQ832="5",BJ832,0)</f>
        <v>0</v>
      </c>
      <c r="AB832" s="14">
        <f>IF(AQ832="1",BH832,0)</f>
        <v>0</v>
      </c>
      <c r="AC832" s="14">
        <f>IF(AQ832="1",BI832,0)</f>
        <v>0</v>
      </c>
      <c r="AD832" s="14">
        <f>IF(AQ832="7",BH832,0)</f>
        <v>0</v>
      </c>
      <c r="AE832" s="14">
        <f>IF(AQ832="7",BI832,0)</f>
        <v>0</v>
      </c>
      <c r="AF832" s="14">
        <f>IF(AQ832="2",BH832,0)</f>
        <v>0</v>
      </c>
      <c r="AG832" s="14">
        <f>IF(AQ832="2",BI832,0)</f>
        <v>0</v>
      </c>
      <c r="AH832" s="14">
        <f>IF(AQ832="0",BJ832,0)</f>
        <v>0</v>
      </c>
      <c r="AI832" s="15" t="s">
        <v>557</v>
      </c>
      <c r="AJ832" s="6">
        <f>IF(AN832=0,L832,0)</f>
        <v>0</v>
      </c>
      <c r="AK832" s="6">
        <f>IF(AN832=15,L832,0)</f>
        <v>0</v>
      </c>
      <c r="AL832" s="6">
        <f>IF(AN832=21,L832,0)</f>
        <v>0</v>
      </c>
      <c r="AN832" s="14">
        <v>21</v>
      </c>
      <c r="AO832" s="92">
        <f>H832*1</f>
        <v>0</v>
      </c>
      <c r="AP832" s="92">
        <f>H832*(1-1)</f>
        <v>0</v>
      </c>
      <c r="AQ832" s="18" t="s">
        <v>2435</v>
      </c>
      <c r="AV832" s="14">
        <f>AW832+AX832</f>
        <v>0</v>
      </c>
      <c r="AW832" s="14">
        <f>G832*AO832</f>
        <v>0</v>
      </c>
      <c r="AX832" s="14">
        <f>G832*AP832</f>
        <v>0</v>
      </c>
      <c r="AY832" s="55" t="s">
        <v>2124</v>
      </c>
      <c r="AZ832" s="55" t="s">
        <v>855</v>
      </c>
      <c r="BA832" s="15" t="s">
        <v>1982</v>
      </c>
      <c r="BC832" s="14">
        <f>AW832+AX832</f>
        <v>0</v>
      </c>
      <c r="BD832" s="14">
        <f>H832/(100-BE832)*100</f>
        <v>0</v>
      </c>
      <c r="BE832" s="14">
        <v>0</v>
      </c>
      <c r="BF832" s="14">
        <f>O832</f>
        <v>0</v>
      </c>
      <c r="BH832" s="6">
        <f>G832*AO832</f>
        <v>0</v>
      </c>
      <c r="BI832" s="6">
        <f>G832*AP832</f>
        <v>0</v>
      </c>
      <c r="BJ832" s="6">
        <f>G832*H832</f>
        <v>0</v>
      </c>
      <c r="BK832" s="6"/>
      <c r="BL832" s="14">
        <v>711</v>
      </c>
      <c r="BW832" s="14" t="str">
        <f>I832</f>
        <v>21</v>
      </c>
    </row>
    <row r="833" spans="1:75" ht="15" customHeight="1">
      <c r="A833" s="32"/>
      <c r="D833" s="3" t="s">
        <v>421</v>
      </c>
      <c r="E833" s="28" t="s">
        <v>1683</v>
      </c>
      <c r="G833" s="27">
        <v>307</v>
      </c>
      <c r="P833" s="33"/>
    </row>
    <row r="834" spans="1:75" ht="15" customHeight="1">
      <c r="A834" s="32"/>
      <c r="D834" s="3" t="s">
        <v>546</v>
      </c>
      <c r="E834" s="28" t="s">
        <v>1683</v>
      </c>
      <c r="G834" s="27">
        <v>61.400000000000006</v>
      </c>
      <c r="P834" s="33"/>
    </row>
    <row r="835" spans="1:75" ht="13.5" customHeight="1">
      <c r="A835" s="20" t="s">
        <v>870</v>
      </c>
      <c r="B835" s="84" t="s">
        <v>557</v>
      </c>
      <c r="C835" s="84" t="s">
        <v>2008</v>
      </c>
      <c r="D835" s="653" t="s">
        <v>2077</v>
      </c>
      <c r="E835" s="654"/>
      <c r="F835" s="84" t="s">
        <v>2398</v>
      </c>
      <c r="G835" s="6">
        <v>337.7</v>
      </c>
      <c r="H835" s="570"/>
      <c r="I835" s="18" t="s">
        <v>1720</v>
      </c>
      <c r="J835" s="6">
        <f>G835*AO835</f>
        <v>0</v>
      </c>
      <c r="K835" s="6">
        <f>G835*AP835</f>
        <v>0</v>
      </c>
      <c r="L835" s="6">
        <f>G835*H835</f>
        <v>0</v>
      </c>
      <c r="M835" s="6">
        <f>L835*(1+BW835/100)</f>
        <v>0</v>
      </c>
      <c r="N835" s="6">
        <v>2.5000000000000001E-4</v>
      </c>
      <c r="O835" s="6">
        <f>G835*N835</f>
        <v>8.4425E-2</v>
      </c>
      <c r="P835" s="109" t="s">
        <v>1664</v>
      </c>
      <c r="Z835" s="14">
        <f>IF(AQ835="5",BJ835,0)</f>
        <v>0</v>
      </c>
      <c r="AB835" s="14">
        <f>IF(AQ835="1",BH835,0)</f>
        <v>0</v>
      </c>
      <c r="AC835" s="14">
        <f>IF(AQ835="1",BI835,0)</f>
        <v>0</v>
      </c>
      <c r="AD835" s="14">
        <f>IF(AQ835="7",BH835,0)</f>
        <v>0</v>
      </c>
      <c r="AE835" s="14">
        <f>IF(AQ835="7",BI835,0)</f>
        <v>0</v>
      </c>
      <c r="AF835" s="14">
        <f>IF(AQ835="2",BH835,0)</f>
        <v>0</v>
      </c>
      <c r="AG835" s="14">
        <f>IF(AQ835="2",BI835,0)</f>
        <v>0</v>
      </c>
      <c r="AH835" s="14">
        <f>IF(AQ835="0",BJ835,0)</f>
        <v>0</v>
      </c>
      <c r="AI835" s="15" t="s">
        <v>557</v>
      </c>
      <c r="AJ835" s="6">
        <f>IF(AN835=0,L835,0)</f>
        <v>0</v>
      </c>
      <c r="AK835" s="6">
        <f>IF(AN835=15,L835,0)</f>
        <v>0</v>
      </c>
      <c r="AL835" s="6">
        <f>IF(AN835=21,L835,0)</f>
        <v>0</v>
      </c>
      <c r="AN835" s="14">
        <v>21</v>
      </c>
      <c r="AO835" s="92">
        <f>H835*1</f>
        <v>0</v>
      </c>
      <c r="AP835" s="92">
        <f>H835*(1-1)</f>
        <v>0</v>
      </c>
      <c r="AQ835" s="18" t="s">
        <v>2435</v>
      </c>
      <c r="AV835" s="14">
        <f>AW835+AX835</f>
        <v>0</v>
      </c>
      <c r="AW835" s="14">
        <f>G835*AO835</f>
        <v>0</v>
      </c>
      <c r="AX835" s="14">
        <f>G835*AP835</f>
        <v>0</v>
      </c>
      <c r="AY835" s="55" t="s">
        <v>2124</v>
      </c>
      <c r="AZ835" s="55" t="s">
        <v>855</v>
      </c>
      <c r="BA835" s="15" t="s">
        <v>1982</v>
      </c>
      <c r="BC835" s="14">
        <f>AW835+AX835</f>
        <v>0</v>
      </c>
      <c r="BD835" s="14">
        <f>H835/(100-BE835)*100</f>
        <v>0</v>
      </c>
      <c r="BE835" s="14">
        <v>0</v>
      </c>
      <c r="BF835" s="14">
        <f>O835</f>
        <v>8.4425E-2</v>
      </c>
      <c r="BH835" s="6">
        <f>G835*AO835</f>
        <v>0</v>
      </c>
      <c r="BI835" s="6">
        <f>G835*AP835</f>
        <v>0</v>
      </c>
      <c r="BJ835" s="6">
        <f>G835*H835</f>
        <v>0</v>
      </c>
      <c r="BK835" s="6"/>
      <c r="BL835" s="14">
        <v>711</v>
      </c>
      <c r="BW835" s="14" t="str">
        <f>I835</f>
        <v>21</v>
      </c>
    </row>
    <row r="836" spans="1:75" ht="15" customHeight="1">
      <c r="A836" s="32"/>
      <c r="D836" s="3" t="s">
        <v>421</v>
      </c>
      <c r="E836" s="28" t="s">
        <v>242</v>
      </c>
      <c r="G836" s="27">
        <v>307</v>
      </c>
      <c r="P836" s="33"/>
    </row>
    <row r="837" spans="1:75" ht="15" customHeight="1">
      <c r="A837" s="32"/>
      <c r="D837" s="3" t="s">
        <v>1293</v>
      </c>
      <c r="E837" s="28" t="s">
        <v>1683</v>
      </c>
      <c r="G837" s="27">
        <v>30.700000000000003</v>
      </c>
      <c r="P837" s="33"/>
    </row>
    <row r="838" spans="1:75" ht="27" customHeight="1">
      <c r="A838" s="20" t="s">
        <v>939</v>
      </c>
      <c r="B838" s="84" t="s">
        <v>557</v>
      </c>
      <c r="C838" s="84" t="s">
        <v>2305</v>
      </c>
      <c r="D838" s="653" t="s">
        <v>2391</v>
      </c>
      <c r="E838" s="654"/>
      <c r="F838" s="84" t="s">
        <v>2019</v>
      </c>
      <c r="G838" s="6">
        <v>150</v>
      </c>
      <c r="H838" s="570"/>
      <c r="I838" s="18" t="s">
        <v>1720</v>
      </c>
      <c r="J838" s="6">
        <f>G838*AO838</f>
        <v>0</v>
      </c>
      <c r="K838" s="6">
        <f>G838*AP838</f>
        <v>0</v>
      </c>
      <c r="L838" s="6">
        <f>G838*H838</f>
        <v>0</v>
      </c>
      <c r="M838" s="6">
        <f>L838*(1+BW838/100)</f>
        <v>0</v>
      </c>
      <c r="N838" s="6">
        <v>0</v>
      </c>
      <c r="O838" s="6">
        <f>G838*N838</f>
        <v>0</v>
      </c>
      <c r="P838" s="109" t="s">
        <v>921</v>
      </c>
      <c r="Z838" s="14">
        <f>IF(AQ838="5",BJ838,0)</f>
        <v>0</v>
      </c>
      <c r="AB838" s="14">
        <f>IF(AQ838="1",BH838,0)</f>
        <v>0</v>
      </c>
      <c r="AC838" s="14">
        <f>IF(AQ838="1",BI838,0)</f>
        <v>0</v>
      </c>
      <c r="AD838" s="14">
        <f>IF(AQ838="7",BH838,0)</f>
        <v>0</v>
      </c>
      <c r="AE838" s="14">
        <f>IF(AQ838="7",BI838,0)</f>
        <v>0</v>
      </c>
      <c r="AF838" s="14">
        <f>IF(AQ838="2",BH838,0)</f>
        <v>0</v>
      </c>
      <c r="AG838" s="14">
        <f>IF(AQ838="2",BI838,0)</f>
        <v>0</v>
      </c>
      <c r="AH838" s="14">
        <f>IF(AQ838="0",BJ838,0)</f>
        <v>0</v>
      </c>
      <c r="AI838" s="15" t="s">
        <v>557</v>
      </c>
      <c r="AJ838" s="6">
        <f>IF(AN838=0,L838,0)</f>
        <v>0</v>
      </c>
      <c r="AK838" s="6">
        <f>IF(AN838=15,L838,0)</f>
        <v>0</v>
      </c>
      <c r="AL838" s="6">
        <f>IF(AN838=21,L838,0)</f>
        <v>0</v>
      </c>
      <c r="AN838" s="14">
        <v>21</v>
      </c>
      <c r="AO838" s="92">
        <f>H838*1</f>
        <v>0</v>
      </c>
      <c r="AP838" s="92">
        <f>H838*(1-1)</f>
        <v>0</v>
      </c>
      <c r="AQ838" s="18" t="s">
        <v>2435</v>
      </c>
      <c r="AV838" s="14">
        <f>AW838+AX838</f>
        <v>0</v>
      </c>
      <c r="AW838" s="14">
        <f>G838*AO838</f>
        <v>0</v>
      </c>
      <c r="AX838" s="14">
        <f>G838*AP838</f>
        <v>0</v>
      </c>
      <c r="AY838" s="55" t="s">
        <v>2124</v>
      </c>
      <c r="AZ838" s="55" t="s">
        <v>855</v>
      </c>
      <c r="BA838" s="15" t="s">
        <v>1982</v>
      </c>
      <c r="BC838" s="14">
        <f>AW838+AX838</f>
        <v>0</v>
      </c>
      <c r="BD838" s="14">
        <f>H838/(100-BE838)*100</f>
        <v>0</v>
      </c>
      <c r="BE838" s="14">
        <v>0</v>
      </c>
      <c r="BF838" s="14">
        <f>O838</f>
        <v>0</v>
      </c>
      <c r="BH838" s="6">
        <f>G838*AO838</f>
        <v>0</v>
      </c>
      <c r="BI838" s="6">
        <f>G838*AP838</f>
        <v>0</v>
      </c>
      <c r="BJ838" s="6">
        <f>G838*H838</f>
        <v>0</v>
      </c>
      <c r="BK838" s="6"/>
      <c r="BL838" s="14">
        <v>711</v>
      </c>
      <c r="BW838" s="14" t="str">
        <f>I838</f>
        <v>21</v>
      </c>
    </row>
    <row r="839" spans="1:75" ht="15" customHeight="1">
      <c r="A839" s="32"/>
      <c r="D839" s="3" t="s">
        <v>989</v>
      </c>
      <c r="E839" s="28" t="s">
        <v>1683</v>
      </c>
      <c r="G839" s="27">
        <v>150</v>
      </c>
      <c r="P839" s="33"/>
    </row>
    <row r="840" spans="1:75" ht="27" customHeight="1">
      <c r="A840" s="20" t="s">
        <v>2443</v>
      </c>
      <c r="B840" s="84" t="s">
        <v>557</v>
      </c>
      <c r="C840" s="84" t="s">
        <v>426</v>
      </c>
      <c r="D840" s="653" t="s">
        <v>1857</v>
      </c>
      <c r="E840" s="654"/>
      <c r="F840" s="84" t="s">
        <v>595</v>
      </c>
      <c r="G840" s="6">
        <v>105</v>
      </c>
      <c r="H840" s="570"/>
      <c r="I840" s="18" t="s">
        <v>1720</v>
      </c>
      <c r="J840" s="6">
        <f>G840*AO840</f>
        <v>0</v>
      </c>
      <c r="K840" s="6">
        <f>G840*AP840</f>
        <v>0</v>
      </c>
      <c r="L840" s="6">
        <f>G840*H840</f>
        <v>0</v>
      </c>
      <c r="M840" s="6">
        <f>L840*(1+BW840/100)</f>
        <v>0</v>
      </c>
      <c r="N840" s="6">
        <v>3.2000000000000002E-3</v>
      </c>
      <c r="O840" s="6">
        <f>G840*N840</f>
        <v>0.33600000000000002</v>
      </c>
      <c r="P840" s="109" t="s">
        <v>1664</v>
      </c>
      <c r="Z840" s="14">
        <f>IF(AQ840="5",BJ840,0)</f>
        <v>0</v>
      </c>
      <c r="AB840" s="14">
        <f>IF(AQ840="1",BH840,0)</f>
        <v>0</v>
      </c>
      <c r="AC840" s="14">
        <f>IF(AQ840="1",BI840,0)</f>
        <v>0</v>
      </c>
      <c r="AD840" s="14">
        <f>IF(AQ840="7",BH840,0)</f>
        <v>0</v>
      </c>
      <c r="AE840" s="14">
        <f>IF(AQ840="7",BI840,0)</f>
        <v>0</v>
      </c>
      <c r="AF840" s="14">
        <f>IF(AQ840="2",BH840,0)</f>
        <v>0</v>
      </c>
      <c r="AG840" s="14">
        <f>IF(AQ840="2",BI840,0)</f>
        <v>0</v>
      </c>
      <c r="AH840" s="14">
        <f>IF(AQ840="0",BJ840,0)</f>
        <v>0</v>
      </c>
      <c r="AI840" s="15" t="s">
        <v>557</v>
      </c>
      <c r="AJ840" s="6">
        <f>IF(AN840=0,L840,0)</f>
        <v>0</v>
      </c>
      <c r="AK840" s="6">
        <f>IF(AN840=15,L840,0)</f>
        <v>0</v>
      </c>
      <c r="AL840" s="6">
        <f>IF(AN840=21,L840,0)</f>
        <v>0</v>
      </c>
      <c r="AN840" s="14">
        <v>21</v>
      </c>
      <c r="AO840" s="92">
        <f>H840*1</f>
        <v>0</v>
      </c>
      <c r="AP840" s="92">
        <f>H840*(1-1)</f>
        <v>0</v>
      </c>
      <c r="AQ840" s="18" t="s">
        <v>2435</v>
      </c>
      <c r="AV840" s="14">
        <f>AW840+AX840</f>
        <v>0</v>
      </c>
      <c r="AW840" s="14">
        <f>G840*AO840</f>
        <v>0</v>
      </c>
      <c r="AX840" s="14">
        <f>G840*AP840</f>
        <v>0</v>
      </c>
      <c r="AY840" s="55" t="s">
        <v>2124</v>
      </c>
      <c r="AZ840" s="55" t="s">
        <v>855</v>
      </c>
      <c r="BA840" s="15" t="s">
        <v>1982</v>
      </c>
      <c r="BC840" s="14">
        <f>AW840+AX840</f>
        <v>0</v>
      </c>
      <c r="BD840" s="14">
        <f>H840/(100-BE840)*100</f>
        <v>0</v>
      </c>
      <c r="BE840" s="14">
        <v>0</v>
      </c>
      <c r="BF840" s="14">
        <f>O840</f>
        <v>0.33600000000000002</v>
      </c>
      <c r="BH840" s="6">
        <f>G840*AO840</f>
        <v>0</v>
      </c>
      <c r="BI840" s="6">
        <f>G840*AP840</f>
        <v>0</v>
      </c>
      <c r="BJ840" s="6">
        <f>G840*H840</f>
        <v>0</v>
      </c>
      <c r="BK840" s="6"/>
      <c r="BL840" s="14">
        <v>711</v>
      </c>
      <c r="BW840" s="14" t="str">
        <f>I840</f>
        <v>21</v>
      </c>
    </row>
    <row r="841" spans="1:75" ht="15" customHeight="1">
      <c r="A841" s="32"/>
      <c r="D841" s="3" t="s">
        <v>1995</v>
      </c>
      <c r="E841" s="28" t="s">
        <v>1683</v>
      </c>
      <c r="G841" s="27">
        <v>100.00000000000001</v>
      </c>
      <c r="P841" s="33"/>
    </row>
    <row r="842" spans="1:75" ht="15" customHeight="1">
      <c r="A842" s="32"/>
      <c r="D842" s="3" t="s">
        <v>1009</v>
      </c>
      <c r="E842" s="28" t="s">
        <v>1683</v>
      </c>
      <c r="G842" s="27">
        <v>5</v>
      </c>
      <c r="P842" s="33"/>
    </row>
    <row r="843" spans="1:75" ht="15" customHeight="1">
      <c r="A843" s="65" t="s">
        <v>1683</v>
      </c>
      <c r="B843" s="26" t="s">
        <v>557</v>
      </c>
      <c r="C843" s="26" t="s">
        <v>1955</v>
      </c>
      <c r="D843" s="649" t="s">
        <v>2096</v>
      </c>
      <c r="E843" s="650"/>
      <c r="F843" s="74" t="s">
        <v>2262</v>
      </c>
      <c r="G843" s="74" t="s">
        <v>2262</v>
      </c>
      <c r="H843" s="74" t="s">
        <v>2262</v>
      </c>
      <c r="I843" s="74" t="s">
        <v>2262</v>
      </c>
      <c r="J843" s="2">
        <f>SUM(J844:J859)</f>
        <v>0</v>
      </c>
      <c r="K843" s="2">
        <f>SUM(K844:K859)</f>
        <v>0</v>
      </c>
      <c r="L843" s="2">
        <f>SUM(L844:L859)</f>
        <v>0</v>
      </c>
      <c r="M843" s="2">
        <f>SUM(M844:M859)</f>
        <v>0</v>
      </c>
      <c r="N843" s="15" t="s">
        <v>1683</v>
      </c>
      <c r="O843" s="2">
        <f>SUM(O844:O859)</f>
        <v>19.840769999999999</v>
      </c>
      <c r="P843" s="47" t="s">
        <v>1683</v>
      </c>
      <c r="AI843" s="15" t="s">
        <v>557</v>
      </c>
      <c r="AS843" s="2">
        <f>SUM(AJ844:AJ859)</f>
        <v>0</v>
      </c>
      <c r="AT843" s="2">
        <f>SUM(AK844:AK859)</f>
        <v>0</v>
      </c>
      <c r="AU843" s="2">
        <f>SUM(AL844:AL859)</f>
        <v>0</v>
      </c>
    </row>
    <row r="844" spans="1:75" ht="27" customHeight="1">
      <c r="A844" s="21" t="s">
        <v>565</v>
      </c>
      <c r="B844" s="37" t="s">
        <v>557</v>
      </c>
      <c r="C844" s="37" t="s">
        <v>1044</v>
      </c>
      <c r="D844" s="578" t="s">
        <v>2581</v>
      </c>
      <c r="E844" s="579"/>
      <c r="F844" s="37" t="s">
        <v>2359</v>
      </c>
      <c r="G844" s="14">
        <v>233.9</v>
      </c>
      <c r="H844" s="569"/>
      <c r="I844" s="55" t="s">
        <v>1720</v>
      </c>
      <c r="J844" s="14">
        <f>G844*AO844</f>
        <v>0</v>
      </c>
      <c r="K844" s="14">
        <f>G844*AP844</f>
        <v>0</v>
      </c>
      <c r="L844" s="14">
        <f>G844*H844</f>
        <v>0</v>
      </c>
      <c r="M844" s="14">
        <f>L844*(1+BW844/100)</f>
        <v>0</v>
      </c>
      <c r="N844" s="14">
        <v>7.3499999999999996E-2</v>
      </c>
      <c r="O844" s="14">
        <f>G844*N844</f>
        <v>17.191649999999999</v>
      </c>
      <c r="P844" s="72" t="s">
        <v>1664</v>
      </c>
      <c r="Z844" s="14">
        <f>IF(AQ844="5",BJ844,0)</f>
        <v>0</v>
      </c>
      <c r="AB844" s="14">
        <f>IF(AQ844="1",BH844,0)</f>
        <v>0</v>
      </c>
      <c r="AC844" s="14">
        <f>IF(AQ844="1",BI844,0)</f>
        <v>0</v>
      </c>
      <c r="AD844" s="14">
        <f>IF(AQ844="7",BH844,0)</f>
        <v>0</v>
      </c>
      <c r="AE844" s="14">
        <f>IF(AQ844="7",BI844,0)</f>
        <v>0</v>
      </c>
      <c r="AF844" s="14">
        <f>IF(AQ844="2",BH844,0)</f>
        <v>0</v>
      </c>
      <c r="AG844" s="14">
        <f>IF(AQ844="2",BI844,0)</f>
        <v>0</v>
      </c>
      <c r="AH844" s="14">
        <f>IF(AQ844="0",BJ844,0)</f>
        <v>0</v>
      </c>
      <c r="AI844" s="15" t="s">
        <v>557</v>
      </c>
      <c r="AJ844" s="14">
        <f>IF(AN844=0,L844,0)</f>
        <v>0</v>
      </c>
      <c r="AK844" s="14">
        <f>IF(AN844=15,L844,0)</f>
        <v>0</v>
      </c>
      <c r="AL844" s="14">
        <f>IF(AN844=21,L844,0)</f>
        <v>0</v>
      </c>
      <c r="AN844" s="14">
        <v>21</v>
      </c>
      <c r="AO844" s="92">
        <f>H844*0.799652408455824</f>
        <v>0</v>
      </c>
      <c r="AP844" s="92">
        <f>H844*(1-0.799652408455824)</f>
        <v>0</v>
      </c>
      <c r="AQ844" s="55" t="s">
        <v>2435</v>
      </c>
      <c r="AV844" s="14">
        <f>AW844+AX844</f>
        <v>0</v>
      </c>
      <c r="AW844" s="14">
        <f>G844*AO844</f>
        <v>0</v>
      </c>
      <c r="AX844" s="14">
        <f>G844*AP844</f>
        <v>0</v>
      </c>
      <c r="AY844" s="55" t="s">
        <v>1898</v>
      </c>
      <c r="AZ844" s="55" t="s">
        <v>855</v>
      </c>
      <c r="BA844" s="15" t="s">
        <v>1982</v>
      </c>
      <c r="BC844" s="14">
        <f>AW844+AX844</f>
        <v>0</v>
      </c>
      <c r="BD844" s="14">
        <f>H844/(100-BE844)*100</f>
        <v>0</v>
      </c>
      <c r="BE844" s="14">
        <v>0</v>
      </c>
      <c r="BF844" s="14">
        <f>O844</f>
        <v>17.191649999999999</v>
      </c>
      <c r="BH844" s="14">
        <f>G844*AO844</f>
        <v>0</v>
      </c>
      <c r="BI844" s="14">
        <f>G844*AP844</f>
        <v>0</v>
      </c>
      <c r="BJ844" s="14">
        <f>G844*H844</f>
        <v>0</v>
      </c>
      <c r="BK844" s="14"/>
      <c r="BL844" s="14">
        <v>713</v>
      </c>
      <c r="BW844" s="14" t="str">
        <f>I844</f>
        <v>21</v>
      </c>
    </row>
    <row r="845" spans="1:75" ht="15" customHeight="1">
      <c r="A845" s="32"/>
      <c r="D845" s="3" t="s">
        <v>2063</v>
      </c>
      <c r="E845" s="28" t="s">
        <v>1640</v>
      </c>
      <c r="G845" s="27">
        <v>151.34</v>
      </c>
      <c r="P845" s="33"/>
    </row>
    <row r="846" spans="1:75" ht="15" customHeight="1">
      <c r="A846" s="32"/>
      <c r="D846" s="3" t="s">
        <v>1039</v>
      </c>
      <c r="E846" s="28" t="s">
        <v>2595</v>
      </c>
      <c r="G846" s="27">
        <v>89.76</v>
      </c>
      <c r="P846" s="33"/>
    </row>
    <row r="847" spans="1:75" ht="15" customHeight="1">
      <c r="A847" s="32"/>
      <c r="D847" s="3" t="s">
        <v>167</v>
      </c>
      <c r="E847" s="28" t="s">
        <v>1331</v>
      </c>
      <c r="G847" s="27">
        <v>-7.2</v>
      </c>
      <c r="P847" s="33"/>
    </row>
    <row r="848" spans="1:75" ht="13.5" customHeight="1">
      <c r="A848" s="21" t="s">
        <v>28</v>
      </c>
      <c r="B848" s="37" t="s">
        <v>557</v>
      </c>
      <c r="C848" s="37" t="s">
        <v>2040</v>
      </c>
      <c r="D848" s="578" t="s">
        <v>110</v>
      </c>
      <c r="E848" s="579"/>
      <c r="F848" s="37" t="s">
        <v>2398</v>
      </c>
      <c r="G848" s="14">
        <v>260</v>
      </c>
      <c r="H848" s="569"/>
      <c r="I848" s="55" t="s">
        <v>1720</v>
      </c>
      <c r="J848" s="14">
        <f>G848*AO848</f>
        <v>0</v>
      </c>
      <c r="K848" s="14">
        <f>G848*AP848</f>
        <v>0</v>
      </c>
      <c r="L848" s="14">
        <f>G848*H848</f>
        <v>0</v>
      </c>
      <c r="M848" s="14">
        <f>L848*(1+BW848/100)</f>
        <v>0</v>
      </c>
      <c r="N848" s="14">
        <v>0</v>
      </c>
      <c r="O848" s="14">
        <f>G848*N848</f>
        <v>0</v>
      </c>
      <c r="P848" s="72" t="s">
        <v>1664</v>
      </c>
      <c r="Z848" s="14">
        <f>IF(AQ848="5",BJ848,0)</f>
        <v>0</v>
      </c>
      <c r="AB848" s="14">
        <f>IF(AQ848="1",BH848,0)</f>
        <v>0</v>
      </c>
      <c r="AC848" s="14">
        <f>IF(AQ848="1",BI848,0)</f>
        <v>0</v>
      </c>
      <c r="AD848" s="14">
        <f>IF(AQ848="7",BH848,0)</f>
        <v>0</v>
      </c>
      <c r="AE848" s="14">
        <f>IF(AQ848="7",BI848,0)</f>
        <v>0</v>
      </c>
      <c r="AF848" s="14">
        <f>IF(AQ848="2",BH848,0)</f>
        <v>0</v>
      </c>
      <c r="AG848" s="14">
        <f>IF(AQ848="2",BI848,0)</f>
        <v>0</v>
      </c>
      <c r="AH848" s="14">
        <f>IF(AQ848="0",BJ848,0)</f>
        <v>0</v>
      </c>
      <c r="AI848" s="15" t="s">
        <v>557</v>
      </c>
      <c r="AJ848" s="14">
        <f>IF(AN848=0,L848,0)</f>
        <v>0</v>
      </c>
      <c r="AK848" s="14">
        <f>IF(AN848=15,L848,0)</f>
        <v>0</v>
      </c>
      <c r="AL848" s="14">
        <f>IF(AN848=21,L848,0)</f>
        <v>0</v>
      </c>
      <c r="AN848" s="14">
        <v>21</v>
      </c>
      <c r="AO848" s="92">
        <f>H848*0</f>
        <v>0</v>
      </c>
      <c r="AP848" s="92">
        <f>H848*(1-0)</f>
        <v>0</v>
      </c>
      <c r="AQ848" s="55" t="s">
        <v>2435</v>
      </c>
      <c r="AV848" s="14">
        <f>AW848+AX848</f>
        <v>0</v>
      </c>
      <c r="AW848" s="14">
        <f>G848*AO848</f>
        <v>0</v>
      </c>
      <c r="AX848" s="14">
        <f>G848*AP848</f>
        <v>0</v>
      </c>
      <c r="AY848" s="55" t="s">
        <v>1898</v>
      </c>
      <c r="AZ848" s="55" t="s">
        <v>855</v>
      </c>
      <c r="BA848" s="15" t="s">
        <v>1982</v>
      </c>
      <c r="BC848" s="14">
        <f>AW848+AX848</f>
        <v>0</v>
      </c>
      <c r="BD848" s="14">
        <f>H848/(100-BE848)*100</f>
        <v>0</v>
      </c>
      <c r="BE848" s="14">
        <v>0</v>
      </c>
      <c r="BF848" s="14">
        <f>O848</f>
        <v>0</v>
      </c>
      <c r="BH848" s="14">
        <f>G848*AO848</f>
        <v>0</v>
      </c>
      <c r="BI848" s="14">
        <f>G848*AP848</f>
        <v>0</v>
      </c>
      <c r="BJ848" s="14">
        <f>G848*H848</f>
        <v>0</v>
      </c>
      <c r="BK848" s="14"/>
      <c r="BL848" s="14">
        <v>713</v>
      </c>
      <c r="BW848" s="14" t="str">
        <f>I848</f>
        <v>21</v>
      </c>
    </row>
    <row r="849" spans="1:75" ht="15" customHeight="1">
      <c r="A849" s="32"/>
      <c r="D849" s="3" t="s">
        <v>996</v>
      </c>
      <c r="E849" s="28" t="s">
        <v>822</v>
      </c>
      <c r="G849" s="27">
        <v>260</v>
      </c>
      <c r="P849" s="33"/>
    </row>
    <row r="850" spans="1:75" ht="27" customHeight="1">
      <c r="A850" s="20" t="s">
        <v>580</v>
      </c>
      <c r="B850" s="84" t="s">
        <v>557</v>
      </c>
      <c r="C850" s="84" t="s">
        <v>512</v>
      </c>
      <c r="D850" s="653" t="s">
        <v>2322</v>
      </c>
      <c r="E850" s="654"/>
      <c r="F850" s="84" t="s">
        <v>2398</v>
      </c>
      <c r="G850" s="6">
        <v>265.2</v>
      </c>
      <c r="H850" s="570"/>
      <c r="I850" s="18" t="s">
        <v>1720</v>
      </c>
      <c r="J850" s="6">
        <f>G850*AO850</f>
        <v>0</v>
      </c>
      <c r="K850" s="6">
        <f>G850*AP850</f>
        <v>0</v>
      </c>
      <c r="L850" s="6">
        <f>G850*H850</f>
        <v>0</v>
      </c>
      <c r="M850" s="6">
        <f>L850*(1+BW850/100)</f>
        <v>0</v>
      </c>
      <c r="N850" s="6">
        <v>6.6E-3</v>
      </c>
      <c r="O850" s="6">
        <f>G850*N850</f>
        <v>1.7503199999999999</v>
      </c>
      <c r="P850" s="109" t="s">
        <v>1664</v>
      </c>
      <c r="Z850" s="14">
        <f>IF(AQ850="5",BJ850,0)</f>
        <v>0</v>
      </c>
      <c r="AB850" s="14">
        <f>IF(AQ850="1",BH850,0)</f>
        <v>0</v>
      </c>
      <c r="AC850" s="14">
        <f>IF(AQ850="1",BI850,0)</f>
        <v>0</v>
      </c>
      <c r="AD850" s="14">
        <f>IF(AQ850="7",BH850,0)</f>
        <v>0</v>
      </c>
      <c r="AE850" s="14">
        <f>IF(AQ850="7",BI850,0)</f>
        <v>0</v>
      </c>
      <c r="AF850" s="14">
        <f>IF(AQ850="2",BH850,0)</f>
        <v>0</v>
      </c>
      <c r="AG850" s="14">
        <f>IF(AQ850="2",BI850,0)</f>
        <v>0</v>
      </c>
      <c r="AH850" s="14">
        <f>IF(AQ850="0",BJ850,0)</f>
        <v>0</v>
      </c>
      <c r="AI850" s="15" t="s">
        <v>557</v>
      </c>
      <c r="AJ850" s="6">
        <f>IF(AN850=0,L850,0)</f>
        <v>0</v>
      </c>
      <c r="AK850" s="6">
        <f>IF(AN850=15,L850,0)</f>
        <v>0</v>
      </c>
      <c r="AL850" s="6">
        <f>IF(AN850=21,L850,0)</f>
        <v>0</v>
      </c>
      <c r="AN850" s="14">
        <v>21</v>
      </c>
      <c r="AO850" s="92">
        <f>H850*1</f>
        <v>0</v>
      </c>
      <c r="AP850" s="92">
        <f>H850*(1-1)</f>
        <v>0</v>
      </c>
      <c r="AQ850" s="18" t="s">
        <v>2435</v>
      </c>
      <c r="AV850" s="14">
        <f>AW850+AX850</f>
        <v>0</v>
      </c>
      <c r="AW850" s="14">
        <f>G850*AO850</f>
        <v>0</v>
      </c>
      <c r="AX850" s="14">
        <f>G850*AP850</f>
        <v>0</v>
      </c>
      <c r="AY850" s="55" t="s">
        <v>1898</v>
      </c>
      <c r="AZ850" s="55" t="s">
        <v>855</v>
      </c>
      <c r="BA850" s="15" t="s">
        <v>1982</v>
      </c>
      <c r="BC850" s="14">
        <f>AW850+AX850</f>
        <v>0</v>
      </c>
      <c r="BD850" s="14">
        <f>H850/(100-BE850)*100</f>
        <v>0</v>
      </c>
      <c r="BE850" s="14">
        <v>0</v>
      </c>
      <c r="BF850" s="14">
        <f>O850</f>
        <v>1.7503199999999999</v>
      </c>
      <c r="BH850" s="6">
        <f>G850*AO850</f>
        <v>0</v>
      </c>
      <c r="BI850" s="6">
        <f>G850*AP850</f>
        <v>0</v>
      </c>
      <c r="BJ850" s="6">
        <f>G850*H850</f>
        <v>0</v>
      </c>
      <c r="BK850" s="6"/>
      <c r="BL850" s="14">
        <v>713</v>
      </c>
      <c r="BW850" s="14" t="str">
        <f>I850</f>
        <v>21</v>
      </c>
    </row>
    <row r="851" spans="1:75" ht="15" customHeight="1">
      <c r="A851" s="32"/>
      <c r="D851" s="3" t="s">
        <v>996</v>
      </c>
      <c r="E851" s="28" t="s">
        <v>1683</v>
      </c>
      <c r="G851" s="27">
        <v>260</v>
      </c>
      <c r="P851" s="33"/>
    </row>
    <row r="852" spans="1:75" ht="15" customHeight="1">
      <c r="A852" s="32"/>
      <c r="D852" s="3" t="s">
        <v>1761</v>
      </c>
      <c r="E852" s="28" t="s">
        <v>1683</v>
      </c>
      <c r="G852" s="27">
        <v>5.2</v>
      </c>
      <c r="P852" s="33"/>
    </row>
    <row r="853" spans="1:75" ht="13.5" customHeight="1">
      <c r="A853" s="20" t="s">
        <v>730</v>
      </c>
      <c r="B853" s="84" t="s">
        <v>557</v>
      </c>
      <c r="C853" s="84" t="s">
        <v>1412</v>
      </c>
      <c r="D853" s="653" t="s">
        <v>1373</v>
      </c>
      <c r="E853" s="654"/>
      <c r="F853" s="84" t="s">
        <v>595</v>
      </c>
      <c r="G853" s="6">
        <v>30</v>
      </c>
      <c r="H853" s="570"/>
      <c r="I853" s="18" t="s">
        <v>1720</v>
      </c>
      <c r="J853" s="6">
        <f>G853*AO853</f>
        <v>0</v>
      </c>
      <c r="K853" s="6">
        <f>G853*AP853</f>
        <v>0</v>
      </c>
      <c r="L853" s="6">
        <f>G853*H853</f>
        <v>0</v>
      </c>
      <c r="M853" s="6">
        <f>L853*(1+BW853/100)</f>
        <v>0</v>
      </c>
      <c r="N853" s="6">
        <v>8.0000000000000004E-4</v>
      </c>
      <c r="O853" s="6">
        <f>G853*N853</f>
        <v>2.4E-2</v>
      </c>
      <c r="P853" s="109" t="s">
        <v>1664</v>
      </c>
      <c r="Z853" s="14">
        <f>IF(AQ853="5",BJ853,0)</f>
        <v>0</v>
      </c>
      <c r="AB853" s="14">
        <f>IF(AQ853="1",BH853,0)</f>
        <v>0</v>
      </c>
      <c r="AC853" s="14">
        <f>IF(AQ853="1",BI853,0)</f>
        <v>0</v>
      </c>
      <c r="AD853" s="14">
        <f>IF(AQ853="7",BH853,0)</f>
        <v>0</v>
      </c>
      <c r="AE853" s="14">
        <f>IF(AQ853="7",BI853,0)</f>
        <v>0</v>
      </c>
      <c r="AF853" s="14">
        <f>IF(AQ853="2",BH853,0)</f>
        <v>0</v>
      </c>
      <c r="AG853" s="14">
        <f>IF(AQ853="2",BI853,0)</f>
        <v>0</v>
      </c>
      <c r="AH853" s="14">
        <f>IF(AQ853="0",BJ853,0)</f>
        <v>0</v>
      </c>
      <c r="AI853" s="15" t="s">
        <v>557</v>
      </c>
      <c r="AJ853" s="6">
        <f>IF(AN853=0,L853,0)</f>
        <v>0</v>
      </c>
      <c r="AK853" s="6">
        <f>IF(AN853=15,L853,0)</f>
        <v>0</v>
      </c>
      <c r="AL853" s="6">
        <f>IF(AN853=21,L853,0)</f>
        <v>0</v>
      </c>
      <c r="AN853" s="14">
        <v>21</v>
      </c>
      <c r="AO853" s="92">
        <f>H853*1</f>
        <v>0</v>
      </c>
      <c r="AP853" s="92">
        <f>H853*(1-1)</f>
        <v>0</v>
      </c>
      <c r="AQ853" s="18" t="s">
        <v>2435</v>
      </c>
      <c r="AV853" s="14">
        <f>AW853+AX853</f>
        <v>0</v>
      </c>
      <c r="AW853" s="14">
        <f>G853*AO853</f>
        <v>0</v>
      </c>
      <c r="AX853" s="14">
        <f>G853*AP853</f>
        <v>0</v>
      </c>
      <c r="AY853" s="55" t="s">
        <v>1898</v>
      </c>
      <c r="AZ853" s="55" t="s">
        <v>855</v>
      </c>
      <c r="BA853" s="15" t="s">
        <v>1982</v>
      </c>
      <c r="BC853" s="14">
        <f>AW853+AX853</f>
        <v>0</v>
      </c>
      <c r="BD853" s="14">
        <f>H853/(100-BE853)*100</f>
        <v>0</v>
      </c>
      <c r="BE853" s="14">
        <v>0</v>
      </c>
      <c r="BF853" s="14">
        <f>O853</f>
        <v>2.4E-2</v>
      </c>
      <c r="BH853" s="6">
        <f>G853*AO853</f>
        <v>0</v>
      </c>
      <c r="BI853" s="6">
        <f>G853*AP853</f>
        <v>0</v>
      </c>
      <c r="BJ853" s="6">
        <f>G853*H853</f>
        <v>0</v>
      </c>
      <c r="BK853" s="6"/>
      <c r="BL853" s="14">
        <v>713</v>
      </c>
      <c r="BW853" s="14" t="str">
        <f>I853</f>
        <v>21</v>
      </c>
    </row>
    <row r="854" spans="1:75" ht="15" customHeight="1">
      <c r="A854" s="32"/>
      <c r="D854" s="3" t="s">
        <v>1565</v>
      </c>
      <c r="E854" s="28" t="s">
        <v>1683</v>
      </c>
      <c r="G854" s="27">
        <v>30.000000000000004</v>
      </c>
      <c r="P854" s="33"/>
    </row>
    <row r="855" spans="1:75" ht="13.5" customHeight="1">
      <c r="A855" s="20" t="s">
        <v>2657</v>
      </c>
      <c r="B855" s="84" t="s">
        <v>557</v>
      </c>
      <c r="C855" s="84" t="s">
        <v>77</v>
      </c>
      <c r="D855" s="653" t="s">
        <v>1824</v>
      </c>
      <c r="E855" s="654"/>
      <c r="F855" s="84" t="s">
        <v>872</v>
      </c>
      <c r="G855" s="6">
        <v>0.71</v>
      </c>
      <c r="H855" s="570"/>
      <c r="I855" s="18" t="s">
        <v>1720</v>
      </c>
      <c r="J855" s="6">
        <f>G855*AO855</f>
        <v>0</v>
      </c>
      <c r="K855" s="6">
        <f>G855*AP855</f>
        <v>0</v>
      </c>
      <c r="L855" s="6">
        <f>G855*H855</f>
        <v>0</v>
      </c>
      <c r="M855" s="6">
        <f>L855*(1+BW855/100)</f>
        <v>0</v>
      </c>
      <c r="N855" s="6">
        <v>0.15</v>
      </c>
      <c r="O855" s="6">
        <f>G855*N855</f>
        <v>0.1065</v>
      </c>
      <c r="P855" s="109" t="s">
        <v>1683</v>
      </c>
      <c r="Z855" s="14">
        <f>IF(AQ855="5",BJ855,0)</f>
        <v>0</v>
      </c>
      <c r="AB855" s="14">
        <f>IF(AQ855="1",BH855,0)</f>
        <v>0</v>
      </c>
      <c r="AC855" s="14">
        <f>IF(AQ855="1",BI855,0)</f>
        <v>0</v>
      </c>
      <c r="AD855" s="14">
        <f>IF(AQ855="7",BH855,0)</f>
        <v>0</v>
      </c>
      <c r="AE855" s="14">
        <f>IF(AQ855="7",BI855,0)</f>
        <v>0</v>
      </c>
      <c r="AF855" s="14">
        <f>IF(AQ855="2",BH855,0)</f>
        <v>0</v>
      </c>
      <c r="AG855" s="14">
        <f>IF(AQ855="2",BI855,0)</f>
        <v>0</v>
      </c>
      <c r="AH855" s="14">
        <f>IF(AQ855="0",BJ855,0)</f>
        <v>0</v>
      </c>
      <c r="AI855" s="15" t="s">
        <v>557</v>
      </c>
      <c r="AJ855" s="6">
        <f>IF(AN855=0,L855,0)</f>
        <v>0</v>
      </c>
      <c r="AK855" s="6">
        <f>IF(AN855=15,L855,0)</f>
        <v>0</v>
      </c>
      <c r="AL855" s="6">
        <f>IF(AN855=21,L855,0)</f>
        <v>0</v>
      </c>
      <c r="AN855" s="14">
        <v>21</v>
      </c>
      <c r="AO855" s="92">
        <f>H855*1</f>
        <v>0</v>
      </c>
      <c r="AP855" s="92">
        <f>H855*(1-1)</f>
        <v>0</v>
      </c>
      <c r="AQ855" s="18" t="s">
        <v>2435</v>
      </c>
      <c r="AV855" s="14">
        <f>AW855+AX855</f>
        <v>0</v>
      </c>
      <c r="AW855" s="14">
        <f>G855*AO855</f>
        <v>0</v>
      </c>
      <c r="AX855" s="14">
        <f>G855*AP855</f>
        <v>0</v>
      </c>
      <c r="AY855" s="55" t="s">
        <v>1898</v>
      </c>
      <c r="AZ855" s="55" t="s">
        <v>855</v>
      </c>
      <c r="BA855" s="15" t="s">
        <v>1982</v>
      </c>
      <c r="BC855" s="14">
        <f>AW855+AX855</f>
        <v>0</v>
      </c>
      <c r="BD855" s="14">
        <f>H855/(100-BE855)*100</f>
        <v>0</v>
      </c>
      <c r="BE855" s="14">
        <v>0</v>
      </c>
      <c r="BF855" s="14">
        <f>O855</f>
        <v>0.1065</v>
      </c>
      <c r="BH855" s="6">
        <f>G855*AO855</f>
        <v>0</v>
      </c>
      <c r="BI855" s="6">
        <f>G855*AP855</f>
        <v>0</v>
      </c>
      <c r="BJ855" s="6">
        <f>G855*H855</f>
        <v>0</v>
      </c>
      <c r="BK855" s="6"/>
      <c r="BL855" s="14">
        <v>713</v>
      </c>
      <c r="BW855" s="14" t="str">
        <f>I855</f>
        <v>21</v>
      </c>
    </row>
    <row r="856" spans="1:75" ht="15" customHeight="1">
      <c r="A856" s="32"/>
      <c r="D856" s="3" t="s">
        <v>659</v>
      </c>
      <c r="E856" s="28" t="s">
        <v>1683</v>
      </c>
      <c r="G856" s="27">
        <v>0.71000000000000008</v>
      </c>
      <c r="P856" s="33"/>
    </row>
    <row r="857" spans="1:75" ht="27" customHeight="1">
      <c r="A857" s="21" t="s">
        <v>243</v>
      </c>
      <c r="B857" s="37" t="s">
        <v>557</v>
      </c>
      <c r="C857" s="37" t="s">
        <v>802</v>
      </c>
      <c r="D857" s="578" t="s">
        <v>2242</v>
      </c>
      <c r="E857" s="579"/>
      <c r="F857" s="37" t="s">
        <v>2398</v>
      </c>
      <c r="G857" s="14">
        <v>260</v>
      </c>
      <c r="H857" s="569"/>
      <c r="I857" s="55" t="s">
        <v>1720</v>
      </c>
      <c r="J857" s="14">
        <f>G857*AO857</f>
        <v>0</v>
      </c>
      <c r="K857" s="14">
        <f>G857*AP857</f>
        <v>0</v>
      </c>
      <c r="L857" s="14">
        <f>G857*H857</f>
        <v>0</v>
      </c>
      <c r="M857" s="14">
        <f>L857*(1+BW857/100)</f>
        <v>0</v>
      </c>
      <c r="N857" s="14">
        <v>3.3E-4</v>
      </c>
      <c r="O857" s="14">
        <f>G857*N857</f>
        <v>8.5800000000000001E-2</v>
      </c>
      <c r="P857" s="72" t="s">
        <v>1664</v>
      </c>
      <c r="Z857" s="14">
        <f>IF(AQ857="5",BJ857,0)</f>
        <v>0</v>
      </c>
      <c r="AB857" s="14">
        <f>IF(AQ857="1",BH857,0)</f>
        <v>0</v>
      </c>
      <c r="AC857" s="14">
        <f>IF(AQ857="1",BI857,0)</f>
        <v>0</v>
      </c>
      <c r="AD857" s="14">
        <f>IF(AQ857="7",BH857,0)</f>
        <v>0</v>
      </c>
      <c r="AE857" s="14">
        <f>IF(AQ857="7",BI857,0)</f>
        <v>0</v>
      </c>
      <c r="AF857" s="14">
        <f>IF(AQ857="2",BH857,0)</f>
        <v>0</v>
      </c>
      <c r="AG857" s="14">
        <f>IF(AQ857="2",BI857,0)</f>
        <v>0</v>
      </c>
      <c r="AH857" s="14">
        <f>IF(AQ857="0",BJ857,0)</f>
        <v>0</v>
      </c>
      <c r="AI857" s="15" t="s">
        <v>557</v>
      </c>
      <c r="AJ857" s="14">
        <f>IF(AN857=0,L857,0)</f>
        <v>0</v>
      </c>
      <c r="AK857" s="14">
        <f>IF(AN857=15,L857,0)</f>
        <v>0</v>
      </c>
      <c r="AL857" s="14">
        <f>IF(AN857=21,L857,0)</f>
        <v>0</v>
      </c>
      <c r="AN857" s="14">
        <v>21</v>
      </c>
      <c r="AO857" s="92">
        <f>H857*0.39095168170058</f>
        <v>0</v>
      </c>
      <c r="AP857" s="92">
        <f>H857*(1-0.39095168170058)</f>
        <v>0</v>
      </c>
      <c r="AQ857" s="55" t="s">
        <v>2435</v>
      </c>
      <c r="AV857" s="14">
        <f>AW857+AX857</f>
        <v>0</v>
      </c>
      <c r="AW857" s="14">
        <f>G857*AO857</f>
        <v>0</v>
      </c>
      <c r="AX857" s="14">
        <f>G857*AP857</f>
        <v>0</v>
      </c>
      <c r="AY857" s="55" t="s">
        <v>1898</v>
      </c>
      <c r="AZ857" s="55" t="s">
        <v>855</v>
      </c>
      <c r="BA857" s="15" t="s">
        <v>1982</v>
      </c>
      <c r="BC857" s="14">
        <f>AW857+AX857</f>
        <v>0</v>
      </c>
      <c r="BD857" s="14">
        <f>H857/(100-BE857)*100</f>
        <v>0</v>
      </c>
      <c r="BE857" s="14">
        <v>0</v>
      </c>
      <c r="BF857" s="14">
        <f>O857</f>
        <v>8.5800000000000001E-2</v>
      </c>
      <c r="BH857" s="14">
        <f>G857*AO857</f>
        <v>0</v>
      </c>
      <c r="BI857" s="14">
        <f>G857*AP857</f>
        <v>0</v>
      </c>
      <c r="BJ857" s="14">
        <f>G857*H857</f>
        <v>0</v>
      </c>
      <c r="BK857" s="14"/>
      <c r="BL857" s="14">
        <v>713</v>
      </c>
      <c r="BW857" s="14" t="str">
        <f>I857</f>
        <v>21</v>
      </c>
    </row>
    <row r="858" spans="1:75" ht="15" customHeight="1">
      <c r="A858" s="32"/>
      <c r="D858" s="3" t="s">
        <v>996</v>
      </c>
      <c r="E858" s="28" t="s">
        <v>1683</v>
      </c>
      <c r="G858" s="27">
        <v>260</v>
      </c>
      <c r="P858" s="33"/>
    </row>
    <row r="859" spans="1:75" ht="13.5" customHeight="1">
      <c r="A859" s="20" t="s">
        <v>933</v>
      </c>
      <c r="B859" s="84" t="s">
        <v>557</v>
      </c>
      <c r="C859" s="84" t="s">
        <v>574</v>
      </c>
      <c r="D859" s="653" t="s">
        <v>1497</v>
      </c>
      <c r="E859" s="654"/>
      <c r="F859" s="84" t="s">
        <v>2359</v>
      </c>
      <c r="G859" s="6">
        <v>27.3</v>
      </c>
      <c r="H859" s="570"/>
      <c r="I859" s="18" t="s">
        <v>1720</v>
      </c>
      <c r="J859" s="6">
        <f>G859*AO859</f>
        <v>0</v>
      </c>
      <c r="K859" s="6">
        <f>G859*AP859</f>
        <v>0</v>
      </c>
      <c r="L859" s="6">
        <f>G859*H859</f>
        <v>0</v>
      </c>
      <c r="M859" s="6">
        <f>L859*(1+BW859/100)</f>
        <v>0</v>
      </c>
      <c r="N859" s="6">
        <v>2.5000000000000001E-2</v>
      </c>
      <c r="O859" s="6">
        <f>G859*N859</f>
        <v>0.68250000000000011</v>
      </c>
      <c r="P859" s="109" t="s">
        <v>1664</v>
      </c>
      <c r="Z859" s="14">
        <f>IF(AQ859="5",BJ859,0)</f>
        <v>0</v>
      </c>
      <c r="AB859" s="14">
        <f>IF(AQ859="1",BH859,0)</f>
        <v>0</v>
      </c>
      <c r="AC859" s="14">
        <f>IF(AQ859="1",BI859,0)</f>
        <v>0</v>
      </c>
      <c r="AD859" s="14">
        <f>IF(AQ859="7",BH859,0)</f>
        <v>0</v>
      </c>
      <c r="AE859" s="14">
        <f>IF(AQ859="7",BI859,0)</f>
        <v>0</v>
      </c>
      <c r="AF859" s="14">
        <f>IF(AQ859="2",BH859,0)</f>
        <v>0</v>
      </c>
      <c r="AG859" s="14">
        <f>IF(AQ859="2",BI859,0)</f>
        <v>0</v>
      </c>
      <c r="AH859" s="14">
        <f>IF(AQ859="0",BJ859,0)</f>
        <v>0</v>
      </c>
      <c r="AI859" s="15" t="s">
        <v>557</v>
      </c>
      <c r="AJ859" s="6">
        <f>IF(AN859=0,L859,0)</f>
        <v>0</v>
      </c>
      <c r="AK859" s="6">
        <f>IF(AN859=15,L859,0)</f>
        <v>0</v>
      </c>
      <c r="AL859" s="6">
        <f>IF(AN859=21,L859,0)</f>
        <v>0</v>
      </c>
      <c r="AN859" s="14">
        <v>21</v>
      </c>
      <c r="AO859" s="92">
        <f>H859*1</f>
        <v>0</v>
      </c>
      <c r="AP859" s="92">
        <f>H859*(1-1)</f>
        <v>0</v>
      </c>
      <c r="AQ859" s="18" t="s">
        <v>2435</v>
      </c>
      <c r="AV859" s="14">
        <f>AW859+AX859</f>
        <v>0</v>
      </c>
      <c r="AW859" s="14">
        <f>G859*AO859</f>
        <v>0</v>
      </c>
      <c r="AX859" s="14">
        <f>G859*AP859</f>
        <v>0</v>
      </c>
      <c r="AY859" s="55" t="s">
        <v>1898</v>
      </c>
      <c r="AZ859" s="55" t="s">
        <v>855</v>
      </c>
      <c r="BA859" s="15" t="s">
        <v>1982</v>
      </c>
      <c r="BC859" s="14">
        <f>AW859+AX859</f>
        <v>0</v>
      </c>
      <c r="BD859" s="14">
        <f>H859/(100-BE859)*100</f>
        <v>0</v>
      </c>
      <c r="BE859" s="14">
        <v>0</v>
      </c>
      <c r="BF859" s="14">
        <f>O859</f>
        <v>0.68250000000000011</v>
      </c>
      <c r="BH859" s="6">
        <f>G859*AO859</f>
        <v>0</v>
      </c>
      <c r="BI859" s="6">
        <f>G859*AP859</f>
        <v>0</v>
      </c>
      <c r="BJ859" s="6">
        <f>G859*H859</f>
        <v>0</v>
      </c>
      <c r="BK859" s="6"/>
      <c r="BL859" s="14">
        <v>713</v>
      </c>
      <c r="BW859" s="14" t="str">
        <f>I859</f>
        <v>21</v>
      </c>
    </row>
    <row r="860" spans="1:75" ht="15" customHeight="1">
      <c r="A860" s="32"/>
      <c r="D860" s="3" t="s">
        <v>1763</v>
      </c>
      <c r="E860" s="28" t="s">
        <v>1683</v>
      </c>
      <c r="G860" s="27">
        <v>26.000000000000004</v>
      </c>
      <c r="P860" s="33"/>
    </row>
    <row r="861" spans="1:75" ht="15" customHeight="1">
      <c r="A861" s="32"/>
      <c r="D861" s="3" t="s">
        <v>823</v>
      </c>
      <c r="E861" s="28" t="s">
        <v>1683</v>
      </c>
      <c r="G861" s="27">
        <v>1.3</v>
      </c>
      <c r="P861" s="33"/>
    </row>
    <row r="862" spans="1:75" ht="15" customHeight="1">
      <c r="A862" s="65" t="s">
        <v>1683</v>
      </c>
      <c r="B862" s="26" t="s">
        <v>557</v>
      </c>
      <c r="C862" s="26" t="s">
        <v>1512</v>
      </c>
      <c r="D862" s="649" t="s">
        <v>2590</v>
      </c>
      <c r="E862" s="650"/>
      <c r="F862" s="74" t="s">
        <v>2262</v>
      </c>
      <c r="G862" s="74" t="s">
        <v>2262</v>
      </c>
      <c r="H862" s="74" t="s">
        <v>2262</v>
      </c>
      <c r="I862" s="74" t="s">
        <v>2262</v>
      </c>
      <c r="J862" s="2">
        <f>SUM(J863:J939)</f>
        <v>0</v>
      </c>
      <c r="K862" s="2">
        <f>SUM(K863:K939)</f>
        <v>0</v>
      </c>
      <c r="L862" s="2">
        <f>SUM(L863:L939)</f>
        <v>0</v>
      </c>
      <c r="M862" s="2">
        <f>SUM(M863:M939)</f>
        <v>0</v>
      </c>
      <c r="N862" s="15" t="s">
        <v>1683</v>
      </c>
      <c r="O862" s="2">
        <f>SUM(O863:O939)</f>
        <v>38.142381100000001</v>
      </c>
      <c r="P862" s="47" t="s">
        <v>1683</v>
      </c>
      <c r="AI862" s="15" t="s">
        <v>557</v>
      </c>
      <c r="AS862" s="2">
        <f>SUM(AJ863:AJ939)</f>
        <v>0</v>
      </c>
      <c r="AT862" s="2">
        <f>SUM(AK863:AK939)</f>
        <v>0</v>
      </c>
      <c r="AU862" s="2">
        <f>SUM(AL863:AL939)</f>
        <v>0</v>
      </c>
    </row>
    <row r="863" spans="1:75" ht="27" customHeight="1">
      <c r="A863" s="21" t="s">
        <v>1225</v>
      </c>
      <c r="B863" s="37" t="s">
        <v>557</v>
      </c>
      <c r="C863" s="37" t="s">
        <v>1121</v>
      </c>
      <c r="D863" s="578" t="s">
        <v>2500</v>
      </c>
      <c r="E863" s="579"/>
      <c r="F863" s="37" t="s">
        <v>2019</v>
      </c>
      <c r="G863" s="14">
        <v>110.1</v>
      </c>
      <c r="H863" s="569"/>
      <c r="I863" s="55" t="s">
        <v>1720</v>
      </c>
      <c r="J863" s="14">
        <f>G863*AO863</f>
        <v>0</v>
      </c>
      <c r="K863" s="14">
        <f>G863*AP863</f>
        <v>0</v>
      </c>
      <c r="L863" s="14">
        <f>G863*H863</f>
        <v>0</v>
      </c>
      <c r="M863" s="14">
        <f>L863*(1+BW863/100)</f>
        <v>0</v>
      </c>
      <c r="N863" s="14">
        <v>1.7930000000000001E-2</v>
      </c>
      <c r="O863" s="14">
        <f>G863*N863</f>
        <v>1.9740930000000001</v>
      </c>
      <c r="P863" s="72" t="s">
        <v>1664</v>
      </c>
      <c r="Z863" s="14">
        <f>IF(AQ863="5",BJ863,0)</f>
        <v>0</v>
      </c>
      <c r="AB863" s="14">
        <f>IF(AQ863="1",BH863,0)</f>
        <v>0</v>
      </c>
      <c r="AC863" s="14">
        <f>IF(AQ863="1",BI863,0)</f>
        <v>0</v>
      </c>
      <c r="AD863" s="14">
        <f>IF(AQ863="7",BH863,0)</f>
        <v>0</v>
      </c>
      <c r="AE863" s="14">
        <f>IF(AQ863="7",BI863,0)</f>
        <v>0</v>
      </c>
      <c r="AF863" s="14">
        <f>IF(AQ863="2",BH863,0)</f>
        <v>0</v>
      </c>
      <c r="AG863" s="14">
        <f>IF(AQ863="2",BI863,0)</f>
        <v>0</v>
      </c>
      <c r="AH863" s="14">
        <f>IF(AQ863="0",BJ863,0)</f>
        <v>0</v>
      </c>
      <c r="AI863" s="15" t="s">
        <v>557</v>
      </c>
      <c r="AJ863" s="14">
        <f>IF(AN863=0,L863,0)</f>
        <v>0</v>
      </c>
      <c r="AK863" s="14">
        <f>IF(AN863=15,L863,0)</f>
        <v>0</v>
      </c>
      <c r="AL863" s="14">
        <f>IF(AN863=21,L863,0)</f>
        <v>0</v>
      </c>
      <c r="AN863" s="14">
        <v>21</v>
      </c>
      <c r="AO863" s="92">
        <f>H863*0.556230158730159</f>
        <v>0</v>
      </c>
      <c r="AP863" s="92">
        <f>H863*(1-0.556230158730159)</f>
        <v>0</v>
      </c>
      <c r="AQ863" s="55" t="s">
        <v>2435</v>
      </c>
      <c r="AV863" s="14">
        <f>AW863+AX863</f>
        <v>0</v>
      </c>
      <c r="AW863" s="14">
        <f>G863*AO863</f>
        <v>0</v>
      </c>
      <c r="AX863" s="14">
        <f>G863*AP863</f>
        <v>0</v>
      </c>
      <c r="AY863" s="55" t="s">
        <v>1526</v>
      </c>
      <c r="AZ863" s="55" t="s">
        <v>831</v>
      </c>
      <c r="BA863" s="15" t="s">
        <v>1982</v>
      </c>
      <c r="BC863" s="14">
        <f>AW863+AX863</f>
        <v>0</v>
      </c>
      <c r="BD863" s="14">
        <f>H863/(100-BE863)*100</f>
        <v>0</v>
      </c>
      <c r="BE863" s="14">
        <v>0</v>
      </c>
      <c r="BF863" s="14">
        <f>O863</f>
        <v>1.9740930000000001</v>
      </c>
      <c r="BH863" s="14">
        <f>G863*AO863</f>
        <v>0</v>
      </c>
      <c r="BI863" s="14">
        <f>G863*AP863</f>
        <v>0</v>
      </c>
      <c r="BJ863" s="14">
        <f>G863*H863</f>
        <v>0</v>
      </c>
      <c r="BK863" s="14"/>
      <c r="BL863" s="14">
        <v>762</v>
      </c>
      <c r="BW863" s="14" t="str">
        <f>I863</f>
        <v>21</v>
      </c>
    </row>
    <row r="864" spans="1:75" ht="15" customHeight="1">
      <c r="A864" s="32"/>
      <c r="D864" s="3" t="s">
        <v>2098</v>
      </c>
      <c r="E864" s="28" t="s">
        <v>1472</v>
      </c>
      <c r="G864" s="27">
        <v>49.2</v>
      </c>
      <c r="P864" s="33"/>
    </row>
    <row r="865" spans="1:75" ht="15" customHeight="1">
      <c r="A865" s="32"/>
      <c r="D865" s="3" t="s">
        <v>1879</v>
      </c>
      <c r="E865" s="28" t="s">
        <v>300</v>
      </c>
      <c r="G865" s="27">
        <v>20.400000000000002</v>
      </c>
      <c r="P865" s="33"/>
    </row>
    <row r="866" spans="1:75" ht="15" customHeight="1">
      <c r="A866" s="32"/>
      <c r="D866" s="3" t="s">
        <v>1850</v>
      </c>
      <c r="E866" s="28" t="s">
        <v>2103</v>
      </c>
      <c r="G866" s="27">
        <v>29.6</v>
      </c>
      <c r="P866" s="33"/>
    </row>
    <row r="867" spans="1:75" ht="15" customHeight="1">
      <c r="A867" s="32"/>
      <c r="D867" s="3" t="s">
        <v>1712</v>
      </c>
      <c r="E867" s="28" t="s">
        <v>418</v>
      </c>
      <c r="G867" s="27">
        <v>10.9</v>
      </c>
      <c r="P867" s="33"/>
    </row>
    <row r="868" spans="1:75" ht="27" customHeight="1">
      <c r="A868" s="21" t="s">
        <v>756</v>
      </c>
      <c r="B868" s="37" t="s">
        <v>557</v>
      </c>
      <c r="C868" s="37" t="s">
        <v>1482</v>
      </c>
      <c r="D868" s="578" t="s">
        <v>2772</v>
      </c>
      <c r="E868" s="579"/>
      <c r="F868" s="37" t="s">
        <v>2019</v>
      </c>
      <c r="G868" s="14">
        <v>873</v>
      </c>
      <c r="H868" s="569"/>
      <c r="I868" s="55" t="s">
        <v>1720</v>
      </c>
      <c r="J868" s="14">
        <f>G868*AO868</f>
        <v>0</v>
      </c>
      <c r="K868" s="14">
        <f>G868*AP868</f>
        <v>0</v>
      </c>
      <c r="L868" s="14">
        <f>G868*H868</f>
        <v>0</v>
      </c>
      <c r="M868" s="14">
        <f>L868*(1+BW868/100)</f>
        <v>0</v>
      </c>
      <c r="N868" s="14">
        <v>6.79E-3</v>
      </c>
      <c r="O868" s="14">
        <f>G868*N868</f>
        <v>5.92767</v>
      </c>
      <c r="P868" s="72" t="s">
        <v>1664</v>
      </c>
      <c r="Z868" s="14">
        <f>IF(AQ868="5",BJ868,0)</f>
        <v>0</v>
      </c>
      <c r="AB868" s="14">
        <f>IF(AQ868="1",BH868,0)</f>
        <v>0</v>
      </c>
      <c r="AC868" s="14">
        <f>IF(AQ868="1",BI868,0)</f>
        <v>0</v>
      </c>
      <c r="AD868" s="14">
        <f>IF(AQ868="7",BH868,0)</f>
        <v>0</v>
      </c>
      <c r="AE868" s="14">
        <f>IF(AQ868="7",BI868,0)</f>
        <v>0</v>
      </c>
      <c r="AF868" s="14">
        <f>IF(AQ868="2",BH868,0)</f>
        <v>0</v>
      </c>
      <c r="AG868" s="14">
        <f>IF(AQ868="2",BI868,0)</f>
        <v>0</v>
      </c>
      <c r="AH868" s="14">
        <f>IF(AQ868="0",BJ868,0)</f>
        <v>0</v>
      </c>
      <c r="AI868" s="15" t="s">
        <v>557</v>
      </c>
      <c r="AJ868" s="14">
        <f>IF(AN868=0,L868,0)</f>
        <v>0</v>
      </c>
      <c r="AK868" s="14">
        <f>IF(AN868=15,L868,0)</f>
        <v>0</v>
      </c>
      <c r="AL868" s="14">
        <f>IF(AN868=21,L868,0)</f>
        <v>0</v>
      </c>
      <c r="AN868" s="14">
        <v>21</v>
      </c>
      <c r="AO868" s="92">
        <f>H868*0.388612099644128</f>
        <v>0</v>
      </c>
      <c r="AP868" s="92">
        <f>H868*(1-0.388612099644128)</f>
        <v>0</v>
      </c>
      <c r="AQ868" s="55" t="s">
        <v>2435</v>
      </c>
      <c r="AV868" s="14">
        <f>AW868+AX868</f>
        <v>0</v>
      </c>
      <c r="AW868" s="14">
        <f>G868*AO868</f>
        <v>0</v>
      </c>
      <c r="AX868" s="14">
        <f>G868*AP868</f>
        <v>0</v>
      </c>
      <c r="AY868" s="55" t="s">
        <v>1526</v>
      </c>
      <c r="AZ868" s="55" t="s">
        <v>831</v>
      </c>
      <c r="BA868" s="15" t="s">
        <v>1982</v>
      </c>
      <c r="BC868" s="14">
        <f>AW868+AX868</f>
        <v>0</v>
      </c>
      <c r="BD868" s="14">
        <f>H868/(100-BE868)*100</f>
        <v>0</v>
      </c>
      <c r="BE868" s="14">
        <v>0</v>
      </c>
      <c r="BF868" s="14">
        <f>O868</f>
        <v>5.92767</v>
      </c>
      <c r="BH868" s="14">
        <f>G868*AO868</f>
        <v>0</v>
      </c>
      <c r="BI868" s="14">
        <f>G868*AP868</f>
        <v>0</v>
      </c>
      <c r="BJ868" s="14">
        <f>G868*H868</f>
        <v>0</v>
      </c>
      <c r="BK868" s="14"/>
      <c r="BL868" s="14">
        <v>762</v>
      </c>
      <c r="BW868" s="14" t="str">
        <f>I868</f>
        <v>21</v>
      </c>
    </row>
    <row r="869" spans="1:75" ht="15" customHeight="1">
      <c r="A869" s="32"/>
      <c r="D869" s="3" t="s">
        <v>1065</v>
      </c>
      <c r="E869" s="28" t="s">
        <v>1261</v>
      </c>
      <c r="G869" s="27">
        <v>713.00000000000011</v>
      </c>
      <c r="P869" s="33"/>
    </row>
    <row r="870" spans="1:75" ht="15" customHeight="1">
      <c r="A870" s="32"/>
      <c r="D870" s="3" t="s">
        <v>1325</v>
      </c>
      <c r="E870" s="28" t="s">
        <v>2123</v>
      </c>
      <c r="G870" s="27">
        <v>108.00000000000001</v>
      </c>
      <c r="P870" s="33"/>
    </row>
    <row r="871" spans="1:75" ht="15" customHeight="1">
      <c r="A871" s="32"/>
      <c r="D871" s="3" t="s">
        <v>1366</v>
      </c>
      <c r="E871" s="28" t="s">
        <v>742</v>
      </c>
      <c r="G871" s="27">
        <v>20</v>
      </c>
      <c r="P871" s="33"/>
    </row>
    <row r="872" spans="1:75" ht="15" customHeight="1">
      <c r="A872" s="32"/>
      <c r="D872" s="3" t="s">
        <v>1237</v>
      </c>
      <c r="E872" s="28" t="s">
        <v>2133</v>
      </c>
      <c r="G872" s="27">
        <v>32</v>
      </c>
      <c r="P872" s="33"/>
    </row>
    <row r="873" spans="1:75" ht="27" customHeight="1">
      <c r="A873" s="21" t="s">
        <v>538</v>
      </c>
      <c r="B873" s="37" t="s">
        <v>557</v>
      </c>
      <c r="C873" s="37" t="s">
        <v>2385</v>
      </c>
      <c r="D873" s="578" t="s">
        <v>1140</v>
      </c>
      <c r="E873" s="579"/>
      <c r="F873" s="37" t="s">
        <v>2019</v>
      </c>
      <c r="G873" s="14">
        <v>628.84</v>
      </c>
      <c r="H873" s="569"/>
      <c r="I873" s="55" t="s">
        <v>1720</v>
      </c>
      <c r="J873" s="14">
        <f>G873*AO873</f>
        <v>0</v>
      </c>
      <c r="K873" s="14">
        <f>G873*AP873</f>
        <v>0</v>
      </c>
      <c r="L873" s="14">
        <f>G873*H873</f>
        <v>0</v>
      </c>
      <c r="M873" s="14">
        <f>L873*(1+BW873/100)</f>
        <v>0</v>
      </c>
      <c r="N873" s="14">
        <v>4.4200000000000003E-3</v>
      </c>
      <c r="O873" s="14">
        <f>G873*N873</f>
        <v>2.7794728000000002</v>
      </c>
      <c r="P873" s="72" t="s">
        <v>1664</v>
      </c>
      <c r="Z873" s="14">
        <f>IF(AQ873="5",BJ873,0)</f>
        <v>0</v>
      </c>
      <c r="AB873" s="14">
        <f>IF(AQ873="1",BH873,0)</f>
        <v>0</v>
      </c>
      <c r="AC873" s="14">
        <f>IF(AQ873="1",BI873,0)</f>
        <v>0</v>
      </c>
      <c r="AD873" s="14">
        <f>IF(AQ873="7",BH873,0)</f>
        <v>0</v>
      </c>
      <c r="AE873" s="14">
        <f>IF(AQ873="7",BI873,0)</f>
        <v>0</v>
      </c>
      <c r="AF873" s="14">
        <f>IF(AQ873="2",BH873,0)</f>
        <v>0</v>
      </c>
      <c r="AG873" s="14">
        <f>IF(AQ873="2",BI873,0)</f>
        <v>0</v>
      </c>
      <c r="AH873" s="14">
        <f>IF(AQ873="0",BJ873,0)</f>
        <v>0</v>
      </c>
      <c r="AI873" s="15" t="s">
        <v>557</v>
      </c>
      <c r="AJ873" s="14">
        <f>IF(AN873=0,L873,0)</f>
        <v>0</v>
      </c>
      <c r="AK873" s="14">
        <f>IF(AN873=15,L873,0)</f>
        <v>0</v>
      </c>
      <c r="AL873" s="14">
        <f>IF(AN873=21,L873,0)</f>
        <v>0</v>
      </c>
      <c r="AN873" s="14">
        <v>21</v>
      </c>
      <c r="AO873" s="92">
        <f>H873*0.287136929460581</f>
        <v>0</v>
      </c>
      <c r="AP873" s="92">
        <f>H873*(1-0.287136929460581)</f>
        <v>0</v>
      </c>
      <c r="AQ873" s="55" t="s">
        <v>2435</v>
      </c>
      <c r="AV873" s="14">
        <f>AW873+AX873</f>
        <v>0</v>
      </c>
      <c r="AW873" s="14">
        <f>G873*AO873</f>
        <v>0</v>
      </c>
      <c r="AX873" s="14">
        <f>G873*AP873</f>
        <v>0</v>
      </c>
      <c r="AY873" s="55" t="s">
        <v>1526</v>
      </c>
      <c r="AZ873" s="55" t="s">
        <v>831</v>
      </c>
      <c r="BA873" s="15" t="s">
        <v>1982</v>
      </c>
      <c r="BC873" s="14">
        <f>AW873+AX873</f>
        <v>0</v>
      </c>
      <c r="BD873" s="14">
        <f>H873/(100-BE873)*100</f>
        <v>0</v>
      </c>
      <c r="BE873" s="14">
        <v>0</v>
      </c>
      <c r="BF873" s="14">
        <f>O873</f>
        <v>2.7794728000000002</v>
      </c>
      <c r="BH873" s="14">
        <f>G873*AO873</f>
        <v>0</v>
      </c>
      <c r="BI873" s="14">
        <f>G873*AP873</f>
        <v>0</v>
      </c>
      <c r="BJ873" s="14">
        <f>G873*H873</f>
        <v>0</v>
      </c>
      <c r="BK873" s="14"/>
      <c r="BL873" s="14">
        <v>762</v>
      </c>
      <c r="BW873" s="14" t="str">
        <f>I873</f>
        <v>21</v>
      </c>
    </row>
    <row r="874" spans="1:75" ht="15" customHeight="1">
      <c r="A874" s="32"/>
      <c r="D874" s="3" t="s">
        <v>1006</v>
      </c>
      <c r="E874" s="28" t="s">
        <v>1786</v>
      </c>
      <c r="G874" s="27">
        <v>519.80000000000007</v>
      </c>
      <c r="P874" s="33"/>
    </row>
    <row r="875" spans="1:75" ht="15" customHeight="1">
      <c r="A875" s="32"/>
      <c r="D875" s="3" t="s">
        <v>1743</v>
      </c>
      <c r="E875" s="28" t="s">
        <v>1683</v>
      </c>
      <c r="G875" s="27">
        <v>78</v>
      </c>
      <c r="P875" s="33"/>
    </row>
    <row r="876" spans="1:75" ht="15" customHeight="1">
      <c r="A876" s="32"/>
      <c r="D876" s="3" t="s">
        <v>1737</v>
      </c>
      <c r="E876" s="28" t="s">
        <v>1683</v>
      </c>
      <c r="G876" s="27">
        <v>13.440000000000001</v>
      </c>
      <c r="P876" s="33"/>
    </row>
    <row r="877" spans="1:75" ht="15" customHeight="1">
      <c r="A877" s="32"/>
      <c r="D877" s="3" t="s">
        <v>1034</v>
      </c>
      <c r="E877" s="28" t="s">
        <v>1683</v>
      </c>
      <c r="G877" s="27">
        <v>17.600000000000001</v>
      </c>
      <c r="P877" s="33"/>
    </row>
    <row r="878" spans="1:75" ht="13.5" customHeight="1">
      <c r="A878" s="21" t="s">
        <v>314</v>
      </c>
      <c r="B878" s="37" t="s">
        <v>557</v>
      </c>
      <c r="C878" s="37" t="s">
        <v>1606</v>
      </c>
      <c r="D878" s="578" t="s">
        <v>753</v>
      </c>
      <c r="E878" s="579"/>
      <c r="F878" s="37" t="s">
        <v>2398</v>
      </c>
      <c r="G878" s="14">
        <v>480</v>
      </c>
      <c r="H878" s="569"/>
      <c r="I878" s="55" t="s">
        <v>1720</v>
      </c>
      <c r="J878" s="14">
        <f>G878*AO878</f>
        <v>0</v>
      </c>
      <c r="K878" s="14">
        <f>G878*AP878</f>
        <v>0</v>
      </c>
      <c r="L878" s="14">
        <f>G878*H878</f>
        <v>0</v>
      </c>
      <c r="M878" s="14">
        <f>L878*(1+BW878/100)</f>
        <v>0</v>
      </c>
      <c r="N878" s="14">
        <v>0</v>
      </c>
      <c r="O878" s="14">
        <f>G878*N878</f>
        <v>0</v>
      </c>
      <c r="P878" s="72" t="s">
        <v>1664</v>
      </c>
      <c r="Z878" s="14">
        <f>IF(AQ878="5",BJ878,0)</f>
        <v>0</v>
      </c>
      <c r="AB878" s="14">
        <f>IF(AQ878="1",BH878,0)</f>
        <v>0</v>
      </c>
      <c r="AC878" s="14">
        <f>IF(AQ878="1",BI878,0)</f>
        <v>0</v>
      </c>
      <c r="AD878" s="14">
        <f>IF(AQ878="7",BH878,0)</f>
        <v>0</v>
      </c>
      <c r="AE878" s="14">
        <f>IF(AQ878="7",BI878,0)</f>
        <v>0</v>
      </c>
      <c r="AF878" s="14">
        <f>IF(AQ878="2",BH878,0)</f>
        <v>0</v>
      </c>
      <c r="AG878" s="14">
        <f>IF(AQ878="2",BI878,0)</f>
        <v>0</v>
      </c>
      <c r="AH878" s="14">
        <f>IF(AQ878="0",BJ878,0)</f>
        <v>0</v>
      </c>
      <c r="AI878" s="15" t="s">
        <v>557</v>
      </c>
      <c r="AJ878" s="14">
        <f>IF(AN878=0,L878,0)</f>
        <v>0</v>
      </c>
      <c r="AK878" s="14">
        <f>IF(AN878=15,L878,0)</f>
        <v>0</v>
      </c>
      <c r="AL878" s="14">
        <f>IF(AN878=21,L878,0)</f>
        <v>0</v>
      </c>
      <c r="AN878" s="14">
        <v>21</v>
      </c>
      <c r="AO878" s="92">
        <f>H878*0</f>
        <v>0</v>
      </c>
      <c r="AP878" s="92">
        <f>H878*(1-0)</f>
        <v>0</v>
      </c>
      <c r="AQ878" s="55" t="s">
        <v>2435</v>
      </c>
      <c r="AV878" s="14">
        <f>AW878+AX878</f>
        <v>0</v>
      </c>
      <c r="AW878" s="14">
        <f>G878*AO878</f>
        <v>0</v>
      </c>
      <c r="AX878" s="14">
        <f>G878*AP878</f>
        <v>0</v>
      </c>
      <c r="AY878" s="55" t="s">
        <v>1526</v>
      </c>
      <c r="AZ878" s="55" t="s">
        <v>831</v>
      </c>
      <c r="BA878" s="15" t="s">
        <v>1982</v>
      </c>
      <c r="BC878" s="14">
        <f>AW878+AX878</f>
        <v>0</v>
      </c>
      <c r="BD878" s="14">
        <f>H878/(100-BE878)*100</f>
        <v>0</v>
      </c>
      <c r="BE878" s="14">
        <v>0</v>
      </c>
      <c r="BF878" s="14">
        <f>O878</f>
        <v>0</v>
      </c>
      <c r="BH878" s="14">
        <f>G878*AO878</f>
        <v>0</v>
      </c>
      <c r="BI878" s="14">
        <f>G878*AP878</f>
        <v>0</v>
      </c>
      <c r="BJ878" s="14">
        <f>G878*H878</f>
        <v>0</v>
      </c>
      <c r="BK878" s="14"/>
      <c r="BL878" s="14">
        <v>762</v>
      </c>
      <c r="BW878" s="14" t="str">
        <f>I878</f>
        <v>21</v>
      </c>
    </row>
    <row r="879" spans="1:75" ht="15" customHeight="1">
      <c r="A879" s="32"/>
      <c r="D879" s="3" t="s">
        <v>1575</v>
      </c>
      <c r="E879" s="28" t="s">
        <v>1683</v>
      </c>
      <c r="G879" s="27">
        <v>480.00000000000006</v>
      </c>
      <c r="P879" s="33"/>
    </row>
    <row r="880" spans="1:75" ht="13.5" customHeight="1">
      <c r="A880" s="20" t="s">
        <v>1359</v>
      </c>
      <c r="B880" s="84" t="s">
        <v>557</v>
      </c>
      <c r="C880" s="84" t="s">
        <v>2160</v>
      </c>
      <c r="D880" s="653" t="s">
        <v>1318</v>
      </c>
      <c r="E880" s="654"/>
      <c r="F880" s="84" t="s">
        <v>2398</v>
      </c>
      <c r="G880" s="6">
        <v>552</v>
      </c>
      <c r="H880" s="570"/>
      <c r="I880" s="18" t="s">
        <v>1720</v>
      </c>
      <c r="J880" s="6">
        <f>G880*AO880</f>
        <v>0</v>
      </c>
      <c r="K880" s="6">
        <f>G880*AP880</f>
        <v>0</v>
      </c>
      <c r="L880" s="6">
        <f>G880*H880</f>
        <v>0</v>
      </c>
      <c r="M880" s="6">
        <f>L880*(1+BW880/100)</f>
        <v>0</v>
      </c>
      <c r="N880" s="6">
        <v>1.1299999999999999E-2</v>
      </c>
      <c r="O880" s="6">
        <f>G880*N880</f>
        <v>6.2375999999999996</v>
      </c>
      <c r="P880" s="109" t="s">
        <v>1664</v>
      </c>
      <c r="Z880" s="14">
        <f>IF(AQ880="5",BJ880,0)</f>
        <v>0</v>
      </c>
      <c r="AB880" s="14">
        <f>IF(AQ880="1",BH880,0)</f>
        <v>0</v>
      </c>
      <c r="AC880" s="14">
        <f>IF(AQ880="1",BI880,0)</f>
        <v>0</v>
      </c>
      <c r="AD880" s="14">
        <f>IF(AQ880="7",BH880,0)</f>
        <v>0</v>
      </c>
      <c r="AE880" s="14">
        <f>IF(AQ880="7",BI880,0)</f>
        <v>0</v>
      </c>
      <c r="AF880" s="14">
        <f>IF(AQ880="2",BH880,0)</f>
        <v>0</v>
      </c>
      <c r="AG880" s="14">
        <f>IF(AQ880="2",BI880,0)</f>
        <v>0</v>
      </c>
      <c r="AH880" s="14">
        <f>IF(AQ880="0",BJ880,0)</f>
        <v>0</v>
      </c>
      <c r="AI880" s="15" t="s">
        <v>557</v>
      </c>
      <c r="AJ880" s="6">
        <f>IF(AN880=0,L880,0)</f>
        <v>0</v>
      </c>
      <c r="AK880" s="6">
        <f>IF(AN880=15,L880,0)</f>
        <v>0</v>
      </c>
      <c r="AL880" s="6">
        <f>IF(AN880=21,L880,0)</f>
        <v>0</v>
      </c>
      <c r="AN880" s="14">
        <v>21</v>
      </c>
      <c r="AO880" s="92">
        <f>H880*1</f>
        <v>0</v>
      </c>
      <c r="AP880" s="92">
        <f>H880*(1-1)</f>
        <v>0</v>
      </c>
      <c r="AQ880" s="18" t="s">
        <v>2435</v>
      </c>
      <c r="AV880" s="14">
        <f>AW880+AX880</f>
        <v>0</v>
      </c>
      <c r="AW880" s="14">
        <f>G880*AO880</f>
        <v>0</v>
      </c>
      <c r="AX880" s="14">
        <f>G880*AP880</f>
        <v>0</v>
      </c>
      <c r="AY880" s="55" t="s">
        <v>1526</v>
      </c>
      <c r="AZ880" s="55" t="s">
        <v>831</v>
      </c>
      <c r="BA880" s="15" t="s">
        <v>1982</v>
      </c>
      <c r="BC880" s="14">
        <f>AW880+AX880</f>
        <v>0</v>
      </c>
      <c r="BD880" s="14">
        <f>H880/(100-BE880)*100</f>
        <v>0</v>
      </c>
      <c r="BE880" s="14">
        <v>0</v>
      </c>
      <c r="BF880" s="14">
        <f>O880</f>
        <v>6.2375999999999996</v>
      </c>
      <c r="BH880" s="6">
        <f>G880*AO880</f>
        <v>0</v>
      </c>
      <c r="BI880" s="6">
        <f>G880*AP880</f>
        <v>0</v>
      </c>
      <c r="BJ880" s="6">
        <f>G880*H880</f>
        <v>0</v>
      </c>
      <c r="BK880" s="6"/>
      <c r="BL880" s="14">
        <v>762</v>
      </c>
      <c r="BW880" s="14" t="str">
        <f>I880</f>
        <v>21</v>
      </c>
    </row>
    <row r="881" spans="1:75" ht="15" customHeight="1">
      <c r="A881" s="32"/>
      <c r="D881" s="3" t="s">
        <v>1575</v>
      </c>
      <c r="E881" s="28" t="s">
        <v>2284</v>
      </c>
      <c r="G881" s="27">
        <v>480.00000000000006</v>
      </c>
      <c r="P881" s="33"/>
    </row>
    <row r="882" spans="1:75" ht="15" customHeight="1">
      <c r="A882" s="32"/>
      <c r="D882" s="3" t="s">
        <v>1549</v>
      </c>
      <c r="E882" s="28" t="s">
        <v>1683</v>
      </c>
      <c r="G882" s="27">
        <v>72</v>
      </c>
      <c r="P882" s="33"/>
    </row>
    <row r="883" spans="1:75" ht="13.5" customHeight="1">
      <c r="A883" s="20" t="s">
        <v>2292</v>
      </c>
      <c r="B883" s="84" t="s">
        <v>557</v>
      </c>
      <c r="C883" s="84" t="s">
        <v>474</v>
      </c>
      <c r="D883" s="653" t="s">
        <v>2153</v>
      </c>
      <c r="E883" s="654"/>
      <c r="F883" s="84" t="s">
        <v>1117</v>
      </c>
      <c r="G883" s="6">
        <v>5.04</v>
      </c>
      <c r="H883" s="570"/>
      <c r="I883" s="18" t="s">
        <v>1720</v>
      </c>
      <c r="J883" s="6">
        <f>G883*AO883</f>
        <v>0</v>
      </c>
      <c r="K883" s="6">
        <f>G883*AP883</f>
        <v>0</v>
      </c>
      <c r="L883" s="6">
        <f>G883*H883</f>
        <v>0</v>
      </c>
      <c r="M883" s="6">
        <f>L883*(1+BW883/100)</f>
        <v>0</v>
      </c>
      <c r="N883" s="6">
        <v>9.8700000000000003E-3</v>
      </c>
      <c r="O883" s="6">
        <f>G883*N883</f>
        <v>4.9744799999999999E-2</v>
      </c>
      <c r="P883" s="109" t="s">
        <v>1664</v>
      </c>
      <c r="Z883" s="14">
        <f>IF(AQ883="5",BJ883,0)</f>
        <v>0</v>
      </c>
      <c r="AB883" s="14">
        <f>IF(AQ883="1",BH883,0)</f>
        <v>0</v>
      </c>
      <c r="AC883" s="14">
        <f>IF(AQ883="1",BI883,0)</f>
        <v>0</v>
      </c>
      <c r="AD883" s="14">
        <f>IF(AQ883="7",BH883,0)</f>
        <v>0</v>
      </c>
      <c r="AE883" s="14">
        <f>IF(AQ883="7",BI883,0)</f>
        <v>0</v>
      </c>
      <c r="AF883" s="14">
        <f>IF(AQ883="2",BH883,0)</f>
        <v>0</v>
      </c>
      <c r="AG883" s="14">
        <f>IF(AQ883="2",BI883,0)</f>
        <v>0</v>
      </c>
      <c r="AH883" s="14">
        <f>IF(AQ883="0",BJ883,0)</f>
        <v>0</v>
      </c>
      <c r="AI883" s="15" t="s">
        <v>557</v>
      </c>
      <c r="AJ883" s="6">
        <f>IF(AN883=0,L883,0)</f>
        <v>0</v>
      </c>
      <c r="AK883" s="6">
        <f>IF(AN883=15,L883,0)</f>
        <v>0</v>
      </c>
      <c r="AL883" s="6">
        <f>IF(AN883=21,L883,0)</f>
        <v>0</v>
      </c>
      <c r="AN883" s="14">
        <v>21</v>
      </c>
      <c r="AO883" s="92">
        <f>H883*1</f>
        <v>0</v>
      </c>
      <c r="AP883" s="92">
        <f>H883*(1-1)</f>
        <v>0</v>
      </c>
      <c r="AQ883" s="18" t="s">
        <v>2435</v>
      </c>
      <c r="AV883" s="14">
        <f>AW883+AX883</f>
        <v>0</v>
      </c>
      <c r="AW883" s="14">
        <f>G883*AO883</f>
        <v>0</v>
      </c>
      <c r="AX883" s="14">
        <f>G883*AP883</f>
        <v>0</v>
      </c>
      <c r="AY883" s="55" t="s">
        <v>1526</v>
      </c>
      <c r="AZ883" s="55" t="s">
        <v>831</v>
      </c>
      <c r="BA883" s="15" t="s">
        <v>1982</v>
      </c>
      <c r="BC883" s="14">
        <f>AW883+AX883</f>
        <v>0</v>
      </c>
      <c r="BD883" s="14">
        <f>H883/(100-BE883)*100</f>
        <v>0</v>
      </c>
      <c r="BE883" s="14">
        <v>0</v>
      </c>
      <c r="BF883" s="14">
        <f>O883</f>
        <v>4.9744799999999999E-2</v>
      </c>
      <c r="BH883" s="6">
        <f>G883*AO883</f>
        <v>0</v>
      </c>
      <c r="BI883" s="6">
        <f>G883*AP883</f>
        <v>0</v>
      </c>
      <c r="BJ883" s="6">
        <f>G883*H883</f>
        <v>0</v>
      </c>
      <c r="BK883" s="6"/>
      <c r="BL883" s="14">
        <v>762</v>
      </c>
      <c r="BW883" s="14" t="str">
        <f>I883</f>
        <v>21</v>
      </c>
    </row>
    <row r="884" spans="1:75" ht="15" customHeight="1">
      <c r="A884" s="32"/>
      <c r="D884" s="3" t="s">
        <v>389</v>
      </c>
      <c r="E884" s="28" t="s">
        <v>331</v>
      </c>
      <c r="G884" s="27">
        <v>4.8000000000000007</v>
      </c>
      <c r="P884" s="33"/>
    </row>
    <row r="885" spans="1:75" ht="15" customHeight="1">
      <c r="A885" s="32"/>
      <c r="D885" s="3" t="s">
        <v>1799</v>
      </c>
      <c r="E885" s="28" t="s">
        <v>1683</v>
      </c>
      <c r="G885" s="27">
        <v>0.24000000000000002</v>
      </c>
      <c r="P885" s="33"/>
    </row>
    <row r="886" spans="1:75" ht="27" customHeight="1">
      <c r="A886" s="20" t="s">
        <v>2746</v>
      </c>
      <c r="B886" s="84" t="s">
        <v>557</v>
      </c>
      <c r="C886" s="84" t="s">
        <v>1604</v>
      </c>
      <c r="D886" s="653" t="s">
        <v>2211</v>
      </c>
      <c r="E886" s="654"/>
      <c r="F886" s="84" t="s">
        <v>595</v>
      </c>
      <c r="G886" s="6">
        <v>43.65</v>
      </c>
      <c r="H886" s="570"/>
      <c r="I886" s="18" t="s">
        <v>1720</v>
      </c>
      <c r="J886" s="6">
        <f>G886*AO886</f>
        <v>0</v>
      </c>
      <c r="K886" s="6">
        <f>G886*AP886</f>
        <v>0</v>
      </c>
      <c r="L886" s="6">
        <f>G886*H886</f>
        <v>0</v>
      </c>
      <c r="M886" s="6">
        <f>L886*(1+BW886/100)</f>
        <v>0</v>
      </c>
      <c r="N886" s="6">
        <v>1E-4</v>
      </c>
      <c r="O886" s="6">
        <f>G886*N886</f>
        <v>4.365E-3</v>
      </c>
      <c r="P886" s="109" t="s">
        <v>1664</v>
      </c>
      <c r="Z886" s="14">
        <f>IF(AQ886="5",BJ886,0)</f>
        <v>0</v>
      </c>
      <c r="AB886" s="14">
        <f>IF(AQ886="1",BH886,0)</f>
        <v>0</v>
      </c>
      <c r="AC886" s="14">
        <f>IF(AQ886="1",BI886,0)</f>
        <v>0</v>
      </c>
      <c r="AD886" s="14">
        <f>IF(AQ886="7",BH886,0)</f>
        <v>0</v>
      </c>
      <c r="AE886" s="14">
        <f>IF(AQ886="7",BI886,0)</f>
        <v>0</v>
      </c>
      <c r="AF886" s="14">
        <f>IF(AQ886="2",BH886,0)</f>
        <v>0</v>
      </c>
      <c r="AG886" s="14">
        <f>IF(AQ886="2",BI886,0)</f>
        <v>0</v>
      </c>
      <c r="AH886" s="14">
        <f>IF(AQ886="0",BJ886,0)</f>
        <v>0</v>
      </c>
      <c r="AI886" s="15" t="s">
        <v>557</v>
      </c>
      <c r="AJ886" s="6">
        <f>IF(AN886=0,L886,0)</f>
        <v>0</v>
      </c>
      <c r="AK886" s="6">
        <f>IF(AN886=15,L886,0)</f>
        <v>0</v>
      </c>
      <c r="AL886" s="6">
        <f>IF(AN886=21,L886,0)</f>
        <v>0</v>
      </c>
      <c r="AN886" s="14">
        <v>21</v>
      </c>
      <c r="AO886" s="92">
        <f>H886*1</f>
        <v>0</v>
      </c>
      <c r="AP886" s="92">
        <f>H886*(1-1)</f>
        <v>0</v>
      </c>
      <c r="AQ886" s="18" t="s">
        <v>2435</v>
      </c>
      <c r="AV886" s="14">
        <f>AW886+AX886</f>
        <v>0</v>
      </c>
      <c r="AW886" s="14">
        <f>G886*AO886</f>
        <v>0</v>
      </c>
      <c r="AX886" s="14">
        <f>G886*AP886</f>
        <v>0</v>
      </c>
      <c r="AY886" s="55" t="s">
        <v>1526</v>
      </c>
      <c r="AZ886" s="55" t="s">
        <v>831</v>
      </c>
      <c r="BA886" s="15" t="s">
        <v>1982</v>
      </c>
      <c r="BC886" s="14">
        <f>AW886+AX886</f>
        <v>0</v>
      </c>
      <c r="BD886" s="14">
        <f>H886/(100-BE886)*100</f>
        <v>0</v>
      </c>
      <c r="BE886" s="14">
        <v>0</v>
      </c>
      <c r="BF886" s="14">
        <f>O886</f>
        <v>4.365E-3</v>
      </c>
      <c r="BH886" s="6">
        <f>G886*AO886</f>
        <v>0</v>
      </c>
      <c r="BI886" s="6">
        <f>G886*AP886</f>
        <v>0</v>
      </c>
      <c r="BJ886" s="6">
        <f>G886*H886</f>
        <v>0</v>
      </c>
      <c r="BK886" s="6"/>
      <c r="BL886" s="14">
        <v>762</v>
      </c>
      <c r="BW886" s="14" t="str">
        <f>I886</f>
        <v>21</v>
      </c>
    </row>
    <row r="887" spans="1:75" ht="15" customHeight="1">
      <c r="A887" s="32"/>
      <c r="D887" s="3" t="s">
        <v>783</v>
      </c>
      <c r="E887" s="28" t="s">
        <v>1683</v>
      </c>
      <c r="G887" s="27">
        <v>39.68</v>
      </c>
      <c r="P887" s="33"/>
    </row>
    <row r="888" spans="1:75" ht="15" customHeight="1">
      <c r="A888" s="32"/>
      <c r="D888" s="3" t="s">
        <v>1649</v>
      </c>
      <c r="E888" s="28" t="s">
        <v>1683</v>
      </c>
      <c r="G888" s="27">
        <v>3.97</v>
      </c>
      <c r="P888" s="33"/>
    </row>
    <row r="889" spans="1:75" ht="13.5" customHeight="1">
      <c r="A889" s="21" t="s">
        <v>134</v>
      </c>
      <c r="B889" s="37" t="s">
        <v>557</v>
      </c>
      <c r="C889" s="37" t="s">
        <v>1606</v>
      </c>
      <c r="D889" s="578" t="s">
        <v>753</v>
      </c>
      <c r="E889" s="579"/>
      <c r="F889" s="37" t="s">
        <v>2398</v>
      </c>
      <c r="G889" s="14">
        <v>550</v>
      </c>
      <c r="H889" s="569"/>
      <c r="I889" s="55" t="s">
        <v>1720</v>
      </c>
      <c r="J889" s="14">
        <f>G889*AO889</f>
        <v>0</v>
      </c>
      <c r="K889" s="14">
        <f>G889*AP889</f>
        <v>0</v>
      </c>
      <c r="L889" s="14">
        <f>G889*H889</f>
        <v>0</v>
      </c>
      <c r="M889" s="14">
        <f>L889*(1+BW889/100)</f>
        <v>0</v>
      </c>
      <c r="N889" s="14">
        <v>0</v>
      </c>
      <c r="O889" s="14">
        <f>G889*N889</f>
        <v>0</v>
      </c>
      <c r="P889" s="72" t="s">
        <v>1664</v>
      </c>
      <c r="Z889" s="14">
        <f>IF(AQ889="5",BJ889,0)</f>
        <v>0</v>
      </c>
      <c r="AB889" s="14">
        <f>IF(AQ889="1",BH889,0)</f>
        <v>0</v>
      </c>
      <c r="AC889" s="14">
        <f>IF(AQ889="1",BI889,0)</f>
        <v>0</v>
      </c>
      <c r="AD889" s="14">
        <f>IF(AQ889="7",BH889,0)</f>
        <v>0</v>
      </c>
      <c r="AE889" s="14">
        <f>IF(AQ889="7",BI889,0)</f>
        <v>0</v>
      </c>
      <c r="AF889" s="14">
        <f>IF(AQ889="2",BH889,0)</f>
        <v>0</v>
      </c>
      <c r="AG889" s="14">
        <f>IF(AQ889="2",BI889,0)</f>
        <v>0</v>
      </c>
      <c r="AH889" s="14">
        <f>IF(AQ889="0",BJ889,0)</f>
        <v>0</v>
      </c>
      <c r="AI889" s="15" t="s">
        <v>557</v>
      </c>
      <c r="AJ889" s="14">
        <f>IF(AN889=0,L889,0)</f>
        <v>0</v>
      </c>
      <c r="AK889" s="14">
        <f>IF(AN889=15,L889,0)</f>
        <v>0</v>
      </c>
      <c r="AL889" s="14">
        <f>IF(AN889=21,L889,0)</f>
        <v>0</v>
      </c>
      <c r="AN889" s="14">
        <v>21</v>
      </c>
      <c r="AO889" s="92">
        <f>H889*0</f>
        <v>0</v>
      </c>
      <c r="AP889" s="92">
        <f>H889*(1-0)</f>
        <v>0</v>
      </c>
      <c r="AQ889" s="55" t="s">
        <v>2435</v>
      </c>
      <c r="AV889" s="14">
        <f>AW889+AX889</f>
        <v>0</v>
      </c>
      <c r="AW889" s="14">
        <f>G889*AO889</f>
        <v>0</v>
      </c>
      <c r="AX889" s="14">
        <f>G889*AP889</f>
        <v>0</v>
      </c>
      <c r="AY889" s="55" t="s">
        <v>1526</v>
      </c>
      <c r="AZ889" s="55" t="s">
        <v>831</v>
      </c>
      <c r="BA889" s="15" t="s">
        <v>1982</v>
      </c>
      <c r="BC889" s="14">
        <f>AW889+AX889</f>
        <v>0</v>
      </c>
      <c r="BD889" s="14">
        <f>H889/(100-BE889)*100</f>
        <v>0</v>
      </c>
      <c r="BE889" s="14">
        <v>0</v>
      </c>
      <c r="BF889" s="14">
        <f>O889</f>
        <v>0</v>
      </c>
      <c r="BH889" s="14">
        <f>G889*AO889</f>
        <v>0</v>
      </c>
      <c r="BI889" s="14">
        <f>G889*AP889</f>
        <v>0</v>
      </c>
      <c r="BJ889" s="14">
        <f>G889*H889</f>
        <v>0</v>
      </c>
      <c r="BK889" s="14"/>
      <c r="BL889" s="14">
        <v>762</v>
      </c>
      <c r="BW889" s="14" t="str">
        <f>I889</f>
        <v>21</v>
      </c>
    </row>
    <row r="890" spans="1:75" ht="15" customHeight="1">
      <c r="A890" s="32"/>
      <c r="D890" s="3" t="s">
        <v>112</v>
      </c>
      <c r="E890" s="28" t="s">
        <v>1683</v>
      </c>
      <c r="G890" s="27">
        <v>550</v>
      </c>
      <c r="P890" s="33"/>
    </row>
    <row r="891" spans="1:75" ht="13.5" customHeight="1">
      <c r="A891" s="20" t="s">
        <v>2400</v>
      </c>
      <c r="B891" s="84" t="s">
        <v>557</v>
      </c>
      <c r="C891" s="84" t="s">
        <v>670</v>
      </c>
      <c r="D891" s="653" t="s">
        <v>2532</v>
      </c>
      <c r="E891" s="654"/>
      <c r="F891" s="84" t="s">
        <v>2398</v>
      </c>
      <c r="G891" s="6">
        <v>604.65</v>
      </c>
      <c r="H891" s="570"/>
      <c r="I891" s="18" t="s">
        <v>1720</v>
      </c>
      <c r="J891" s="6">
        <f>G891*AO891</f>
        <v>0</v>
      </c>
      <c r="K891" s="6">
        <f>G891*AP891</f>
        <v>0</v>
      </c>
      <c r="L891" s="6">
        <f>G891*H891</f>
        <v>0</v>
      </c>
      <c r="M891" s="6">
        <f>L891*(1+BW891/100)</f>
        <v>0</v>
      </c>
      <c r="N891" s="6">
        <v>9.0799999999999995E-3</v>
      </c>
      <c r="O891" s="6">
        <f>G891*N891</f>
        <v>5.4902219999999993</v>
      </c>
      <c r="P891" s="109" t="s">
        <v>1664</v>
      </c>
      <c r="Z891" s="14">
        <f>IF(AQ891="5",BJ891,0)</f>
        <v>0</v>
      </c>
      <c r="AB891" s="14">
        <f>IF(AQ891="1",BH891,0)</f>
        <v>0</v>
      </c>
      <c r="AC891" s="14">
        <f>IF(AQ891="1",BI891,0)</f>
        <v>0</v>
      </c>
      <c r="AD891" s="14">
        <f>IF(AQ891="7",BH891,0)</f>
        <v>0</v>
      </c>
      <c r="AE891" s="14">
        <f>IF(AQ891="7",BI891,0)</f>
        <v>0</v>
      </c>
      <c r="AF891" s="14">
        <f>IF(AQ891="2",BH891,0)</f>
        <v>0</v>
      </c>
      <c r="AG891" s="14">
        <f>IF(AQ891="2",BI891,0)</f>
        <v>0</v>
      </c>
      <c r="AH891" s="14">
        <f>IF(AQ891="0",BJ891,0)</f>
        <v>0</v>
      </c>
      <c r="AI891" s="15" t="s">
        <v>557</v>
      </c>
      <c r="AJ891" s="6">
        <f>IF(AN891=0,L891,0)</f>
        <v>0</v>
      </c>
      <c r="AK891" s="6">
        <f>IF(AN891=15,L891,0)</f>
        <v>0</v>
      </c>
      <c r="AL891" s="6">
        <f>IF(AN891=21,L891,0)</f>
        <v>0</v>
      </c>
      <c r="AN891" s="14">
        <v>21</v>
      </c>
      <c r="AO891" s="92">
        <f>H891*1</f>
        <v>0</v>
      </c>
      <c r="AP891" s="92">
        <f>H891*(1-1)</f>
        <v>0</v>
      </c>
      <c r="AQ891" s="18" t="s">
        <v>2435</v>
      </c>
      <c r="AV891" s="14">
        <f>AW891+AX891</f>
        <v>0</v>
      </c>
      <c r="AW891" s="14">
        <f>G891*AO891</f>
        <v>0</v>
      </c>
      <c r="AX891" s="14">
        <f>G891*AP891</f>
        <v>0</v>
      </c>
      <c r="AY891" s="55" t="s">
        <v>1526</v>
      </c>
      <c r="AZ891" s="55" t="s">
        <v>831</v>
      </c>
      <c r="BA891" s="15" t="s">
        <v>1982</v>
      </c>
      <c r="BC891" s="14">
        <f>AW891+AX891</f>
        <v>0</v>
      </c>
      <c r="BD891" s="14">
        <f>H891/(100-BE891)*100</f>
        <v>0</v>
      </c>
      <c r="BE891" s="14">
        <v>0</v>
      </c>
      <c r="BF891" s="14">
        <f>O891</f>
        <v>5.4902219999999993</v>
      </c>
      <c r="BH891" s="6">
        <f>G891*AO891</f>
        <v>0</v>
      </c>
      <c r="BI891" s="6">
        <f>G891*AP891</f>
        <v>0</v>
      </c>
      <c r="BJ891" s="6">
        <f>G891*H891</f>
        <v>0</v>
      </c>
      <c r="BK891" s="6"/>
      <c r="BL891" s="14">
        <v>762</v>
      </c>
      <c r="BW891" s="14" t="str">
        <f>I891</f>
        <v>21</v>
      </c>
    </row>
    <row r="892" spans="1:75" ht="15" customHeight="1">
      <c r="A892" s="32"/>
      <c r="D892" s="3" t="s">
        <v>1575</v>
      </c>
      <c r="E892" s="28" t="s">
        <v>2761</v>
      </c>
      <c r="G892" s="27">
        <v>480.00000000000006</v>
      </c>
      <c r="P892" s="33"/>
    </row>
    <row r="893" spans="1:75" ht="15" customHeight="1">
      <c r="A893" s="32"/>
      <c r="D893" s="3" t="s">
        <v>1197</v>
      </c>
      <c r="E893" s="28" t="s">
        <v>605</v>
      </c>
      <c r="G893" s="27">
        <v>50.000000000000007</v>
      </c>
      <c r="P893" s="33"/>
    </row>
    <row r="894" spans="1:75" ht="15" customHeight="1">
      <c r="A894" s="32"/>
      <c r="D894" s="3" t="s">
        <v>503</v>
      </c>
      <c r="E894" s="28" t="s">
        <v>2011</v>
      </c>
      <c r="G894" s="27">
        <v>19.680000000000003</v>
      </c>
      <c r="P894" s="33"/>
    </row>
    <row r="895" spans="1:75" ht="15" customHeight="1">
      <c r="A895" s="32"/>
      <c r="D895" s="3" t="s">
        <v>520</v>
      </c>
      <c r="E895" s="28" t="s">
        <v>1683</v>
      </c>
      <c r="G895" s="27">
        <v>54.970000000000006</v>
      </c>
      <c r="P895" s="33"/>
    </row>
    <row r="896" spans="1:75" ht="13.5" customHeight="1">
      <c r="A896" s="20" t="s">
        <v>168</v>
      </c>
      <c r="B896" s="84" t="s">
        <v>557</v>
      </c>
      <c r="C896" s="84" t="s">
        <v>474</v>
      </c>
      <c r="D896" s="653" t="s">
        <v>2153</v>
      </c>
      <c r="E896" s="654"/>
      <c r="F896" s="84" t="s">
        <v>1117</v>
      </c>
      <c r="G896" s="6">
        <v>2.31</v>
      </c>
      <c r="H896" s="570"/>
      <c r="I896" s="18" t="s">
        <v>1720</v>
      </c>
      <c r="J896" s="6">
        <f>G896*AO896</f>
        <v>0</v>
      </c>
      <c r="K896" s="6">
        <f>G896*AP896</f>
        <v>0</v>
      </c>
      <c r="L896" s="6">
        <f>G896*H896</f>
        <v>0</v>
      </c>
      <c r="M896" s="6">
        <f>L896*(1+BW896/100)</f>
        <v>0</v>
      </c>
      <c r="N896" s="6">
        <v>9.8700000000000003E-3</v>
      </c>
      <c r="O896" s="6">
        <f>G896*N896</f>
        <v>2.2799700000000003E-2</v>
      </c>
      <c r="P896" s="109" t="s">
        <v>1664</v>
      </c>
      <c r="Z896" s="14">
        <f>IF(AQ896="5",BJ896,0)</f>
        <v>0</v>
      </c>
      <c r="AB896" s="14">
        <f>IF(AQ896="1",BH896,0)</f>
        <v>0</v>
      </c>
      <c r="AC896" s="14">
        <f>IF(AQ896="1",BI896,0)</f>
        <v>0</v>
      </c>
      <c r="AD896" s="14">
        <f>IF(AQ896="7",BH896,0)</f>
        <v>0</v>
      </c>
      <c r="AE896" s="14">
        <f>IF(AQ896="7",BI896,0)</f>
        <v>0</v>
      </c>
      <c r="AF896" s="14">
        <f>IF(AQ896="2",BH896,0)</f>
        <v>0</v>
      </c>
      <c r="AG896" s="14">
        <f>IF(AQ896="2",BI896,0)</f>
        <v>0</v>
      </c>
      <c r="AH896" s="14">
        <f>IF(AQ896="0",BJ896,0)</f>
        <v>0</v>
      </c>
      <c r="AI896" s="15" t="s">
        <v>557</v>
      </c>
      <c r="AJ896" s="6">
        <f>IF(AN896=0,L896,0)</f>
        <v>0</v>
      </c>
      <c r="AK896" s="6">
        <f>IF(AN896=15,L896,0)</f>
        <v>0</v>
      </c>
      <c r="AL896" s="6">
        <f>IF(AN896=21,L896,0)</f>
        <v>0</v>
      </c>
      <c r="AN896" s="14">
        <v>21</v>
      </c>
      <c r="AO896" s="92">
        <f>H896*1</f>
        <v>0</v>
      </c>
      <c r="AP896" s="92">
        <f>H896*(1-1)</f>
        <v>0</v>
      </c>
      <c r="AQ896" s="18" t="s">
        <v>2435</v>
      </c>
      <c r="AV896" s="14">
        <f>AW896+AX896</f>
        <v>0</v>
      </c>
      <c r="AW896" s="14">
        <f>G896*AO896</f>
        <v>0</v>
      </c>
      <c r="AX896" s="14">
        <f>G896*AP896</f>
        <v>0</v>
      </c>
      <c r="AY896" s="55" t="s">
        <v>1526</v>
      </c>
      <c r="AZ896" s="55" t="s">
        <v>831</v>
      </c>
      <c r="BA896" s="15" t="s">
        <v>1982</v>
      </c>
      <c r="BC896" s="14">
        <f>AW896+AX896</f>
        <v>0</v>
      </c>
      <c r="BD896" s="14">
        <f>H896/(100-BE896)*100</f>
        <v>0</v>
      </c>
      <c r="BE896" s="14">
        <v>0</v>
      </c>
      <c r="BF896" s="14">
        <f>O896</f>
        <v>2.2799700000000003E-2</v>
      </c>
      <c r="BH896" s="6">
        <f>G896*AO896</f>
        <v>0</v>
      </c>
      <c r="BI896" s="6">
        <f>G896*AP896</f>
        <v>0</v>
      </c>
      <c r="BJ896" s="6">
        <f>G896*H896</f>
        <v>0</v>
      </c>
      <c r="BK896" s="6"/>
      <c r="BL896" s="14">
        <v>762</v>
      </c>
      <c r="BW896" s="14" t="str">
        <f>I896</f>
        <v>21</v>
      </c>
    </row>
    <row r="897" spans="1:75" ht="15" customHeight="1">
      <c r="A897" s="32"/>
      <c r="D897" s="3" t="s">
        <v>2200</v>
      </c>
      <c r="E897" s="28" t="s">
        <v>523</v>
      </c>
      <c r="G897" s="27">
        <v>2.2000000000000002</v>
      </c>
      <c r="P897" s="33"/>
    </row>
    <row r="898" spans="1:75" ht="15" customHeight="1">
      <c r="A898" s="32"/>
      <c r="D898" s="3" t="s">
        <v>98</v>
      </c>
      <c r="E898" s="28" t="s">
        <v>1683</v>
      </c>
      <c r="G898" s="27">
        <v>0.11000000000000001</v>
      </c>
      <c r="P898" s="33"/>
    </row>
    <row r="899" spans="1:75" ht="13.5" customHeight="1">
      <c r="A899" s="20" t="s">
        <v>2710</v>
      </c>
      <c r="B899" s="84" t="s">
        <v>557</v>
      </c>
      <c r="C899" s="84" t="s">
        <v>773</v>
      </c>
      <c r="D899" s="653" t="s">
        <v>219</v>
      </c>
      <c r="E899" s="654"/>
      <c r="F899" s="84" t="s">
        <v>2398</v>
      </c>
      <c r="G899" s="6">
        <v>357</v>
      </c>
      <c r="H899" s="570"/>
      <c r="I899" s="18" t="s">
        <v>1720</v>
      </c>
      <c r="J899" s="6">
        <f>G899*AO899</f>
        <v>0</v>
      </c>
      <c r="K899" s="6">
        <f>G899*AP899</f>
        <v>0</v>
      </c>
      <c r="L899" s="6">
        <f>G899*H899</f>
        <v>0</v>
      </c>
      <c r="M899" s="6">
        <f>L899*(1+BW899/100)</f>
        <v>0</v>
      </c>
      <c r="N899" s="6">
        <v>1.3999999999999999E-4</v>
      </c>
      <c r="O899" s="6">
        <f>G899*N899</f>
        <v>4.9979999999999997E-2</v>
      </c>
      <c r="P899" s="109" t="s">
        <v>1664</v>
      </c>
      <c r="Z899" s="14">
        <f>IF(AQ899="5",BJ899,0)</f>
        <v>0</v>
      </c>
      <c r="AB899" s="14">
        <f>IF(AQ899="1",BH899,0)</f>
        <v>0</v>
      </c>
      <c r="AC899" s="14">
        <f>IF(AQ899="1",BI899,0)</f>
        <v>0</v>
      </c>
      <c r="AD899" s="14">
        <f>IF(AQ899="7",BH899,0)</f>
        <v>0</v>
      </c>
      <c r="AE899" s="14">
        <f>IF(AQ899="7",BI899,0)</f>
        <v>0</v>
      </c>
      <c r="AF899" s="14">
        <f>IF(AQ899="2",BH899,0)</f>
        <v>0</v>
      </c>
      <c r="AG899" s="14">
        <f>IF(AQ899="2",BI899,0)</f>
        <v>0</v>
      </c>
      <c r="AH899" s="14">
        <f>IF(AQ899="0",BJ899,0)</f>
        <v>0</v>
      </c>
      <c r="AI899" s="15" t="s">
        <v>557</v>
      </c>
      <c r="AJ899" s="6">
        <f>IF(AN899=0,L899,0)</f>
        <v>0</v>
      </c>
      <c r="AK899" s="6">
        <f>IF(AN899=15,L899,0)</f>
        <v>0</v>
      </c>
      <c r="AL899" s="6">
        <f>IF(AN899=21,L899,0)</f>
        <v>0</v>
      </c>
      <c r="AN899" s="14">
        <v>21</v>
      </c>
      <c r="AO899" s="92">
        <f>H899*1</f>
        <v>0</v>
      </c>
      <c r="AP899" s="92">
        <f>H899*(1-1)</f>
        <v>0</v>
      </c>
      <c r="AQ899" s="18" t="s">
        <v>2435</v>
      </c>
      <c r="AV899" s="14">
        <f>AW899+AX899</f>
        <v>0</v>
      </c>
      <c r="AW899" s="14">
        <f>G899*AO899</f>
        <v>0</v>
      </c>
      <c r="AX899" s="14">
        <f>G899*AP899</f>
        <v>0</v>
      </c>
      <c r="AY899" s="55" t="s">
        <v>1526</v>
      </c>
      <c r="AZ899" s="55" t="s">
        <v>831</v>
      </c>
      <c r="BA899" s="15" t="s">
        <v>1982</v>
      </c>
      <c r="BC899" s="14">
        <f>AW899+AX899</f>
        <v>0</v>
      </c>
      <c r="BD899" s="14">
        <f>H899/(100-BE899)*100</f>
        <v>0</v>
      </c>
      <c r="BE899" s="14">
        <v>0</v>
      </c>
      <c r="BF899" s="14">
        <f>O899</f>
        <v>4.9979999999999997E-2</v>
      </c>
      <c r="BH899" s="6">
        <f>G899*AO899</f>
        <v>0</v>
      </c>
      <c r="BI899" s="6">
        <f>G899*AP899</f>
        <v>0</v>
      </c>
      <c r="BJ899" s="6">
        <f>G899*H899</f>
        <v>0</v>
      </c>
      <c r="BK899" s="6"/>
      <c r="BL899" s="14">
        <v>762</v>
      </c>
      <c r="BW899" s="14" t="str">
        <f>I899</f>
        <v>21</v>
      </c>
    </row>
    <row r="900" spans="1:75" ht="15" customHeight="1">
      <c r="A900" s="32"/>
      <c r="D900" s="3" t="s">
        <v>225</v>
      </c>
      <c r="E900" s="28" t="s">
        <v>2449</v>
      </c>
      <c r="G900" s="27">
        <v>297.5</v>
      </c>
      <c r="P900" s="33"/>
    </row>
    <row r="901" spans="1:75" ht="15" customHeight="1">
      <c r="A901" s="32"/>
      <c r="D901" s="3" t="s">
        <v>405</v>
      </c>
      <c r="E901" s="28" t="s">
        <v>1683</v>
      </c>
      <c r="G901" s="27">
        <v>59.500000000000007</v>
      </c>
      <c r="P901" s="33"/>
    </row>
    <row r="902" spans="1:75" ht="13.5" customHeight="1">
      <c r="A902" s="21" t="s">
        <v>2004</v>
      </c>
      <c r="B902" s="37" t="s">
        <v>557</v>
      </c>
      <c r="C902" s="37" t="s">
        <v>27</v>
      </c>
      <c r="D902" s="578" t="s">
        <v>725</v>
      </c>
      <c r="E902" s="579"/>
      <c r="F902" s="37" t="s">
        <v>2398</v>
      </c>
      <c r="G902" s="14">
        <v>28.8</v>
      </c>
      <c r="H902" s="569"/>
      <c r="I902" s="55" t="s">
        <v>1720</v>
      </c>
      <c r="J902" s="14">
        <f>G902*AO902</f>
        <v>0</v>
      </c>
      <c r="K902" s="14">
        <f>G902*AP902</f>
        <v>0</v>
      </c>
      <c r="L902" s="14">
        <f>G902*H902</f>
        <v>0</v>
      </c>
      <c r="M902" s="14">
        <f>L902*(1+BW902/100)</f>
        <v>0</v>
      </c>
      <c r="N902" s="14">
        <v>0</v>
      </c>
      <c r="O902" s="14">
        <f>G902*N902</f>
        <v>0</v>
      </c>
      <c r="P902" s="72" t="s">
        <v>1664</v>
      </c>
      <c r="Z902" s="14">
        <f>IF(AQ902="5",BJ902,0)</f>
        <v>0</v>
      </c>
      <c r="AB902" s="14">
        <f>IF(AQ902="1",BH902,0)</f>
        <v>0</v>
      </c>
      <c r="AC902" s="14">
        <f>IF(AQ902="1",BI902,0)</f>
        <v>0</v>
      </c>
      <c r="AD902" s="14">
        <f>IF(AQ902="7",BH902,0)</f>
        <v>0</v>
      </c>
      <c r="AE902" s="14">
        <f>IF(AQ902="7",BI902,0)</f>
        <v>0</v>
      </c>
      <c r="AF902" s="14">
        <f>IF(AQ902="2",BH902,0)</f>
        <v>0</v>
      </c>
      <c r="AG902" s="14">
        <f>IF(AQ902="2",BI902,0)</f>
        <v>0</v>
      </c>
      <c r="AH902" s="14">
        <f>IF(AQ902="0",BJ902,0)</f>
        <v>0</v>
      </c>
      <c r="AI902" s="15" t="s">
        <v>557</v>
      </c>
      <c r="AJ902" s="14">
        <f>IF(AN902=0,L902,0)</f>
        <v>0</v>
      </c>
      <c r="AK902" s="14">
        <f>IF(AN902=15,L902,0)</f>
        <v>0</v>
      </c>
      <c r="AL902" s="14">
        <f>IF(AN902=21,L902,0)</f>
        <v>0</v>
      </c>
      <c r="AN902" s="14">
        <v>21</v>
      </c>
      <c r="AO902" s="92">
        <f>H902*0</f>
        <v>0</v>
      </c>
      <c r="AP902" s="92">
        <f>H902*(1-0)</f>
        <v>0</v>
      </c>
      <c r="AQ902" s="55" t="s">
        <v>2435</v>
      </c>
      <c r="AV902" s="14">
        <f>AW902+AX902</f>
        <v>0</v>
      </c>
      <c r="AW902" s="14">
        <f>G902*AO902</f>
        <v>0</v>
      </c>
      <c r="AX902" s="14">
        <f>G902*AP902</f>
        <v>0</v>
      </c>
      <c r="AY902" s="55" t="s">
        <v>1526</v>
      </c>
      <c r="AZ902" s="55" t="s">
        <v>831</v>
      </c>
      <c r="BA902" s="15" t="s">
        <v>1982</v>
      </c>
      <c r="BC902" s="14">
        <f>AW902+AX902</f>
        <v>0</v>
      </c>
      <c r="BD902" s="14">
        <f>H902/(100-BE902)*100</f>
        <v>0</v>
      </c>
      <c r="BE902" s="14">
        <v>0</v>
      </c>
      <c r="BF902" s="14">
        <f>O902</f>
        <v>0</v>
      </c>
      <c r="BH902" s="14">
        <f>G902*AO902</f>
        <v>0</v>
      </c>
      <c r="BI902" s="14">
        <f>G902*AP902</f>
        <v>0</v>
      </c>
      <c r="BJ902" s="14">
        <f>G902*H902</f>
        <v>0</v>
      </c>
      <c r="BK902" s="14"/>
      <c r="BL902" s="14">
        <v>762</v>
      </c>
      <c r="BW902" s="14" t="str">
        <f>I902</f>
        <v>21</v>
      </c>
    </row>
    <row r="903" spans="1:75" ht="15" customHeight="1">
      <c r="A903" s="32"/>
      <c r="D903" s="3" t="s">
        <v>688</v>
      </c>
      <c r="E903" s="28" t="s">
        <v>1683</v>
      </c>
      <c r="G903" s="27">
        <v>28.8</v>
      </c>
      <c r="P903" s="33"/>
    </row>
    <row r="904" spans="1:75" ht="13.5" customHeight="1">
      <c r="A904" s="20" t="s">
        <v>2757</v>
      </c>
      <c r="B904" s="84" t="s">
        <v>557</v>
      </c>
      <c r="C904" s="84" t="s">
        <v>2455</v>
      </c>
      <c r="D904" s="653" t="s">
        <v>1679</v>
      </c>
      <c r="E904" s="654"/>
      <c r="F904" s="84" t="s">
        <v>1117</v>
      </c>
      <c r="G904" s="6">
        <v>2</v>
      </c>
      <c r="H904" s="570"/>
      <c r="I904" s="18" t="s">
        <v>1720</v>
      </c>
      <c r="J904" s="6">
        <f>G904*AO904</f>
        <v>0</v>
      </c>
      <c r="K904" s="6">
        <f>G904*AP904</f>
        <v>0</v>
      </c>
      <c r="L904" s="6">
        <f>G904*H904</f>
        <v>0</v>
      </c>
      <c r="M904" s="6">
        <f>L904*(1+BW904/100)</f>
        <v>0</v>
      </c>
      <c r="N904" s="6">
        <v>1.6199999999999999E-3</v>
      </c>
      <c r="O904" s="6">
        <f>G904*N904</f>
        <v>3.2399999999999998E-3</v>
      </c>
      <c r="P904" s="109" t="s">
        <v>1664</v>
      </c>
      <c r="Z904" s="14">
        <f>IF(AQ904="5",BJ904,0)</f>
        <v>0</v>
      </c>
      <c r="AB904" s="14">
        <f>IF(AQ904="1",BH904,0)</f>
        <v>0</v>
      </c>
      <c r="AC904" s="14">
        <f>IF(AQ904="1",BI904,0)</f>
        <v>0</v>
      </c>
      <c r="AD904" s="14">
        <f>IF(AQ904="7",BH904,0)</f>
        <v>0</v>
      </c>
      <c r="AE904" s="14">
        <f>IF(AQ904="7",BI904,0)</f>
        <v>0</v>
      </c>
      <c r="AF904" s="14">
        <f>IF(AQ904="2",BH904,0)</f>
        <v>0</v>
      </c>
      <c r="AG904" s="14">
        <f>IF(AQ904="2",BI904,0)</f>
        <v>0</v>
      </c>
      <c r="AH904" s="14">
        <f>IF(AQ904="0",BJ904,0)</f>
        <v>0</v>
      </c>
      <c r="AI904" s="15" t="s">
        <v>557</v>
      </c>
      <c r="AJ904" s="6">
        <f>IF(AN904=0,L904,0)</f>
        <v>0</v>
      </c>
      <c r="AK904" s="6">
        <f>IF(AN904=15,L904,0)</f>
        <v>0</v>
      </c>
      <c r="AL904" s="6">
        <f>IF(AN904=21,L904,0)</f>
        <v>0</v>
      </c>
      <c r="AN904" s="14">
        <v>21</v>
      </c>
      <c r="AO904" s="92">
        <f>H904*1</f>
        <v>0</v>
      </c>
      <c r="AP904" s="92">
        <f>H904*(1-1)</f>
        <v>0</v>
      </c>
      <c r="AQ904" s="18" t="s">
        <v>2435</v>
      </c>
      <c r="AV904" s="14">
        <f>AW904+AX904</f>
        <v>0</v>
      </c>
      <c r="AW904" s="14">
        <f>G904*AO904</f>
        <v>0</v>
      </c>
      <c r="AX904" s="14">
        <f>G904*AP904</f>
        <v>0</v>
      </c>
      <c r="AY904" s="55" t="s">
        <v>1526</v>
      </c>
      <c r="AZ904" s="55" t="s">
        <v>831</v>
      </c>
      <c r="BA904" s="15" t="s">
        <v>1982</v>
      </c>
      <c r="BC904" s="14">
        <f>AW904+AX904</f>
        <v>0</v>
      </c>
      <c r="BD904" s="14">
        <f>H904/(100-BE904)*100</f>
        <v>0</v>
      </c>
      <c r="BE904" s="14">
        <v>0</v>
      </c>
      <c r="BF904" s="14">
        <f>O904</f>
        <v>3.2399999999999998E-3</v>
      </c>
      <c r="BH904" s="6">
        <f>G904*AO904</f>
        <v>0</v>
      </c>
      <c r="BI904" s="6">
        <f>G904*AP904</f>
        <v>0</v>
      </c>
      <c r="BJ904" s="6">
        <f>G904*H904</f>
        <v>0</v>
      </c>
      <c r="BK904" s="6"/>
      <c r="BL904" s="14">
        <v>762</v>
      </c>
      <c r="BW904" s="14" t="str">
        <f>I904</f>
        <v>21</v>
      </c>
    </row>
    <row r="905" spans="1:75" ht="15" customHeight="1">
      <c r="A905" s="32"/>
      <c r="D905" s="3" t="s">
        <v>1676</v>
      </c>
      <c r="E905" s="28" t="s">
        <v>1683</v>
      </c>
      <c r="G905" s="27">
        <v>2</v>
      </c>
      <c r="P905" s="33"/>
    </row>
    <row r="906" spans="1:75" ht="13.5" customHeight="1">
      <c r="A906" s="20" t="s">
        <v>934</v>
      </c>
      <c r="B906" s="84" t="s">
        <v>557</v>
      </c>
      <c r="C906" s="84" t="s">
        <v>241</v>
      </c>
      <c r="D906" s="653" t="s">
        <v>903</v>
      </c>
      <c r="E906" s="654"/>
      <c r="F906" s="84" t="s">
        <v>2359</v>
      </c>
      <c r="G906" s="6">
        <v>0.92</v>
      </c>
      <c r="H906" s="570"/>
      <c r="I906" s="18" t="s">
        <v>1720</v>
      </c>
      <c r="J906" s="6">
        <f>G906*AO906</f>
        <v>0</v>
      </c>
      <c r="K906" s="6">
        <f>G906*AP906</f>
        <v>0</v>
      </c>
      <c r="L906" s="6">
        <f>G906*H906</f>
        <v>0</v>
      </c>
      <c r="M906" s="6">
        <f>L906*(1+BW906/100)</f>
        <v>0</v>
      </c>
      <c r="N906" s="6">
        <v>0.5</v>
      </c>
      <c r="O906" s="6">
        <f>G906*N906</f>
        <v>0.46</v>
      </c>
      <c r="P906" s="109" t="s">
        <v>1664</v>
      </c>
      <c r="Z906" s="14">
        <f>IF(AQ906="5",BJ906,0)</f>
        <v>0</v>
      </c>
      <c r="AB906" s="14">
        <f>IF(AQ906="1",BH906,0)</f>
        <v>0</v>
      </c>
      <c r="AC906" s="14">
        <f>IF(AQ906="1",BI906,0)</f>
        <v>0</v>
      </c>
      <c r="AD906" s="14">
        <f>IF(AQ906="7",BH906,0)</f>
        <v>0</v>
      </c>
      <c r="AE906" s="14">
        <f>IF(AQ906="7",BI906,0)</f>
        <v>0</v>
      </c>
      <c r="AF906" s="14">
        <f>IF(AQ906="2",BH906,0)</f>
        <v>0</v>
      </c>
      <c r="AG906" s="14">
        <f>IF(AQ906="2",BI906,0)</f>
        <v>0</v>
      </c>
      <c r="AH906" s="14">
        <f>IF(AQ906="0",BJ906,0)</f>
        <v>0</v>
      </c>
      <c r="AI906" s="15" t="s">
        <v>557</v>
      </c>
      <c r="AJ906" s="6">
        <f>IF(AN906=0,L906,0)</f>
        <v>0</v>
      </c>
      <c r="AK906" s="6">
        <f>IF(AN906=15,L906,0)</f>
        <v>0</v>
      </c>
      <c r="AL906" s="6">
        <f>IF(AN906=21,L906,0)</f>
        <v>0</v>
      </c>
      <c r="AN906" s="14">
        <v>21</v>
      </c>
      <c r="AO906" s="92">
        <f>H906*1</f>
        <v>0</v>
      </c>
      <c r="AP906" s="92">
        <f>H906*(1-1)</f>
        <v>0</v>
      </c>
      <c r="AQ906" s="18" t="s">
        <v>2435</v>
      </c>
      <c r="AV906" s="14">
        <f>AW906+AX906</f>
        <v>0</v>
      </c>
      <c r="AW906" s="14">
        <f>G906*AO906</f>
        <v>0</v>
      </c>
      <c r="AX906" s="14">
        <f>G906*AP906</f>
        <v>0</v>
      </c>
      <c r="AY906" s="55" t="s">
        <v>1526</v>
      </c>
      <c r="AZ906" s="55" t="s">
        <v>831</v>
      </c>
      <c r="BA906" s="15" t="s">
        <v>1982</v>
      </c>
      <c r="BC906" s="14">
        <f>AW906+AX906</f>
        <v>0</v>
      </c>
      <c r="BD906" s="14">
        <f>H906/(100-BE906)*100</f>
        <v>0</v>
      </c>
      <c r="BE906" s="14">
        <v>0</v>
      </c>
      <c r="BF906" s="14">
        <f>O906</f>
        <v>0.46</v>
      </c>
      <c r="BH906" s="6">
        <f>G906*AO906</f>
        <v>0</v>
      </c>
      <c r="BI906" s="6">
        <f>G906*AP906</f>
        <v>0</v>
      </c>
      <c r="BJ906" s="6">
        <f>G906*H906</f>
        <v>0</v>
      </c>
      <c r="BK906" s="6"/>
      <c r="BL906" s="14">
        <v>762</v>
      </c>
      <c r="BW906" s="14" t="str">
        <f>I906</f>
        <v>21</v>
      </c>
    </row>
    <row r="907" spans="1:75" ht="15" customHeight="1">
      <c r="A907" s="32"/>
      <c r="D907" s="3" t="s">
        <v>114</v>
      </c>
      <c r="E907" s="28" t="s">
        <v>1683</v>
      </c>
      <c r="G907" s="27">
        <v>0.92</v>
      </c>
      <c r="P907" s="33"/>
    </row>
    <row r="908" spans="1:75" ht="13.5" customHeight="1">
      <c r="A908" s="20" t="s">
        <v>446</v>
      </c>
      <c r="B908" s="84" t="s">
        <v>557</v>
      </c>
      <c r="C908" s="84" t="s">
        <v>1759</v>
      </c>
      <c r="D908" s="653" t="s">
        <v>401</v>
      </c>
      <c r="E908" s="654"/>
      <c r="F908" s="84" t="s">
        <v>2398</v>
      </c>
      <c r="G908" s="6">
        <v>34.799999999999997</v>
      </c>
      <c r="H908" s="570"/>
      <c r="I908" s="18" t="s">
        <v>1720</v>
      </c>
      <c r="J908" s="6">
        <f>G908*AO908</f>
        <v>0</v>
      </c>
      <c r="K908" s="6">
        <f>G908*AP908</f>
        <v>0</v>
      </c>
      <c r="L908" s="6">
        <f>G908*H908</f>
        <v>0</v>
      </c>
      <c r="M908" s="6">
        <f>L908*(1+BW908/100)</f>
        <v>0</v>
      </c>
      <c r="N908" s="6">
        <v>2.4E-2</v>
      </c>
      <c r="O908" s="6">
        <f>G908*N908</f>
        <v>0.83519999999999994</v>
      </c>
      <c r="P908" s="109" t="s">
        <v>1664</v>
      </c>
      <c r="Z908" s="14">
        <f>IF(AQ908="5",BJ908,0)</f>
        <v>0</v>
      </c>
      <c r="AB908" s="14">
        <f>IF(AQ908="1",BH908,0)</f>
        <v>0</v>
      </c>
      <c r="AC908" s="14">
        <f>IF(AQ908="1",BI908,0)</f>
        <v>0</v>
      </c>
      <c r="AD908" s="14">
        <f>IF(AQ908="7",BH908,0)</f>
        <v>0</v>
      </c>
      <c r="AE908" s="14">
        <f>IF(AQ908="7",BI908,0)</f>
        <v>0</v>
      </c>
      <c r="AF908" s="14">
        <f>IF(AQ908="2",BH908,0)</f>
        <v>0</v>
      </c>
      <c r="AG908" s="14">
        <f>IF(AQ908="2",BI908,0)</f>
        <v>0</v>
      </c>
      <c r="AH908" s="14">
        <f>IF(AQ908="0",BJ908,0)</f>
        <v>0</v>
      </c>
      <c r="AI908" s="15" t="s">
        <v>557</v>
      </c>
      <c r="AJ908" s="6">
        <f>IF(AN908=0,L908,0)</f>
        <v>0</v>
      </c>
      <c r="AK908" s="6">
        <f>IF(AN908=15,L908,0)</f>
        <v>0</v>
      </c>
      <c r="AL908" s="6">
        <f>IF(AN908=21,L908,0)</f>
        <v>0</v>
      </c>
      <c r="AN908" s="14">
        <v>21</v>
      </c>
      <c r="AO908" s="92">
        <f>H908*1</f>
        <v>0</v>
      </c>
      <c r="AP908" s="92">
        <f>H908*(1-1)</f>
        <v>0</v>
      </c>
      <c r="AQ908" s="18" t="s">
        <v>2435</v>
      </c>
      <c r="AV908" s="14">
        <f>AW908+AX908</f>
        <v>0</v>
      </c>
      <c r="AW908" s="14">
        <f>G908*AO908</f>
        <v>0</v>
      </c>
      <c r="AX908" s="14">
        <f>G908*AP908</f>
        <v>0</v>
      </c>
      <c r="AY908" s="55" t="s">
        <v>1526</v>
      </c>
      <c r="AZ908" s="55" t="s">
        <v>831</v>
      </c>
      <c r="BA908" s="15" t="s">
        <v>1982</v>
      </c>
      <c r="BC908" s="14">
        <f>AW908+AX908</f>
        <v>0</v>
      </c>
      <c r="BD908" s="14">
        <f>H908/(100-BE908)*100</f>
        <v>0</v>
      </c>
      <c r="BE908" s="14">
        <v>0</v>
      </c>
      <c r="BF908" s="14">
        <f>O908</f>
        <v>0.83519999999999994</v>
      </c>
      <c r="BH908" s="6">
        <f>G908*AO908</f>
        <v>0</v>
      </c>
      <c r="BI908" s="6">
        <f>G908*AP908</f>
        <v>0</v>
      </c>
      <c r="BJ908" s="6">
        <f>G908*H908</f>
        <v>0</v>
      </c>
      <c r="BK908" s="6"/>
      <c r="BL908" s="14">
        <v>762</v>
      </c>
      <c r="BW908" s="14" t="str">
        <f>I908</f>
        <v>21</v>
      </c>
    </row>
    <row r="909" spans="1:75" ht="15" customHeight="1">
      <c r="A909" s="32"/>
      <c r="D909" s="3" t="s">
        <v>188</v>
      </c>
      <c r="E909" s="28" t="s">
        <v>1683</v>
      </c>
      <c r="G909" s="27">
        <v>29.000000000000004</v>
      </c>
      <c r="P909" s="33"/>
    </row>
    <row r="910" spans="1:75" ht="15" customHeight="1">
      <c r="A910" s="32"/>
      <c r="D910" s="3" t="s">
        <v>1169</v>
      </c>
      <c r="E910" s="28" t="s">
        <v>1683</v>
      </c>
      <c r="G910" s="27">
        <v>5.8000000000000007</v>
      </c>
      <c r="P910" s="33"/>
    </row>
    <row r="911" spans="1:75" ht="13.5" customHeight="1">
      <c r="A911" s="21" t="s">
        <v>2656</v>
      </c>
      <c r="B911" s="37" t="s">
        <v>557</v>
      </c>
      <c r="C911" s="37" t="s">
        <v>2324</v>
      </c>
      <c r="D911" s="578" t="s">
        <v>906</v>
      </c>
      <c r="E911" s="579"/>
      <c r="F911" s="37" t="s">
        <v>2398</v>
      </c>
      <c r="G911" s="14">
        <v>970</v>
      </c>
      <c r="H911" s="569"/>
      <c r="I911" s="55" t="s">
        <v>1720</v>
      </c>
      <c r="J911" s="14">
        <f>G911*AO911</f>
        <v>0</v>
      </c>
      <c r="K911" s="14">
        <f>G911*AP911</f>
        <v>0</v>
      </c>
      <c r="L911" s="14">
        <f>G911*H911</f>
        <v>0</v>
      </c>
      <c r="M911" s="14">
        <f>L911*(1+BW911/100)</f>
        <v>0</v>
      </c>
      <c r="N911" s="14">
        <v>1.5299999999999999E-3</v>
      </c>
      <c r="O911" s="14">
        <f>G911*N911</f>
        <v>1.4841</v>
      </c>
      <c r="P911" s="72" t="s">
        <v>1664</v>
      </c>
      <c r="Z911" s="14">
        <f>IF(AQ911="5",BJ911,0)</f>
        <v>0</v>
      </c>
      <c r="AB911" s="14">
        <f>IF(AQ911="1",BH911,0)</f>
        <v>0</v>
      </c>
      <c r="AC911" s="14">
        <f>IF(AQ911="1",BI911,0)</f>
        <v>0</v>
      </c>
      <c r="AD911" s="14">
        <f>IF(AQ911="7",BH911,0)</f>
        <v>0</v>
      </c>
      <c r="AE911" s="14">
        <f>IF(AQ911="7",BI911,0)</f>
        <v>0</v>
      </c>
      <c r="AF911" s="14">
        <f>IF(AQ911="2",BH911,0)</f>
        <v>0</v>
      </c>
      <c r="AG911" s="14">
        <f>IF(AQ911="2",BI911,0)</f>
        <v>0</v>
      </c>
      <c r="AH911" s="14">
        <f>IF(AQ911="0",BJ911,0)</f>
        <v>0</v>
      </c>
      <c r="AI911" s="15" t="s">
        <v>557</v>
      </c>
      <c r="AJ911" s="14">
        <f>IF(AN911=0,L911,0)</f>
        <v>0</v>
      </c>
      <c r="AK911" s="14">
        <f>IF(AN911=15,L911,0)</f>
        <v>0</v>
      </c>
      <c r="AL911" s="14">
        <f>IF(AN911=21,L911,0)</f>
        <v>0</v>
      </c>
      <c r="AN911" s="14">
        <v>21</v>
      </c>
      <c r="AO911" s="92">
        <f>H911*0.483393804074798</f>
        <v>0</v>
      </c>
      <c r="AP911" s="92">
        <f>H911*(1-0.483393804074798)</f>
        <v>0</v>
      </c>
      <c r="AQ911" s="55" t="s">
        <v>2435</v>
      </c>
      <c r="AV911" s="14">
        <f>AW911+AX911</f>
        <v>0</v>
      </c>
      <c r="AW911" s="14">
        <f>G911*AO911</f>
        <v>0</v>
      </c>
      <c r="AX911" s="14">
        <f>G911*AP911</f>
        <v>0</v>
      </c>
      <c r="AY911" s="55" t="s">
        <v>1526</v>
      </c>
      <c r="AZ911" s="55" t="s">
        <v>831</v>
      </c>
      <c r="BA911" s="15" t="s">
        <v>1982</v>
      </c>
      <c r="BC911" s="14">
        <f>AW911+AX911</f>
        <v>0</v>
      </c>
      <c r="BD911" s="14">
        <f>H911/(100-BE911)*100</f>
        <v>0</v>
      </c>
      <c r="BE911" s="14">
        <v>0</v>
      </c>
      <c r="BF911" s="14">
        <f>O911</f>
        <v>1.4841</v>
      </c>
      <c r="BH911" s="14">
        <f>G911*AO911</f>
        <v>0</v>
      </c>
      <c r="BI911" s="14">
        <f>G911*AP911</f>
        <v>0</v>
      </c>
      <c r="BJ911" s="14">
        <f>G911*H911</f>
        <v>0</v>
      </c>
      <c r="BK911" s="14"/>
      <c r="BL911" s="14">
        <v>762</v>
      </c>
      <c r="BW911" s="14" t="str">
        <f>I911</f>
        <v>21</v>
      </c>
    </row>
    <row r="912" spans="1:75" ht="15" customHeight="1">
      <c r="A912" s="32"/>
      <c r="D912" s="3" t="s">
        <v>1358</v>
      </c>
      <c r="E912" s="28" t="s">
        <v>1683</v>
      </c>
      <c r="G912" s="27">
        <v>970.00000000000011</v>
      </c>
      <c r="P912" s="33"/>
    </row>
    <row r="913" spans="1:75" ht="27" customHeight="1">
      <c r="A913" s="21" t="s">
        <v>1770</v>
      </c>
      <c r="B913" s="37" t="s">
        <v>557</v>
      </c>
      <c r="C913" s="37" t="s">
        <v>2749</v>
      </c>
      <c r="D913" s="578" t="s">
        <v>220</v>
      </c>
      <c r="E913" s="579"/>
      <c r="F913" s="37" t="s">
        <v>2398</v>
      </c>
      <c r="G913" s="14">
        <v>485</v>
      </c>
      <c r="H913" s="569"/>
      <c r="I913" s="55" t="s">
        <v>1720</v>
      </c>
      <c r="J913" s="14">
        <f>G913*AO913</f>
        <v>0</v>
      </c>
      <c r="K913" s="14">
        <f>G913*AP913</f>
        <v>0</v>
      </c>
      <c r="L913" s="14">
        <f>G913*H913</f>
        <v>0</v>
      </c>
      <c r="M913" s="14">
        <f>L913*(1+BW913/100)</f>
        <v>0</v>
      </c>
      <c r="N913" s="14">
        <v>4.0299999999999997E-3</v>
      </c>
      <c r="O913" s="14">
        <f>G913*N913</f>
        <v>1.9545499999999998</v>
      </c>
      <c r="P913" s="72" t="s">
        <v>1664</v>
      </c>
      <c r="Z913" s="14">
        <f>IF(AQ913="5",BJ913,0)</f>
        <v>0</v>
      </c>
      <c r="AB913" s="14">
        <f>IF(AQ913="1",BH913,0)</f>
        <v>0</v>
      </c>
      <c r="AC913" s="14">
        <f>IF(AQ913="1",BI913,0)</f>
        <v>0</v>
      </c>
      <c r="AD913" s="14">
        <f>IF(AQ913="7",BH913,0)</f>
        <v>0</v>
      </c>
      <c r="AE913" s="14">
        <f>IF(AQ913="7",BI913,0)</f>
        <v>0</v>
      </c>
      <c r="AF913" s="14">
        <f>IF(AQ913="2",BH913,0)</f>
        <v>0</v>
      </c>
      <c r="AG913" s="14">
        <f>IF(AQ913="2",BI913,0)</f>
        <v>0</v>
      </c>
      <c r="AH913" s="14">
        <f>IF(AQ913="0",BJ913,0)</f>
        <v>0</v>
      </c>
      <c r="AI913" s="15" t="s">
        <v>557</v>
      </c>
      <c r="AJ913" s="14">
        <f>IF(AN913=0,L913,0)</f>
        <v>0</v>
      </c>
      <c r="AK913" s="14">
        <f>IF(AN913=15,L913,0)</f>
        <v>0</v>
      </c>
      <c r="AL913" s="14">
        <f>IF(AN913=21,L913,0)</f>
        <v>0</v>
      </c>
      <c r="AN913" s="14">
        <v>21</v>
      </c>
      <c r="AO913" s="92">
        <f>H913*0.426415094339623</f>
        <v>0</v>
      </c>
      <c r="AP913" s="92">
        <f>H913*(1-0.426415094339623)</f>
        <v>0</v>
      </c>
      <c r="AQ913" s="55" t="s">
        <v>2435</v>
      </c>
      <c r="AV913" s="14">
        <f>AW913+AX913</f>
        <v>0</v>
      </c>
      <c r="AW913" s="14">
        <f>G913*AO913</f>
        <v>0</v>
      </c>
      <c r="AX913" s="14">
        <f>G913*AP913</f>
        <v>0</v>
      </c>
      <c r="AY913" s="55" t="s">
        <v>1526</v>
      </c>
      <c r="AZ913" s="55" t="s">
        <v>831</v>
      </c>
      <c r="BA913" s="15" t="s">
        <v>1982</v>
      </c>
      <c r="BC913" s="14">
        <f>AW913+AX913</f>
        <v>0</v>
      </c>
      <c r="BD913" s="14">
        <f>H913/(100-BE913)*100</f>
        <v>0</v>
      </c>
      <c r="BE913" s="14">
        <v>0</v>
      </c>
      <c r="BF913" s="14">
        <f>O913</f>
        <v>1.9545499999999998</v>
      </c>
      <c r="BH913" s="14">
        <f>G913*AO913</f>
        <v>0</v>
      </c>
      <c r="BI913" s="14">
        <f>G913*AP913</f>
        <v>0</v>
      </c>
      <c r="BJ913" s="14">
        <f>G913*H913</f>
        <v>0</v>
      </c>
      <c r="BK913" s="14"/>
      <c r="BL913" s="14">
        <v>762</v>
      </c>
      <c r="BW913" s="14" t="str">
        <f>I913</f>
        <v>21</v>
      </c>
    </row>
    <row r="914" spans="1:75" ht="15" customHeight="1">
      <c r="A914" s="32"/>
      <c r="D914" s="3" t="s">
        <v>1258</v>
      </c>
      <c r="E914" s="28" t="s">
        <v>1683</v>
      </c>
      <c r="G914" s="27">
        <v>485.00000000000006</v>
      </c>
      <c r="P914" s="33"/>
    </row>
    <row r="915" spans="1:75" ht="13.5" customHeight="1">
      <c r="A915" s="21" t="s">
        <v>1633</v>
      </c>
      <c r="B915" s="37" t="s">
        <v>557</v>
      </c>
      <c r="C915" s="37" t="s">
        <v>2410</v>
      </c>
      <c r="D915" s="578" t="s">
        <v>568</v>
      </c>
      <c r="E915" s="579"/>
      <c r="F915" s="37" t="s">
        <v>2398</v>
      </c>
      <c r="G915" s="14">
        <v>138</v>
      </c>
      <c r="H915" s="569"/>
      <c r="I915" s="55" t="s">
        <v>1720</v>
      </c>
      <c r="J915" s="14">
        <f>G915*AO915</f>
        <v>0</v>
      </c>
      <c r="K915" s="14">
        <f>G915*AP915</f>
        <v>0</v>
      </c>
      <c r="L915" s="14">
        <f>G915*H915</f>
        <v>0</v>
      </c>
      <c r="M915" s="14">
        <f>L915*(1+BW915/100)</f>
        <v>0</v>
      </c>
      <c r="N915" s="14">
        <v>0</v>
      </c>
      <c r="O915" s="14">
        <f>G915*N915</f>
        <v>0</v>
      </c>
      <c r="P915" s="72" t="s">
        <v>1664</v>
      </c>
      <c r="Z915" s="14">
        <f>IF(AQ915="5",BJ915,0)</f>
        <v>0</v>
      </c>
      <c r="AB915" s="14">
        <f>IF(AQ915="1",BH915,0)</f>
        <v>0</v>
      </c>
      <c r="AC915" s="14">
        <f>IF(AQ915="1",BI915,0)</f>
        <v>0</v>
      </c>
      <c r="AD915" s="14">
        <f>IF(AQ915="7",BH915,0)</f>
        <v>0</v>
      </c>
      <c r="AE915" s="14">
        <f>IF(AQ915="7",BI915,0)</f>
        <v>0</v>
      </c>
      <c r="AF915" s="14">
        <f>IF(AQ915="2",BH915,0)</f>
        <v>0</v>
      </c>
      <c r="AG915" s="14">
        <f>IF(AQ915="2",BI915,0)</f>
        <v>0</v>
      </c>
      <c r="AH915" s="14">
        <f>IF(AQ915="0",BJ915,0)</f>
        <v>0</v>
      </c>
      <c r="AI915" s="15" t="s">
        <v>557</v>
      </c>
      <c r="AJ915" s="14">
        <f>IF(AN915=0,L915,0)</f>
        <v>0</v>
      </c>
      <c r="AK915" s="14">
        <f>IF(AN915=15,L915,0)</f>
        <v>0</v>
      </c>
      <c r="AL915" s="14">
        <f>IF(AN915=21,L915,0)</f>
        <v>0</v>
      </c>
      <c r="AN915" s="14">
        <v>21</v>
      </c>
      <c r="AO915" s="92">
        <f>H915*0.0936704730831974</f>
        <v>0</v>
      </c>
      <c r="AP915" s="92">
        <f>H915*(1-0.0936704730831974)</f>
        <v>0</v>
      </c>
      <c r="AQ915" s="55" t="s">
        <v>2435</v>
      </c>
      <c r="AV915" s="14">
        <f>AW915+AX915</f>
        <v>0</v>
      </c>
      <c r="AW915" s="14">
        <f>G915*AO915</f>
        <v>0</v>
      </c>
      <c r="AX915" s="14">
        <f>G915*AP915</f>
        <v>0</v>
      </c>
      <c r="AY915" s="55" t="s">
        <v>1526</v>
      </c>
      <c r="AZ915" s="55" t="s">
        <v>831</v>
      </c>
      <c r="BA915" s="15" t="s">
        <v>1982</v>
      </c>
      <c r="BC915" s="14">
        <f>AW915+AX915</f>
        <v>0</v>
      </c>
      <c r="BD915" s="14">
        <f>H915/(100-BE915)*100</f>
        <v>0</v>
      </c>
      <c r="BE915" s="14">
        <v>0</v>
      </c>
      <c r="BF915" s="14">
        <f>O915</f>
        <v>0</v>
      </c>
      <c r="BH915" s="14">
        <f>G915*AO915</f>
        <v>0</v>
      </c>
      <c r="BI915" s="14">
        <f>G915*AP915</f>
        <v>0</v>
      </c>
      <c r="BJ915" s="14">
        <f>G915*H915</f>
        <v>0</v>
      </c>
      <c r="BK915" s="14"/>
      <c r="BL915" s="14">
        <v>762</v>
      </c>
      <c r="BW915" s="14" t="str">
        <f>I915</f>
        <v>21</v>
      </c>
    </row>
    <row r="916" spans="1:75" ht="15" customHeight="1">
      <c r="A916" s="32"/>
      <c r="D916" s="3" t="s">
        <v>2569</v>
      </c>
      <c r="E916" s="28" t="s">
        <v>984</v>
      </c>
      <c r="G916" s="27">
        <v>138</v>
      </c>
      <c r="P916" s="33"/>
    </row>
    <row r="917" spans="1:75" ht="13.5" customHeight="1">
      <c r="A917" s="20" t="s">
        <v>2592</v>
      </c>
      <c r="B917" s="84" t="s">
        <v>557</v>
      </c>
      <c r="C917" s="84" t="s">
        <v>2612</v>
      </c>
      <c r="D917" s="653" t="s">
        <v>1990</v>
      </c>
      <c r="E917" s="654"/>
      <c r="F917" s="84" t="s">
        <v>1117</v>
      </c>
      <c r="G917" s="6">
        <v>1.83</v>
      </c>
      <c r="H917" s="570"/>
      <c r="I917" s="18" t="s">
        <v>1720</v>
      </c>
      <c r="J917" s="6">
        <f>G917*AO917</f>
        <v>0</v>
      </c>
      <c r="K917" s="6">
        <f>G917*AP917</f>
        <v>0</v>
      </c>
      <c r="L917" s="6">
        <f>G917*H917</f>
        <v>0</v>
      </c>
      <c r="M917" s="6">
        <f>L917*(1+BW917/100)</f>
        <v>0</v>
      </c>
      <c r="N917" s="6">
        <v>4.8599999999999997E-3</v>
      </c>
      <c r="O917" s="6">
        <f>G917*N917</f>
        <v>8.8938000000000003E-3</v>
      </c>
      <c r="P917" s="109" t="s">
        <v>1664</v>
      </c>
      <c r="Z917" s="14">
        <f>IF(AQ917="5",BJ917,0)</f>
        <v>0</v>
      </c>
      <c r="AB917" s="14">
        <f>IF(AQ917="1",BH917,0)</f>
        <v>0</v>
      </c>
      <c r="AC917" s="14">
        <f>IF(AQ917="1",BI917,0)</f>
        <v>0</v>
      </c>
      <c r="AD917" s="14">
        <f>IF(AQ917="7",BH917,0)</f>
        <v>0</v>
      </c>
      <c r="AE917" s="14">
        <f>IF(AQ917="7",BI917,0)</f>
        <v>0</v>
      </c>
      <c r="AF917" s="14">
        <f>IF(AQ917="2",BH917,0)</f>
        <v>0</v>
      </c>
      <c r="AG917" s="14">
        <f>IF(AQ917="2",BI917,0)</f>
        <v>0</v>
      </c>
      <c r="AH917" s="14">
        <f>IF(AQ917="0",BJ917,0)</f>
        <v>0</v>
      </c>
      <c r="AI917" s="15" t="s">
        <v>557</v>
      </c>
      <c r="AJ917" s="6">
        <f>IF(AN917=0,L917,0)</f>
        <v>0</v>
      </c>
      <c r="AK917" s="6">
        <f>IF(AN917=15,L917,0)</f>
        <v>0</v>
      </c>
      <c r="AL917" s="6">
        <f>IF(AN917=21,L917,0)</f>
        <v>0</v>
      </c>
      <c r="AN917" s="14">
        <v>21</v>
      </c>
      <c r="AO917" s="92">
        <f>H917*1</f>
        <v>0</v>
      </c>
      <c r="AP917" s="92">
        <f>H917*(1-1)</f>
        <v>0</v>
      </c>
      <c r="AQ917" s="18" t="s">
        <v>2435</v>
      </c>
      <c r="AV917" s="14">
        <f>AW917+AX917</f>
        <v>0</v>
      </c>
      <c r="AW917" s="14">
        <f>G917*AO917</f>
        <v>0</v>
      </c>
      <c r="AX917" s="14">
        <f>G917*AP917</f>
        <v>0</v>
      </c>
      <c r="AY917" s="55" t="s">
        <v>1526</v>
      </c>
      <c r="AZ917" s="55" t="s">
        <v>831</v>
      </c>
      <c r="BA917" s="15" t="s">
        <v>1982</v>
      </c>
      <c r="BC917" s="14">
        <f>AW917+AX917</f>
        <v>0</v>
      </c>
      <c r="BD917" s="14">
        <f>H917/(100-BE917)*100</f>
        <v>0</v>
      </c>
      <c r="BE917" s="14">
        <v>0</v>
      </c>
      <c r="BF917" s="14">
        <f>O917</f>
        <v>8.8938000000000003E-3</v>
      </c>
      <c r="BH917" s="6">
        <f>G917*AO917</f>
        <v>0</v>
      </c>
      <c r="BI917" s="6">
        <f>G917*AP917</f>
        <v>0</v>
      </c>
      <c r="BJ917" s="6">
        <f>G917*H917</f>
        <v>0</v>
      </c>
      <c r="BK917" s="6"/>
      <c r="BL917" s="14">
        <v>762</v>
      </c>
      <c r="BW917" s="14" t="str">
        <f>I917</f>
        <v>21</v>
      </c>
    </row>
    <row r="918" spans="1:75" ht="15" customHeight="1">
      <c r="A918" s="32"/>
      <c r="D918" s="3" t="s">
        <v>1694</v>
      </c>
      <c r="E918" s="28" t="s">
        <v>1683</v>
      </c>
      <c r="G918" s="27">
        <v>1.83</v>
      </c>
      <c r="P918" s="33"/>
    </row>
    <row r="919" spans="1:75" ht="27" customHeight="1">
      <c r="A919" s="20" t="s">
        <v>2549</v>
      </c>
      <c r="B919" s="84" t="s">
        <v>557</v>
      </c>
      <c r="C919" s="84" t="s">
        <v>330</v>
      </c>
      <c r="D919" s="653" t="s">
        <v>2426</v>
      </c>
      <c r="E919" s="654"/>
      <c r="F919" s="84" t="s">
        <v>2398</v>
      </c>
      <c r="G919" s="6">
        <v>317.39999999999998</v>
      </c>
      <c r="H919" s="570"/>
      <c r="I919" s="18" t="s">
        <v>1720</v>
      </c>
      <c r="J919" s="6">
        <f>G919*AO919</f>
        <v>0</v>
      </c>
      <c r="K919" s="6">
        <f>G919*AP919</f>
        <v>0</v>
      </c>
      <c r="L919" s="6">
        <f>G919*H919</f>
        <v>0</v>
      </c>
      <c r="M919" s="6">
        <f>L919*(1+BW919/100)</f>
        <v>0</v>
      </c>
      <c r="N919" s="6">
        <v>1.4999999999999999E-2</v>
      </c>
      <c r="O919" s="6">
        <f>G919*N919</f>
        <v>4.7609999999999992</v>
      </c>
      <c r="P919" s="109" t="s">
        <v>1664</v>
      </c>
      <c r="Z919" s="14">
        <f>IF(AQ919="5",BJ919,0)</f>
        <v>0</v>
      </c>
      <c r="AB919" s="14">
        <f>IF(AQ919="1",BH919,0)</f>
        <v>0</v>
      </c>
      <c r="AC919" s="14">
        <f>IF(AQ919="1",BI919,0)</f>
        <v>0</v>
      </c>
      <c r="AD919" s="14">
        <f>IF(AQ919="7",BH919,0)</f>
        <v>0</v>
      </c>
      <c r="AE919" s="14">
        <f>IF(AQ919="7",BI919,0)</f>
        <v>0</v>
      </c>
      <c r="AF919" s="14">
        <f>IF(AQ919="2",BH919,0)</f>
        <v>0</v>
      </c>
      <c r="AG919" s="14">
        <f>IF(AQ919="2",BI919,0)</f>
        <v>0</v>
      </c>
      <c r="AH919" s="14">
        <f>IF(AQ919="0",BJ919,0)</f>
        <v>0</v>
      </c>
      <c r="AI919" s="15" t="s">
        <v>557</v>
      </c>
      <c r="AJ919" s="6">
        <f>IF(AN919=0,L919,0)</f>
        <v>0</v>
      </c>
      <c r="AK919" s="6">
        <f>IF(AN919=15,L919,0)</f>
        <v>0</v>
      </c>
      <c r="AL919" s="6">
        <f>IF(AN919=21,L919,0)</f>
        <v>0</v>
      </c>
      <c r="AN919" s="14">
        <v>21</v>
      </c>
      <c r="AO919" s="92">
        <f>H919*1</f>
        <v>0</v>
      </c>
      <c r="AP919" s="92">
        <f>H919*(1-1)</f>
        <v>0</v>
      </c>
      <c r="AQ919" s="18" t="s">
        <v>2435</v>
      </c>
      <c r="AV919" s="14">
        <f>AW919+AX919</f>
        <v>0</v>
      </c>
      <c r="AW919" s="14">
        <f>G919*AO919</f>
        <v>0</v>
      </c>
      <c r="AX919" s="14">
        <f>G919*AP919</f>
        <v>0</v>
      </c>
      <c r="AY919" s="55" t="s">
        <v>1526</v>
      </c>
      <c r="AZ919" s="55" t="s">
        <v>831</v>
      </c>
      <c r="BA919" s="15" t="s">
        <v>1982</v>
      </c>
      <c r="BC919" s="14">
        <f>AW919+AX919</f>
        <v>0</v>
      </c>
      <c r="BD919" s="14">
        <f>H919/(100-BE919)*100</f>
        <v>0</v>
      </c>
      <c r="BE919" s="14">
        <v>0</v>
      </c>
      <c r="BF919" s="14">
        <f>O919</f>
        <v>4.7609999999999992</v>
      </c>
      <c r="BH919" s="6">
        <f>G919*AO919</f>
        <v>0</v>
      </c>
      <c r="BI919" s="6">
        <f>G919*AP919</f>
        <v>0</v>
      </c>
      <c r="BJ919" s="6">
        <f>G919*H919</f>
        <v>0</v>
      </c>
      <c r="BK919" s="6"/>
      <c r="BL919" s="14">
        <v>762</v>
      </c>
      <c r="BW919" s="14" t="str">
        <f>I919</f>
        <v>21</v>
      </c>
    </row>
    <row r="920" spans="1:75" ht="15" customHeight="1">
      <c r="A920" s="32"/>
      <c r="D920" s="3" t="s">
        <v>1735</v>
      </c>
      <c r="E920" s="28" t="s">
        <v>1683</v>
      </c>
      <c r="G920" s="27">
        <v>276</v>
      </c>
      <c r="P920" s="33"/>
    </row>
    <row r="921" spans="1:75" ht="15" customHeight="1">
      <c r="A921" s="32"/>
      <c r="D921" s="3" t="s">
        <v>709</v>
      </c>
      <c r="E921" s="28" t="s">
        <v>1683</v>
      </c>
      <c r="G921" s="27">
        <v>41.400000000000006</v>
      </c>
      <c r="P921" s="33"/>
    </row>
    <row r="922" spans="1:75" ht="40.5" customHeight="1">
      <c r="A922" s="20" t="s">
        <v>542</v>
      </c>
      <c r="B922" s="84" t="s">
        <v>557</v>
      </c>
      <c r="C922" s="84" t="s">
        <v>684</v>
      </c>
      <c r="D922" s="653" t="s">
        <v>251</v>
      </c>
      <c r="E922" s="654"/>
      <c r="F922" s="84" t="s">
        <v>2302</v>
      </c>
      <c r="G922" s="6">
        <v>3233.09</v>
      </c>
      <c r="H922" s="570"/>
      <c r="I922" s="18" t="s">
        <v>1720</v>
      </c>
      <c r="J922" s="6">
        <f>G922*AO922</f>
        <v>0</v>
      </c>
      <c r="K922" s="6">
        <f>G922*AP922</f>
        <v>0</v>
      </c>
      <c r="L922" s="6">
        <f>G922*H922</f>
        <v>0</v>
      </c>
      <c r="M922" s="6">
        <f>L922*(1+BW922/100)</f>
        <v>0</v>
      </c>
      <c r="N922" s="6">
        <v>1E-3</v>
      </c>
      <c r="O922" s="6">
        <f>G922*N922</f>
        <v>3.2330900000000002</v>
      </c>
      <c r="P922" s="109" t="s">
        <v>1664</v>
      </c>
      <c r="Z922" s="14">
        <f>IF(AQ922="5",BJ922,0)</f>
        <v>0</v>
      </c>
      <c r="AB922" s="14">
        <f>IF(AQ922="1",BH922,0)</f>
        <v>0</v>
      </c>
      <c r="AC922" s="14">
        <f>IF(AQ922="1",BI922,0)</f>
        <v>0</v>
      </c>
      <c r="AD922" s="14">
        <f>IF(AQ922="7",BH922,0)</f>
        <v>0</v>
      </c>
      <c r="AE922" s="14">
        <f>IF(AQ922="7",BI922,0)</f>
        <v>0</v>
      </c>
      <c r="AF922" s="14">
        <f>IF(AQ922="2",BH922,0)</f>
        <v>0</v>
      </c>
      <c r="AG922" s="14">
        <f>IF(AQ922="2",BI922,0)</f>
        <v>0</v>
      </c>
      <c r="AH922" s="14">
        <f>IF(AQ922="0",BJ922,0)</f>
        <v>0</v>
      </c>
      <c r="AI922" s="15" t="s">
        <v>557</v>
      </c>
      <c r="AJ922" s="6">
        <f>IF(AN922=0,L922,0)</f>
        <v>0</v>
      </c>
      <c r="AK922" s="6">
        <f>IF(AN922=15,L922,0)</f>
        <v>0</v>
      </c>
      <c r="AL922" s="6">
        <f>IF(AN922=21,L922,0)</f>
        <v>0</v>
      </c>
      <c r="AN922" s="14">
        <v>21</v>
      </c>
      <c r="AO922" s="92">
        <f>H922*1</f>
        <v>0</v>
      </c>
      <c r="AP922" s="92">
        <f>H922*(1-1)</f>
        <v>0</v>
      </c>
      <c r="AQ922" s="18" t="s">
        <v>2435</v>
      </c>
      <c r="AV922" s="14">
        <f>AW922+AX922</f>
        <v>0</v>
      </c>
      <c r="AW922" s="14">
        <f>G922*AO922</f>
        <v>0</v>
      </c>
      <c r="AX922" s="14">
        <f>G922*AP922</f>
        <v>0</v>
      </c>
      <c r="AY922" s="55" t="s">
        <v>1526</v>
      </c>
      <c r="AZ922" s="55" t="s">
        <v>831</v>
      </c>
      <c r="BA922" s="15" t="s">
        <v>1982</v>
      </c>
      <c r="BC922" s="14">
        <f>AW922+AX922</f>
        <v>0</v>
      </c>
      <c r="BD922" s="14">
        <f>H922/(100-BE922)*100</f>
        <v>0</v>
      </c>
      <c r="BE922" s="14">
        <v>0</v>
      </c>
      <c r="BF922" s="14">
        <f>O922</f>
        <v>3.2330900000000002</v>
      </c>
      <c r="BH922" s="6">
        <f>G922*AO922</f>
        <v>0</v>
      </c>
      <c r="BI922" s="6">
        <f>G922*AP922</f>
        <v>0</v>
      </c>
      <c r="BJ922" s="6">
        <f>G922*H922</f>
        <v>0</v>
      </c>
      <c r="BK922" s="6"/>
      <c r="BL922" s="14">
        <v>762</v>
      </c>
      <c r="BW922" s="14" t="str">
        <f>I922</f>
        <v>21</v>
      </c>
    </row>
    <row r="923" spans="1:75" ht="15" customHeight="1">
      <c r="A923" s="32"/>
      <c r="D923" s="3" t="s">
        <v>1267</v>
      </c>
      <c r="E923" s="28" t="s">
        <v>1570</v>
      </c>
      <c r="G923" s="27">
        <v>3079.13</v>
      </c>
      <c r="P923" s="33"/>
    </row>
    <row r="924" spans="1:75" ht="15" customHeight="1">
      <c r="A924" s="32"/>
      <c r="D924" s="3" t="s">
        <v>1583</v>
      </c>
      <c r="E924" s="28" t="s">
        <v>1683</v>
      </c>
      <c r="G924" s="27">
        <v>153.96</v>
      </c>
      <c r="P924" s="33"/>
    </row>
    <row r="925" spans="1:75" ht="13.5" customHeight="1">
      <c r="A925" s="20" t="s">
        <v>2454</v>
      </c>
      <c r="B925" s="84" t="s">
        <v>557</v>
      </c>
      <c r="C925" s="84" t="s">
        <v>483</v>
      </c>
      <c r="D925" s="653" t="s">
        <v>2568</v>
      </c>
      <c r="E925" s="654"/>
      <c r="F925" s="84" t="s">
        <v>2398</v>
      </c>
      <c r="G925" s="6">
        <v>165.6</v>
      </c>
      <c r="H925" s="570"/>
      <c r="I925" s="18" t="s">
        <v>1720</v>
      </c>
      <c r="J925" s="6">
        <f>G925*AO925</f>
        <v>0</v>
      </c>
      <c r="K925" s="6">
        <f>G925*AP925</f>
        <v>0</v>
      </c>
      <c r="L925" s="6">
        <f>G925*H925</f>
        <v>0</v>
      </c>
      <c r="M925" s="6">
        <f>L925*(1+BW925/100)</f>
        <v>0</v>
      </c>
      <c r="N925" s="6">
        <v>1E-4</v>
      </c>
      <c r="O925" s="6">
        <f>G925*N925</f>
        <v>1.6560000000000002E-2</v>
      </c>
      <c r="P925" s="109" t="s">
        <v>1664</v>
      </c>
      <c r="Z925" s="14">
        <f>IF(AQ925="5",BJ925,0)</f>
        <v>0</v>
      </c>
      <c r="AB925" s="14">
        <f>IF(AQ925="1",BH925,0)</f>
        <v>0</v>
      </c>
      <c r="AC925" s="14">
        <f>IF(AQ925="1",BI925,0)</f>
        <v>0</v>
      </c>
      <c r="AD925" s="14">
        <f>IF(AQ925="7",BH925,0)</f>
        <v>0</v>
      </c>
      <c r="AE925" s="14">
        <f>IF(AQ925="7",BI925,0)</f>
        <v>0</v>
      </c>
      <c r="AF925" s="14">
        <f>IF(AQ925="2",BH925,0)</f>
        <v>0</v>
      </c>
      <c r="AG925" s="14">
        <f>IF(AQ925="2",BI925,0)</f>
        <v>0</v>
      </c>
      <c r="AH925" s="14">
        <f>IF(AQ925="0",BJ925,0)</f>
        <v>0</v>
      </c>
      <c r="AI925" s="15" t="s">
        <v>557</v>
      </c>
      <c r="AJ925" s="6">
        <f>IF(AN925=0,L925,0)</f>
        <v>0</v>
      </c>
      <c r="AK925" s="6">
        <f>IF(AN925=15,L925,0)</f>
        <v>0</v>
      </c>
      <c r="AL925" s="6">
        <f>IF(AN925=21,L925,0)</f>
        <v>0</v>
      </c>
      <c r="AN925" s="14">
        <v>21</v>
      </c>
      <c r="AO925" s="92">
        <f>H925*1</f>
        <v>0</v>
      </c>
      <c r="AP925" s="92">
        <f>H925*(1-1)</f>
        <v>0</v>
      </c>
      <c r="AQ925" s="18" t="s">
        <v>2435</v>
      </c>
      <c r="AV925" s="14">
        <f>AW925+AX925</f>
        <v>0</v>
      </c>
      <c r="AW925" s="14">
        <f>G925*AO925</f>
        <v>0</v>
      </c>
      <c r="AX925" s="14">
        <f>G925*AP925</f>
        <v>0</v>
      </c>
      <c r="AY925" s="55" t="s">
        <v>1526</v>
      </c>
      <c r="AZ925" s="55" t="s">
        <v>831</v>
      </c>
      <c r="BA925" s="15" t="s">
        <v>1982</v>
      </c>
      <c r="BC925" s="14">
        <f>AW925+AX925</f>
        <v>0</v>
      </c>
      <c r="BD925" s="14">
        <f>H925/(100-BE925)*100</f>
        <v>0</v>
      </c>
      <c r="BE925" s="14">
        <v>0</v>
      </c>
      <c r="BF925" s="14">
        <f>O925</f>
        <v>1.6560000000000002E-2</v>
      </c>
      <c r="BH925" s="6">
        <f>G925*AO925</f>
        <v>0</v>
      </c>
      <c r="BI925" s="6">
        <f>G925*AP925</f>
        <v>0</v>
      </c>
      <c r="BJ925" s="6">
        <f>G925*H925</f>
        <v>0</v>
      </c>
      <c r="BK925" s="6"/>
      <c r="BL925" s="14">
        <v>762</v>
      </c>
      <c r="BW925" s="14" t="str">
        <f>I925</f>
        <v>21</v>
      </c>
    </row>
    <row r="926" spans="1:75" ht="15" customHeight="1">
      <c r="A926" s="32"/>
      <c r="D926" s="3" t="s">
        <v>366</v>
      </c>
      <c r="E926" s="28" t="s">
        <v>1683</v>
      </c>
      <c r="G926" s="27">
        <v>138</v>
      </c>
      <c r="P926" s="33"/>
    </row>
    <row r="927" spans="1:75" ht="15" customHeight="1">
      <c r="A927" s="32"/>
      <c r="D927" s="3" t="s">
        <v>1852</v>
      </c>
      <c r="E927" s="28" t="s">
        <v>1683</v>
      </c>
      <c r="G927" s="27">
        <v>27.6</v>
      </c>
      <c r="P927" s="33"/>
    </row>
    <row r="928" spans="1:75" ht="13.5" customHeight="1">
      <c r="A928" s="21" t="s">
        <v>1750</v>
      </c>
      <c r="B928" s="37" t="s">
        <v>557</v>
      </c>
      <c r="C928" s="37" t="s">
        <v>1180</v>
      </c>
      <c r="D928" s="578" t="s">
        <v>2337</v>
      </c>
      <c r="E928" s="579"/>
      <c r="F928" s="37" t="s">
        <v>2398</v>
      </c>
      <c r="G928" s="14">
        <v>91.05</v>
      </c>
      <c r="H928" s="569"/>
      <c r="I928" s="55" t="s">
        <v>1720</v>
      </c>
      <c r="J928" s="14">
        <f>G928*AO928</f>
        <v>0</v>
      </c>
      <c r="K928" s="14">
        <f>G928*AP928</f>
        <v>0</v>
      </c>
      <c r="L928" s="14">
        <f>G928*H928</f>
        <v>0</v>
      </c>
      <c r="M928" s="14">
        <f>L928*(1+BW928/100)</f>
        <v>0</v>
      </c>
      <c r="N928" s="14">
        <v>0</v>
      </c>
      <c r="O928" s="14">
        <f>G928*N928</f>
        <v>0</v>
      </c>
      <c r="P928" s="72" t="s">
        <v>1664</v>
      </c>
      <c r="Z928" s="14">
        <f>IF(AQ928="5",BJ928,0)</f>
        <v>0</v>
      </c>
      <c r="AB928" s="14">
        <f>IF(AQ928="1",BH928,0)</f>
        <v>0</v>
      </c>
      <c r="AC928" s="14">
        <f>IF(AQ928="1",BI928,0)</f>
        <v>0</v>
      </c>
      <c r="AD928" s="14">
        <f>IF(AQ928="7",BH928,0)</f>
        <v>0</v>
      </c>
      <c r="AE928" s="14">
        <f>IF(AQ928="7",BI928,0)</f>
        <v>0</v>
      </c>
      <c r="AF928" s="14">
        <f>IF(AQ928="2",BH928,0)</f>
        <v>0</v>
      </c>
      <c r="AG928" s="14">
        <f>IF(AQ928="2",BI928,0)</f>
        <v>0</v>
      </c>
      <c r="AH928" s="14">
        <f>IF(AQ928="0",BJ928,0)</f>
        <v>0</v>
      </c>
      <c r="AI928" s="15" t="s">
        <v>557</v>
      </c>
      <c r="AJ928" s="14">
        <f>IF(AN928=0,L928,0)</f>
        <v>0</v>
      </c>
      <c r="AK928" s="14">
        <f>IF(AN928=15,L928,0)</f>
        <v>0</v>
      </c>
      <c r="AL928" s="14">
        <f>IF(AN928=21,L928,0)</f>
        <v>0</v>
      </c>
      <c r="AN928" s="14">
        <v>21</v>
      </c>
      <c r="AO928" s="92">
        <f>H928*0</f>
        <v>0</v>
      </c>
      <c r="AP928" s="92">
        <f>H928*(1-0)</f>
        <v>0</v>
      </c>
      <c r="AQ928" s="55" t="s">
        <v>2435</v>
      </c>
      <c r="AV928" s="14">
        <f>AW928+AX928</f>
        <v>0</v>
      </c>
      <c r="AW928" s="14">
        <f>G928*AO928</f>
        <v>0</v>
      </c>
      <c r="AX928" s="14">
        <f>G928*AP928</f>
        <v>0</v>
      </c>
      <c r="AY928" s="55" t="s">
        <v>1526</v>
      </c>
      <c r="AZ928" s="55" t="s">
        <v>831</v>
      </c>
      <c r="BA928" s="15" t="s">
        <v>1982</v>
      </c>
      <c r="BC928" s="14">
        <f>AW928+AX928</f>
        <v>0</v>
      </c>
      <c r="BD928" s="14">
        <f>H928/(100-BE928)*100</f>
        <v>0</v>
      </c>
      <c r="BE928" s="14">
        <v>0</v>
      </c>
      <c r="BF928" s="14">
        <f>O928</f>
        <v>0</v>
      </c>
      <c r="BH928" s="14">
        <f>G928*AO928</f>
        <v>0</v>
      </c>
      <c r="BI928" s="14">
        <f>G928*AP928</f>
        <v>0</v>
      </c>
      <c r="BJ928" s="14">
        <f>G928*H928</f>
        <v>0</v>
      </c>
      <c r="BK928" s="14"/>
      <c r="BL928" s="14">
        <v>762</v>
      </c>
      <c r="BW928" s="14" t="str">
        <f>I928</f>
        <v>21</v>
      </c>
    </row>
    <row r="929" spans="1:75" ht="15" customHeight="1">
      <c r="A929" s="32"/>
      <c r="D929" s="3" t="s">
        <v>613</v>
      </c>
      <c r="E929" s="28" t="s">
        <v>1151</v>
      </c>
      <c r="G929" s="27">
        <v>85.050000000000011</v>
      </c>
      <c r="P929" s="33"/>
    </row>
    <row r="930" spans="1:75" ht="15" customHeight="1">
      <c r="A930" s="32"/>
      <c r="D930" s="3" t="s">
        <v>2024</v>
      </c>
      <c r="E930" s="28" t="s">
        <v>1653</v>
      </c>
      <c r="G930" s="27">
        <v>6.0000000000000009</v>
      </c>
      <c r="P930" s="33"/>
    </row>
    <row r="931" spans="1:75" ht="13.5" customHeight="1">
      <c r="A931" s="20" t="s">
        <v>288</v>
      </c>
      <c r="B931" s="84" t="s">
        <v>557</v>
      </c>
      <c r="C931" s="84" t="s">
        <v>1686</v>
      </c>
      <c r="D931" s="653" t="s">
        <v>1230</v>
      </c>
      <c r="E931" s="654"/>
      <c r="F931" s="84" t="s">
        <v>2398</v>
      </c>
      <c r="G931" s="6">
        <v>110.4</v>
      </c>
      <c r="H931" s="570"/>
      <c r="I931" s="18" t="s">
        <v>1720</v>
      </c>
      <c r="J931" s="6">
        <f>G931*AO931</f>
        <v>0</v>
      </c>
      <c r="K931" s="6">
        <f>G931*AP931</f>
        <v>0</v>
      </c>
      <c r="L931" s="6">
        <f>G931*H931</f>
        <v>0</v>
      </c>
      <c r="M931" s="6">
        <f>L931*(1+BW931/100)</f>
        <v>0</v>
      </c>
      <c r="N931" s="6">
        <v>1.2999999999999999E-2</v>
      </c>
      <c r="O931" s="6">
        <f>G931*N931</f>
        <v>1.4352</v>
      </c>
      <c r="P931" s="109" t="s">
        <v>1664</v>
      </c>
      <c r="Z931" s="14">
        <f>IF(AQ931="5",BJ931,0)</f>
        <v>0</v>
      </c>
      <c r="AB931" s="14">
        <f>IF(AQ931="1",BH931,0)</f>
        <v>0</v>
      </c>
      <c r="AC931" s="14">
        <f>IF(AQ931="1",BI931,0)</f>
        <v>0</v>
      </c>
      <c r="AD931" s="14">
        <f>IF(AQ931="7",BH931,0)</f>
        <v>0</v>
      </c>
      <c r="AE931" s="14">
        <f>IF(AQ931="7",BI931,0)</f>
        <v>0</v>
      </c>
      <c r="AF931" s="14">
        <f>IF(AQ931="2",BH931,0)</f>
        <v>0</v>
      </c>
      <c r="AG931" s="14">
        <f>IF(AQ931="2",BI931,0)</f>
        <v>0</v>
      </c>
      <c r="AH931" s="14">
        <f>IF(AQ931="0",BJ931,0)</f>
        <v>0</v>
      </c>
      <c r="AI931" s="15" t="s">
        <v>557</v>
      </c>
      <c r="AJ931" s="6">
        <f>IF(AN931=0,L931,0)</f>
        <v>0</v>
      </c>
      <c r="AK931" s="6">
        <f>IF(AN931=15,L931,0)</f>
        <v>0</v>
      </c>
      <c r="AL931" s="6">
        <f>IF(AN931=21,L931,0)</f>
        <v>0</v>
      </c>
      <c r="AN931" s="14">
        <v>21</v>
      </c>
      <c r="AO931" s="92">
        <f>H931*1</f>
        <v>0</v>
      </c>
      <c r="AP931" s="92">
        <f>H931*(1-1)</f>
        <v>0</v>
      </c>
      <c r="AQ931" s="18" t="s">
        <v>2435</v>
      </c>
      <c r="AV931" s="14">
        <f>AW931+AX931</f>
        <v>0</v>
      </c>
      <c r="AW931" s="14">
        <f>G931*AO931</f>
        <v>0</v>
      </c>
      <c r="AX931" s="14">
        <f>G931*AP931</f>
        <v>0</v>
      </c>
      <c r="AY931" s="55" t="s">
        <v>1526</v>
      </c>
      <c r="AZ931" s="55" t="s">
        <v>831</v>
      </c>
      <c r="BA931" s="15" t="s">
        <v>1982</v>
      </c>
      <c r="BC931" s="14">
        <f>AW931+AX931</f>
        <v>0</v>
      </c>
      <c r="BD931" s="14">
        <f>H931/(100-BE931)*100</f>
        <v>0</v>
      </c>
      <c r="BE931" s="14">
        <v>0</v>
      </c>
      <c r="BF931" s="14">
        <f>O931</f>
        <v>1.4352</v>
      </c>
      <c r="BH931" s="6">
        <f>G931*AO931</f>
        <v>0</v>
      </c>
      <c r="BI931" s="6">
        <f>G931*AP931</f>
        <v>0</v>
      </c>
      <c r="BJ931" s="6">
        <f>G931*H931</f>
        <v>0</v>
      </c>
      <c r="BK931" s="6"/>
      <c r="BL931" s="14">
        <v>762</v>
      </c>
      <c r="BW931" s="14" t="str">
        <f>I931</f>
        <v>21</v>
      </c>
    </row>
    <row r="932" spans="1:75" ht="15" customHeight="1">
      <c r="A932" s="32"/>
      <c r="D932" s="3" t="s">
        <v>2</v>
      </c>
      <c r="E932" s="28" t="s">
        <v>1683</v>
      </c>
      <c r="G932" s="27">
        <v>92.000000000000014</v>
      </c>
      <c r="P932" s="33"/>
    </row>
    <row r="933" spans="1:75" ht="15" customHeight="1">
      <c r="A933" s="32"/>
      <c r="D933" s="3" t="s">
        <v>481</v>
      </c>
      <c r="E933" s="28" t="s">
        <v>1683</v>
      </c>
      <c r="G933" s="27">
        <v>18.400000000000002</v>
      </c>
      <c r="P933" s="33"/>
    </row>
    <row r="934" spans="1:75" ht="13.5" customHeight="1">
      <c r="A934" s="20" t="s">
        <v>1401</v>
      </c>
      <c r="B934" s="84" t="s">
        <v>557</v>
      </c>
      <c r="C934" s="84" t="s">
        <v>241</v>
      </c>
      <c r="D934" s="653" t="s">
        <v>903</v>
      </c>
      <c r="E934" s="654"/>
      <c r="F934" s="84" t="s">
        <v>2359</v>
      </c>
      <c r="G934" s="6">
        <v>2.78</v>
      </c>
      <c r="H934" s="570"/>
      <c r="I934" s="18" t="s">
        <v>1720</v>
      </c>
      <c r="J934" s="6">
        <f>G934*AO934</f>
        <v>0</v>
      </c>
      <c r="K934" s="6">
        <f>G934*AP934</f>
        <v>0</v>
      </c>
      <c r="L934" s="6">
        <f>G934*H934</f>
        <v>0</v>
      </c>
      <c r="M934" s="6">
        <f>L934*(1+BW934/100)</f>
        <v>0</v>
      </c>
      <c r="N934" s="6">
        <v>0.5</v>
      </c>
      <c r="O934" s="6">
        <f>G934*N934</f>
        <v>1.39</v>
      </c>
      <c r="P934" s="109" t="s">
        <v>1664</v>
      </c>
      <c r="Z934" s="14">
        <f>IF(AQ934="5",BJ934,0)</f>
        <v>0</v>
      </c>
      <c r="AB934" s="14">
        <f>IF(AQ934="1",BH934,0)</f>
        <v>0</v>
      </c>
      <c r="AC934" s="14">
        <f>IF(AQ934="1",BI934,0)</f>
        <v>0</v>
      </c>
      <c r="AD934" s="14">
        <f>IF(AQ934="7",BH934,0)</f>
        <v>0</v>
      </c>
      <c r="AE934" s="14">
        <f>IF(AQ934="7",BI934,0)</f>
        <v>0</v>
      </c>
      <c r="AF934" s="14">
        <f>IF(AQ934="2",BH934,0)</f>
        <v>0</v>
      </c>
      <c r="AG934" s="14">
        <f>IF(AQ934="2",BI934,0)</f>
        <v>0</v>
      </c>
      <c r="AH934" s="14">
        <f>IF(AQ934="0",BJ934,0)</f>
        <v>0</v>
      </c>
      <c r="AI934" s="15" t="s">
        <v>557</v>
      </c>
      <c r="AJ934" s="6">
        <f>IF(AN934=0,L934,0)</f>
        <v>0</v>
      </c>
      <c r="AK934" s="6">
        <f>IF(AN934=15,L934,0)</f>
        <v>0</v>
      </c>
      <c r="AL934" s="6">
        <f>IF(AN934=21,L934,0)</f>
        <v>0</v>
      </c>
      <c r="AN934" s="14">
        <v>21</v>
      </c>
      <c r="AO934" s="92">
        <f>H934*1</f>
        <v>0</v>
      </c>
      <c r="AP934" s="92">
        <f>H934*(1-1)</f>
        <v>0</v>
      </c>
      <c r="AQ934" s="18" t="s">
        <v>2435</v>
      </c>
      <c r="AV934" s="14">
        <f>AW934+AX934</f>
        <v>0</v>
      </c>
      <c r="AW934" s="14">
        <f>G934*AO934</f>
        <v>0</v>
      </c>
      <c r="AX934" s="14">
        <f>G934*AP934</f>
        <v>0</v>
      </c>
      <c r="AY934" s="55" t="s">
        <v>1526</v>
      </c>
      <c r="AZ934" s="55" t="s">
        <v>831</v>
      </c>
      <c r="BA934" s="15" t="s">
        <v>1982</v>
      </c>
      <c r="BC934" s="14">
        <f>AW934+AX934</f>
        <v>0</v>
      </c>
      <c r="BD934" s="14">
        <f>H934/(100-BE934)*100</f>
        <v>0</v>
      </c>
      <c r="BE934" s="14">
        <v>0</v>
      </c>
      <c r="BF934" s="14">
        <f>O934</f>
        <v>1.39</v>
      </c>
      <c r="BH934" s="6">
        <f>G934*AO934</f>
        <v>0</v>
      </c>
      <c r="BI934" s="6">
        <f>G934*AP934</f>
        <v>0</v>
      </c>
      <c r="BJ934" s="6">
        <f>G934*H934</f>
        <v>0</v>
      </c>
      <c r="BK934" s="6"/>
      <c r="BL934" s="14">
        <v>762</v>
      </c>
      <c r="BW934" s="14" t="str">
        <f>I934</f>
        <v>21</v>
      </c>
    </row>
    <row r="935" spans="1:75" ht="15" customHeight="1">
      <c r="A935" s="32"/>
      <c r="D935" s="3" t="s">
        <v>2034</v>
      </c>
      <c r="E935" s="28" t="s">
        <v>1683</v>
      </c>
      <c r="G935" s="27">
        <v>2.3200000000000003</v>
      </c>
      <c r="P935" s="33"/>
    </row>
    <row r="936" spans="1:75" ht="15" customHeight="1">
      <c r="A936" s="32"/>
      <c r="D936" s="3" t="s">
        <v>923</v>
      </c>
      <c r="E936" s="28" t="s">
        <v>1683</v>
      </c>
      <c r="G936" s="27">
        <v>0.46</v>
      </c>
      <c r="P936" s="33"/>
    </row>
    <row r="937" spans="1:75" ht="13.5" customHeight="1">
      <c r="A937" s="20" t="s">
        <v>2617</v>
      </c>
      <c r="B937" s="84" t="s">
        <v>557</v>
      </c>
      <c r="C937" s="84" t="s">
        <v>693</v>
      </c>
      <c r="D937" s="653" t="s">
        <v>2259</v>
      </c>
      <c r="E937" s="654"/>
      <c r="F937" s="84" t="s">
        <v>1117</v>
      </c>
      <c r="G937" s="6">
        <v>2</v>
      </c>
      <c r="H937" s="570"/>
      <c r="I937" s="18" t="s">
        <v>1720</v>
      </c>
      <c r="J937" s="6">
        <f>G937*AO937</f>
        <v>0</v>
      </c>
      <c r="K937" s="6">
        <f>G937*AP937</f>
        <v>0</v>
      </c>
      <c r="L937" s="6">
        <f>G937*H937</f>
        <v>0</v>
      </c>
      <c r="M937" s="6">
        <f>L937*(1+BW937/100)</f>
        <v>0</v>
      </c>
      <c r="N937" s="6">
        <v>1.23E-2</v>
      </c>
      <c r="O937" s="6">
        <f>G937*N937</f>
        <v>2.46E-2</v>
      </c>
      <c r="P937" s="109" t="s">
        <v>1664</v>
      </c>
      <c r="Z937" s="14">
        <f>IF(AQ937="5",BJ937,0)</f>
        <v>0</v>
      </c>
      <c r="AB937" s="14">
        <f>IF(AQ937="1",BH937,0)</f>
        <v>0</v>
      </c>
      <c r="AC937" s="14">
        <f>IF(AQ937="1",BI937,0)</f>
        <v>0</v>
      </c>
      <c r="AD937" s="14">
        <f>IF(AQ937="7",BH937,0)</f>
        <v>0</v>
      </c>
      <c r="AE937" s="14">
        <f>IF(AQ937="7",BI937,0)</f>
        <v>0</v>
      </c>
      <c r="AF937" s="14">
        <f>IF(AQ937="2",BH937,0)</f>
        <v>0</v>
      </c>
      <c r="AG937" s="14">
        <f>IF(AQ937="2",BI937,0)</f>
        <v>0</v>
      </c>
      <c r="AH937" s="14">
        <f>IF(AQ937="0",BJ937,0)</f>
        <v>0</v>
      </c>
      <c r="AI937" s="15" t="s">
        <v>557</v>
      </c>
      <c r="AJ937" s="6">
        <f>IF(AN937=0,L937,0)</f>
        <v>0</v>
      </c>
      <c r="AK937" s="6">
        <f>IF(AN937=15,L937,0)</f>
        <v>0</v>
      </c>
      <c r="AL937" s="6">
        <f>IF(AN937=21,L937,0)</f>
        <v>0</v>
      </c>
      <c r="AN937" s="14">
        <v>21</v>
      </c>
      <c r="AO937" s="92">
        <f>H937*1</f>
        <v>0</v>
      </c>
      <c r="AP937" s="92">
        <f>H937*(1-1)</f>
        <v>0</v>
      </c>
      <c r="AQ937" s="18" t="s">
        <v>2435</v>
      </c>
      <c r="AV937" s="14">
        <f>AW937+AX937</f>
        <v>0</v>
      </c>
      <c r="AW937" s="14">
        <f>G937*AO937</f>
        <v>0</v>
      </c>
      <c r="AX937" s="14">
        <f>G937*AP937</f>
        <v>0</v>
      </c>
      <c r="AY937" s="55" t="s">
        <v>1526</v>
      </c>
      <c r="AZ937" s="55" t="s">
        <v>831</v>
      </c>
      <c r="BA937" s="15" t="s">
        <v>1982</v>
      </c>
      <c r="BC937" s="14">
        <f>AW937+AX937</f>
        <v>0</v>
      </c>
      <c r="BD937" s="14">
        <f>H937/(100-BE937)*100</f>
        <v>0</v>
      </c>
      <c r="BE937" s="14">
        <v>0</v>
      </c>
      <c r="BF937" s="14">
        <f>O937</f>
        <v>2.46E-2</v>
      </c>
      <c r="BH937" s="6">
        <f>G937*AO937</f>
        <v>0</v>
      </c>
      <c r="BI937" s="6">
        <f>G937*AP937</f>
        <v>0</v>
      </c>
      <c r="BJ937" s="6">
        <f>G937*H937</f>
        <v>0</v>
      </c>
      <c r="BK937" s="6"/>
      <c r="BL937" s="14">
        <v>762</v>
      </c>
      <c r="BW937" s="14" t="str">
        <f>I937</f>
        <v>21</v>
      </c>
    </row>
    <row r="938" spans="1:75" ht="15" customHeight="1">
      <c r="A938" s="32"/>
      <c r="D938" s="3" t="s">
        <v>1676</v>
      </c>
      <c r="E938" s="28" t="s">
        <v>1683</v>
      </c>
      <c r="G938" s="27">
        <v>2</v>
      </c>
      <c r="P938" s="33"/>
    </row>
    <row r="939" spans="1:75" ht="13.5" customHeight="1">
      <c r="A939" s="20" t="s">
        <v>1132</v>
      </c>
      <c r="B939" s="84" t="s">
        <v>557</v>
      </c>
      <c r="C939" s="84" t="s">
        <v>1264</v>
      </c>
      <c r="D939" s="653" t="s">
        <v>794</v>
      </c>
      <c r="E939" s="654"/>
      <c r="F939" s="84" t="s">
        <v>595</v>
      </c>
      <c r="G939" s="6">
        <v>550</v>
      </c>
      <c r="H939" s="570"/>
      <c r="I939" s="18" t="s">
        <v>1720</v>
      </c>
      <c r="J939" s="6">
        <f>G939*AO939</f>
        <v>0</v>
      </c>
      <c r="K939" s="6">
        <f>G939*AP939</f>
        <v>0</v>
      </c>
      <c r="L939" s="6">
        <f>G939*H939</f>
        <v>0</v>
      </c>
      <c r="M939" s="6">
        <f>L939*(1+BW939/100)</f>
        <v>0</v>
      </c>
      <c r="N939" s="6">
        <v>0</v>
      </c>
      <c r="O939" s="6">
        <f>G939*N939</f>
        <v>0</v>
      </c>
      <c r="P939" s="109" t="s">
        <v>1664</v>
      </c>
      <c r="Z939" s="14">
        <f>IF(AQ939="5",BJ939,0)</f>
        <v>0</v>
      </c>
      <c r="AB939" s="14">
        <f>IF(AQ939="1",BH939,0)</f>
        <v>0</v>
      </c>
      <c r="AC939" s="14">
        <f>IF(AQ939="1",BI939,0)</f>
        <v>0</v>
      </c>
      <c r="AD939" s="14">
        <f>IF(AQ939="7",BH939,0)</f>
        <v>0</v>
      </c>
      <c r="AE939" s="14">
        <f>IF(AQ939="7",BI939,0)</f>
        <v>0</v>
      </c>
      <c r="AF939" s="14">
        <f>IF(AQ939="2",BH939,0)</f>
        <v>0</v>
      </c>
      <c r="AG939" s="14">
        <f>IF(AQ939="2",BI939,0)</f>
        <v>0</v>
      </c>
      <c r="AH939" s="14">
        <f>IF(AQ939="0",BJ939,0)</f>
        <v>0</v>
      </c>
      <c r="AI939" s="15" t="s">
        <v>557</v>
      </c>
      <c r="AJ939" s="6">
        <f>IF(AN939=0,L939,0)</f>
        <v>0</v>
      </c>
      <c r="AK939" s="6">
        <f>IF(AN939=15,L939,0)</f>
        <v>0</v>
      </c>
      <c r="AL939" s="6">
        <f>IF(AN939=21,L939,0)</f>
        <v>0</v>
      </c>
      <c r="AN939" s="14">
        <v>21</v>
      </c>
      <c r="AO939" s="92">
        <f>H939*1</f>
        <v>0</v>
      </c>
      <c r="AP939" s="92">
        <f>H939*(1-1)</f>
        <v>0</v>
      </c>
      <c r="AQ939" s="18" t="s">
        <v>2435</v>
      </c>
      <c r="AV939" s="14">
        <f>AW939+AX939</f>
        <v>0</v>
      </c>
      <c r="AW939" s="14">
        <f>G939*AO939</f>
        <v>0</v>
      </c>
      <c r="AX939" s="14">
        <f>G939*AP939</f>
        <v>0</v>
      </c>
      <c r="AY939" s="55" t="s">
        <v>1526</v>
      </c>
      <c r="AZ939" s="55" t="s">
        <v>831</v>
      </c>
      <c r="BA939" s="15" t="s">
        <v>1982</v>
      </c>
      <c r="BC939" s="14">
        <f>AW939+AX939</f>
        <v>0</v>
      </c>
      <c r="BD939" s="14">
        <f>H939/(100-BE939)*100</f>
        <v>0</v>
      </c>
      <c r="BE939" s="14">
        <v>0</v>
      </c>
      <c r="BF939" s="14">
        <f>O939</f>
        <v>0</v>
      </c>
      <c r="BH939" s="6">
        <f>G939*AO939</f>
        <v>0</v>
      </c>
      <c r="BI939" s="6">
        <f>G939*AP939</f>
        <v>0</v>
      </c>
      <c r="BJ939" s="6">
        <f>G939*H939</f>
        <v>0</v>
      </c>
      <c r="BK939" s="6"/>
      <c r="BL939" s="14">
        <v>762</v>
      </c>
      <c r="BW939" s="14" t="str">
        <f>I939</f>
        <v>21</v>
      </c>
    </row>
    <row r="940" spans="1:75" ht="15" customHeight="1">
      <c r="A940" s="32"/>
      <c r="D940" s="3" t="s">
        <v>1972</v>
      </c>
      <c r="E940" s="28" t="s">
        <v>942</v>
      </c>
      <c r="G940" s="27">
        <v>550</v>
      </c>
      <c r="P940" s="33"/>
    </row>
    <row r="941" spans="1:75" ht="15" customHeight="1">
      <c r="A941" s="65" t="s">
        <v>1683</v>
      </c>
      <c r="B941" s="26" t="s">
        <v>557</v>
      </c>
      <c r="C941" s="26" t="s">
        <v>616</v>
      </c>
      <c r="D941" s="649" t="s">
        <v>1561</v>
      </c>
      <c r="E941" s="650"/>
      <c r="F941" s="74" t="s">
        <v>2262</v>
      </c>
      <c r="G941" s="74" t="s">
        <v>2262</v>
      </c>
      <c r="H941" s="74" t="s">
        <v>2262</v>
      </c>
      <c r="I941" s="74" t="s">
        <v>2262</v>
      </c>
      <c r="J941" s="2">
        <f>SUM(J942:J958)</f>
        <v>0</v>
      </c>
      <c r="K941" s="2">
        <f>SUM(K942:K958)</f>
        <v>0</v>
      </c>
      <c r="L941" s="2">
        <f>SUM(L942:L958)</f>
        <v>0</v>
      </c>
      <c r="M941" s="2">
        <f>SUM(M942:M958)</f>
        <v>0</v>
      </c>
      <c r="N941" s="15" t="s">
        <v>1683</v>
      </c>
      <c r="O941" s="2">
        <f>SUM(O942:O958)</f>
        <v>2.4427200000000004</v>
      </c>
      <c r="P941" s="47" t="s">
        <v>1683</v>
      </c>
      <c r="AI941" s="15" t="s">
        <v>557</v>
      </c>
      <c r="AS941" s="2">
        <f>SUM(AJ942:AJ958)</f>
        <v>0</v>
      </c>
      <c r="AT941" s="2">
        <f>SUM(AK942:AK958)</f>
        <v>0</v>
      </c>
      <c r="AU941" s="2">
        <f>SUM(AL942:AL958)</f>
        <v>0</v>
      </c>
    </row>
    <row r="942" spans="1:75" ht="13.5" customHeight="1">
      <c r="A942" s="21" t="s">
        <v>887</v>
      </c>
      <c r="B942" s="37" t="s">
        <v>557</v>
      </c>
      <c r="C942" s="37" t="s">
        <v>1426</v>
      </c>
      <c r="D942" s="578" t="s">
        <v>656</v>
      </c>
      <c r="E942" s="579"/>
      <c r="F942" s="37" t="s">
        <v>2019</v>
      </c>
      <c r="G942" s="14">
        <v>480</v>
      </c>
      <c r="H942" s="569"/>
      <c r="I942" s="55" t="s">
        <v>1720</v>
      </c>
      <c r="J942" s="14">
        <f>G942*AO942</f>
        <v>0</v>
      </c>
      <c r="K942" s="14">
        <f>G942*AP942</f>
        <v>0</v>
      </c>
      <c r="L942" s="14">
        <f>G942*H942</f>
        <v>0</v>
      </c>
      <c r="M942" s="14">
        <f>L942*(1+BW942/100)</f>
        <v>0</v>
      </c>
      <c r="N942" s="14">
        <v>2.1000000000000001E-4</v>
      </c>
      <c r="O942" s="14">
        <f>G942*N942</f>
        <v>0.1008</v>
      </c>
      <c r="P942" s="72" t="s">
        <v>1664</v>
      </c>
      <c r="Z942" s="14">
        <f>IF(AQ942="5",BJ942,0)</f>
        <v>0</v>
      </c>
      <c r="AB942" s="14">
        <f>IF(AQ942="1",BH942,0)</f>
        <v>0</v>
      </c>
      <c r="AC942" s="14">
        <f>IF(AQ942="1",BI942,0)</f>
        <v>0</v>
      </c>
      <c r="AD942" s="14">
        <f>IF(AQ942="7",BH942,0)</f>
        <v>0</v>
      </c>
      <c r="AE942" s="14">
        <f>IF(AQ942="7",BI942,0)</f>
        <v>0</v>
      </c>
      <c r="AF942" s="14">
        <f>IF(AQ942="2",BH942,0)</f>
        <v>0</v>
      </c>
      <c r="AG942" s="14">
        <f>IF(AQ942="2",BI942,0)</f>
        <v>0</v>
      </c>
      <c r="AH942" s="14">
        <f>IF(AQ942="0",BJ942,0)</f>
        <v>0</v>
      </c>
      <c r="AI942" s="15" t="s">
        <v>557</v>
      </c>
      <c r="AJ942" s="14">
        <f>IF(AN942=0,L942,0)</f>
        <v>0</v>
      </c>
      <c r="AK942" s="14">
        <f>IF(AN942=15,L942,0)</f>
        <v>0</v>
      </c>
      <c r="AL942" s="14">
        <f>IF(AN942=21,L942,0)</f>
        <v>0</v>
      </c>
      <c r="AN942" s="14">
        <v>21</v>
      </c>
      <c r="AO942" s="92">
        <f>H942*0.0528225466205383</f>
        <v>0</v>
      </c>
      <c r="AP942" s="92">
        <f>H942*(1-0.0528225466205383)</f>
        <v>0</v>
      </c>
      <c r="AQ942" s="55" t="s">
        <v>2435</v>
      </c>
      <c r="AV942" s="14">
        <f>AW942+AX942</f>
        <v>0</v>
      </c>
      <c r="AW942" s="14">
        <f>G942*AO942</f>
        <v>0</v>
      </c>
      <c r="AX942" s="14">
        <f>G942*AP942</f>
        <v>0</v>
      </c>
      <c r="AY942" s="55" t="s">
        <v>1895</v>
      </c>
      <c r="AZ942" s="55" t="s">
        <v>831</v>
      </c>
      <c r="BA942" s="15" t="s">
        <v>1982</v>
      </c>
      <c r="BC942" s="14">
        <f>AW942+AX942</f>
        <v>0</v>
      </c>
      <c r="BD942" s="14">
        <f>H942/(100-BE942)*100</f>
        <v>0</v>
      </c>
      <c r="BE942" s="14">
        <v>0</v>
      </c>
      <c r="BF942" s="14">
        <f>O942</f>
        <v>0.1008</v>
      </c>
      <c r="BH942" s="14">
        <f>G942*AO942</f>
        <v>0</v>
      </c>
      <c r="BI942" s="14">
        <f>G942*AP942</f>
        <v>0</v>
      </c>
      <c r="BJ942" s="14">
        <f>G942*H942</f>
        <v>0</v>
      </c>
      <c r="BK942" s="14"/>
      <c r="BL942" s="14">
        <v>763</v>
      </c>
      <c r="BW942" s="14" t="str">
        <f>I942</f>
        <v>21</v>
      </c>
    </row>
    <row r="943" spans="1:75" ht="15" customHeight="1">
      <c r="A943" s="32"/>
      <c r="D943" s="3" t="s">
        <v>423</v>
      </c>
      <c r="E943" s="28" t="s">
        <v>1501</v>
      </c>
      <c r="G943" s="27">
        <v>480.00000000000006</v>
      </c>
      <c r="P943" s="33"/>
    </row>
    <row r="944" spans="1:75" ht="13.5" customHeight="1">
      <c r="A944" s="20" t="s">
        <v>230</v>
      </c>
      <c r="B944" s="84" t="s">
        <v>557</v>
      </c>
      <c r="C944" s="84" t="s">
        <v>1458</v>
      </c>
      <c r="D944" s="653" t="s">
        <v>2332</v>
      </c>
      <c r="E944" s="654"/>
      <c r="F944" s="84" t="s">
        <v>2359</v>
      </c>
      <c r="G944" s="6">
        <v>3.46</v>
      </c>
      <c r="H944" s="570"/>
      <c r="I944" s="18" t="s">
        <v>1720</v>
      </c>
      <c r="J944" s="6">
        <f>G944*AO944</f>
        <v>0</v>
      </c>
      <c r="K944" s="6">
        <f>G944*AP944</f>
        <v>0</v>
      </c>
      <c r="L944" s="6">
        <f>G944*H944</f>
        <v>0</v>
      </c>
      <c r="M944" s="6">
        <f>L944*(1+BW944/100)</f>
        <v>0</v>
      </c>
      <c r="N944" s="6">
        <v>0.5</v>
      </c>
      <c r="O944" s="6">
        <f>G944*N944</f>
        <v>1.73</v>
      </c>
      <c r="P944" s="109" t="s">
        <v>1664</v>
      </c>
      <c r="Z944" s="14">
        <f>IF(AQ944="5",BJ944,0)</f>
        <v>0</v>
      </c>
      <c r="AB944" s="14">
        <f>IF(AQ944="1",BH944,0)</f>
        <v>0</v>
      </c>
      <c r="AC944" s="14">
        <f>IF(AQ944="1",BI944,0)</f>
        <v>0</v>
      </c>
      <c r="AD944" s="14">
        <f>IF(AQ944="7",BH944,0)</f>
        <v>0</v>
      </c>
      <c r="AE944" s="14">
        <f>IF(AQ944="7",BI944,0)</f>
        <v>0</v>
      </c>
      <c r="AF944" s="14">
        <f>IF(AQ944="2",BH944,0)</f>
        <v>0</v>
      </c>
      <c r="AG944" s="14">
        <f>IF(AQ944="2",BI944,0)</f>
        <v>0</v>
      </c>
      <c r="AH944" s="14">
        <f>IF(AQ944="0",BJ944,0)</f>
        <v>0</v>
      </c>
      <c r="AI944" s="15" t="s">
        <v>557</v>
      </c>
      <c r="AJ944" s="6">
        <f>IF(AN944=0,L944,0)</f>
        <v>0</v>
      </c>
      <c r="AK944" s="6">
        <f>IF(AN944=15,L944,0)</f>
        <v>0</v>
      </c>
      <c r="AL944" s="6">
        <f>IF(AN944=21,L944,0)</f>
        <v>0</v>
      </c>
      <c r="AN944" s="14">
        <v>21</v>
      </c>
      <c r="AO944" s="92">
        <f>H944*1</f>
        <v>0</v>
      </c>
      <c r="AP944" s="92">
        <f>H944*(1-1)</f>
        <v>0</v>
      </c>
      <c r="AQ944" s="18" t="s">
        <v>2435</v>
      </c>
      <c r="AV944" s="14">
        <f>AW944+AX944</f>
        <v>0</v>
      </c>
      <c r="AW944" s="14">
        <f>G944*AO944</f>
        <v>0</v>
      </c>
      <c r="AX944" s="14">
        <f>G944*AP944</f>
        <v>0</v>
      </c>
      <c r="AY944" s="55" t="s">
        <v>1895</v>
      </c>
      <c r="AZ944" s="55" t="s">
        <v>831</v>
      </c>
      <c r="BA944" s="15" t="s">
        <v>1982</v>
      </c>
      <c r="BC944" s="14">
        <f>AW944+AX944</f>
        <v>0</v>
      </c>
      <c r="BD944" s="14">
        <f>H944/(100-BE944)*100</f>
        <v>0</v>
      </c>
      <c r="BE944" s="14">
        <v>0</v>
      </c>
      <c r="BF944" s="14">
        <f>O944</f>
        <v>1.73</v>
      </c>
      <c r="BH944" s="6">
        <f>G944*AO944</f>
        <v>0</v>
      </c>
      <c r="BI944" s="6">
        <f>G944*AP944</f>
        <v>0</v>
      </c>
      <c r="BJ944" s="6">
        <f>G944*H944</f>
        <v>0</v>
      </c>
      <c r="BK944" s="6"/>
      <c r="BL944" s="14">
        <v>763</v>
      </c>
      <c r="BW944" s="14" t="str">
        <f>I944</f>
        <v>21</v>
      </c>
    </row>
    <row r="945" spans="1:75" ht="15" customHeight="1">
      <c r="A945" s="32"/>
      <c r="D945" s="3" t="s">
        <v>701</v>
      </c>
      <c r="E945" s="28" t="s">
        <v>1683</v>
      </c>
      <c r="G945" s="27">
        <v>2.8800000000000003</v>
      </c>
      <c r="P945" s="33"/>
    </row>
    <row r="946" spans="1:75" ht="15" customHeight="1">
      <c r="A946" s="32"/>
      <c r="D946" s="3" t="s">
        <v>491</v>
      </c>
      <c r="E946" s="28" t="s">
        <v>1683</v>
      </c>
      <c r="G946" s="27">
        <v>0.58000000000000007</v>
      </c>
      <c r="P946" s="33"/>
    </row>
    <row r="947" spans="1:75" ht="13.5" customHeight="1">
      <c r="A947" s="20" t="s">
        <v>716</v>
      </c>
      <c r="B947" s="84" t="s">
        <v>557</v>
      </c>
      <c r="C947" s="84" t="s">
        <v>1515</v>
      </c>
      <c r="D947" s="653" t="s">
        <v>1700</v>
      </c>
      <c r="E947" s="654"/>
      <c r="F947" s="84" t="s">
        <v>2398</v>
      </c>
      <c r="G947" s="6">
        <v>22.8</v>
      </c>
      <c r="H947" s="570"/>
      <c r="I947" s="18" t="s">
        <v>1720</v>
      </c>
      <c r="J947" s="6">
        <f>G947*AO947</f>
        <v>0</v>
      </c>
      <c r="K947" s="6">
        <f>G947*AP947</f>
        <v>0</v>
      </c>
      <c r="L947" s="6">
        <f>G947*H947</f>
        <v>0</v>
      </c>
      <c r="M947" s="6">
        <f>L947*(1+BW947/100)</f>
        <v>0</v>
      </c>
      <c r="N947" s="6">
        <v>1.3899999999999999E-2</v>
      </c>
      <c r="O947" s="6">
        <f>G947*N947</f>
        <v>0.31691999999999998</v>
      </c>
      <c r="P947" s="109" t="s">
        <v>1664</v>
      </c>
      <c r="Z947" s="14">
        <f>IF(AQ947="5",BJ947,0)</f>
        <v>0</v>
      </c>
      <c r="AB947" s="14">
        <f>IF(AQ947="1",BH947,0)</f>
        <v>0</v>
      </c>
      <c r="AC947" s="14">
        <f>IF(AQ947="1",BI947,0)</f>
        <v>0</v>
      </c>
      <c r="AD947" s="14">
        <f>IF(AQ947="7",BH947,0)</f>
        <v>0</v>
      </c>
      <c r="AE947" s="14">
        <f>IF(AQ947="7",BI947,0)</f>
        <v>0</v>
      </c>
      <c r="AF947" s="14">
        <f>IF(AQ947="2",BH947,0)</f>
        <v>0</v>
      </c>
      <c r="AG947" s="14">
        <f>IF(AQ947="2",BI947,0)</f>
        <v>0</v>
      </c>
      <c r="AH947" s="14">
        <f>IF(AQ947="0",BJ947,0)</f>
        <v>0</v>
      </c>
      <c r="AI947" s="15" t="s">
        <v>557</v>
      </c>
      <c r="AJ947" s="6">
        <f>IF(AN947=0,L947,0)</f>
        <v>0</v>
      </c>
      <c r="AK947" s="6">
        <f>IF(AN947=15,L947,0)</f>
        <v>0</v>
      </c>
      <c r="AL947" s="6">
        <f>IF(AN947=21,L947,0)</f>
        <v>0</v>
      </c>
      <c r="AN947" s="14">
        <v>21</v>
      </c>
      <c r="AO947" s="92">
        <f>H947*1</f>
        <v>0</v>
      </c>
      <c r="AP947" s="92">
        <f>H947*(1-1)</f>
        <v>0</v>
      </c>
      <c r="AQ947" s="18" t="s">
        <v>2435</v>
      </c>
      <c r="AV947" s="14">
        <f>AW947+AX947</f>
        <v>0</v>
      </c>
      <c r="AW947" s="14">
        <f>G947*AO947</f>
        <v>0</v>
      </c>
      <c r="AX947" s="14">
        <f>G947*AP947</f>
        <v>0</v>
      </c>
      <c r="AY947" s="55" t="s">
        <v>1895</v>
      </c>
      <c r="AZ947" s="55" t="s">
        <v>831</v>
      </c>
      <c r="BA947" s="15" t="s">
        <v>1982</v>
      </c>
      <c r="BC947" s="14">
        <f>AW947+AX947</f>
        <v>0</v>
      </c>
      <c r="BD947" s="14">
        <f>H947/(100-BE947)*100</f>
        <v>0</v>
      </c>
      <c r="BE947" s="14">
        <v>0</v>
      </c>
      <c r="BF947" s="14">
        <f>O947</f>
        <v>0.31691999999999998</v>
      </c>
      <c r="BH947" s="6">
        <f>G947*AO947</f>
        <v>0</v>
      </c>
      <c r="BI947" s="6">
        <f>G947*AP947</f>
        <v>0</v>
      </c>
      <c r="BJ947" s="6">
        <f>G947*H947</f>
        <v>0</v>
      </c>
      <c r="BK947" s="6"/>
      <c r="BL947" s="14">
        <v>763</v>
      </c>
      <c r="BW947" s="14" t="str">
        <f>I947</f>
        <v>21</v>
      </c>
    </row>
    <row r="948" spans="1:75" ht="15" customHeight="1">
      <c r="A948" s="32"/>
      <c r="D948" s="3" t="s">
        <v>1336</v>
      </c>
      <c r="E948" s="28" t="s">
        <v>69</v>
      </c>
      <c r="G948" s="27">
        <v>19</v>
      </c>
      <c r="P948" s="33"/>
    </row>
    <row r="949" spans="1:75" ht="15" customHeight="1">
      <c r="A949" s="32"/>
      <c r="D949" s="3" t="s">
        <v>2052</v>
      </c>
      <c r="E949" s="28" t="s">
        <v>1683</v>
      </c>
      <c r="G949" s="27">
        <v>3.8000000000000003</v>
      </c>
      <c r="P949" s="33"/>
    </row>
    <row r="950" spans="1:75" ht="27" customHeight="1">
      <c r="A950" s="21" t="s">
        <v>1083</v>
      </c>
      <c r="B950" s="37" t="s">
        <v>557</v>
      </c>
      <c r="C950" s="37" t="s">
        <v>1454</v>
      </c>
      <c r="D950" s="578" t="s">
        <v>1809</v>
      </c>
      <c r="E950" s="579"/>
      <c r="F950" s="37" t="s">
        <v>2019</v>
      </c>
      <c r="G950" s="14">
        <v>4</v>
      </c>
      <c r="H950" s="569"/>
      <c r="I950" s="55" t="s">
        <v>1720</v>
      </c>
      <c r="J950" s="14">
        <f>G950*AO950</f>
        <v>0</v>
      </c>
      <c r="K950" s="14">
        <f>G950*AP950</f>
        <v>0</v>
      </c>
      <c r="L950" s="14">
        <f>G950*H950</f>
        <v>0</v>
      </c>
      <c r="M950" s="14">
        <f>L950*(1+BW950/100)</f>
        <v>0</v>
      </c>
      <c r="N950" s="14">
        <v>0</v>
      </c>
      <c r="O950" s="14">
        <f>G950*N950</f>
        <v>0</v>
      </c>
      <c r="P950" s="72" t="s">
        <v>1664</v>
      </c>
      <c r="Z950" s="14">
        <f>IF(AQ950="5",BJ950,0)</f>
        <v>0</v>
      </c>
      <c r="AB950" s="14">
        <f>IF(AQ950="1",BH950,0)</f>
        <v>0</v>
      </c>
      <c r="AC950" s="14">
        <f>IF(AQ950="1",BI950,0)</f>
        <v>0</v>
      </c>
      <c r="AD950" s="14">
        <f>IF(AQ950="7",BH950,0)</f>
        <v>0</v>
      </c>
      <c r="AE950" s="14">
        <f>IF(AQ950="7",BI950,0)</f>
        <v>0</v>
      </c>
      <c r="AF950" s="14">
        <f>IF(AQ950="2",BH950,0)</f>
        <v>0</v>
      </c>
      <c r="AG950" s="14">
        <f>IF(AQ950="2",BI950,0)</f>
        <v>0</v>
      </c>
      <c r="AH950" s="14">
        <f>IF(AQ950="0",BJ950,0)</f>
        <v>0</v>
      </c>
      <c r="AI950" s="15" t="s">
        <v>557</v>
      </c>
      <c r="AJ950" s="14">
        <f>IF(AN950=0,L950,0)</f>
        <v>0</v>
      </c>
      <c r="AK950" s="14">
        <f>IF(AN950=15,L950,0)</f>
        <v>0</v>
      </c>
      <c r="AL950" s="14">
        <f>IF(AN950=21,L950,0)</f>
        <v>0</v>
      </c>
      <c r="AN950" s="14">
        <v>21</v>
      </c>
      <c r="AO950" s="92">
        <f>H950*0</f>
        <v>0</v>
      </c>
      <c r="AP950" s="92">
        <f>H950*(1-0)</f>
        <v>0</v>
      </c>
      <c r="AQ950" s="55" t="s">
        <v>2435</v>
      </c>
      <c r="AV950" s="14">
        <f>AW950+AX950</f>
        <v>0</v>
      </c>
      <c r="AW950" s="14">
        <f>G950*AO950</f>
        <v>0</v>
      </c>
      <c r="AX950" s="14">
        <f>G950*AP950</f>
        <v>0</v>
      </c>
      <c r="AY950" s="55" t="s">
        <v>1895</v>
      </c>
      <c r="AZ950" s="55" t="s">
        <v>831</v>
      </c>
      <c r="BA950" s="15" t="s">
        <v>1982</v>
      </c>
      <c r="BC950" s="14">
        <f>AW950+AX950</f>
        <v>0</v>
      </c>
      <c r="BD950" s="14">
        <f>H950/(100-BE950)*100</f>
        <v>0</v>
      </c>
      <c r="BE950" s="14">
        <v>0</v>
      </c>
      <c r="BF950" s="14">
        <f>O950</f>
        <v>0</v>
      </c>
      <c r="BH950" s="14">
        <f>G950*AO950</f>
        <v>0</v>
      </c>
      <c r="BI950" s="14">
        <f>G950*AP950</f>
        <v>0</v>
      </c>
      <c r="BJ950" s="14">
        <f>G950*H950</f>
        <v>0</v>
      </c>
      <c r="BK950" s="14"/>
      <c r="BL950" s="14">
        <v>763</v>
      </c>
      <c r="BW950" s="14" t="str">
        <f>I950</f>
        <v>21</v>
      </c>
    </row>
    <row r="951" spans="1:75" ht="15" customHeight="1">
      <c r="A951" s="32"/>
      <c r="D951" s="3" t="s">
        <v>354</v>
      </c>
      <c r="E951" s="28" t="s">
        <v>2496</v>
      </c>
      <c r="G951" s="27">
        <v>4</v>
      </c>
      <c r="P951" s="33"/>
    </row>
    <row r="952" spans="1:75" ht="13.5" customHeight="1">
      <c r="A952" s="20" t="s">
        <v>1</v>
      </c>
      <c r="B952" s="84" t="s">
        <v>557</v>
      </c>
      <c r="C952" s="84" t="s">
        <v>1421</v>
      </c>
      <c r="D952" s="653" t="s">
        <v>2644</v>
      </c>
      <c r="E952" s="654"/>
      <c r="F952" s="84" t="s">
        <v>2398</v>
      </c>
      <c r="G952" s="6">
        <v>3</v>
      </c>
      <c r="H952" s="570"/>
      <c r="I952" s="18" t="s">
        <v>1720</v>
      </c>
      <c r="J952" s="6">
        <f>G952*AO952</f>
        <v>0</v>
      </c>
      <c r="K952" s="6">
        <f>G952*AP952</f>
        <v>0</v>
      </c>
      <c r="L952" s="6">
        <f>G952*H952</f>
        <v>0</v>
      </c>
      <c r="M952" s="6">
        <f>L952*(1+BW952/100)</f>
        <v>0</v>
      </c>
      <c r="N952" s="6">
        <v>0.02</v>
      </c>
      <c r="O952" s="6">
        <f>G952*N952</f>
        <v>0.06</v>
      </c>
      <c r="P952" s="109" t="s">
        <v>1664</v>
      </c>
      <c r="Z952" s="14">
        <f>IF(AQ952="5",BJ952,0)</f>
        <v>0</v>
      </c>
      <c r="AB952" s="14">
        <f>IF(AQ952="1",BH952,0)</f>
        <v>0</v>
      </c>
      <c r="AC952" s="14">
        <f>IF(AQ952="1",BI952,0)</f>
        <v>0</v>
      </c>
      <c r="AD952" s="14">
        <f>IF(AQ952="7",BH952,0)</f>
        <v>0</v>
      </c>
      <c r="AE952" s="14">
        <f>IF(AQ952="7",BI952,0)</f>
        <v>0</v>
      </c>
      <c r="AF952" s="14">
        <f>IF(AQ952="2",BH952,0)</f>
        <v>0</v>
      </c>
      <c r="AG952" s="14">
        <f>IF(AQ952="2",BI952,0)</f>
        <v>0</v>
      </c>
      <c r="AH952" s="14">
        <f>IF(AQ952="0",BJ952,0)</f>
        <v>0</v>
      </c>
      <c r="AI952" s="15" t="s">
        <v>557</v>
      </c>
      <c r="AJ952" s="6">
        <f>IF(AN952=0,L952,0)</f>
        <v>0</v>
      </c>
      <c r="AK952" s="6">
        <f>IF(AN952=15,L952,0)</f>
        <v>0</v>
      </c>
      <c r="AL952" s="6">
        <f>IF(AN952=21,L952,0)</f>
        <v>0</v>
      </c>
      <c r="AN952" s="14">
        <v>21</v>
      </c>
      <c r="AO952" s="92">
        <f>H952*1</f>
        <v>0</v>
      </c>
      <c r="AP952" s="92">
        <f>H952*(1-1)</f>
        <v>0</v>
      </c>
      <c r="AQ952" s="18" t="s">
        <v>2435</v>
      </c>
      <c r="AV952" s="14">
        <f>AW952+AX952</f>
        <v>0</v>
      </c>
      <c r="AW952" s="14">
        <f>G952*AO952</f>
        <v>0</v>
      </c>
      <c r="AX952" s="14">
        <f>G952*AP952</f>
        <v>0</v>
      </c>
      <c r="AY952" s="55" t="s">
        <v>1895</v>
      </c>
      <c r="AZ952" s="55" t="s">
        <v>831</v>
      </c>
      <c r="BA952" s="15" t="s">
        <v>1982</v>
      </c>
      <c r="BC952" s="14">
        <f>AW952+AX952</f>
        <v>0</v>
      </c>
      <c r="BD952" s="14">
        <f>H952/(100-BE952)*100</f>
        <v>0</v>
      </c>
      <c r="BE952" s="14">
        <v>0</v>
      </c>
      <c r="BF952" s="14">
        <f>O952</f>
        <v>0.06</v>
      </c>
      <c r="BH952" s="6">
        <f>G952*AO952</f>
        <v>0</v>
      </c>
      <c r="BI952" s="6">
        <f>G952*AP952</f>
        <v>0</v>
      </c>
      <c r="BJ952" s="6">
        <f>G952*H952</f>
        <v>0</v>
      </c>
      <c r="BK952" s="6"/>
      <c r="BL952" s="14">
        <v>763</v>
      </c>
      <c r="BW952" s="14" t="str">
        <f>I952</f>
        <v>21</v>
      </c>
    </row>
    <row r="953" spans="1:75" ht="15" customHeight="1">
      <c r="A953" s="32"/>
      <c r="D953" s="3" t="s">
        <v>2065</v>
      </c>
      <c r="E953" s="28" t="s">
        <v>2206</v>
      </c>
      <c r="G953" s="27">
        <v>3.0000000000000004</v>
      </c>
      <c r="P953" s="33"/>
    </row>
    <row r="954" spans="1:75" ht="27" customHeight="1">
      <c r="A954" s="20" t="s">
        <v>104</v>
      </c>
      <c r="B954" s="84" t="s">
        <v>557</v>
      </c>
      <c r="C954" s="84" t="s">
        <v>2704</v>
      </c>
      <c r="D954" s="653" t="s">
        <v>719</v>
      </c>
      <c r="E954" s="654"/>
      <c r="F954" s="84" t="s">
        <v>2019</v>
      </c>
      <c r="G954" s="6">
        <v>50</v>
      </c>
      <c r="H954" s="570"/>
      <c r="I954" s="18" t="s">
        <v>1720</v>
      </c>
      <c r="J954" s="6">
        <f>G954*AO954</f>
        <v>0</v>
      </c>
      <c r="K954" s="6">
        <f>G954*AP954</f>
        <v>0</v>
      </c>
      <c r="L954" s="6">
        <f>G954*H954</f>
        <v>0</v>
      </c>
      <c r="M954" s="6">
        <f>L954*(1+BW954/100)</f>
        <v>0</v>
      </c>
      <c r="N954" s="6">
        <v>1.5E-3</v>
      </c>
      <c r="O954" s="6">
        <f>G954*N954</f>
        <v>7.4999999999999997E-2</v>
      </c>
      <c r="P954" s="109" t="s">
        <v>1664</v>
      </c>
      <c r="Z954" s="14">
        <f>IF(AQ954="5",BJ954,0)</f>
        <v>0</v>
      </c>
      <c r="AB954" s="14">
        <f>IF(AQ954="1",BH954,0)</f>
        <v>0</v>
      </c>
      <c r="AC954" s="14">
        <f>IF(AQ954="1",BI954,0)</f>
        <v>0</v>
      </c>
      <c r="AD954" s="14">
        <f>IF(AQ954="7",BH954,0)</f>
        <v>0</v>
      </c>
      <c r="AE954" s="14">
        <f>IF(AQ954="7",BI954,0)</f>
        <v>0</v>
      </c>
      <c r="AF954" s="14">
        <f>IF(AQ954="2",BH954,0)</f>
        <v>0</v>
      </c>
      <c r="AG954" s="14">
        <f>IF(AQ954="2",BI954,0)</f>
        <v>0</v>
      </c>
      <c r="AH954" s="14">
        <f>IF(AQ954="0",BJ954,0)</f>
        <v>0</v>
      </c>
      <c r="AI954" s="15" t="s">
        <v>557</v>
      </c>
      <c r="AJ954" s="6">
        <f>IF(AN954=0,L954,0)</f>
        <v>0</v>
      </c>
      <c r="AK954" s="6">
        <f>IF(AN954=15,L954,0)</f>
        <v>0</v>
      </c>
      <c r="AL954" s="6">
        <f>IF(AN954=21,L954,0)</f>
        <v>0</v>
      </c>
      <c r="AN954" s="14">
        <v>21</v>
      </c>
      <c r="AO954" s="92">
        <f>H954*1</f>
        <v>0</v>
      </c>
      <c r="AP954" s="92">
        <f>H954*(1-1)</f>
        <v>0</v>
      </c>
      <c r="AQ954" s="18" t="s">
        <v>2435</v>
      </c>
      <c r="AV954" s="14">
        <f>AW954+AX954</f>
        <v>0</v>
      </c>
      <c r="AW954" s="14">
        <f>G954*AO954</f>
        <v>0</v>
      </c>
      <c r="AX954" s="14">
        <f>G954*AP954</f>
        <v>0</v>
      </c>
      <c r="AY954" s="55" t="s">
        <v>1895</v>
      </c>
      <c r="AZ954" s="55" t="s">
        <v>831</v>
      </c>
      <c r="BA954" s="15" t="s">
        <v>1982</v>
      </c>
      <c r="BC954" s="14">
        <f>AW954+AX954</f>
        <v>0</v>
      </c>
      <c r="BD954" s="14">
        <f>H954/(100-BE954)*100</f>
        <v>0</v>
      </c>
      <c r="BE954" s="14">
        <v>0</v>
      </c>
      <c r="BF954" s="14">
        <f>O954</f>
        <v>7.4999999999999997E-2</v>
      </c>
      <c r="BH954" s="6">
        <f>G954*AO954</f>
        <v>0</v>
      </c>
      <c r="BI954" s="6">
        <f>G954*AP954</f>
        <v>0</v>
      </c>
      <c r="BJ954" s="6">
        <f>G954*H954</f>
        <v>0</v>
      </c>
      <c r="BK954" s="6"/>
      <c r="BL954" s="14">
        <v>763</v>
      </c>
      <c r="BW954" s="14" t="str">
        <f>I954</f>
        <v>21</v>
      </c>
    </row>
    <row r="955" spans="1:75" ht="15" customHeight="1">
      <c r="A955" s="32"/>
      <c r="D955" s="3" t="s">
        <v>539</v>
      </c>
      <c r="E955" s="28" t="s">
        <v>2636</v>
      </c>
      <c r="G955" s="27">
        <v>50.000000000000007</v>
      </c>
      <c r="P955" s="33"/>
    </row>
    <row r="956" spans="1:75" ht="13.5" customHeight="1">
      <c r="A956" s="20" t="s">
        <v>1751</v>
      </c>
      <c r="B956" s="84" t="s">
        <v>557</v>
      </c>
      <c r="C956" s="84" t="s">
        <v>2662</v>
      </c>
      <c r="D956" s="653" t="s">
        <v>834</v>
      </c>
      <c r="E956" s="654"/>
      <c r="F956" s="84" t="s">
        <v>595</v>
      </c>
      <c r="G956" s="6">
        <v>20</v>
      </c>
      <c r="H956" s="570"/>
      <c r="I956" s="18" t="s">
        <v>1720</v>
      </c>
      <c r="J956" s="6">
        <f>G956*AO956</f>
        <v>0</v>
      </c>
      <c r="K956" s="6">
        <f>G956*AP956</f>
        <v>0</v>
      </c>
      <c r="L956" s="6">
        <f>G956*H956</f>
        <v>0</v>
      </c>
      <c r="M956" s="6">
        <f>L956*(1+BW956/100)</f>
        <v>0</v>
      </c>
      <c r="N956" s="6">
        <v>2E-3</v>
      </c>
      <c r="O956" s="6">
        <f>G956*N956</f>
        <v>0.04</v>
      </c>
      <c r="P956" s="109" t="s">
        <v>1664</v>
      </c>
      <c r="Z956" s="14">
        <f>IF(AQ956="5",BJ956,0)</f>
        <v>0</v>
      </c>
      <c r="AB956" s="14">
        <f>IF(AQ956="1",BH956,0)</f>
        <v>0</v>
      </c>
      <c r="AC956" s="14">
        <f>IF(AQ956="1",BI956,0)</f>
        <v>0</v>
      </c>
      <c r="AD956" s="14">
        <f>IF(AQ956="7",BH956,0)</f>
        <v>0</v>
      </c>
      <c r="AE956" s="14">
        <f>IF(AQ956="7",BI956,0)</f>
        <v>0</v>
      </c>
      <c r="AF956" s="14">
        <f>IF(AQ956="2",BH956,0)</f>
        <v>0</v>
      </c>
      <c r="AG956" s="14">
        <f>IF(AQ956="2",BI956,0)</f>
        <v>0</v>
      </c>
      <c r="AH956" s="14">
        <f>IF(AQ956="0",BJ956,0)</f>
        <v>0</v>
      </c>
      <c r="AI956" s="15" t="s">
        <v>557</v>
      </c>
      <c r="AJ956" s="6">
        <f>IF(AN956=0,L956,0)</f>
        <v>0</v>
      </c>
      <c r="AK956" s="6">
        <f>IF(AN956=15,L956,0)</f>
        <v>0</v>
      </c>
      <c r="AL956" s="6">
        <f>IF(AN956=21,L956,0)</f>
        <v>0</v>
      </c>
      <c r="AN956" s="14">
        <v>21</v>
      </c>
      <c r="AO956" s="92">
        <f>H956*1</f>
        <v>0</v>
      </c>
      <c r="AP956" s="92">
        <f>H956*(1-1)</f>
        <v>0</v>
      </c>
      <c r="AQ956" s="18" t="s">
        <v>2435</v>
      </c>
      <c r="AV956" s="14">
        <f>AW956+AX956</f>
        <v>0</v>
      </c>
      <c r="AW956" s="14">
        <f>G956*AO956</f>
        <v>0</v>
      </c>
      <c r="AX956" s="14">
        <f>G956*AP956</f>
        <v>0</v>
      </c>
      <c r="AY956" s="55" t="s">
        <v>1895</v>
      </c>
      <c r="AZ956" s="55" t="s">
        <v>831</v>
      </c>
      <c r="BA956" s="15" t="s">
        <v>1982</v>
      </c>
      <c r="BC956" s="14">
        <f>AW956+AX956</f>
        <v>0</v>
      </c>
      <c r="BD956" s="14">
        <f>H956/(100-BE956)*100</f>
        <v>0</v>
      </c>
      <c r="BE956" s="14">
        <v>0</v>
      </c>
      <c r="BF956" s="14">
        <f>O956</f>
        <v>0.04</v>
      </c>
      <c r="BH956" s="6">
        <f>G956*AO956</f>
        <v>0</v>
      </c>
      <c r="BI956" s="6">
        <f>G956*AP956</f>
        <v>0</v>
      </c>
      <c r="BJ956" s="6">
        <f>G956*H956</f>
        <v>0</v>
      </c>
      <c r="BK956" s="6"/>
      <c r="BL956" s="14">
        <v>763</v>
      </c>
      <c r="BW956" s="14" t="str">
        <f>I956</f>
        <v>21</v>
      </c>
    </row>
    <row r="957" spans="1:75" ht="15" customHeight="1">
      <c r="A957" s="32"/>
      <c r="D957" s="3" t="s">
        <v>1688</v>
      </c>
      <c r="E957" s="28" t="s">
        <v>1683</v>
      </c>
      <c r="G957" s="27">
        <v>20</v>
      </c>
      <c r="P957" s="33"/>
    </row>
    <row r="958" spans="1:75" ht="13.5" customHeight="1">
      <c r="A958" s="20" t="s">
        <v>1531</v>
      </c>
      <c r="B958" s="84" t="s">
        <v>557</v>
      </c>
      <c r="C958" s="84" t="s">
        <v>938</v>
      </c>
      <c r="D958" s="653" t="s">
        <v>2572</v>
      </c>
      <c r="E958" s="654"/>
      <c r="F958" s="84" t="s">
        <v>595</v>
      </c>
      <c r="G958" s="6">
        <v>20</v>
      </c>
      <c r="H958" s="570"/>
      <c r="I958" s="18" t="s">
        <v>1720</v>
      </c>
      <c r="J958" s="6">
        <f>G958*AO958</f>
        <v>0</v>
      </c>
      <c r="K958" s="6">
        <f>G958*AP958</f>
        <v>0</v>
      </c>
      <c r="L958" s="6">
        <f>G958*H958</f>
        <v>0</v>
      </c>
      <c r="M958" s="6">
        <f>L958*(1+BW958/100)</f>
        <v>0</v>
      </c>
      <c r="N958" s="6">
        <v>6.0000000000000001E-3</v>
      </c>
      <c r="O958" s="6">
        <f>G958*N958</f>
        <v>0.12</v>
      </c>
      <c r="P958" s="109" t="s">
        <v>1664</v>
      </c>
      <c r="Z958" s="14">
        <f>IF(AQ958="5",BJ958,0)</f>
        <v>0</v>
      </c>
      <c r="AB958" s="14">
        <f>IF(AQ958="1",BH958,0)</f>
        <v>0</v>
      </c>
      <c r="AC958" s="14">
        <f>IF(AQ958="1",BI958,0)</f>
        <v>0</v>
      </c>
      <c r="AD958" s="14">
        <f>IF(AQ958="7",BH958,0)</f>
        <v>0</v>
      </c>
      <c r="AE958" s="14">
        <f>IF(AQ958="7",BI958,0)</f>
        <v>0</v>
      </c>
      <c r="AF958" s="14">
        <f>IF(AQ958="2",BH958,0)</f>
        <v>0</v>
      </c>
      <c r="AG958" s="14">
        <f>IF(AQ958="2",BI958,0)</f>
        <v>0</v>
      </c>
      <c r="AH958" s="14">
        <f>IF(AQ958="0",BJ958,0)</f>
        <v>0</v>
      </c>
      <c r="AI958" s="15" t="s">
        <v>557</v>
      </c>
      <c r="AJ958" s="6">
        <f>IF(AN958=0,L958,0)</f>
        <v>0</v>
      </c>
      <c r="AK958" s="6">
        <f>IF(AN958=15,L958,0)</f>
        <v>0</v>
      </c>
      <c r="AL958" s="6">
        <f>IF(AN958=21,L958,0)</f>
        <v>0</v>
      </c>
      <c r="AN958" s="14">
        <v>21</v>
      </c>
      <c r="AO958" s="92">
        <f>H958*1</f>
        <v>0</v>
      </c>
      <c r="AP958" s="92">
        <f>H958*(1-1)</f>
        <v>0</v>
      </c>
      <c r="AQ958" s="18" t="s">
        <v>2435</v>
      </c>
      <c r="AV958" s="14">
        <f>AW958+AX958</f>
        <v>0</v>
      </c>
      <c r="AW958" s="14">
        <f>G958*AO958</f>
        <v>0</v>
      </c>
      <c r="AX958" s="14">
        <f>G958*AP958</f>
        <v>0</v>
      </c>
      <c r="AY958" s="55" t="s">
        <v>1895</v>
      </c>
      <c r="AZ958" s="55" t="s">
        <v>831</v>
      </c>
      <c r="BA958" s="15" t="s">
        <v>1982</v>
      </c>
      <c r="BC958" s="14">
        <f>AW958+AX958</f>
        <v>0</v>
      </c>
      <c r="BD958" s="14">
        <f>H958/(100-BE958)*100</f>
        <v>0</v>
      </c>
      <c r="BE958" s="14">
        <v>0</v>
      </c>
      <c r="BF958" s="14">
        <f>O958</f>
        <v>0.12</v>
      </c>
      <c r="BH958" s="6">
        <f>G958*AO958</f>
        <v>0</v>
      </c>
      <c r="BI958" s="6">
        <f>G958*AP958</f>
        <v>0</v>
      </c>
      <c r="BJ958" s="6">
        <f>G958*H958</f>
        <v>0</v>
      </c>
      <c r="BK958" s="6"/>
      <c r="BL958" s="14">
        <v>763</v>
      </c>
      <c r="BW958" s="14" t="str">
        <f>I958</f>
        <v>21</v>
      </c>
    </row>
    <row r="959" spans="1:75" ht="15" customHeight="1">
      <c r="A959" s="32"/>
      <c r="D959" s="3" t="s">
        <v>1688</v>
      </c>
      <c r="E959" s="28" t="s">
        <v>1683</v>
      </c>
      <c r="G959" s="27">
        <v>20</v>
      </c>
      <c r="P959" s="33"/>
    </row>
    <row r="960" spans="1:75" ht="15" customHeight="1">
      <c r="A960" s="65" t="s">
        <v>1683</v>
      </c>
      <c r="B960" s="26" t="s">
        <v>557</v>
      </c>
      <c r="C960" s="26" t="s">
        <v>199</v>
      </c>
      <c r="D960" s="649" t="s">
        <v>322</v>
      </c>
      <c r="E960" s="650"/>
      <c r="F960" s="74" t="s">
        <v>2262</v>
      </c>
      <c r="G960" s="74" t="s">
        <v>2262</v>
      </c>
      <c r="H960" s="74" t="s">
        <v>2262</v>
      </c>
      <c r="I960" s="74" t="s">
        <v>2262</v>
      </c>
      <c r="J960" s="2">
        <f>SUM(J961:J1003)</f>
        <v>0</v>
      </c>
      <c r="K960" s="2">
        <f>SUM(K961:K1003)</f>
        <v>0</v>
      </c>
      <c r="L960" s="2">
        <f>SUM(L961:L1003)</f>
        <v>0</v>
      </c>
      <c r="M960" s="2">
        <f>SUM(M961:M1003)</f>
        <v>0</v>
      </c>
      <c r="N960" s="15" t="s">
        <v>1683</v>
      </c>
      <c r="O960" s="2">
        <f>SUM(O961:O1003)</f>
        <v>12.647742699999997</v>
      </c>
      <c r="P960" s="47" t="s">
        <v>1683</v>
      </c>
      <c r="AI960" s="15" t="s">
        <v>557</v>
      </c>
      <c r="AS960" s="2">
        <f>SUM(AJ961:AJ1003)</f>
        <v>0</v>
      </c>
      <c r="AT960" s="2">
        <f>SUM(AK961:AK1003)</f>
        <v>0</v>
      </c>
      <c r="AU960" s="2">
        <f>SUM(AL961:AL1003)</f>
        <v>0</v>
      </c>
    </row>
    <row r="961" spans="1:75" ht="27" customHeight="1">
      <c r="A961" s="21" t="s">
        <v>1581</v>
      </c>
      <c r="B961" s="37" t="s">
        <v>557</v>
      </c>
      <c r="C961" s="37" t="s">
        <v>763</v>
      </c>
      <c r="D961" s="578" t="s">
        <v>2272</v>
      </c>
      <c r="E961" s="579"/>
      <c r="F961" s="37" t="s">
        <v>2398</v>
      </c>
      <c r="G961" s="14">
        <v>481.44</v>
      </c>
      <c r="H961" s="569"/>
      <c r="I961" s="55" t="s">
        <v>1720</v>
      </c>
      <c r="J961" s="14">
        <f>G961*AO961</f>
        <v>0</v>
      </c>
      <c r="K961" s="14">
        <f>G961*AP961</f>
        <v>0</v>
      </c>
      <c r="L961" s="14">
        <f>G961*H961</f>
        <v>0</v>
      </c>
      <c r="M961" s="14">
        <f>L961*(1+BW961/100)</f>
        <v>0</v>
      </c>
      <c r="N961" s="14">
        <v>1.9029999999999998E-2</v>
      </c>
      <c r="O961" s="14">
        <f>G961*N961</f>
        <v>9.1618031999999996</v>
      </c>
      <c r="P961" s="72" t="s">
        <v>1664</v>
      </c>
      <c r="Z961" s="14">
        <f>IF(AQ961="5",BJ961,0)</f>
        <v>0</v>
      </c>
      <c r="AB961" s="14">
        <f>IF(AQ961="1",BH961,0)</f>
        <v>0</v>
      </c>
      <c r="AC961" s="14">
        <f>IF(AQ961="1",BI961,0)</f>
        <v>0</v>
      </c>
      <c r="AD961" s="14">
        <f>IF(AQ961="7",BH961,0)</f>
        <v>0</v>
      </c>
      <c r="AE961" s="14">
        <f>IF(AQ961="7",BI961,0)</f>
        <v>0</v>
      </c>
      <c r="AF961" s="14">
        <f>IF(AQ961="2",BH961,0)</f>
        <v>0</v>
      </c>
      <c r="AG961" s="14">
        <f>IF(AQ961="2",BI961,0)</f>
        <v>0</v>
      </c>
      <c r="AH961" s="14">
        <f>IF(AQ961="0",BJ961,0)</f>
        <v>0</v>
      </c>
      <c r="AI961" s="15" t="s">
        <v>557</v>
      </c>
      <c r="AJ961" s="14">
        <f>IF(AN961=0,L961,0)</f>
        <v>0</v>
      </c>
      <c r="AK961" s="14">
        <f>IF(AN961=15,L961,0)</f>
        <v>0</v>
      </c>
      <c r="AL961" s="14">
        <f>IF(AN961=21,L961,0)</f>
        <v>0</v>
      </c>
      <c r="AN961" s="14">
        <v>21</v>
      </c>
      <c r="AO961" s="92">
        <f>H961*0.359403080872914</f>
        <v>0</v>
      </c>
      <c r="AP961" s="92">
        <f>H961*(1-0.359403080872914)</f>
        <v>0</v>
      </c>
      <c r="AQ961" s="55" t="s">
        <v>2435</v>
      </c>
      <c r="AV961" s="14">
        <f>AW961+AX961</f>
        <v>0</v>
      </c>
      <c r="AW961" s="14">
        <f>G961*AO961</f>
        <v>0</v>
      </c>
      <c r="AX961" s="14">
        <f>G961*AP961</f>
        <v>0</v>
      </c>
      <c r="AY961" s="55" t="s">
        <v>1951</v>
      </c>
      <c r="AZ961" s="55" t="s">
        <v>831</v>
      </c>
      <c r="BA961" s="15" t="s">
        <v>1982</v>
      </c>
      <c r="BC961" s="14">
        <f>AW961+AX961</f>
        <v>0</v>
      </c>
      <c r="BD961" s="14">
        <f>H961/(100-BE961)*100</f>
        <v>0</v>
      </c>
      <c r="BE961" s="14">
        <v>0</v>
      </c>
      <c r="BF961" s="14">
        <f>O961</f>
        <v>9.1618031999999996</v>
      </c>
      <c r="BH961" s="14">
        <f>G961*AO961</f>
        <v>0</v>
      </c>
      <c r="BI961" s="14">
        <f>G961*AP961</f>
        <v>0</v>
      </c>
      <c r="BJ961" s="14">
        <f>G961*H961</f>
        <v>0</v>
      </c>
      <c r="BK961" s="14"/>
      <c r="BL961" s="14">
        <v>764</v>
      </c>
      <c r="BW961" s="14" t="str">
        <f>I961</f>
        <v>21</v>
      </c>
    </row>
    <row r="962" spans="1:75" ht="15" customHeight="1">
      <c r="A962" s="32"/>
      <c r="D962" s="3" t="s">
        <v>1113</v>
      </c>
      <c r="E962" s="28" t="s">
        <v>1428</v>
      </c>
      <c r="G962" s="27">
        <v>433.44000000000005</v>
      </c>
      <c r="P962" s="33"/>
    </row>
    <row r="963" spans="1:75" ht="15" customHeight="1">
      <c r="A963" s="32"/>
      <c r="D963" s="3" t="s">
        <v>48</v>
      </c>
      <c r="E963" s="28" t="s">
        <v>1709</v>
      </c>
      <c r="G963" s="27">
        <v>48.000000000000007</v>
      </c>
      <c r="P963" s="33"/>
    </row>
    <row r="964" spans="1:75" ht="13.5" customHeight="1">
      <c r="A964" s="20" t="s">
        <v>2573</v>
      </c>
      <c r="B964" s="84" t="s">
        <v>557</v>
      </c>
      <c r="C964" s="84" t="s">
        <v>2718</v>
      </c>
      <c r="D964" s="653" t="s">
        <v>1005</v>
      </c>
      <c r="E964" s="654"/>
      <c r="F964" s="84" t="s">
        <v>2398</v>
      </c>
      <c r="G964" s="6">
        <v>582</v>
      </c>
      <c r="H964" s="570"/>
      <c r="I964" s="18" t="s">
        <v>1720</v>
      </c>
      <c r="J964" s="6">
        <f>G964*AO964</f>
        <v>0</v>
      </c>
      <c r="K964" s="6">
        <f>G964*AP964</f>
        <v>0</v>
      </c>
      <c r="L964" s="6">
        <f>G964*H964</f>
        <v>0</v>
      </c>
      <c r="M964" s="6">
        <f>L964*(1+BW964/100)</f>
        <v>0</v>
      </c>
      <c r="N964" s="6">
        <v>1.3999999999999999E-4</v>
      </c>
      <c r="O964" s="6">
        <f>G964*N964</f>
        <v>8.1479999999999997E-2</v>
      </c>
      <c r="P964" s="109" t="s">
        <v>1664</v>
      </c>
      <c r="Z964" s="14">
        <f>IF(AQ964="5",BJ964,0)</f>
        <v>0</v>
      </c>
      <c r="AB964" s="14">
        <f>IF(AQ964="1",BH964,0)</f>
        <v>0</v>
      </c>
      <c r="AC964" s="14">
        <f>IF(AQ964="1",BI964,0)</f>
        <v>0</v>
      </c>
      <c r="AD964" s="14">
        <f>IF(AQ964="7",BH964,0)</f>
        <v>0</v>
      </c>
      <c r="AE964" s="14">
        <f>IF(AQ964="7",BI964,0)</f>
        <v>0</v>
      </c>
      <c r="AF964" s="14">
        <f>IF(AQ964="2",BH964,0)</f>
        <v>0</v>
      </c>
      <c r="AG964" s="14">
        <f>IF(AQ964="2",BI964,0)</f>
        <v>0</v>
      </c>
      <c r="AH964" s="14">
        <f>IF(AQ964="0",BJ964,0)</f>
        <v>0</v>
      </c>
      <c r="AI964" s="15" t="s">
        <v>557</v>
      </c>
      <c r="AJ964" s="6">
        <f>IF(AN964=0,L964,0)</f>
        <v>0</v>
      </c>
      <c r="AK964" s="6">
        <f>IF(AN964=15,L964,0)</f>
        <v>0</v>
      </c>
      <c r="AL964" s="6">
        <f>IF(AN964=21,L964,0)</f>
        <v>0</v>
      </c>
      <c r="AN964" s="14">
        <v>21</v>
      </c>
      <c r="AO964" s="92">
        <f>H964*1</f>
        <v>0</v>
      </c>
      <c r="AP964" s="92">
        <f>H964*(1-1)</f>
        <v>0</v>
      </c>
      <c r="AQ964" s="18" t="s">
        <v>2435</v>
      </c>
      <c r="AV964" s="14">
        <f>AW964+AX964</f>
        <v>0</v>
      </c>
      <c r="AW964" s="14">
        <f>G964*AO964</f>
        <v>0</v>
      </c>
      <c r="AX964" s="14">
        <f>G964*AP964</f>
        <v>0</v>
      </c>
      <c r="AY964" s="55" t="s">
        <v>1951</v>
      </c>
      <c r="AZ964" s="55" t="s">
        <v>831</v>
      </c>
      <c r="BA964" s="15" t="s">
        <v>1982</v>
      </c>
      <c r="BC964" s="14">
        <f>AW964+AX964</f>
        <v>0</v>
      </c>
      <c r="BD964" s="14">
        <f>H964/(100-BE964)*100</f>
        <v>0</v>
      </c>
      <c r="BE964" s="14">
        <v>0</v>
      </c>
      <c r="BF964" s="14">
        <f>O964</f>
        <v>8.1479999999999997E-2</v>
      </c>
      <c r="BH964" s="6">
        <f>G964*AO964</f>
        <v>0</v>
      </c>
      <c r="BI964" s="6">
        <f>G964*AP964</f>
        <v>0</v>
      </c>
      <c r="BJ964" s="6">
        <f>G964*H964</f>
        <v>0</v>
      </c>
      <c r="BK964" s="6"/>
      <c r="BL964" s="14">
        <v>764</v>
      </c>
      <c r="BW964" s="14" t="str">
        <f>I964</f>
        <v>21</v>
      </c>
    </row>
    <row r="965" spans="1:75" ht="15" customHeight="1">
      <c r="A965" s="32"/>
      <c r="D965" s="3" t="s">
        <v>1258</v>
      </c>
      <c r="E965" s="28" t="s">
        <v>1683</v>
      </c>
      <c r="G965" s="27">
        <v>485.00000000000006</v>
      </c>
      <c r="P965" s="33"/>
    </row>
    <row r="966" spans="1:75" ht="15" customHeight="1">
      <c r="A966" s="32"/>
      <c r="D966" s="3" t="s">
        <v>2243</v>
      </c>
      <c r="E966" s="28" t="s">
        <v>1683</v>
      </c>
      <c r="G966" s="27">
        <v>97.000000000000014</v>
      </c>
      <c r="P966" s="33"/>
    </row>
    <row r="967" spans="1:75" ht="27" customHeight="1">
      <c r="A967" s="21" t="s">
        <v>2250</v>
      </c>
      <c r="B967" s="37" t="s">
        <v>557</v>
      </c>
      <c r="C967" s="37" t="s">
        <v>424</v>
      </c>
      <c r="D967" s="578" t="s">
        <v>2709</v>
      </c>
      <c r="E967" s="579"/>
      <c r="F967" s="37" t="s">
        <v>2019</v>
      </c>
      <c r="G967" s="14">
        <v>104</v>
      </c>
      <c r="H967" s="569"/>
      <c r="I967" s="55" t="s">
        <v>1720</v>
      </c>
      <c r="J967" s="14">
        <f>G967*AO967</f>
        <v>0</v>
      </c>
      <c r="K967" s="14">
        <f>G967*AP967</f>
        <v>0</v>
      </c>
      <c r="L967" s="14">
        <f>G967*H967</f>
        <v>0</v>
      </c>
      <c r="M967" s="14">
        <f>L967*(1+BW967/100)</f>
        <v>0</v>
      </c>
      <c r="N967" s="14">
        <v>4.8199999999999996E-3</v>
      </c>
      <c r="O967" s="14">
        <f>G967*N967</f>
        <v>0.50127999999999995</v>
      </c>
      <c r="P967" s="72" t="s">
        <v>1664</v>
      </c>
      <c r="Z967" s="14">
        <f>IF(AQ967="5",BJ967,0)</f>
        <v>0</v>
      </c>
      <c r="AB967" s="14">
        <f>IF(AQ967="1",BH967,0)</f>
        <v>0</v>
      </c>
      <c r="AC967" s="14">
        <f>IF(AQ967="1",BI967,0)</f>
        <v>0</v>
      </c>
      <c r="AD967" s="14">
        <f>IF(AQ967="7",BH967,0)</f>
        <v>0</v>
      </c>
      <c r="AE967" s="14">
        <f>IF(AQ967="7",BI967,0)</f>
        <v>0</v>
      </c>
      <c r="AF967" s="14">
        <f>IF(AQ967="2",BH967,0)</f>
        <v>0</v>
      </c>
      <c r="AG967" s="14">
        <f>IF(AQ967="2",BI967,0)</f>
        <v>0</v>
      </c>
      <c r="AH967" s="14">
        <f>IF(AQ967="0",BJ967,0)</f>
        <v>0</v>
      </c>
      <c r="AI967" s="15" t="s">
        <v>557</v>
      </c>
      <c r="AJ967" s="14">
        <f>IF(AN967=0,L967,0)</f>
        <v>0</v>
      </c>
      <c r="AK967" s="14">
        <f>IF(AN967=15,L967,0)</f>
        <v>0</v>
      </c>
      <c r="AL967" s="14">
        <f>IF(AN967=21,L967,0)</f>
        <v>0</v>
      </c>
      <c r="AN967" s="14">
        <v>21</v>
      </c>
      <c r="AO967" s="92">
        <f>H967*0.405542372881356</f>
        <v>0</v>
      </c>
      <c r="AP967" s="92">
        <f>H967*(1-0.405542372881356)</f>
        <v>0</v>
      </c>
      <c r="AQ967" s="55" t="s">
        <v>2435</v>
      </c>
      <c r="AV967" s="14">
        <f>AW967+AX967</f>
        <v>0</v>
      </c>
      <c r="AW967" s="14">
        <f>G967*AO967</f>
        <v>0</v>
      </c>
      <c r="AX967" s="14">
        <f>G967*AP967</f>
        <v>0</v>
      </c>
      <c r="AY967" s="55" t="s">
        <v>1951</v>
      </c>
      <c r="AZ967" s="55" t="s">
        <v>831</v>
      </c>
      <c r="BA967" s="15" t="s">
        <v>1982</v>
      </c>
      <c r="BC967" s="14">
        <f>AW967+AX967</f>
        <v>0</v>
      </c>
      <c r="BD967" s="14">
        <f>H967/(100-BE967)*100</f>
        <v>0</v>
      </c>
      <c r="BE967" s="14">
        <v>0</v>
      </c>
      <c r="BF967" s="14">
        <f>O967</f>
        <v>0.50127999999999995</v>
      </c>
      <c r="BH967" s="14">
        <f>G967*AO967</f>
        <v>0</v>
      </c>
      <c r="BI967" s="14">
        <f>G967*AP967</f>
        <v>0</v>
      </c>
      <c r="BJ967" s="14">
        <f>G967*H967</f>
        <v>0</v>
      </c>
      <c r="BK967" s="14"/>
      <c r="BL967" s="14">
        <v>764</v>
      </c>
      <c r="BW967" s="14" t="str">
        <f>I967</f>
        <v>21</v>
      </c>
    </row>
    <row r="968" spans="1:75" ht="15" customHeight="1">
      <c r="A968" s="32"/>
      <c r="D968" s="3" t="s">
        <v>1568</v>
      </c>
      <c r="E968" s="28" t="s">
        <v>1579</v>
      </c>
      <c r="G968" s="27">
        <v>52.000000000000007</v>
      </c>
      <c r="P968" s="33"/>
    </row>
    <row r="969" spans="1:75" ht="15" customHeight="1">
      <c r="A969" s="32"/>
      <c r="D969" s="3" t="s">
        <v>1568</v>
      </c>
      <c r="E969" s="28" t="s">
        <v>2584</v>
      </c>
      <c r="G969" s="27">
        <v>52.000000000000007</v>
      </c>
      <c r="P969" s="33"/>
    </row>
    <row r="970" spans="1:75" ht="13.5" customHeight="1">
      <c r="A970" s="21" t="s">
        <v>1868</v>
      </c>
      <c r="B970" s="37" t="s">
        <v>557</v>
      </c>
      <c r="C970" s="37" t="s">
        <v>2571</v>
      </c>
      <c r="D970" s="578" t="s">
        <v>2244</v>
      </c>
      <c r="E970" s="579"/>
      <c r="F970" s="37" t="s">
        <v>2019</v>
      </c>
      <c r="G970" s="14">
        <v>32.4</v>
      </c>
      <c r="H970" s="569"/>
      <c r="I970" s="55" t="s">
        <v>1720</v>
      </c>
      <c r="J970" s="14">
        <f>G970*AO970</f>
        <v>0</v>
      </c>
      <c r="K970" s="14">
        <f>G970*AP970</f>
        <v>0</v>
      </c>
      <c r="L970" s="14">
        <f>G970*H970</f>
        <v>0</v>
      </c>
      <c r="M970" s="14">
        <f>L970*(1+BW970/100)</f>
        <v>0</v>
      </c>
      <c r="N970" s="14">
        <v>1.9300000000000001E-3</v>
      </c>
      <c r="O970" s="14">
        <f>G970*N970</f>
        <v>6.2532000000000004E-2</v>
      </c>
      <c r="P970" s="72" t="s">
        <v>1664</v>
      </c>
      <c r="Z970" s="14">
        <f>IF(AQ970="5",BJ970,0)</f>
        <v>0</v>
      </c>
      <c r="AB970" s="14">
        <f>IF(AQ970="1",BH970,0)</f>
        <v>0</v>
      </c>
      <c r="AC970" s="14">
        <f>IF(AQ970="1",BI970,0)</f>
        <v>0</v>
      </c>
      <c r="AD970" s="14">
        <f>IF(AQ970="7",BH970,0)</f>
        <v>0</v>
      </c>
      <c r="AE970" s="14">
        <f>IF(AQ970="7",BI970,0)</f>
        <v>0</v>
      </c>
      <c r="AF970" s="14">
        <f>IF(AQ970="2",BH970,0)</f>
        <v>0</v>
      </c>
      <c r="AG970" s="14">
        <f>IF(AQ970="2",BI970,0)</f>
        <v>0</v>
      </c>
      <c r="AH970" s="14">
        <f>IF(AQ970="0",BJ970,0)</f>
        <v>0</v>
      </c>
      <c r="AI970" s="15" t="s">
        <v>557</v>
      </c>
      <c r="AJ970" s="14">
        <f>IF(AN970=0,L970,0)</f>
        <v>0</v>
      </c>
      <c r="AK970" s="14">
        <f>IF(AN970=15,L970,0)</f>
        <v>0</v>
      </c>
      <c r="AL970" s="14">
        <f>IF(AN970=21,L970,0)</f>
        <v>0</v>
      </c>
      <c r="AN970" s="14">
        <v>21</v>
      </c>
      <c r="AO970" s="92">
        <f>H970*0.543365079365079</f>
        <v>0</v>
      </c>
      <c r="AP970" s="92">
        <f>H970*(1-0.543365079365079)</f>
        <v>0</v>
      </c>
      <c r="AQ970" s="55" t="s">
        <v>2435</v>
      </c>
      <c r="AV970" s="14">
        <f>AW970+AX970</f>
        <v>0</v>
      </c>
      <c r="AW970" s="14">
        <f>G970*AO970</f>
        <v>0</v>
      </c>
      <c r="AX970" s="14">
        <f>G970*AP970</f>
        <v>0</v>
      </c>
      <c r="AY970" s="55" t="s">
        <v>1951</v>
      </c>
      <c r="AZ970" s="55" t="s">
        <v>831</v>
      </c>
      <c r="BA970" s="15" t="s">
        <v>1982</v>
      </c>
      <c r="BC970" s="14">
        <f>AW970+AX970</f>
        <v>0</v>
      </c>
      <c r="BD970" s="14">
        <f>H970/(100-BE970)*100</f>
        <v>0</v>
      </c>
      <c r="BE970" s="14">
        <v>0</v>
      </c>
      <c r="BF970" s="14">
        <f>O970</f>
        <v>6.2532000000000004E-2</v>
      </c>
      <c r="BH970" s="14">
        <f>G970*AO970</f>
        <v>0</v>
      </c>
      <c r="BI970" s="14">
        <f>G970*AP970</f>
        <v>0</v>
      </c>
      <c r="BJ970" s="14">
        <f>G970*H970</f>
        <v>0</v>
      </c>
      <c r="BK970" s="14"/>
      <c r="BL970" s="14">
        <v>764</v>
      </c>
      <c r="BW970" s="14" t="str">
        <f>I970</f>
        <v>21</v>
      </c>
    </row>
    <row r="971" spans="1:75" ht="15" customHeight="1">
      <c r="A971" s="32"/>
      <c r="D971" s="3" t="s">
        <v>1958</v>
      </c>
      <c r="E971" s="28" t="s">
        <v>1683</v>
      </c>
      <c r="G971" s="27">
        <v>32.400000000000006</v>
      </c>
      <c r="P971" s="33"/>
    </row>
    <row r="972" spans="1:75" ht="13.5" customHeight="1">
      <c r="A972" s="21" t="s">
        <v>1775</v>
      </c>
      <c r="B972" s="37" t="s">
        <v>557</v>
      </c>
      <c r="C972" s="37" t="s">
        <v>2222</v>
      </c>
      <c r="D972" s="578" t="s">
        <v>2783</v>
      </c>
      <c r="E972" s="579"/>
      <c r="F972" s="37" t="s">
        <v>2398</v>
      </c>
      <c r="G972" s="14">
        <v>11.65</v>
      </c>
      <c r="H972" s="569"/>
      <c r="I972" s="55" t="s">
        <v>1720</v>
      </c>
      <c r="J972" s="14">
        <f>G972*AO972</f>
        <v>0</v>
      </c>
      <c r="K972" s="14">
        <f>G972*AP972</f>
        <v>0</v>
      </c>
      <c r="L972" s="14">
        <f>G972*H972</f>
        <v>0</v>
      </c>
      <c r="M972" s="14">
        <f>L972*(1+BW972/100)</f>
        <v>0</v>
      </c>
      <c r="N972" s="14">
        <v>8.3499999999999998E-3</v>
      </c>
      <c r="O972" s="14">
        <f>G972*N972</f>
        <v>9.7277500000000003E-2</v>
      </c>
      <c r="P972" s="72" t="s">
        <v>1664</v>
      </c>
      <c r="Z972" s="14">
        <f>IF(AQ972="5",BJ972,0)</f>
        <v>0</v>
      </c>
      <c r="AB972" s="14">
        <f>IF(AQ972="1",BH972,0)</f>
        <v>0</v>
      </c>
      <c r="AC972" s="14">
        <f>IF(AQ972="1",BI972,0)</f>
        <v>0</v>
      </c>
      <c r="AD972" s="14">
        <f>IF(AQ972="7",BH972,0)</f>
        <v>0</v>
      </c>
      <c r="AE972" s="14">
        <f>IF(AQ972="7",BI972,0)</f>
        <v>0</v>
      </c>
      <c r="AF972" s="14">
        <f>IF(AQ972="2",BH972,0)</f>
        <v>0</v>
      </c>
      <c r="AG972" s="14">
        <f>IF(AQ972="2",BI972,0)</f>
        <v>0</v>
      </c>
      <c r="AH972" s="14">
        <f>IF(AQ972="0",BJ972,0)</f>
        <v>0</v>
      </c>
      <c r="AI972" s="15" t="s">
        <v>557</v>
      </c>
      <c r="AJ972" s="14">
        <f>IF(AN972=0,L972,0)</f>
        <v>0</v>
      </c>
      <c r="AK972" s="14">
        <f>IF(AN972=15,L972,0)</f>
        <v>0</v>
      </c>
      <c r="AL972" s="14">
        <f>IF(AN972=21,L972,0)</f>
        <v>0</v>
      </c>
      <c r="AN972" s="14">
        <v>21</v>
      </c>
      <c r="AO972" s="92">
        <f>H972*0.288315392895587</f>
        <v>0</v>
      </c>
      <c r="AP972" s="92">
        <f>H972*(1-0.288315392895587)</f>
        <v>0</v>
      </c>
      <c r="AQ972" s="55" t="s">
        <v>2435</v>
      </c>
      <c r="AV972" s="14">
        <f>AW972+AX972</f>
        <v>0</v>
      </c>
      <c r="AW972" s="14">
        <f>G972*AO972</f>
        <v>0</v>
      </c>
      <c r="AX972" s="14">
        <f>G972*AP972</f>
        <v>0</v>
      </c>
      <c r="AY972" s="55" t="s">
        <v>1951</v>
      </c>
      <c r="AZ972" s="55" t="s">
        <v>831</v>
      </c>
      <c r="BA972" s="15" t="s">
        <v>1982</v>
      </c>
      <c r="BC972" s="14">
        <f>AW972+AX972</f>
        <v>0</v>
      </c>
      <c r="BD972" s="14">
        <f>H972/(100-BE972)*100</f>
        <v>0</v>
      </c>
      <c r="BE972" s="14">
        <v>0</v>
      </c>
      <c r="BF972" s="14">
        <f>O972</f>
        <v>9.7277500000000003E-2</v>
      </c>
      <c r="BH972" s="14">
        <f>G972*AO972</f>
        <v>0</v>
      </c>
      <c r="BI972" s="14">
        <f>G972*AP972</f>
        <v>0</v>
      </c>
      <c r="BJ972" s="14">
        <f>G972*H972</f>
        <v>0</v>
      </c>
      <c r="BK972" s="14"/>
      <c r="BL972" s="14">
        <v>764</v>
      </c>
      <c r="BW972" s="14" t="str">
        <f>I972</f>
        <v>21</v>
      </c>
    </row>
    <row r="973" spans="1:75" ht="15" customHeight="1">
      <c r="A973" s="32"/>
      <c r="D973" s="3" t="s">
        <v>374</v>
      </c>
      <c r="E973" s="28" t="s">
        <v>47</v>
      </c>
      <c r="G973" s="27">
        <v>11.65</v>
      </c>
      <c r="P973" s="33"/>
    </row>
    <row r="974" spans="1:75" ht="27" customHeight="1">
      <c r="A974" s="21" t="s">
        <v>1478</v>
      </c>
      <c r="B974" s="37" t="s">
        <v>557</v>
      </c>
      <c r="C974" s="37" t="s">
        <v>85</v>
      </c>
      <c r="D974" s="578" t="s">
        <v>2696</v>
      </c>
      <c r="E974" s="579"/>
      <c r="F974" s="37" t="s">
        <v>2019</v>
      </c>
      <c r="G974" s="14">
        <v>50</v>
      </c>
      <c r="H974" s="569"/>
      <c r="I974" s="55" t="s">
        <v>1720</v>
      </c>
      <c r="J974" s="14">
        <f>G974*AO974</f>
        <v>0</v>
      </c>
      <c r="K974" s="14">
        <f>G974*AP974</f>
        <v>0</v>
      </c>
      <c r="L974" s="14">
        <f>G974*H974</f>
        <v>0</v>
      </c>
      <c r="M974" s="14">
        <f>L974*(1+BW974/100)</f>
        <v>0</v>
      </c>
      <c r="N974" s="14">
        <v>3.0799999999999998E-3</v>
      </c>
      <c r="O974" s="14">
        <f>G974*N974</f>
        <v>0.154</v>
      </c>
      <c r="P974" s="72" t="s">
        <v>1664</v>
      </c>
      <c r="Z974" s="14">
        <f>IF(AQ974="5",BJ974,0)</f>
        <v>0</v>
      </c>
      <c r="AB974" s="14">
        <f>IF(AQ974="1",BH974,0)</f>
        <v>0</v>
      </c>
      <c r="AC974" s="14">
        <f>IF(AQ974="1",BI974,0)</f>
        <v>0</v>
      </c>
      <c r="AD974" s="14">
        <f>IF(AQ974="7",BH974,0)</f>
        <v>0</v>
      </c>
      <c r="AE974" s="14">
        <f>IF(AQ974="7",BI974,0)</f>
        <v>0</v>
      </c>
      <c r="AF974" s="14">
        <f>IF(AQ974="2",BH974,0)</f>
        <v>0</v>
      </c>
      <c r="AG974" s="14">
        <f>IF(AQ974="2",BI974,0)</f>
        <v>0</v>
      </c>
      <c r="AH974" s="14">
        <f>IF(AQ974="0",BJ974,0)</f>
        <v>0</v>
      </c>
      <c r="AI974" s="15" t="s">
        <v>557</v>
      </c>
      <c r="AJ974" s="14">
        <f>IF(AN974=0,L974,0)</f>
        <v>0</v>
      </c>
      <c r="AK974" s="14">
        <f>IF(AN974=15,L974,0)</f>
        <v>0</v>
      </c>
      <c r="AL974" s="14">
        <f>IF(AN974=21,L974,0)</f>
        <v>0</v>
      </c>
      <c r="AN974" s="14">
        <v>21</v>
      </c>
      <c r="AO974" s="92">
        <f>H974*0.384771463251146</f>
        <v>0</v>
      </c>
      <c r="AP974" s="92">
        <f>H974*(1-0.384771463251146)</f>
        <v>0</v>
      </c>
      <c r="AQ974" s="55" t="s">
        <v>2435</v>
      </c>
      <c r="AV974" s="14">
        <f>AW974+AX974</f>
        <v>0</v>
      </c>
      <c r="AW974" s="14">
        <f>G974*AO974</f>
        <v>0</v>
      </c>
      <c r="AX974" s="14">
        <f>G974*AP974</f>
        <v>0</v>
      </c>
      <c r="AY974" s="55" t="s">
        <v>1951</v>
      </c>
      <c r="AZ974" s="55" t="s">
        <v>831</v>
      </c>
      <c r="BA974" s="15" t="s">
        <v>1982</v>
      </c>
      <c r="BC974" s="14">
        <f>AW974+AX974</f>
        <v>0</v>
      </c>
      <c r="BD974" s="14">
        <f>H974/(100-BE974)*100</f>
        <v>0</v>
      </c>
      <c r="BE974" s="14">
        <v>0</v>
      </c>
      <c r="BF974" s="14">
        <f>O974</f>
        <v>0.154</v>
      </c>
      <c r="BH974" s="14">
        <f>G974*AO974</f>
        <v>0</v>
      </c>
      <c r="BI974" s="14">
        <f>G974*AP974</f>
        <v>0</v>
      </c>
      <c r="BJ974" s="14">
        <f>G974*H974</f>
        <v>0</v>
      </c>
      <c r="BK974" s="14"/>
      <c r="BL974" s="14">
        <v>764</v>
      </c>
      <c r="BW974" s="14" t="str">
        <f>I974</f>
        <v>21</v>
      </c>
    </row>
    <row r="975" spans="1:75" ht="13.5" customHeight="1">
      <c r="A975" s="21" t="s">
        <v>1602</v>
      </c>
      <c r="B975" s="37" t="s">
        <v>557</v>
      </c>
      <c r="C975" s="37" t="s">
        <v>2712</v>
      </c>
      <c r="D975" s="578" t="s">
        <v>1731</v>
      </c>
      <c r="E975" s="579"/>
      <c r="F975" s="37" t="s">
        <v>595</v>
      </c>
      <c r="G975" s="14">
        <v>2</v>
      </c>
      <c r="H975" s="569"/>
      <c r="I975" s="55" t="s">
        <v>1720</v>
      </c>
      <c r="J975" s="14">
        <f>G975*AO975</f>
        <v>0</v>
      </c>
      <c r="K975" s="14">
        <f>G975*AP975</f>
        <v>0</v>
      </c>
      <c r="L975" s="14">
        <f>G975*H975</f>
        <v>0</v>
      </c>
      <c r="M975" s="14">
        <f>L975*(1+BW975/100)</f>
        <v>0</v>
      </c>
      <c r="N975" s="14">
        <v>2.0000000000000002E-5</v>
      </c>
      <c r="O975" s="14">
        <f>G975*N975</f>
        <v>4.0000000000000003E-5</v>
      </c>
      <c r="P975" s="72" t="s">
        <v>1664</v>
      </c>
      <c r="Z975" s="14">
        <f>IF(AQ975="5",BJ975,0)</f>
        <v>0</v>
      </c>
      <c r="AB975" s="14">
        <f>IF(AQ975="1",BH975,0)</f>
        <v>0</v>
      </c>
      <c r="AC975" s="14">
        <f>IF(AQ975="1",BI975,0)</f>
        <v>0</v>
      </c>
      <c r="AD975" s="14">
        <f>IF(AQ975="7",BH975,0)</f>
        <v>0</v>
      </c>
      <c r="AE975" s="14">
        <f>IF(AQ975="7",BI975,0)</f>
        <v>0</v>
      </c>
      <c r="AF975" s="14">
        <f>IF(AQ975="2",BH975,0)</f>
        <v>0</v>
      </c>
      <c r="AG975" s="14">
        <f>IF(AQ975="2",BI975,0)</f>
        <v>0</v>
      </c>
      <c r="AH975" s="14">
        <f>IF(AQ975="0",BJ975,0)</f>
        <v>0</v>
      </c>
      <c r="AI975" s="15" t="s">
        <v>557</v>
      </c>
      <c r="AJ975" s="14">
        <f>IF(AN975=0,L975,0)</f>
        <v>0</v>
      </c>
      <c r="AK975" s="14">
        <f>IF(AN975=15,L975,0)</f>
        <v>0</v>
      </c>
      <c r="AL975" s="14">
        <f>IF(AN975=21,L975,0)</f>
        <v>0</v>
      </c>
      <c r="AN975" s="14">
        <v>21</v>
      </c>
      <c r="AO975" s="92">
        <f>H975*0.0488594164456233</f>
        <v>0</v>
      </c>
      <c r="AP975" s="92">
        <f>H975*(1-0.0488594164456233)</f>
        <v>0</v>
      </c>
      <c r="AQ975" s="55" t="s">
        <v>2435</v>
      </c>
      <c r="AV975" s="14">
        <f>AW975+AX975</f>
        <v>0</v>
      </c>
      <c r="AW975" s="14">
        <f>G975*AO975</f>
        <v>0</v>
      </c>
      <c r="AX975" s="14">
        <f>G975*AP975</f>
        <v>0</v>
      </c>
      <c r="AY975" s="55" t="s">
        <v>1951</v>
      </c>
      <c r="AZ975" s="55" t="s">
        <v>831</v>
      </c>
      <c r="BA975" s="15" t="s">
        <v>1982</v>
      </c>
      <c r="BC975" s="14">
        <f>AW975+AX975</f>
        <v>0</v>
      </c>
      <c r="BD975" s="14">
        <f>H975/(100-BE975)*100</f>
        <v>0</v>
      </c>
      <c r="BE975" s="14">
        <v>0</v>
      </c>
      <c r="BF975" s="14">
        <f>O975</f>
        <v>4.0000000000000003E-5</v>
      </c>
      <c r="BH975" s="14">
        <f>G975*AO975</f>
        <v>0</v>
      </c>
      <c r="BI975" s="14">
        <f>G975*AP975</f>
        <v>0</v>
      </c>
      <c r="BJ975" s="14">
        <f>G975*H975</f>
        <v>0</v>
      </c>
      <c r="BK975" s="14"/>
      <c r="BL975" s="14">
        <v>764</v>
      </c>
      <c r="BW975" s="14" t="str">
        <f>I975</f>
        <v>21</v>
      </c>
    </row>
    <row r="976" spans="1:75" ht="15" customHeight="1">
      <c r="A976" s="32"/>
      <c r="D976" s="3" t="s">
        <v>1676</v>
      </c>
      <c r="E976" s="28" t="s">
        <v>1683</v>
      </c>
      <c r="G976" s="27">
        <v>2</v>
      </c>
      <c r="P976" s="33"/>
    </row>
    <row r="977" spans="1:75" ht="13.5" customHeight="1">
      <c r="A977" s="21" t="s">
        <v>1866</v>
      </c>
      <c r="B977" s="37" t="s">
        <v>557</v>
      </c>
      <c r="C977" s="37" t="s">
        <v>1498</v>
      </c>
      <c r="D977" s="578" t="s">
        <v>1766</v>
      </c>
      <c r="E977" s="579"/>
      <c r="F977" s="37" t="s">
        <v>595</v>
      </c>
      <c r="G977" s="14">
        <v>50</v>
      </c>
      <c r="H977" s="569"/>
      <c r="I977" s="55" t="s">
        <v>1720</v>
      </c>
      <c r="J977" s="14">
        <f>G977*AO977</f>
        <v>0</v>
      </c>
      <c r="K977" s="14">
        <f>G977*AP977</f>
        <v>0</v>
      </c>
      <c r="L977" s="14">
        <f>G977*H977</f>
        <v>0</v>
      </c>
      <c r="M977" s="14">
        <f>L977*(1+BW977/100)</f>
        <v>0</v>
      </c>
      <c r="N977" s="14">
        <v>5.0000000000000002E-5</v>
      </c>
      <c r="O977" s="14">
        <f>G977*N977</f>
        <v>2.5000000000000001E-3</v>
      </c>
      <c r="P977" s="72" t="s">
        <v>1664</v>
      </c>
      <c r="Z977" s="14">
        <f>IF(AQ977="5",BJ977,0)</f>
        <v>0</v>
      </c>
      <c r="AB977" s="14">
        <f>IF(AQ977="1",BH977,0)</f>
        <v>0</v>
      </c>
      <c r="AC977" s="14">
        <f>IF(AQ977="1",BI977,0)</f>
        <v>0</v>
      </c>
      <c r="AD977" s="14">
        <f>IF(AQ977="7",BH977,0)</f>
        <v>0</v>
      </c>
      <c r="AE977" s="14">
        <f>IF(AQ977="7",BI977,0)</f>
        <v>0</v>
      </c>
      <c r="AF977" s="14">
        <f>IF(AQ977="2",BH977,0)</f>
        <v>0</v>
      </c>
      <c r="AG977" s="14">
        <f>IF(AQ977="2",BI977,0)</f>
        <v>0</v>
      </c>
      <c r="AH977" s="14">
        <f>IF(AQ977="0",BJ977,0)</f>
        <v>0</v>
      </c>
      <c r="AI977" s="15" t="s">
        <v>557</v>
      </c>
      <c r="AJ977" s="14">
        <f>IF(AN977=0,L977,0)</f>
        <v>0</v>
      </c>
      <c r="AK977" s="14">
        <f>IF(AN977=15,L977,0)</f>
        <v>0</v>
      </c>
      <c r="AL977" s="14">
        <f>IF(AN977=21,L977,0)</f>
        <v>0</v>
      </c>
      <c r="AN977" s="14">
        <v>21</v>
      </c>
      <c r="AO977" s="92">
        <f>H977*0.128128724672229</f>
        <v>0</v>
      </c>
      <c r="AP977" s="92">
        <f>H977*(1-0.128128724672229)</f>
        <v>0</v>
      </c>
      <c r="AQ977" s="55" t="s">
        <v>2435</v>
      </c>
      <c r="AV977" s="14">
        <f>AW977+AX977</f>
        <v>0</v>
      </c>
      <c r="AW977" s="14">
        <f>G977*AO977</f>
        <v>0</v>
      </c>
      <c r="AX977" s="14">
        <f>G977*AP977</f>
        <v>0</v>
      </c>
      <c r="AY977" s="55" t="s">
        <v>1951</v>
      </c>
      <c r="AZ977" s="55" t="s">
        <v>831</v>
      </c>
      <c r="BA977" s="15" t="s">
        <v>1982</v>
      </c>
      <c r="BC977" s="14">
        <f>AW977+AX977</f>
        <v>0</v>
      </c>
      <c r="BD977" s="14">
        <f>H977/(100-BE977)*100</f>
        <v>0</v>
      </c>
      <c r="BE977" s="14">
        <v>0</v>
      </c>
      <c r="BF977" s="14">
        <f>O977</f>
        <v>2.5000000000000001E-3</v>
      </c>
      <c r="BH977" s="14">
        <f>G977*AO977</f>
        <v>0</v>
      </c>
      <c r="BI977" s="14">
        <f>G977*AP977</f>
        <v>0</v>
      </c>
      <c r="BJ977" s="14">
        <f>G977*H977</f>
        <v>0</v>
      </c>
      <c r="BK977" s="14"/>
      <c r="BL977" s="14">
        <v>764</v>
      </c>
      <c r="BW977" s="14" t="str">
        <f>I977</f>
        <v>21</v>
      </c>
    </row>
    <row r="978" spans="1:75" ht="15" customHeight="1">
      <c r="A978" s="32"/>
      <c r="D978" s="3" t="s">
        <v>1999</v>
      </c>
      <c r="E978" s="28" t="s">
        <v>1683</v>
      </c>
      <c r="G978" s="27">
        <v>50.000000000000007</v>
      </c>
      <c r="P978" s="33"/>
    </row>
    <row r="979" spans="1:75" ht="13.5" customHeight="1">
      <c r="A979" s="21" t="s">
        <v>1611</v>
      </c>
      <c r="B979" s="37" t="s">
        <v>557</v>
      </c>
      <c r="C979" s="37" t="s">
        <v>1634</v>
      </c>
      <c r="D979" s="578" t="s">
        <v>743</v>
      </c>
      <c r="E979" s="579"/>
      <c r="F979" s="37" t="s">
        <v>2019</v>
      </c>
      <c r="G979" s="14">
        <v>32</v>
      </c>
      <c r="H979" s="569"/>
      <c r="I979" s="55" t="s">
        <v>1720</v>
      </c>
      <c r="J979" s="14">
        <f>G979*AO979</f>
        <v>0</v>
      </c>
      <c r="K979" s="14">
        <f>G979*AP979</f>
        <v>0</v>
      </c>
      <c r="L979" s="14">
        <f>G979*H979</f>
        <v>0</v>
      </c>
      <c r="M979" s="14">
        <f>L979*(1+BW979/100)</f>
        <v>0</v>
      </c>
      <c r="N979" s="14">
        <v>3.8600000000000001E-3</v>
      </c>
      <c r="O979" s="14">
        <f>G979*N979</f>
        <v>0.12352</v>
      </c>
      <c r="P979" s="72" t="s">
        <v>1664</v>
      </c>
      <c r="Z979" s="14">
        <f>IF(AQ979="5",BJ979,0)</f>
        <v>0</v>
      </c>
      <c r="AB979" s="14">
        <f>IF(AQ979="1",BH979,0)</f>
        <v>0</v>
      </c>
      <c r="AC979" s="14">
        <f>IF(AQ979="1",BI979,0)</f>
        <v>0</v>
      </c>
      <c r="AD979" s="14">
        <f>IF(AQ979="7",BH979,0)</f>
        <v>0</v>
      </c>
      <c r="AE979" s="14">
        <f>IF(AQ979="7",BI979,0)</f>
        <v>0</v>
      </c>
      <c r="AF979" s="14">
        <f>IF(AQ979="2",BH979,0)</f>
        <v>0</v>
      </c>
      <c r="AG979" s="14">
        <f>IF(AQ979="2",BI979,0)</f>
        <v>0</v>
      </c>
      <c r="AH979" s="14">
        <f>IF(AQ979="0",BJ979,0)</f>
        <v>0</v>
      </c>
      <c r="AI979" s="15" t="s">
        <v>557</v>
      </c>
      <c r="AJ979" s="14">
        <f>IF(AN979=0,L979,0)</f>
        <v>0</v>
      </c>
      <c r="AK979" s="14">
        <f>IF(AN979=15,L979,0)</f>
        <v>0</v>
      </c>
      <c r="AL979" s="14">
        <f>IF(AN979=21,L979,0)</f>
        <v>0</v>
      </c>
      <c r="AN979" s="14">
        <v>21</v>
      </c>
      <c r="AO979" s="92">
        <f>H979*0.420960854092527</f>
        <v>0</v>
      </c>
      <c r="AP979" s="92">
        <f>H979*(1-0.420960854092527)</f>
        <v>0</v>
      </c>
      <c r="AQ979" s="55" t="s">
        <v>2435</v>
      </c>
      <c r="AV979" s="14">
        <f>AW979+AX979</f>
        <v>0</v>
      </c>
      <c r="AW979" s="14">
        <f>G979*AO979</f>
        <v>0</v>
      </c>
      <c r="AX979" s="14">
        <f>G979*AP979</f>
        <v>0</v>
      </c>
      <c r="AY979" s="55" t="s">
        <v>1951</v>
      </c>
      <c r="AZ979" s="55" t="s">
        <v>831</v>
      </c>
      <c r="BA979" s="15" t="s">
        <v>1982</v>
      </c>
      <c r="BC979" s="14">
        <f>AW979+AX979</f>
        <v>0</v>
      </c>
      <c r="BD979" s="14">
        <f>H979/(100-BE979)*100</f>
        <v>0</v>
      </c>
      <c r="BE979" s="14">
        <v>0</v>
      </c>
      <c r="BF979" s="14">
        <f>O979</f>
        <v>0.12352</v>
      </c>
      <c r="BH979" s="14">
        <f>G979*AO979</f>
        <v>0</v>
      </c>
      <c r="BI979" s="14">
        <f>G979*AP979</f>
        <v>0</v>
      </c>
      <c r="BJ979" s="14">
        <f>G979*H979</f>
        <v>0</v>
      </c>
      <c r="BK979" s="14"/>
      <c r="BL979" s="14">
        <v>764</v>
      </c>
      <c r="BW979" s="14" t="str">
        <f>I979</f>
        <v>21</v>
      </c>
    </row>
    <row r="980" spans="1:75" ht="15" customHeight="1">
      <c r="A980" s="32"/>
      <c r="D980" s="3" t="s">
        <v>2702</v>
      </c>
      <c r="E980" s="28" t="s">
        <v>1683</v>
      </c>
      <c r="G980" s="27">
        <v>32</v>
      </c>
      <c r="P980" s="33"/>
    </row>
    <row r="981" spans="1:75" ht="13.5" customHeight="1">
      <c r="A981" s="21" t="s">
        <v>2022</v>
      </c>
      <c r="B981" s="37" t="s">
        <v>557</v>
      </c>
      <c r="C981" s="37" t="s">
        <v>1439</v>
      </c>
      <c r="D981" s="578" t="s">
        <v>632</v>
      </c>
      <c r="E981" s="579"/>
      <c r="F981" s="37" t="s">
        <v>595</v>
      </c>
      <c r="G981" s="14">
        <v>50</v>
      </c>
      <c r="H981" s="569"/>
      <c r="I981" s="55" t="s">
        <v>1720</v>
      </c>
      <c r="J981" s="14">
        <f>G981*AO981</f>
        <v>0</v>
      </c>
      <c r="K981" s="14">
        <f>G981*AP981</f>
        <v>0</v>
      </c>
      <c r="L981" s="14">
        <f>G981*H981</f>
        <v>0</v>
      </c>
      <c r="M981" s="14">
        <f>L981*(1+BW981/100)</f>
        <v>0</v>
      </c>
      <c r="N981" s="14">
        <v>4.8500000000000001E-3</v>
      </c>
      <c r="O981" s="14">
        <f>G981*N981</f>
        <v>0.24249999999999999</v>
      </c>
      <c r="P981" s="72" t="s">
        <v>1664</v>
      </c>
      <c r="Z981" s="14">
        <f>IF(AQ981="5",BJ981,0)</f>
        <v>0</v>
      </c>
      <c r="AB981" s="14">
        <f>IF(AQ981="1",BH981,0)</f>
        <v>0</v>
      </c>
      <c r="AC981" s="14">
        <f>IF(AQ981="1",BI981,0)</f>
        <v>0</v>
      </c>
      <c r="AD981" s="14">
        <f>IF(AQ981="7",BH981,0)</f>
        <v>0</v>
      </c>
      <c r="AE981" s="14">
        <f>IF(AQ981="7",BI981,0)</f>
        <v>0</v>
      </c>
      <c r="AF981" s="14">
        <f>IF(AQ981="2",BH981,0)</f>
        <v>0</v>
      </c>
      <c r="AG981" s="14">
        <f>IF(AQ981="2",BI981,0)</f>
        <v>0</v>
      </c>
      <c r="AH981" s="14">
        <f>IF(AQ981="0",BJ981,0)</f>
        <v>0</v>
      </c>
      <c r="AI981" s="15" t="s">
        <v>557</v>
      </c>
      <c r="AJ981" s="14">
        <f>IF(AN981=0,L981,0)</f>
        <v>0</v>
      </c>
      <c r="AK981" s="14">
        <f>IF(AN981=15,L981,0)</f>
        <v>0</v>
      </c>
      <c r="AL981" s="14">
        <f>IF(AN981=21,L981,0)</f>
        <v>0</v>
      </c>
      <c r="AN981" s="14">
        <v>21</v>
      </c>
      <c r="AO981" s="92">
        <f>H981*0.528629343629344</f>
        <v>0</v>
      </c>
      <c r="AP981" s="92">
        <f>H981*(1-0.528629343629344)</f>
        <v>0</v>
      </c>
      <c r="AQ981" s="55" t="s">
        <v>2435</v>
      </c>
      <c r="AV981" s="14">
        <f>AW981+AX981</f>
        <v>0</v>
      </c>
      <c r="AW981" s="14">
        <f>G981*AO981</f>
        <v>0</v>
      </c>
      <c r="AX981" s="14">
        <f>G981*AP981</f>
        <v>0</v>
      </c>
      <c r="AY981" s="55" t="s">
        <v>1951</v>
      </c>
      <c r="AZ981" s="55" t="s">
        <v>831</v>
      </c>
      <c r="BA981" s="15" t="s">
        <v>1982</v>
      </c>
      <c r="BC981" s="14">
        <f>AW981+AX981</f>
        <v>0</v>
      </c>
      <c r="BD981" s="14">
        <f>H981/(100-BE981)*100</f>
        <v>0</v>
      </c>
      <c r="BE981" s="14">
        <v>0</v>
      </c>
      <c r="BF981" s="14">
        <f>O981</f>
        <v>0.24249999999999999</v>
      </c>
      <c r="BH981" s="14">
        <f>G981*AO981</f>
        <v>0</v>
      </c>
      <c r="BI981" s="14">
        <f>G981*AP981</f>
        <v>0</v>
      </c>
      <c r="BJ981" s="14">
        <f>G981*H981</f>
        <v>0</v>
      </c>
      <c r="BK981" s="14"/>
      <c r="BL981" s="14">
        <v>764</v>
      </c>
      <c r="BW981" s="14" t="str">
        <f>I981</f>
        <v>21</v>
      </c>
    </row>
    <row r="982" spans="1:75" ht="15" customHeight="1">
      <c r="A982" s="32"/>
      <c r="D982" s="3" t="s">
        <v>2558</v>
      </c>
      <c r="E982" s="28" t="s">
        <v>1683</v>
      </c>
      <c r="G982" s="27">
        <v>50.000000000000007</v>
      </c>
      <c r="P982" s="33"/>
    </row>
    <row r="983" spans="1:75" ht="13.5" customHeight="1">
      <c r="A983" s="21" t="s">
        <v>871</v>
      </c>
      <c r="B983" s="37" t="s">
        <v>557</v>
      </c>
      <c r="C983" s="37" t="s">
        <v>1025</v>
      </c>
      <c r="D983" s="578" t="s">
        <v>820</v>
      </c>
      <c r="E983" s="579"/>
      <c r="F983" s="37" t="s">
        <v>2019</v>
      </c>
      <c r="G983" s="14">
        <v>12</v>
      </c>
      <c r="H983" s="569"/>
      <c r="I983" s="55" t="s">
        <v>1720</v>
      </c>
      <c r="J983" s="14">
        <f>G983*AO983</f>
        <v>0</v>
      </c>
      <c r="K983" s="14">
        <f>G983*AP983</f>
        <v>0</v>
      </c>
      <c r="L983" s="14">
        <f>G983*H983</f>
        <v>0</v>
      </c>
      <c r="M983" s="14">
        <f>L983*(1+BW983/100)</f>
        <v>0</v>
      </c>
      <c r="N983" s="14">
        <v>3.1199999999999999E-3</v>
      </c>
      <c r="O983" s="14">
        <f>G983*N983</f>
        <v>3.7440000000000001E-2</v>
      </c>
      <c r="P983" s="72" t="s">
        <v>1664</v>
      </c>
      <c r="Z983" s="14">
        <f>IF(AQ983="5",BJ983,0)</f>
        <v>0</v>
      </c>
      <c r="AB983" s="14">
        <f>IF(AQ983="1",BH983,0)</f>
        <v>0</v>
      </c>
      <c r="AC983" s="14">
        <f>IF(AQ983="1",BI983,0)</f>
        <v>0</v>
      </c>
      <c r="AD983" s="14">
        <f>IF(AQ983="7",BH983,0)</f>
        <v>0</v>
      </c>
      <c r="AE983" s="14">
        <f>IF(AQ983="7",BI983,0)</f>
        <v>0</v>
      </c>
      <c r="AF983" s="14">
        <f>IF(AQ983="2",BH983,0)</f>
        <v>0</v>
      </c>
      <c r="AG983" s="14">
        <f>IF(AQ983="2",BI983,0)</f>
        <v>0</v>
      </c>
      <c r="AH983" s="14">
        <f>IF(AQ983="0",BJ983,0)</f>
        <v>0</v>
      </c>
      <c r="AI983" s="15" t="s">
        <v>557</v>
      </c>
      <c r="AJ983" s="14">
        <f>IF(AN983=0,L983,0)</f>
        <v>0</v>
      </c>
      <c r="AK983" s="14">
        <f>IF(AN983=15,L983,0)</f>
        <v>0</v>
      </c>
      <c r="AL983" s="14">
        <f>IF(AN983=21,L983,0)</f>
        <v>0</v>
      </c>
      <c r="AN983" s="14">
        <v>21</v>
      </c>
      <c r="AO983" s="92">
        <f>H983*0.827246835443038</f>
        <v>0</v>
      </c>
      <c r="AP983" s="92">
        <f>H983*(1-0.827246835443038)</f>
        <v>0</v>
      </c>
      <c r="AQ983" s="55" t="s">
        <v>2435</v>
      </c>
      <c r="AV983" s="14">
        <f>AW983+AX983</f>
        <v>0</v>
      </c>
      <c r="AW983" s="14">
        <f>G983*AO983</f>
        <v>0</v>
      </c>
      <c r="AX983" s="14">
        <f>G983*AP983</f>
        <v>0</v>
      </c>
      <c r="AY983" s="55" t="s">
        <v>1951</v>
      </c>
      <c r="AZ983" s="55" t="s">
        <v>831</v>
      </c>
      <c r="BA983" s="15" t="s">
        <v>1982</v>
      </c>
      <c r="BC983" s="14">
        <f>AW983+AX983</f>
        <v>0</v>
      </c>
      <c r="BD983" s="14">
        <f>H983/(100-BE983)*100</f>
        <v>0</v>
      </c>
      <c r="BE983" s="14">
        <v>0</v>
      </c>
      <c r="BF983" s="14">
        <f>O983</f>
        <v>3.7440000000000001E-2</v>
      </c>
      <c r="BH983" s="14">
        <f>G983*AO983</f>
        <v>0</v>
      </c>
      <c r="BI983" s="14">
        <f>G983*AP983</f>
        <v>0</v>
      </c>
      <c r="BJ983" s="14">
        <f>G983*H983</f>
        <v>0</v>
      </c>
      <c r="BK983" s="14"/>
      <c r="BL983" s="14">
        <v>764</v>
      </c>
      <c r="BW983" s="14" t="str">
        <f>I983</f>
        <v>21</v>
      </c>
    </row>
    <row r="984" spans="1:75" ht="15" customHeight="1">
      <c r="A984" s="32"/>
      <c r="D984" s="3" t="s">
        <v>2212</v>
      </c>
      <c r="E984" s="28" t="s">
        <v>1683</v>
      </c>
      <c r="G984" s="27">
        <v>12.000000000000002</v>
      </c>
      <c r="P984" s="33"/>
    </row>
    <row r="985" spans="1:75" ht="27" customHeight="1">
      <c r="A985" s="21" t="s">
        <v>558</v>
      </c>
      <c r="B985" s="37" t="s">
        <v>557</v>
      </c>
      <c r="C985" s="37" t="s">
        <v>752</v>
      </c>
      <c r="D985" s="578" t="s">
        <v>391</v>
      </c>
      <c r="E985" s="579"/>
      <c r="F985" s="37" t="s">
        <v>2019</v>
      </c>
      <c r="G985" s="14">
        <v>50</v>
      </c>
      <c r="H985" s="569"/>
      <c r="I985" s="55" t="s">
        <v>1720</v>
      </c>
      <c r="J985" s="14">
        <f>G985*AO985</f>
        <v>0</v>
      </c>
      <c r="K985" s="14">
        <f>G985*AP985</f>
        <v>0</v>
      </c>
      <c r="L985" s="14">
        <f>G985*H985</f>
        <v>0</v>
      </c>
      <c r="M985" s="14">
        <f>L985*(1+BW985/100)</f>
        <v>0</v>
      </c>
      <c r="N985" s="14">
        <v>6.9999999999999994E-5</v>
      </c>
      <c r="O985" s="14">
        <f>G985*N985</f>
        <v>3.4999999999999996E-3</v>
      </c>
      <c r="P985" s="72" t="s">
        <v>1664</v>
      </c>
      <c r="Z985" s="14">
        <f>IF(AQ985="5",BJ985,0)</f>
        <v>0</v>
      </c>
      <c r="AB985" s="14">
        <f>IF(AQ985="1",BH985,0)</f>
        <v>0</v>
      </c>
      <c r="AC985" s="14">
        <f>IF(AQ985="1",BI985,0)</f>
        <v>0</v>
      </c>
      <c r="AD985" s="14">
        <f>IF(AQ985="7",BH985,0)</f>
        <v>0</v>
      </c>
      <c r="AE985" s="14">
        <f>IF(AQ985="7",BI985,0)</f>
        <v>0</v>
      </c>
      <c r="AF985" s="14">
        <f>IF(AQ985="2",BH985,0)</f>
        <v>0</v>
      </c>
      <c r="AG985" s="14">
        <f>IF(AQ985="2",BI985,0)</f>
        <v>0</v>
      </c>
      <c r="AH985" s="14">
        <f>IF(AQ985="0",BJ985,0)</f>
        <v>0</v>
      </c>
      <c r="AI985" s="15" t="s">
        <v>557</v>
      </c>
      <c r="AJ985" s="14">
        <f>IF(AN985=0,L985,0)</f>
        <v>0</v>
      </c>
      <c r="AK985" s="14">
        <f>IF(AN985=15,L985,0)</f>
        <v>0</v>
      </c>
      <c r="AL985" s="14">
        <f>IF(AN985=21,L985,0)</f>
        <v>0</v>
      </c>
      <c r="AN985" s="14">
        <v>21</v>
      </c>
      <c r="AO985" s="92">
        <f>H985*0.137851037851038</f>
        <v>0</v>
      </c>
      <c r="AP985" s="92">
        <f>H985*(1-0.137851037851038)</f>
        <v>0</v>
      </c>
      <c r="AQ985" s="55" t="s">
        <v>2435</v>
      </c>
      <c r="AV985" s="14">
        <f>AW985+AX985</f>
        <v>0</v>
      </c>
      <c r="AW985" s="14">
        <f>G985*AO985</f>
        <v>0</v>
      </c>
      <c r="AX985" s="14">
        <f>G985*AP985</f>
        <v>0</v>
      </c>
      <c r="AY985" s="55" t="s">
        <v>1951</v>
      </c>
      <c r="AZ985" s="55" t="s">
        <v>831</v>
      </c>
      <c r="BA985" s="15" t="s">
        <v>1982</v>
      </c>
      <c r="BC985" s="14">
        <f>AW985+AX985</f>
        <v>0</v>
      </c>
      <c r="BD985" s="14">
        <f>H985/(100-BE985)*100</f>
        <v>0</v>
      </c>
      <c r="BE985" s="14">
        <v>0</v>
      </c>
      <c r="BF985" s="14">
        <f>O985</f>
        <v>3.4999999999999996E-3</v>
      </c>
      <c r="BH985" s="14">
        <f>G985*AO985</f>
        <v>0</v>
      </c>
      <c r="BI985" s="14">
        <f>G985*AP985</f>
        <v>0</v>
      </c>
      <c r="BJ985" s="14">
        <f>G985*H985</f>
        <v>0</v>
      </c>
      <c r="BK985" s="14"/>
      <c r="BL985" s="14">
        <v>764</v>
      </c>
      <c r="BW985" s="14" t="str">
        <f>I985</f>
        <v>21</v>
      </c>
    </row>
    <row r="986" spans="1:75" ht="15" customHeight="1">
      <c r="A986" s="32"/>
      <c r="D986" s="3" t="s">
        <v>727</v>
      </c>
      <c r="E986" s="28" t="s">
        <v>1683</v>
      </c>
      <c r="G986" s="27">
        <v>50.000000000000007</v>
      </c>
      <c r="P986" s="33"/>
    </row>
    <row r="987" spans="1:75" ht="13.5" customHeight="1">
      <c r="A987" s="20" t="s">
        <v>2697</v>
      </c>
      <c r="B987" s="84" t="s">
        <v>557</v>
      </c>
      <c r="C987" s="84" t="s">
        <v>1183</v>
      </c>
      <c r="D987" s="653" t="s">
        <v>155</v>
      </c>
      <c r="E987" s="654"/>
      <c r="F987" s="84" t="s">
        <v>595</v>
      </c>
      <c r="G987" s="6">
        <v>11</v>
      </c>
      <c r="H987" s="570"/>
      <c r="I987" s="18" t="s">
        <v>1720</v>
      </c>
      <c r="J987" s="6">
        <f>G987*AO987</f>
        <v>0</v>
      </c>
      <c r="K987" s="6">
        <f>G987*AP987</f>
        <v>0</v>
      </c>
      <c r="L987" s="6">
        <f>G987*H987</f>
        <v>0</v>
      </c>
      <c r="M987" s="6">
        <f>L987*(1+BW987/100)</f>
        <v>0</v>
      </c>
      <c r="N987" s="6">
        <v>1E-3</v>
      </c>
      <c r="O987" s="6">
        <f>G987*N987</f>
        <v>1.0999999999999999E-2</v>
      </c>
      <c r="P987" s="109" t="s">
        <v>1664</v>
      </c>
      <c r="Z987" s="14">
        <f>IF(AQ987="5",BJ987,0)</f>
        <v>0</v>
      </c>
      <c r="AB987" s="14">
        <f>IF(AQ987="1",BH987,0)</f>
        <v>0</v>
      </c>
      <c r="AC987" s="14">
        <f>IF(AQ987="1",BI987,0)</f>
        <v>0</v>
      </c>
      <c r="AD987" s="14">
        <f>IF(AQ987="7",BH987,0)</f>
        <v>0</v>
      </c>
      <c r="AE987" s="14">
        <f>IF(AQ987="7",BI987,0)</f>
        <v>0</v>
      </c>
      <c r="AF987" s="14">
        <f>IF(AQ987="2",BH987,0)</f>
        <v>0</v>
      </c>
      <c r="AG987" s="14">
        <f>IF(AQ987="2",BI987,0)</f>
        <v>0</v>
      </c>
      <c r="AH987" s="14">
        <f>IF(AQ987="0",BJ987,0)</f>
        <v>0</v>
      </c>
      <c r="AI987" s="15" t="s">
        <v>557</v>
      </c>
      <c r="AJ987" s="6">
        <f>IF(AN987=0,L987,0)</f>
        <v>0</v>
      </c>
      <c r="AK987" s="6">
        <f>IF(AN987=15,L987,0)</f>
        <v>0</v>
      </c>
      <c r="AL987" s="6">
        <f>IF(AN987=21,L987,0)</f>
        <v>0</v>
      </c>
      <c r="AN987" s="14">
        <v>21</v>
      </c>
      <c r="AO987" s="92">
        <f>H987*1</f>
        <v>0</v>
      </c>
      <c r="AP987" s="92">
        <f>H987*(1-1)</f>
        <v>0</v>
      </c>
      <c r="AQ987" s="18" t="s">
        <v>2435</v>
      </c>
      <c r="AV987" s="14">
        <f>AW987+AX987</f>
        <v>0</v>
      </c>
      <c r="AW987" s="14">
        <f>G987*AO987</f>
        <v>0</v>
      </c>
      <c r="AX987" s="14">
        <f>G987*AP987</f>
        <v>0</v>
      </c>
      <c r="AY987" s="55" t="s">
        <v>1951</v>
      </c>
      <c r="AZ987" s="55" t="s">
        <v>831</v>
      </c>
      <c r="BA987" s="15" t="s">
        <v>1982</v>
      </c>
      <c r="BC987" s="14">
        <f>AW987+AX987</f>
        <v>0</v>
      </c>
      <c r="BD987" s="14">
        <f>H987/(100-BE987)*100</f>
        <v>0</v>
      </c>
      <c r="BE987" s="14">
        <v>0</v>
      </c>
      <c r="BF987" s="14">
        <f>O987</f>
        <v>1.0999999999999999E-2</v>
      </c>
      <c r="BH987" s="6">
        <f>G987*AO987</f>
        <v>0</v>
      </c>
      <c r="BI987" s="6">
        <f>G987*AP987</f>
        <v>0</v>
      </c>
      <c r="BJ987" s="6">
        <f>G987*H987</f>
        <v>0</v>
      </c>
      <c r="BK987" s="6"/>
      <c r="BL987" s="14">
        <v>764</v>
      </c>
      <c r="BW987" s="14" t="str">
        <f>I987</f>
        <v>21</v>
      </c>
    </row>
    <row r="988" spans="1:75" ht="15" customHeight="1">
      <c r="A988" s="32"/>
      <c r="D988" s="3" t="s">
        <v>2763</v>
      </c>
      <c r="E988" s="28" t="s">
        <v>1683</v>
      </c>
      <c r="G988" s="27">
        <v>10</v>
      </c>
      <c r="P988" s="33"/>
    </row>
    <row r="989" spans="1:75" ht="15" customHeight="1">
      <c r="A989" s="32"/>
      <c r="D989" s="3" t="s">
        <v>1057</v>
      </c>
      <c r="E989" s="28" t="s">
        <v>1683</v>
      </c>
      <c r="G989" s="27">
        <v>1</v>
      </c>
      <c r="P989" s="33"/>
    </row>
    <row r="990" spans="1:75" ht="13.5" customHeight="1">
      <c r="A990" s="20" t="s">
        <v>237</v>
      </c>
      <c r="B990" s="84" t="s">
        <v>557</v>
      </c>
      <c r="C990" s="84" t="s">
        <v>282</v>
      </c>
      <c r="D990" s="653" t="s">
        <v>708</v>
      </c>
      <c r="E990" s="654"/>
      <c r="F990" s="84" t="s">
        <v>595</v>
      </c>
      <c r="G990" s="6">
        <v>13.75</v>
      </c>
      <c r="H990" s="570"/>
      <c r="I990" s="18" t="s">
        <v>1720</v>
      </c>
      <c r="J990" s="6">
        <f>G990*AO990</f>
        <v>0</v>
      </c>
      <c r="K990" s="6">
        <f>G990*AP990</f>
        <v>0</v>
      </c>
      <c r="L990" s="6">
        <f>G990*H990</f>
        <v>0</v>
      </c>
      <c r="M990" s="6">
        <f>L990*(1+BW990/100)</f>
        <v>0</v>
      </c>
      <c r="N990" s="6">
        <v>2E-3</v>
      </c>
      <c r="O990" s="6">
        <f>G990*N990</f>
        <v>2.75E-2</v>
      </c>
      <c r="P990" s="109" t="s">
        <v>1404</v>
      </c>
      <c r="Z990" s="14">
        <f>IF(AQ990="5",BJ990,0)</f>
        <v>0</v>
      </c>
      <c r="AB990" s="14">
        <f>IF(AQ990="1",BH990,0)</f>
        <v>0</v>
      </c>
      <c r="AC990" s="14">
        <f>IF(AQ990="1",BI990,0)</f>
        <v>0</v>
      </c>
      <c r="AD990" s="14">
        <f>IF(AQ990="7",BH990,0)</f>
        <v>0</v>
      </c>
      <c r="AE990" s="14">
        <f>IF(AQ990="7",BI990,0)</f>
        <v>0</v>
      </c>
      <c r="AF990" s="14">
        <f>IF(AQ990="2",BH990,0)</f>
        <v>0</v>
      </c>
      <c r="AG990" s="14">
        <f>IF(AQ990="2",BI990,0)</f>
        <v>0</v>
      </c>
      <c r="AH990" s="14">
        <f>IF(AQ990="0",BJ990,0)</f>
        <v>0</v>
      </c>
      <c r="AI990" s="15" t="s">
        <v>557</v>
      </c>
      <c r="AJ990" s="6">
        <f>IF(AN990=0,L990,0)</f>
        <v>0</v>
      </c>
      <c r="AK990" s="6">
        <f>IF(AN990=15,L990,0)</f>
        <v>0</v>
      </c>
      <c r="AL990" s="6">
        <f>IF(AN990=21,L990,0)</f>
        <v>0</v>
      </c>
      <c r="AN990" s="14">
        <v>21</v>
      </c>
      <c r="AO990" s="92">
        <f>H990*1</f>
        <v>0</v>
      </c>
      <c r="AP990" s="92">
        <f>H990*(1-1)</f>
        <v>0</v>
      </c>
      <c r="AQ990" s="18" t="s">
        <v>2435</v>
      </c>
      <c r="AV990" s="14">
        <f>AW990+AX990</f>
        <v>0</v>
      </c>
      <c r="AW990" s="14">
        <f>G990*AO990</f>
        <v>0</v>
      </c>
      <c r="AX990" s="14">
        <f>G990*AP990</f>
        <v>0</v>
      </c>
      <c r="AY990" s="55" t="s">
        <v>1951</v>
      </c>
      <c r="AZ990" s="55" t="s">
        <v>831</v>
      </c>
      <c r="BA990" s="15" t="s">
        <v>1982</v>
      </c>
      <c r="BC990" s="14">
        <f>AW990+AX990</f>
        <v>0</v>
      </c>
      <c r="BD990" s="14">
        <f>H990/(100-BE990)*100</f>
        <v>0</v>
      </c>
      <c r="BE990" s="14">
        <v>0</v>
      </c>
      <c r="BF990" s="14">
        <f>O990</f>
        <v>2.75E-2</v>
      </c>
      <c r="BH990" s="6">
        <f>G990*AO990</f>
        <v>0</v>
      </c>
      <c r="BI990" s="6">
        <f>G990*AP990</f>
        <v>0</v>
      </c>
      <c r="BJ990" s="6">
        <f>G990*H990</f>
        <v>0</v>
      </c>
      <c r="BK990" s="6"/>
      <c r="BL990" s="14">
        <v>764</v>
      </c>
      <c r="BW990" s="14" t="str">
        <f>I990</f>
        <v>21</v>
      </c>
    </row>
    <row r="991" spans="1:75" ht="15" customHeight="1">
      <c r="A991" s="32"/>
      <c r="D991" s="3" t="s">
        <v>2048</v>
      </c>
      <c r="E991" s="28" t="s">
        <v>1683</v>
      </c>
      <c r="G991" s="27">
        <v>12.500000000000002</v>
      </c>
      <c r="P991" s="33"/>
    </row>
    <row r="992" spans="1:75" ht="15" customHeight="1">
      <c r="A992" s="32"/>
      <c r="D992" s="3" t="s">
        <v>559</v>
      </c>
      <c r="E992" s="28" t="s">
        <v>1683</v>
      </c>
      <c r="G992" s="27">
        <v>1.25</v>
      </c>
      <c r="P992" s="33"/>
    </row>
    <row r="993" spans="1:75" ht="13.5" customHeight="1">
      <c r="A993" s="21" t="s">
        <v>970</v>
      </c>
      <c r="B993" s="37" t="s">
        <v>557</v>
      </c>
      <c r="C993" s="37" t="s">
        <v>1637</v>
      </c>
      <c r="D993" s="578" t="s">
        <v>1201</v>
      </c>
      <c r="E993" s="579"/>
      <c r="F993" s="37" t="s">
        <v>2019</v>
      </c>
      <c r="G993" s="14">
        <v>10</v>
      </c>
      <c r="H993" s="569"/>
      <c r="I993" s="55" t="s">
        <v>1720</v>
      </c>
      <c r="J993" s="14">
        <f>G993*AO993</f>
        <v>0</v>
      </c>
      <c r="K993" s="14">
        <f>G993*AP993</f>
        <v>0</v>
      </c>
      <c r="L993" s="14">
        <f>G993*H993</f>
        <v>0</v>
      </c>
      <c r="M993" s="14">
        <f>L993*(1+BW993/100)</f>
        <v>0</v>
      </c>
      <c r="N993" s="14">
        <v>3.0400000000000002E-3</v>
      </c>
      <c r="O993" s="14">
        <f>G993*N993</f>
        <v>3.0400000000000003E-2</v>
      </c>
      <c r="P993" s="72" t="s">
        <v>1664</v>
      </c>
      <c r="Z993" s="14">
        <f>IF(AQ993="5",BJ993,0)</f>
        <v>0</v>
      </c>
      <c r="AB993" s="14">
        <f>IF(AQ993="1",BH993,0)</f>
        <v>0</v>
      </c>
      <c r="AC993" s="14">
        <f>IF(AQ993="1",BI993,0)</f>
        <v>0</v>
      </c>
      <c r="AD993" s="14">
        <f>IF(AQ993="7",BH993,0)</f>
        <v>0</v>
      </c>
      <c r="AE993" s="14">
        <f>IF(AQ993="7",BI993,0)</f>
        <v>0</v>
      </c>
      <c r="AF993" s="14">
        <f>IF(AQ993="2",BH993,0)</f>
        <v>0</v>
      </c>
      <c r="AG993" s="14">
        <f>IF(AQ993="2",BI993,0)</f>
        <v>0</v>
      </c>
      <c r="AH993" s="14">
        <f>IF(AQ993="0",BJ993,0)</f>
        <v>0</v>
      </c>
      <c r="AI993" s="15" t="s">
        <v>557</v>
      </c>
      <c r="AJ993" s="14">
        <f>IF(AN993=0,L993,0)</f>
        <v>0</v>
      </c>
      <c r="AK993" s="14">
        <f>IF(AN993=15,L993,0)</f>
        <v>0</v>
      </c>
      <c r="AL993" s="14">
        <f>IF(AN993=21,L993,0)</f>
        <v>0</v>
      </c>
      <c r="AN993" s="14">
        <v>21</v>
      </c>
      <c r="AO993" s="92">
        <f>H993*0.28321568627451</f>
        <v>0</v>
      </c>
      <c r="AP993" s="92">
        <f>H993*(1-0.28321568627451)</f>
        <v>0</v>
      </c>
      <c r="AQ993" s="55" t="s">
        <v>2435</v>
      </c>
      <c r="AV993" s="14">
        <f>AW993+AX993</f>
        <v>0</v>
      </c>
      <c r="AW993" s="14">
        <f>G993*AO993</f>
        <v>0</v>
      </c>
      <c r="AX993" s="14">
        <f>G993*AP993</f>
        <v>0</v>
      </c>
      <c r="AY993" s="55" t="s">
        <v>1951</v>
      </c>
      <c r="AZ993" s="55" t="s">
        <v>831</v>
      </c>
      <c r="BA993" s="15" t="s">
        <v>1982</v>
      </c>
      <c r="BC993" s="14">
        <f>AW993+AX993</f>
        <v>0</v>
      </c>
      <c r="BD993" s="14">
        <f>H993/(100-BE993)*100</f>
        <v>0</v>
      </c>
      <c r="BE993" s="14">
        <v>0</v>
      </c>
      <c r="BF993" s="14">
        <f>O993</f>
        <v>3.0400000000000003E-2</v>
      </c>
      <c r="BH993" s="14">
        <f>G993*AO993</f>
        <v>0</v>
      </c>
      <c r="BI993" s="14">
        <f>G993*AP993</f>
        <v>0</v>
      </c>
      <c r="BJ993" s="14">
        <f>G993*H993</f>
        <v>0</v>
      </c>
      <c r="BK993" s="14"/>
      <c r="BL993" s="14">
        <v>764</v>
      </c>
      <c r="BW993" s="14" t="str">
        <f>I993</f>
        <v>21</v>
      </c>
    </row>
    <row r="994" spans="1:75" ht="15" customHeight="1">
      <c r="A994" s="32"/>
      <c r="D994" s="3" t="s">
        <v>1416</v>
      </c>
      <c r="E994" s="28" t="s">
        <v>1295</v>
      </c>
      <c r="G994" s="27">
        <v>10</v>
      </c>
      <c r="P994" s="33"/>
    </row>
    <row r="995" spans="1:75" ht="13.5" customHeight="1">
      <c r="A995" s="21" t="s">
        <v>52</v>
      </c>
      <c r="B995" s="37" t="s">
        <v>557</v>
      </c>
      <c r="C995" s="37" t="s">
        <v>1637</v>
      </c>
      <c r="D995" s="578" t="s">
        <v>1201</v>
      </c>
      <c r="E995" s="579"/>
      <c r="F995" s="37" t="s">
        <v>2019</v>
      </c>
      <c r="G995" s="14">
        <v>1.5</v>
      </c>
      <c r="H995" s="569"/>
      <c r="I995" s="55" t="s">
        <v>1720</v>
      </c>
      <c r="J995" s="14">
        <f>G995*AO995</f>
        <v>0</v>
      </c>
      <c r="K995" s="14">
        <f>G995*AP995</f>
        <v>0</v>
      </c>
      <c r="L995" s="14">
        <f>G995*H995</f>
        <v>0</v>
      </c>
      <c r="M995" s="14">
        <f>L995*(1+BW995/100)</f>
        <v>0</v>
      </c>
      <c r="N995" s="14">
        <v>3.0400000000000002E-3</v>
      </c>
      <c r="O995" s="14">
        <f>G995*N995</f>
        <v>4.5599999999999998E-3</v>
      </c>
      <c r="P995" s="72" t="s">
        <v>1664</v>
      </c>
      <c r="Z995" s="14">
        <f>IF(AQ995="5",BJ995,0)</f>
        <v>0</v>
      </c>
      <c r="AB995" s="14">
        <f>IF(AQ995="1",BH995,0)</f>
        <v>0</v>
      </c>
      <c r="AC995" s="14">
        <f>IF(AQ995="1",BI995,0)</f>
        <v>0</v>
      </c>
      <c r="AD995" s="14">
        <f>IF(AQ995="7",BH995,0)</f>
        <v>0</v>
      </c>
      <c r="AE995" s="14">
        <f>IF(AQ995="7",BI995,0)</f>
        <v>0</v>
      </c>
      <c r="AF995" s="14">
        <f>IF(AQ995="2",BH995,0)</f>
        <v>0</v>
      </c>
      <c r="AG995" s="14">
        <f>IF(AQ995="2",BI995,0)</f>
        <v>0</v>
      </c>
      <c r="AH995" s="14">
        <f>IF(AQ995="0",BJ995,0)</f>
        <v>0</v>
      </c>
      <c r="AI995" s="15" t="s">
        <v>557</v>
      </c>
      <c r="AJ995" s="14">
        <f>IF(AN995=0,L995,0)</f>
        <v>0</v>
      </c>
      <c r="AK995" s="14">
        <f>IF(AN995=15,L995,0)</f>
        <v>0</v>
      </c>
      <c r="AL995" s="14">
        <f>IF(AN995=21,L995,0)</f>
        <v>0</v>
      </c>
      <c r="AN995" s="14">
        <v>21</v>
      </c>
      <c r="AO995" s="92">
        <f>H995*0.28321568627451</f>
        <v>0</v>
      </c>
      <c r="AP995" s="92">
        <f>H995*(1-0.28321568627451)</f>
        <v>0</v>
      </c>
      <c r="AQ995" s="55" t="s">
        <v>2435</v>
      </c>
      <c r="AV995" s="14">
        <f>AW995+AX995</f>
        <v>0</v>
      </c>
      <c r="AW995" s="14">
        <f>G995*AO995</f>
        <v>0</v>
      </c>
      <c r="AX995" s="14">
        <f>G995*AP995</f>
        <v>0</v>
      </c>
      <c r="AY995" s="55" t="s">
        <v>1951</v>
      </c>
      <c r="AZ995" s="55" t="s">
        <v>831</v>
      </c>
      <c r="BA995" s="15" t="s">
        <v>1982</v>
      </c>
      <c r="BC995" s="14">
        <f>AW995+AX995</f>
        <v>0</v>
      </c>
      <c r="BD995" s="14">
        <f>H995/(100-BE995)*100</f>
        <v>0</v>
      </c>
      <c r="BE995" s="14">
        <v>0</v>
      </c>
      <c r="BF995" s="14">
        <f>O995</f>
        <v>4.5599999999999998E-3</v>
      </c>
      <c r="BH995" s="14">
        <f>G995*AO995</f>
        <v>0</v>
      </c>
      <c r="BI995" s="14">
        <f>G995*AP995</f>
        <v>0</v>
      </c>
      <c r="BJ995" s="14">
        <f>G995*H995</f>
        <v>0</v>
      </c>
      <c r="BK995" s="14"/>
      <c r="BL995" s="14">
        <v>764</v>
      </c>
      <c r="BW995" s="14" t="str">
        <f>I995</f>
        <v>21</v>
      </c>
    </row>
    <row r="996" spans="1:75" ht="15" customHeight="1">
      <c r="A996" s="32"/>
      <c r="D996" s="3" t="s">
        <v>781</v>
      </c>
      <c r="E996" s="28" t="s">
        <v>1533</v>
      </c>
      <c r="G996" s="27">
        <v>1.5000000000000002</v>
      </c>
      <c r="P996" s="33"/>
    </row>
    <row r="997" spans="1:75" ht="13.5" customHeight="1">
      <c r="A997" s="21" t="s">
        <v>1656</v>
      </c>
      <c r="B997" s="37" t="s">
        <v>557</v>
      </c>
      <c r="C997" s="37" t="s">
        <v>1791</v>
      </c>
      <c r="D997" s="578" t="s">
        <v>529</v>
      </c>
      <c r="E997" s="579"/>
      <c r="F997" s="37" t="s">
        <v>2019</v>
      </c>
      <c r="G997" s="14">
        <v>65</v>
      </c>
      <c r="H997" s="569"/>
      <c r="I997" s="55" t="s">
        <v>1720</v>
      </c>
      <c r="J997" s="14">
        <f>G997*AO997</f>
        <v>0</v>
      </c>
      <c r="K997" s="14">
        <f>G997*AP997</f>
        <v>0</v>
      </c>
      <c r="L997" s="14">
        <f>G997*H997</f>
        <v>0</v>
      </c>
      <c r="M997" s="14">
        <f>L997*(1+BW997/100)</f>
        <v>0</v>
      </c>
      <c r="N997" s="14">
        <v>2.2249999999999999E-2</v>
      </c>
      <c r="O997" s="14">
        <f>G997*N997</f>
        <v>1.44625</v>
      </c>
      <c r="P997" s="72" t="s">
        <v>1664</v>
      </c>
      <c r="Z997" s="14">
        <f>IF(AQ997="5",BJ997,0)</f>
        <v>0</v>
      </c>
      <c r="AB997" s="14">
        <f>IF(AQ997="1",BH997,0)</f>
        <v>0</v>
      </c>
      <c r="AC997" s="14">
        <f>IF(AQ997="1",BI997,0)</f>
        <v>0</v>
      </c>
      <c r="AD997" s="14">
        <f>IF(AQ997="7",BH997,0)</f>
        <v>0</v>
      </c>
      <c r="AE997" s="14">
        <f>IF(AQ997="7",BI997,0)</f>
        <v>0</v>
      </c>
      <c r="AF997" s="14">
        <f>IF(AQ997="2",BH997,0)</f>
        <v>0</v>
      </c>
      <c r="AG997" s="14">
        <f>IF(AQ997="2",BI997,0)</f>
        <v>0</v>
      </c>
      <c r="AH997" s="14">
        <f>IF(AQ997="0",BJ997,0)</f>
        <v>0</v>
      </c>
      <c r="AI997" s="15" t="s">
        <v>557</v>
      </c>
      <c r="AJ997" s="14">
        <f>IF(AN997=0,L997,0)</f>
        <v>0</v>
      </c>
      <c r="AK997" s="14">
        <f>IF(AN997=15,L997,0)</f>
        <v>0</v>
      </c>
      <c r="AL997" s="14">
        <f>IF(AN997=21,L997,0)</f>
        <v>0</v>
      </c>
      <c r="AN997" s="14">
        <v>21</v>
      </c>
      <c r="AO997" s="92">
        <f>H997*0.335705770359958</f>
        <v>0</v>
      </c>
      <c r="AP997" s="92">
        <f>H997*(1-0.335705770359958)</f>
        <v>0</v>
      </c>
      <c r="AQ997" s="55" t="s">
        <v>2435</v>
      </c>
      <c r="AV997" s="14">
        <f>AW997+AX997</f>
        <v>0</v>
      </c>
      <c r="AW997" s="14">
        <f>G997*AO997</f>
        <v>0</v>
      </c>
      <c r="AX997" s="14">
        <f>G997*AP997</f>
        <v>0</v>
      </c>
      <c r="AY997" s="55" t="s">
        <v>1951</v>
      </c>
      <c r="AZ997" s="55" t="s">
        <v>831</v>
      </c>
      <c r="BA997" s="15" t="s">
        <v>1982</v>
      </c>
      <c r="BC997" s="14">
        <f>AW997+AX997</f>
        <v>0</v>
      </c>
      <c r="BD997" s="14">
        <f>H997/(100-BE997)*100</f>
        <v>0</v>
      </c>
      <c r="BE997" s="14">
        <v>0</v>
      </c>
      <c r="BF997" s="14">
        <f>O997</f>
        <v>1.44625</v>
      </c>
      <c r="BH997" s="14">
        <f>G997*AO997</f>
        <v>0</v>
      </c>
      <c r="BI997" s="14">
        <f>G997*AP997</f>
        <v>0</v>
      </c>
      <c r="BJ997" s="14">
        <f>G997*H997</f>
        <v>0</v>
      </c>
      <c r="BK997" s="14"/>
      <c r="BL997" s="14">
        <v>764</v>
      </c>
      <c r="BW997" s="14" t="str">
        <f>I997</f>
        <v>21</v>
      </c>
    </row>
    <row r="998" spans="1:75" ht="15" customHeight="1">
      <c r="A998" s="32"/>
      <c r="D998" s="3" t="s">
        <v>2707</v>
      </c>
      <c r="E998" s="28" t="s">
        <v>209</v>
      </c>
      <c r="G998" s="27">
        <v>65</v>
      </c>
      <c r="P998" s="33"/>
    </row>
    <row r="999" spans="1:75" ht="27" customHeight="1">
      <c r="A999" s="21" t="s">
        <v>2176</v>
      </c>
      <c r="B999" s="37" t="s">
        <v>557</v>
      </c>
      <c r="C999" s="37" t="s">
        <v>1933</v>
      </c>
      <c r="D999" s="578" t="s">
        <v>1003</v>
      </c>
      <c r="E999" s="579"/>
      <c r="F999" s="37" t="s">
        <v>2019</v>
      </c>
      <c r="G999" s="14">
        <v>7</v>
      </c>
      <c r="H999" s="569"/>
      <c r="I999" s="55" t="s">
        <v>1720</v>
      </c>
      <c r="J999" s="14">
        <f>G999*AO999</f>
        <v>0</v>
      </c>
      <c r="K999" s="14">
        <f>G999*AP999</f>
        <v>0</v>
      </c>
      <c r="L999" s="14">
        <f>G999*H999</f>
        <v>0</v>
      </c>
      <c r="M999" s="14">
        <f>L999*(1+BW999/100)</f>
        <v>0</v>
      </c>
      <c r="N999" s="14">
        <v>1.8669999999999999E-2</v>
      </c>
      <c r="O999" s="14">
        <f>G999*N999</f>
        <v>0.13069</v>
      </c>
      <c r="P999" s="72" t="s">
        <v>1664</v>
      </c>
      <c r="Z999" s="14">
        <f>IF(AQ999="5",BJ999,0)</f>
        <v>0</v>
      </c>
      <c r="AB999" s="14">
        <f>IF(AQ999="1",BH999,0)</f>
        <v>0</v>
      </c>
      <c r="AC999" s="14">
        <f>IF(AQ999="1",BI999,0)</f>
        <v>0</v>
      </c>
      <c r="AD999" s="14">
        <f>IF(AQ999="7",BH999,0)</f>
        <v>0</v>
      </c>
      <c r="AE999" s="14">
        <f>IF(AQ999="7",BI999,0)</f>
        <v>0</v>
      </c>
      <c r="AF999" s="14">
        <f>IF(AQ999="2",BH999,0)</f>
        <v>0</v>
      </c>
      <c r="AG999" s="14">
        <f>IF(AQ999="2",BI999,0)</f>
        <v>0</v>
      </c>
      <c r="AH999" s="14">
        <f>IF(AQ999="0",BJ999,0)</f>
        <v>0</v>
      </c>
      <c r="AI999" s="15" t="s">
        <v>557</v>
      </c>
      <c r="AJ999" s="14">
        <f>IF(AN999=0,L999,0)</f>
        <v>0</v>
      </c>
      <c r="AK999" s="14">
        <f>IF(AN999=15,L999,0)</f>
        <v>0</v>
      </c>
      <c r="AL999" s="14">
        <f>IF(AN999=21,L999,0)</f>
        <v>0</v>
      </c>
      <c r="AN999" s="14">
        <v>21</v>
      </c>
      <c r="AO999" s="92">
        <f>H999*0.258019169329073</f>
        <v>0</v>
      </c>
      <c r="AP999" s="92">
        <f>H999*(1-0.258019169329073)</f>
        <v>0</v>
      </c>
      <c r="AQ999" s="55" t="s">
        <v>2435</v>
      </c>
      <c r="AV999" s="14">
        <f>AW999+AX999</f>
        <v>0</v>
      </c>
      <c r="AW999" s="14">
        <f>G999*AO999</f>
        <v>0</v>
      </c>
      <c r="AX999" s="14">
        <f>G999*AP999</f>
        <v>0</v>
      </c>
      <c r="AY999" s="55" t="s">
        <v>1951</v>
      </c>
      <c r="AZ999" s="55" t="s">
        <v>831</v>
      </c>
      <c r="BA999" s="15" t="s">
        <v>1982</v>
      </c>
      <c r="BC999" s="14">
        <f>AW999+AX999</f>
        <v>0</v>
      </c>
      <c r="BD999" s="14">
        <f>H999/(100-BE999)*100</f>
        <v>0</v>
      </c>
      <c r="BE999" s="14">
        <v>0</v>
      </c>
      <c r="BF999" s="14">
        <f>O999</f>
        <v>0.13069</v>
      </c>
      <c r="BH999" s="14">
        <f>G999*AO999</f>
        <v>0</v>
      </c>
      <c r="BI999" s="14">
        <f>G999*AP999</f>
        <v>0</v>
      </c>
      <c r="BJ999" s="14">
        <f>G999*H999</f>
        <v>0</v>
      </c>
      <c r="BK999" s="14"/>
      <c r="BL999" s="14">
        <v>764</v>
      </c>
      <c r="BW999" s="14" t="str">
        <f>I999</f>
        <v>21</v>
      </c>
    </row>
    <row r="1000" spans="1:75" ht="15" customHeight="1">
      <c r="A1000" s="32"/>
      <c r="D1000" s="3" t="s">
        <v>2435</v>
      </c>
      <c r="E1000" s="28" t="s">
        <v>1726</v>
      </c>
      <c r="G1000" s="27">
        <v>7.0000000000000009</v>
      </c>
      <c r="P1000" s="33"/>
    </row>
    <row r="1001" spans="1:75" ht="13.5" customHeight="1">
      <c r="A1001" s="21" t="s">
        <v>499</v>
      </c>
      <c r="B1001" s="37" t="s">
        <v>557</v>
      </c>
      <c r="C1001" s="37" t="s">
        <v>1266</v>
      </c>
      <c r="D1001" s="578" t="s">
        <v>2778</v>
      </c>
      <c r="E1001" s="579"/>
      <c r="F1001" s="37" t="s">
        <v>2019</v>
      </c>
      <c r="G1001" s="14">
        <v>35</v>
      </c>
      <c r="H1001" s="569"/>
      <c r="I1001" s="55" t="s">
        <v>1720</v>
      </c>
      <c r="J1001" s="14">
        <f>G1001*AO1001</f>
        <v>0</v>
      </c>
      <c r="K1001" s="14">
        <f>G1001*AP1001</f>
        <v>0</v>
      </c>
      <c r="L1001" s="14">
        <f>G1001*H1001</f>
        <v>0</v>
      </c>
      <c r="M1001" s="14">
        <f>L1001*(1+BW1001/100)</f>
        <v>0</v>
      </c>
      <c r="N1001" s="14">
        <v>9.3000000000000005E-4</v>
      </c>
      <c r="O1001" s="14">
        <f>G1001*N1001</f>
        <v>3.2550000000000003E-2</v>
      </c>
      <c r="P1001" s="72" t="s">
        <v>1664</v>
      </c>
      <c r="Z1001" s="14">
        <f>IF(AQ1001="5",BJ1001,0)</f>
        <v>0</v>
      </c>
      <c r="AB1001" s="14">
        <f>IF(AQ1001="1",BH1001,0)</f>
        <v>0</v>
      </c>
      <c r="AC1001" s="14">
        <f>IF(AQ1001="1",BI1001,0)</f>
        <v>0</v>
      </c>
      <c r="AD1001" s="14">
        <f>IF(AQ1001="7",BH1001,0)</f>
        <v>0</v>
      </c>
      <c r="AE1001" s="14">
        <f>IF(AQ1001="7",BI1001,0)</f>
        <v>0</v>
      </c>
      <c r="AF1001" s="14">
        <f>IF(AQ1001="2",BH1001,0)</f>
        <v>0</v>
      </c>
      <c r="AG1001" s="14">
        <f>IF(AQ1001="2",BI1001,0)</f>
        <v>0</v>
      </c>
      <c r="AH1001" s="14">
        <f>IF(AQ1001="0",BJ1001,0)</f>
        <v>0</v>
      </c>
      <c r="AI1001" s="15" t="s">
        <v>557</v>
      </c>
      <c r="AJ1001" s="14">
        <f>IF(AN1001=0,L1001,0)</f>
        <v>0</v>
      </c>
      <c r="AK1001" s="14">
        <f>IF(AN1001=15,L1001,0)</f>
        <v>0</v>
      </c>
      <c r="AL1001" s="14">
        <f>IF(AN1001=21,L1001,0)</f>
        <v>0</v>
      </c>
      <c r="AN1001" s="14">
        <v>21</v>
      </c>
      <c r="AO1001" s="92">
        <f>H1001*0.0537859608745685</f>
        <v>0</v>
      </c>
      <c r="AP1001" s="92">
        <f>H1001*(1-0.0537859608745685)</f>
        <v>0</v>
      </c>
      <c r="AQ1001" s="55" t="s">
        <v>2435</v>
      </c>
      <c r="AV1001" s="14">
        <f>AW1001+AX1001</f>
        <v>0</v>
      </c>
      <c r="AW1001" s="14">
        <f>G1001*AO1001</f>
        <v>0</v>
      </c>
      <c r="AX1001" s="14">
        <f>G1001*AP1001</f>
        <v>0</v>
      </c>
      <c r="AY1001" s="55" t="s">
        <v>1951</v>
      </c>
      <c r="AZ1001" s="55" t="s">
        <v>831</v>
      </c>
      <c r="BA1001" s="15" t="s">
        <v>1982</v>
      </c>
      <c r="BC1001" s="14">
        <f>AW1001+AX1001</f>
        <v>0</v>
      </c>
      <c r="BD1001" s="14">
        <f>H1001/(100-BE1001)*100</f>
        <v>0</v>
      </c>
      <c r="BE1001" s="14">
        <v>0</v>
      </c>
      <c r="BF1001" s="14">
        <f>O1001</f>
        <v>3.2550000000000003E-2</v>
      </c>
      <c r="BH1001" s="14">
        <f>G1001*AO1001</f>
        <v>0</v>
      </c>
      <c r="BI1001" s="14">
        <f>G1001*AP1001</f>
        <v>0</v>
      </c>
      <c r="BJ1001" s="14">
        <f>G1001*H1001</f>
        <v>0</v>
      </c>
      <c r="BK1001" s="14"/>
      <c r="BL1001" s="14">
        <v>764</v>
      </c>
      <c r="BW1001" s="14" t="str">
        <f>I1001</f>
        <v>21</v>
      </c>
    </row>
    <row r="1002" spans="1:75" ht="15" customHeight="1">
      <c r="A1002" s="32"/>
      <c r="D1002" s="3" t="s">
        <v>2166</v>
      </c>
      <c r="E1002" s="28" t="s">
        <v>1976</v>
      </c>
      <c r="G1002" s="27">
        <v>35</v>
      </c>
      <c r="P1002" s="33"/>
    </row>
    <row r="1003" spans="1:75" ht="13.5" customHeight="1">
      <c r="A1003" s="21" t="s">
        <v>2137</v>
      </c>
      <c r="B1003" s="37" t="s">
        <v>557</v>
      </c>
      <c r="C1003" s="37" t="s">
        <v>409</v>
      </c>
      <c r="D1003" s="578" t="s">
        <v>837</v>
      </c>
      <c r="E1003" s="579"/>
      <c r="F1003" s="37" t="s">
        <v>2019</v>
      </c>
      <c r="G1003" s="14">
        <v>123</v>
      </c>
      <c r="H1003" s="569"/>
      <c r="I1003" s="55" t="s">
        <v>1720</v>
      </c>
      <c r="J1003" s="14">
        <f>G1003*AO1003</f>
        <v>0</v>
      </c>
      <c r="K1003" s="14">
        <f>G1003*AP1003</f>
        <v>0</v>
      </c>
      <c r="L1003" s="14">
        <f>G1003*H1003</f>
        <v>0</v>
      </c>
      <c r="M1003" s="14">
        <f>L1003*(1+BW1003/100)</f>
        <v>0</v>
      </c>
      <c r="N1003" s="14">
        <v>4.0400000000000002E-3</v>
      </c>
      <c r="O1003" s="14">
        <f>G1003*N1003</f>
        <v>0.49692000000000003</v>
      </c>
      <c r="P1003" s="72" t="s">
        <v>1664</v>
      </c>
      <c r="Z1003" s="14">
        <f>IF(AQ1003="5",BJ1003,0)</f>
        <v>0</v>
      </c>
      <c r="AB1003" s="14">
        <f>IF(AQ1003="1",BH1003,0)</f>
        <v>0</v>
      </c>
      <c r="AC1003" s="14">
        <f>IF(AQ1003="1",BI1003,0)</f>
        <v>0</v>
      </c>
      <c r="AD1003" s="14">
        <f>IF(AQ1003="7",BH1003,0)</f>
        <v>0</v>
      </c>
      <c r="AE1003" s="14">
        <f>IF(AQ1003="7",BI1003,0)</f>
        <v>0</v>
      </c>
      <c r="AF1003" s="14">
        <f>IF(AQ1003="2",BH1003,0)</f>
        <v>0</v>
      </c>
      <c r="AG1003" s="14">
        <f>IF(AQ1003="2",BI1003,0)</f>
        <v>0</v>
      </c>
      <c r="AH1003" s="14">
        <f>IF(AQ1003="0",BJ1003,0)</f>
        <v>0</v>
      </c>
      <c r="AI1003" s="15" t="s">
        <v>557</v>
      </c>
      <c r="AJ1003" s="14">
        <f>IF(AN1003=0,L1003,0)</f>
        <v>0</v>
      </c>
      <c r="AK1003" s="14">
        <f>IF(AN1003=15,L1003,0)</f>
        <v>0</v>
      </c>
      <c r="AL1003" s="14">
        <f>IF(AN1003=21,L1003,0)</f>
        <v>0</v>
      </c>
      <c r="AN1003" s="14">
        <v>21</v>
      </c>
      <c r="AO1003" s="92">
        <f>H1003*0.604332229898845</f>
        <v>0</v>
      </c>
      <c r="AP1003" s="92">
        <f>H1003*(1-0.604332229898845)</f>
        <v>0</v>
      </c>
      <c r="AQ1003" s="55" t="s">
        <v>2435</v>
      </c>
      <c r="AV1003" s="14">
        <f>AW1003+AX1003</f>
        <v>0</v>
      </c>
      <c r="AW1003" s="14">
        <f>G1003*AO1003</f>
        <v>0</v>
      </c>
      <c r="AX1003" s="14">
        <f>G1003*AP1003</f>
        <v>0</v>
      </c>
      <c r="AY1003" s="55" t="s">
        <v>1951</v>
      </c>
      <c r="AZ1003" s="55" t="s">
        <v>831</v>
      </c>
      <c r="BA1003" s="15" t="s">
        <v>1982</v>
      </c>
      <c r="BC1003" s="14">
        <f>AW1003+AX1003</f>
        <v>0</v>
      </c>
      <c r="BD1003" s="14">
        <f>H1003/(100-BE1003)*100</f>
        <v>0</v>
      </c>
      <c r="BE1003" s="14">
        <v>0</v>
      </c>
      <c r="BF1003" s="14">
        <f>O1003</f>
        <v>0.49692000000000003</v>
      </c>
      <c r="BH1003" s="14">
        <f>G1003*AO1003</f>
        <v>0</v>
      </c>
      <c r="BI1003" s="14">
        <f>G1003*AP1003</f>
        <v>0</v>
      </c>
      <c r="BJ1003" s="14">
        <f>G1003*H1003</f>
        <v>0</v>
      </c>
      <c r="BK1003" s="14"/>
      <c r="BL1003" s="14">
        <v>764</v>
      </c>
      <c r="BW1003" s="14" t="str">
        <f>I1003</f>
        <v>21</v>
      </c>
    </row>
    <row r="1004" spans="1:75" ht="15" customHeight="1">
      <c r="A1004" s="32"/>
      <c r="D1004" s="3" t="s">
        <v>136</v>
      </c>
      <c r="E1004" s="28" t="s">
        <v>429</v>
      </c>
      <c r="G1004" s="27">
        <v>123.00000000000001</v>
      </c>
      <c r="P1004" s="33"/>
    </row>
    <row r="1005" spans="1:75" ht="15" customHeight="1">
      <c r="A1005" s="65" t="s">
        <v>1683</v>
      </c>
      <c r="B1005" s="26" t="s">
        <v>557</v>
      </c>
      <c r="C1005" s="26" t="s">
        <v>1001</v>
      </c>
      <c r="D1005" s="649" t="s">
        <v>1147</v>
      </c>
      <c r="E1005" s="650"/>
      <c r="F1005" s="74" t="s">
        <v>2262</v>
      </c>
      <c r="G1005" s="74" t="s">
        <v>2262</v>
      </c>
      <c r="H1005" s="74" t="s">
        <v>2262</v>
      </c>
      <c r="I1005" s="74" t="s">
        <v>2262</v>
      </c>
      <c r="J1005" s="2">
        <f>SUM(J1006:J1026)</f>
        <v>0</v>
      </c>
      <c r="K1005" s="2">
        <f>SUM(K1006:K1026)</f>
        <v>0</v>
      </c>
      <c r="L1005" s="2">
        <f>SUM(L1006:L1026)</f>
        <v>0</v>
      </c>
      <c r="M1005" s="2">
        <f>SUM(M1006:M1026)</f>
        <v>0</v>
      </c>
      <c r="N1005" s="15" t="s">
        <v>1683</v>
      </c>
      <c r="O1005" s="2">
        <f>SUM(O1006:O1026)</f>
        <v>0.7581</v>
      </c>
      <c r="P1005" s="47" t="s">
        <v>1683</v>
      </c>
      <c r="AI1005" s="15" t="s">
        <v>557</v>
      </c>
      <c r="AS1005" s="2">
        <f>SUM(AJ1006:AJ1026)</f>
        <v>0</v>
      </c>
      <c r="AT1005" s="2">
        <f>SUM(AK1006:AK1026)</f>
        <v>0</v>
      </c>
      <c r="AU1005" s="2">
        <f>SUM(AL1006:AL1026)</f>
        <v>0</v>
      </c>
    </row>
    <row r="1006" spans="1:75" ht="27" customHeight="1">
      <c r="A1006" s="21" t="s">
        <v>2530</v>
      </c>
      <c r="B1006" s="37" t="s">
        <v>557</v>
      </c>
      <c r="C1006" s="37" t="s">
        <v>2579</v>
      </c>
      <c r="D1006" s="578" t="s">
        <v>376</v>
      </c>
      <c r="E1006" s="579"/>
      <c r="F1006" s="37" t="s">
        <v>595</v>
      </c>
      <c r="G1006" s="14">
        <v>7</v>
      </c>
      <c r="H1006" s="569"/>
      <c r="I1006" s="55" t="s">
        <v>1720</v>
      </c>
      <c r="J1006" s="14">
        <f>G1006*AO1006</f>
        <v>0</v>
      </c>
      <c r="K1006" s="14">
        <f>G1006*AP1006</f>
        <v>0</v>
      </c>
      <c r="L1006" s="14">
        <f>G1006*H1006</f>
        <v>0</v>
      </c>
      <c r="M1006" s="14">
        <f>L1006*(1+BW1006/100)</f>
        <v>0</v>
      </c>
      <c r="N1006" s="14">
        <v>2.7999999999999998E-4</v>
      </c>
      <c r="O1006" s="14">
        <f>G1006*N1006</f>
        <v>1.9599999999999999E-3</v>
      </c>
      <c r="P1006" s="72" t="s">
        <v>1664</v>
      </c>
      <c r="Z1006" s="14">
        <f>IF(AQ1006="5",BJ1006,0)</f>
        <v>0</v>
      </c>
      <c r="AB1006" s="14">
        <f>IF(AQ1006="1",BH1006,0)</f>
        <v>0</v>
      </c>
      <c r="AC1006" s="14">
        <f>IF(AQ1006="1",BI1006,0)</f>
        <v>0</v>
      </c>
      <c r="AD1006" s="14">
        <f>IF(AQ1006="7",BH1006,0)</f>
        <v>0</v>
      </c>
      <c r="AE1006" s="14">
        <f>IF(AQ1006="7",BI1006,0)</f>
        <v>0</v>
      </c>
      <c r="AF1006" s="14">
        <f>IF(AQ1006="2",BH1006,0)</f>
        <v>0</v>
      </c>
      <c r="AG1006" s="14">
        <f>IF(AQ1006="2",BI1006,0)</f>
        <v>0</v>
      </c>
      <c r="AH1006" s="14">
        <f>IF(AQ1006="0",BJ1006,0)</f>
        <v>0</v>
      </c>
      <c r="AI1006" s="15" t="s">
        <v>557</v>
      </c>
      <c r="AJ1006" s="14">
        <f>IF(AN1006=0,L1006,0)</f>
        <v>0</v>
      </c>
      <c r="AK1006" s="14">
        <f>IF(AN1006=15,L1006,0)</f>
        <v>0</v>
      </c>
      <c r="AL1006" s="14">
        <f>IF(AN1006=21,L1006,0)</f>
        <v>0</v>
      </c>
      <c r="AN1006" s="14">
        <v>21</v>
      </c>
      <c r="AO1006" s="92">
        <f>H1006*0.00342073328005615</f>
        <v>0</v>
      </c>
      <c r="AP1006" s="92">
        <f>H1006*(1-0.00342073328005615)</f>
        <v>0</v>
      </c>
      <c r="AQ1006" s="55" t="s">
        <v>2435</v>
      </c>
      <c r="AV1006" s="14">
        <f>AW1006+AX1006</f>
        <v>0</v>
      </c>
      <c r="AW1006" s="14">
        <f>G1006*AO1006</f>
        <v>0</v>
      </c>
      <c r="AX1006" s="14">
        <f>G1006*AP1006</f>
        <v>0</v>
      </c>
      <c r="AY1006" s="55" t="s">
        <v>256</v>
      </c>
      <c r="AZ1006" s="55" t="s">
        <v>831</v>
      </c>
      <c r="BA1006" s="15" t="s">
        <v>1982</v>
      </c>
      <c r="BC1006" s="14">
        <f>AW1006+AX1006</f>
        <v>0</v>
      </c>
      <c r="BD1006" s="14">
        <f>H1006/(100-BE1006)*100</f>
        <v>0</v>
      </c>
      <c r="BE1006" s="14">
        <v>0</v>
      </c>
      <c r="BF1006" s="14">
        <f>O1006</f>
        <v>1.9599999999999999E-3</v>
      </c>
      <c r="BH1006" s="14">
        <f>G1006*AO1006</f>
        <v>0</v>
      </c>
      <c r="BI1006" s="14">
        <f>G1006*AP1006</f>
        <v>0</v>
      </c>
      <c r="BJ1006" s="14">
        <f>G1006*H1006</f>
        <v>0</v>
      </c>
      <c r="BK1006" s="14"/>
      <c r="BL1006" s="14">
        <v>766</v>
      </c>
      <c r="BW1006" s="14" t="str">
        <f>I1006</f>
        <v>21</v>
      </c>
    </row>
    <row r="1007" spans="1:75" ht="15" customHeight="1">
      <c r="A1007" s="32"/>
      <c r="D1007" s="3" t="s">
        <v>1684</v>
      </c>
      <c r="E1007" s="28" t="s">
        <v>1087</v>
      </c>
      <c r="G1007" s="27">
        <v>7.0000000000000009</v>
      </c>
      <c r="P1007" s="33"/>
    </row>
    <row r="1008" spans="1:75" ht="13.5" customHeight="1">
      <c r="A1008" s="20" t="s">
        <v>1979</v>
      </c>
      <c r="B1008" s="84" t="s">
        <v>557</v>
      </c>
      <c r="C1008" s="84" t="s">
        <v>2114</v>
      </c>
      <c r="D1008" s="653" t="s">
        <v>881</v>
      </c>
      <c r="E1008" s="654"/>
      <c r="F1008" s="84" t="s">
        <v>595</v>
      </c>
      <c r="G1008" s="6">
        <v>1</v>
      </c>
      <c r="H1008" s="570"/>
      <c r="I1008" s="18" t="s">
        <v>1720</v>
      </c>
      <c r="J1008" s="6">
        <f>G1008*AO1008</f>
        <v>0</v>
      </c>
      <c r="K1008" s="6">
        <f>G1008*AP1008</f>
        <v>0</v>
      </c>
      <c r="L1008" s="6">
        <f>G1008*H1008</f>
        <v>0</v>
      </c>
      <c r="M1008" s="6">
        <f>L1008*(1+BW1008/100)</f>
        <v>0</v>
      </c>
      <c r="N1008" s="6">
        <v>0.05</v>
      </c>
      <c r="O1008" s="6">
        <f>G1008*N1008</f>
        <v>0.05</v>
      </c>
      <c r="P1008" s="109" t="s">
        <v>1664</v>
      </c>
      <c r="Z1008" s="14">
        <f>IF(AQ1008="5",BJ1008,0)</f>
        <v>0</v>
      </c>
      <c r="AB1008" s="14">
        <f>IF(AQ1008="1",BH1008,0)</f>
        <v>0</v>
      </c>
      <c r="AC1008" s="14">
        <f>IF(AQ1008="1",BI1008,0)</f>
        <v>0</v>
      </c>
      <c r="AD1008" s="14">
        <f>IF(AQ1008="7",BH1008,0)</f>
        <v>0</v>
      </c>
      <c r="AE1008" s="14">
        <f>IF(AQ1008="7",BI1008,0)</f>
        <v>0</v>
      </c>
      <c r="AF1008" s="14">
        <f>IF(AQ1008="2",BH1008,0)</f>
        <v>0</v>
      </c>
      <c r="AG1008" s="14">
        <f>IF(AQ1008="2",BI1008,0)</f>
        <v>0</v>
      </c>
      <c r="AH1008" s="14">
        <f>IF(AQ1008="0",BJ1008,0)</f>
        <v>0</v>
      </c>
      <c r="AI1008" s="15" t="s">
        <v>557</v>
      </c>
      <c r="AJ1008" s="6">
        <f>IF(AN1008=0,L1008,0)</f>
        <v>0</v>
      </c>
      <c r="AK1008" s="6">
        <f>IF(AN1008=15,L1008,0)</f>
        <v>0</v>
      </c>
      <c r="AL1008" s="6">
        <f>IF(AN1008=21,L1008,0)</f>
        <v>0</v>
      </c>
      <c r="AN1008" s="14">
        <v>21</v>
      </c>
      <c r="AO1008" s="92">
        <f>H1008*1</f>
        <v>0</v>
      </c>
      <c r="AP1008" s="92">
        <f>H1008*(1-1)</f>
        <v>0</v>
      </c>
      <c r="AQ1008" s="18" t="s">
        <v>2435</v>
      </c>
      <c r="AV1008" s="14">
        <f>AW1008+AX1008</f>
        <v>0</v>
      </c>
      <c r="AW1008" s="14">
        <f>G1008*AO1008</f>
        <v>0</v>
      </c>
      <c r="AX1008" s="14">
        <f>G1008*AP1008</f>
        <v>0</v>
      </c>
      <c r="AY1008" s="55" t="s">
        <v>256</v>
      </c>
      <c r="AZ1008" s="55" t="s">
        <v>831</v>
      </c>
      <c r="BA1008" s="15" t="s">
        <v>1982</v>
      </c>
      <c r="BC1008" s="14">
        <f>AW1008+AX1008</f>
        <v>0</v>
      </c>
      <c r="BD1008" s="14">
        <f>H1008/(100-BE1008)*100</f>
        <v>0</v>
      </c>
      <c r="BE1008" s="14">
        <v>0</v>
      </c>
      <c r="BF1008" s="14">
        <f>O1008</f>
        <v>0.05</v>
      </c>
      <c r="BH1008" s="6">
        <f>G1008*AO1008</f>
        <v>0</v>
      </c>
      <c r="BI1008" s="6">
        <f>G1008*AP1008</f>
        <v>0</v>
      </c>
      <c r="BJ1008" s="6">
        <f>G1008*H1008</f>
        <v>0</v>
      </c>
      <c r="BK1008" s="6"/>
      <c r="BL1008" s="14">
        <v>766</v>
      </c>
      <c r="BW1008" s="14" t="str">
        <f>I1008</f>
        <v>21</v>
      </c>
    </row>
    <row r="1009" spans="1:75" ht="15" customHeight="1">
      <c r="A1009" s="32"/>
      <c r="D1009" s="3" t="s">
        <v>2422</v>
      </c>
      <c r="E1009" s="28" t="s">
        <v>1306</v>
      </c>
      <c r="G1009" s="27">
        <v>1</v>
      </c>
      <c r="P1009" s="33"/>
    </row>
    <row r="1010" spans="1:75" ht="27" customHeight="1">
      <c r="A1010" s="20" t="s">
        <v>857</v>
      </c>
      <c r="B1010" s="84" t="s">
        <v>557</v>
      </c>
      <c r="C1010" s="84" t="s">
        <v>97</v>
      </c>
      <c r="D1010" s="653" t="s">
        <v>2512</v>
      </c>
      <c r="E1010" s="654"/>
      <c r="F1010" s="84" t="s">
        <v>595</v>
      </c>
      <c r="G1010" s="6">
        <v>4</v>
      </c>
      <c r="H1010" s="570"/>
      <c r="I1010" s="18" t="s">
        <v>1720</v>
      </c>
      <c r="J1010" s="6">
        <f>G1010*AO1010</f>
        <v>0</v>
      </c>
      <c r="K1010" s="6">
        <f>G1010*AP1010</f>
        <v>0</v>
      </c>
      <c r="L1010" s="6">
        <f>G1010*H1010</f>
        <v>0</v>
      </c>
      <c r="M1010" s="6">
        <f>L1010*(1+BW1010/100)</f>
        <v>0</v>
      </c>
      <c r="N1010" s="6">
        <v>8.6999999999999994E-2</v>
      </c>
      <c r="O1010" s="6">
        <f>G1010*N1010</f>
        <v>0.34799999999999998</v>
      </c>
      <c r="P1010" s="109" t="s">
        <v>1664</v>
      </c>
      <c r="Z1010" s="14">
        <f>IF(AQ1010="5",BJ1010,0)</f>
        <v>0</v>
      </c>
      <c r="AB1010" s="14">
        <f>IF(AQ1010="1",BH1010,0)</f>
        <v>0</v>
      </c>
      <c r="AC1010" s="14">
        <f>IF(AQ1010="1",BI1010,0)</f>
        <v>0</v>
      </c>
      <c r="AD1010" s="14">
        <f>IF(AQ1010="7",BH1010,0)</f>
        <v>0</v>
      </c>
      <c r="AE1010" s="14">
        <f>IF(AQ1010="7",BI1010,0)</f>
        <v>0</v>
      </c>
      <c r="AF1010" s="14">
        <f>IF(AQ1010="2",BH1010,0)</f>
        <v>0</v>
      </c>
      <c r="AG1010" s="14">
        <f>IF(AQ1010="2",BI1010,0)</f>
        <v>0</v>
      </c>
      <c r="AH1010" s="14">
        <f>IF(AQ1010="0",BJ1010,0)</f>
        <v>0</v>
      </c>
      <c r="AI1010" s="15" t="s">
        <v>557</v>
      </c>
      <c r="AJ1010" s="6">
        <f>IF(AN1010=0,L1010,0)</f>
        <v>0</v>
      </c>
      <c r="AK1010" s="6">
        <f>IF(AN1010=15,L1010,0)</f>
        <v>0</v>
      </c>
      <c r="AL1010" s="6">
        <f>IF(AN1010=21,L1010,0)</f>
        <v>0</v>
      </c>
      <c r="AN1010" s="14">
        <v>21</v>
      </c>
      <c r="AO1010" s="92">
        <f>H1010*1</f>
        <v>0</v>
      </c>
      <c r="AP1010" s="92">
        <f>H1010*(1-1)</f>
        <v>0</v>
      </c>
      <c r="AQ1010" s="18" t="s">
        <v>2435</v>
      </c>
      <c r="AV1010" s="14">
        <f>AW1010+AX1010</f>
        <v>0</v>
      </c>
      <c r="AW1010" s="14">
        <f>G1010*AO1010</f>
        <v>0</v>
      </c>
      <c r="AX1010" s="14">
        <f>G1010*AP1010</f>
        <v>0</v>
      </c>
      <c r="AY1010" s="55" t="s">
        <v>256</v>
      </c>
      <c r="AZ1010" s="55" t="s">
        <v>831</v>
      </c>
      <c r="BA1010" s="15" t="s">
        <v>1982</v>
      </c>
      <c r="BC1010" s="14">
        <f>AW1010+AX1010</f>
        <v>0</v>
      </c>
      <c r="BD1010" s="14">
        <f>H1010/(100-BE1010)*100</f>
        <v>0</v>
      </c>
      <c r="BE1010" s="14">
        <v>0</v>
      </c>
      <c r="BF1010" s="14">
        <f>O1010</f>
        <v>0.34799999999999998</v>
      </c>
      <c r="BH1010" s="6">
        <f>G1010*AO1010</f>
        <v>0</v>
      </c>
      <c r="BI1010" s="6">
        <f>G1010*AP1010</f>
        <v>0</v>
      </c>
      <c r="BJ1010" s="6">
        <f>G1010*H1010</f>
        <v>0</v>
      </c>
      <c r="BK1010" s="6"/>
      <c r="BL1010" s="14">
        <v>766</v>
      </c>
      <c r="BW1010" s="14" t="str">
        <f>I1010</f>
        <v>21</v>
      </c>
    </row>
    <row r="1011" spans="1:75" ht="15" customHeight="1">
      <c r="A1011" s="32"/>
      <c r="D1011" s="3" t="s">
        <v>272</v>
      </c>
      <c r="E1011" s="28" t="s">
        <v>1907</v>
      </c>
      <c r="G1011" s="27">
        <v>4</v>
      </c>
      <c r="P1011" s="33"/>
    </row>
    <row r="1012" spans="1:75" ht="13.5" customHeight="1">
      <c r="A1012" s="20" t="s">
        <v>2288</v>
      </c>
      <c r="B1012" s="84" t="s">
        <v>557</v>
      </c>
      <c r="C1012" s="84" t="s">
        <v>1749</v>
      </c>
      <c r="D1012" s="653" t="s">
        <v>1213</v>
      </c>
      <c r="E1012" s="654"/>
      <c r="F1012" s="84" t="s">
        <v>595</v>
      </c>
      <c r="G1012" s="6">
        <v>2</v>
      </c>
      <c r="H1012" s="570"/>
      <c r="I1012" s="18" t="s">
        <v>1720</v>
      </c>
      <c r="J1012" s="6">
        <f>G1012*AO1012</f>
        <v>0</v>
      </c>
      <c r="K1012" s="6">
        <f>G1012*AP1012</f>
        <v>0</v>
      </c>
      <c r="L1012" s="6">
        <f>G1012*H1012</f>
        <v>0</v>
      </c>
      <c r="M1012" s="6">
        <f>L1012*(1+BW1012/100)</f>
        <v>0</v>
      </c>
      <c r="N1012" s="6">
        <v>0.05</v>
      </c>
      <c r="O1012" s="6">
        <f>G1012*N1012</f>
        <v>0.1</v>
      </c>
      <c r="P1012" s="109" t="s">
        <v>1664</v>
      </c>
      <c r="Z1012" s="14">
        <f>IF(AQ1012="5",BJ1012,0)</f>
        <v>0</v>
      </c>
      <c r="AB1012" s="14">
        <f>IF(AQ1012="1",BH1012,0)</f>
        <v>0</v>
      </c>
      <c r="AC1012" s="14">
        <f>IF(AQ1012="1",BI1012,0)</f>
        <v>0</v>
      </c>
      <c r="AD1012" s="14">
        <f>IF(AQ1012="7",BH1012,0)</f>
        <v>0</v>
      </c>
      <c r="AE1012" s="14">
        <f>IF(AQ1012="7",BI1012,0)</f>
        <v>0</v>
      </c>
      <c r="AF1012" s="14">
        <f>IF(AQ1012="2",BH1012,0)</f>
        <v>0</v>
      </c>
      <c r="AG1012" s="14">
        <f>IF(AQ1012="2",BI1012,0)</f>
        <v>0</v>
      </c>
      <c r="AH1012" s="14">
        <f>IF(AQ1012="0",BJ1012,0)</f>
        <v>0</v>
      </c>
      <c r="AI1012" s="15" t="s">
        <v>557</v>
      </c>
      <c r="AJ1012" s="6">
        <f>IF(AN1012=0,L1012,0)</f>
        <v>0</v>
      </c>
      <c r="AK1012" s="6">
        <f>IF(AN1012=15,L1012,0)</f>
        <v>0</v>
      </c>
      <c r="AL1012" s="6">
        <f>IF(AN1012=21,L1012,0)</f>
        <v>0</v>
      </c>
      <c r="AN1012" s="14">
        <v>21</v>
      </c>
      <c r="AO1012" s="92">
        <f>H1012*1</f>
        <v>0</v>
      </c>
      <c r="AP1012" s="92">
        <f>H1012*(1-1)</f>
        <v>0</v>
      </c>
      <c r="AQ1012" s="18" t="s">
        <v>2435</v>
      </c>
      <c r="AV1012" s="14">
        <f>AW1012+AX1012</f>
        <v>0</v>
      </c>
      <c r="AW1012" s="14">
        <f>G1012*AO1012</f>
        <v>0</v>
      </c>
      <c r="AX1012" s="14">
        <f>G1012*AP1012</f>
        <v>0</v>
      </c>
      <c r="AY1012" s="55" t="s">
        <v>256</v>
      </c>
      <c r="AZ1012" s="55" t="s">
        <v>831</v>
      </c>
      <c r="BA1012" s="15" t="s">
        <v>1982</v>
      </c>
      <c r="BC1012" s="14">
        <f>AW1012+AX1012</f>
        <v>0</v>
      </c>
      <c r="BD1012" s="14">
        <f>H1012/(100-BE1012)*100</f>
        <v>0</v>
      </c>
      <c r="BE1012" s="14">
        <v>0</v>
      </c>
      <c r="BF1012" s="14">
        <f>O1012</f>
        <v>0.1</v>
      </c>
      <c r="BH1012" s="6">
        <f>G1012*AO1012</f>
        <v>0</v>
      </c>
      <c r="BI1012" s="6">
        <f>G1012*AP1012</f>
        <v>0</v>
      </c>
      <c r="BJ1012" s="6">
        <f>G1012*H1012</f>
        <v>0</v>
      </c>
      <c r="BK1012" s="6"/>
      <c r="BL1012" s="14">
        <v>766</v>
      </c>
      <c r="BW1012" s="14" t="str">
        <f>I1012</f>
        <v>21</v>
      </c>
    </row>
    <row r="1013" spans="1:75" ht="15" customHeight="1">
      <c r="A1013" s="32"/>
      <c r="D1013" s="3" t="s">
        <v>1676</v>
      </c>
      <c r="E1013" s="28" t="s">
        <v>2767</v>
      </c>
      <c r="G1013" s="27">
        <v>2</v>
      </c>
      <c r="P1013" s="33"/>
    </row>
    <row r="1014" spans="1:75" ht="13.5" customHeight="1">
      <c r="A1014" s="21" t="s">
        <v>2174</v>
      </c>
      <c r="B1014" s="37" t="s">
        <v>557</v>
      </c>
      <c r="C1014" s="37" t="s">
        <v>1335</v>
      </c>
      <c r="D1014" s="578" t="s">
        <v>406</v>
      </c>
      <c r="E1014" s="579"/>
      <c r="F1014" s="37" t="s">
        <v>595</v>
      </c>
      <c r="G1014" s="14">
        <v>3</v>
      </c>
      <c r="H1014" s="569"/>
      <c r="I1014" s="55" t="s">
        <v>1720</v>
      </c>
      <c r="J1014" s="14">
        <f>G1014*AO1014</f>
        <v>0</v>
      </c>
      <c r="K1014" s="14">
        <f>G1014*AP1014</f>
        <v>0</v>
      </c>
      <c r="L1014" s="14">
        <f>G1014*H1014</f>
        <v>0</v>
      </c>
      <c r="M1014" s="14">
        <f>L1014*(1+BW1014/100)</f>
        <v>0</v>
      </c>
      <c r="N1014" s="14">
        <v>1.2999999999999999E-3</v>
      </c>
      <c r="O1014" s="14">
        <f>G1014*N1014</f>
        <v>3.8999999999999998E-3</v>
      </c>
      <c r="P1014" s="72" t="s">
        <v>1664</v>
      </c>
      <c r="Z1014" s="14">
        <f>IF(AQ1014="5",BJ1014,0)</f>
        <v>0</v>
      </c>
      <c r="AB1014" s="14">
        <f>IF(AQ1014="1",BH1014,0)</f>
        <v>0</v>
      </c>
      <c r="AC1014" s="14">
        <f>IF(AQ1014="1",BI1014,0)</f>
        <v>0</v>
      </c>
      <c r="AD1014" s="14">
        <f>IF(AQ1014="7",BH1014,0)</f>
        <v>0</v>
      </c>
      <c r="AE1014" s="14">
        <f>IF(AQ1014="7",BI1014,0)</f>
        <v>0</v>
      </c>
      <c r="AF1014" s="14">
        <f>IF(AQ1014="2",BH1014,0)</f>
        <v>0</v>
      </c>
      <c r="AG1014" s="14">
        <f>IF(AQ1014="2",BI1014,0)</f>
        <v>0</v>
      </c>
      <c r="AH1014" s="14">
        <f>IF(AQ1014="0",BJ1014,0)</f>
        <v>0</v>
      </c>
      <c r="AI1014" s="15" t="s">
        <v>557</v>
      </c>
      <c r="AJ1014" s="14">
        <f>IF(AN1014=0,L1014,0)</f>
        <v>0</v>
      </c>
      <c r="AK1014" s="14">
        <f>IF(AN1014=15,L1014,0)</f>
        <v>0</v>
      </c>
      <c r="AL1014" s="14">
        <f>IF(AN1014=21,L1014,0)</f>
        <v>0</v>
      </c>
      <c r="AN1014" s="14">
        <v>21</v>
      </c>
      <c r="AO1014" s="92">
        <f>H1014*0.41573994867408</f>
        <v>0</v>
      </c>
      <c r="AP1014" s="92">
        <f>H1014*(1-0.41573994867408)</f>
        <v>0</v>
      </c>
      <c r="AQ1014" s="55" t="s">
        <v>2435</v>
      </c>
      <c r="AV1014" s="14">
        <f>AW1014+AX1014</f>
        <v>0</v>
      </c>
      <c r="AW1014" s="14">
        <f>G1014*AO1014</f>
        <v>0</v>
      </c>
      <c r="AX1014" s="14">
        <f>G1014*AP1014</f>
        <v>0</v>
      </c>
      <c r="AY1014" s="55" t="s">
        <v>256</v>
      </c>
      <c r="AZ1014" s="55" t="s">
        <v>831</v>
      </c>
      <c r="BA1014" s="15" t="s">
        <v>1982</v>
      </c>
      <c r="BC1014" s="14">
        <f>AW1014+AX1014</f>
        <v>0</v>
      </c>
      <c r="BD1014" s="14">
        <f>H1014/(100-BE1014)*100</f>
        <v>0</v>
      </c>
      <c r="BE1014" s="14">
        <v>0</v>
      </c>
      <c r="BF1014" s="14">
        <f>O1014</f>
        <v>3.8999999999999998E-3</v>
      </c>
      <c r="BH1014" s="14">
        <f>G1014*AO1014</f>
        <v>0</v>
      </c>
      <c r="BI1014" s="14">
        <f>G1014*AP1014</f>
        <v>0</v>
      </c>
      <c r="BJ1014" s="14">
        <f>G1014*H1014</f>
        <v>0</v>
      </c>
      <c r="BK1014" s="14"/>
      <c r="BL1014" s="14">
        <v>766</v>
      </c>
      <c r="BW1014" s="14" t="str">
        <f>I1014</f>
        <v>21</v>
      </c>
    </row>
    <row r="1015" spans="1:75" ht="15" customHeight="1">
      <c r="A1015" s="32"/>
      <c r="D1015" s="3" t="s">
        <v>2111</v>
      </c>
      <c r="E1015" s="28" t="s">
        <v>1683</v>
      </c>
      <c r="G1015" s="27">
        <v>3.0000000000000004</v>
      </c>
      <c r="P1015" s="33"/>
    </row>
    <row r="1016" spans="1:75" ht="27" customHeight="1">
      <c r="A1016" s="20" t="s">
        <v>840</v>
      </c>
      <c r="B1016" s="84" t="s">
        <v>557</v>
      </c>
      <c r="C1016" s="84" t="s">
        <v>1732</v>
      </c>
      <c r="D1016" s="653" t="s">
        <v>2667</v>
      </c>
      <c r="E1016" s="654"/>
      <c r="F1016" s="84" t="s">
        <v>595</v>
      </c>
      <c r="G1016" s="6">
        <v>2</v>
      </c>
      <c r="H1016" s="570"/>
      <c r="I1016" s="18" t="s">
        <v>1720</v>
      </c>
      <c r="J1016" s="6">
        <f>G1016*AO1016</f>
        <v>0</v>
      </c>
      <c r="K1016" s="6">
        <f>G1016*AP1016</f>
        <v>0</v>
      </c>
      <c r="L1016" s="6">
        <f>G1016*H1016</f>
        <v>0</v>
      </c>
      <c r="M1016" s="6">
        <f>L1016*(1+BW1016/100)</f>
        <v>0</v>
      </c>
      <c r="N1016" s="6">
        <v>0.05</v>
      </c>
      <c r="O1016" s="6">
        <f>G1016*N1016</f>
        <v>0.1</v>
      </c>
      <c r="P1016" s="109" t="s">
        <v>1664</v>
      </c>
      <c r="Z1016" s="14">
        <f>IF(AQ1016="5",BJ1016,0)</f>
        <v>0</v>
      </c>
      <c r="AB1016" s="14">
        <f>IF(AQ1016="1",BH1016,0)</f>
        <v>0</v>
      </c>
      <c r="AC1016" s="14">
        <f>IF(AQ1016="1",BI1016,0)</f>
        <v>0</v>
      </c>
      <c r="AD1016" s="14">
        <f>IF(AQ1016="7",BH1016,0)</f>
        <v>0</v>
      </c>
      <c r="AE1016" s="14">
        <f>IF(AQ1016="7",BI1016,0)</f>
        <v>0</v>
      </c>
      <c r="AF1016" s="14">
        <f>IF(AQ1016="2",BH1016,0)</f>
        <v>0</v>
      </c>
      <c r="AG1016" s="14">
        <f>IF(AQ1016="2",BI1016,0)</f>
        <v>0</v>
      </c>
      <c r="AH1016" s="14">
        <f>IF(AQ1016="0",BJ1016,0)</f>
        <v>0</v>
      </c>
      <c r="AI1016" s="15" t="s">
        <v>557</v>
      </c>
      <c r="AJ1016" s="6">
        <f>IF(AN1016=0,L1016,0)</f>
        <v>0</v>
      </c>
      <c r="AK1016" s="6">
        <f>IF(AN1016=15,L1016,0)</f>
        <v>0</v>
      </c>
      <c r="AL1016" s="6">
        <f>IF(AN1016=21,L1016,0)</f>
        <v>0</v>
      </c>
      <c r="AN1016" s="14">
        <v>21</v>
      </c>
      <c r="AO1016" s="92">
        <f>H1016*1</f>
        <v>0</v>
      </c>
      <c r="AP1016" s="92">
        <f>H1016*(1-1)</f>
        <v>0</v>
      </c>
      <c r="AQ1016" s="18" t="s">
        <v>2435</v>
      </c>
      <c r="AV1016" s="14">
        <f>AW1016+AX1016</f>
        <v>0</v>
      </c>
      <c r="AW1016" s="14">
        <f>G1016*AO1016</f>
        <v>0</v>
      </c>
      <c r="AX1016" s="14">
        <f>G1016*AP1016</f>
        <v>0</v>
      </c>
      <c r="AY1016" s="55" t="s">
        <v>256</v>
      </c>
      <c r="AZ1016" s="55" t="s">
        <v>831</v>
      </c>
      <c r="BA1016" s="15" t="s">
        <v>1982</v>
      </c>
      <c r="BC1016" s="14">
        <f>AW1016+AX1016</f>
        <v>0</v>
      </c>
      <c r="BD1016" s="14">
        <f>H1016/(100-BE1016)*100</f>
        <v>0</v>
      </c>
      <c r="BE1016" s="14">
        <v>0</v>
      </c>
      <c r="BF1016" s="14">
        <f>O1016</f>
        <v>0.1</v>
      </c>
      <c r="BH1016" s="6">
        <f>G1016*AO1016</f>
        <v>0</v>
      </c>
      <c r="BI1016" s="6">
        <f>G1016*AP1016</f>
        <v>0</v>
      </c>
      <c r="BJ1016" s="6">
        <f>G1016*H1016</f>
        <v>0</v>
      </c>
      <c r="BK1016" s="6"/>
      <c r="BL1016" s="14">
        <v>766</v>
      </c>
      <c r="BW1016" s="14" t="str">
        <f>I1016</f>
        <v>21</v>
      </c>
    </row>
    <row r="1017" spans="1:75" ht="15" customHeight="1">
      <c r="A1017" s="32"/>
      <c r="D1017" s="3" t="s">
        <v>1676</v>
      </c>
      <c r="E1017" s="28" t="s">
        <v>1488</v>
      </c>
      <c r="G1017" s="27">
        <v>2</v>
      </c>
      <c r="P1017" s="33"/>
    </row>
    <row r="1018" spans="1:75" ht="27" customHeight="1">
      <c r="A1018" s="20" t="s">
        <v>2066</v>
      </c>
      <c r="B1018" s="84" t="s">
        <v>557</v>
      </c>
      <c r="C1018" s="84" t="s">
        <v>2075</v>
      </c>
      <c r="D1018" s="653" t="s">
        <v>2764</v>
      </c>
      <c r="E1018" s="654"/>
      <c r="F1018" s="84" t="s">
        <v>595</v>
      </c>
      <c r="G1018" s="6">
        <v>1</v>
      </c>
      <c r="H1018" s="570"/>
      <c r="I1018" s="18" t="s">
        <v>1720</v>
      </c>
      <c r="J1018" s="6">
        <f>G1018*AO1018</f>
        <v>0</v>
      </c>
      <c r="K1018" s="6">
        <f>G1018*AP1018</f>
        <v>0</v>
      </c>
      <c r="L1018" s="6">
        <f>G1018*H1018</f>
        <v>0</v>
      </c>
      <c r="M1018" s="6">
        <f>L1018*(1+BW1018/100)</f>
        <v>0</v>
      </c>
      <c r="N1018" s="6">
        <v>0.05</v>
      </c>
      <c r="O1018" s="6">
        <f>G1018*N1018</f>
        <v>0.05</v>
      </c>
      <c r="P1018" s="109" t="s">
        <v>1664</v>
      </c>
      <c r="Z1018" s="14">
        <f>IF(AQ1018="5",BJ1018,0)</f>
        <v>0</v>
      </c>
      <c r="AB1018" s="14">
        <f>IF(AQ1018="1",BH1018,0)</f>
        <v>0</v>
      </c>
      <c r="AC1018" s="14">
        <f>IF(AQ1018="1",BI1018,0)</f>
        <v>0</v>
      </c>
      <c r="AD1018" s="14">
        <f>IF(AQ1018="7",BH1018,0)</f>
        <v>0</v>
      </c>
      <c r="AE1018" s="14">
        <f>IF(AQ1018="7",BI1018,0)</f>
        <v>0</v>
      </c>
      <c r="AF1018" s="14">
        <f>IF(AQ1018="2",BH1018,0)</f>
        <v>0</v>
      </c>
      <c r="AG1018" s="14">
        <f>IF(AQ1018="2",BI1018,0)</f>
        <v>0</v>
      </c>
      <c r="AH1018" s="14">
        <f>IF(AQ1018="0",BJ1018,0)</f>
        <v>0</v>
      </c>
      <c r="AI1018" s="15" t="s">
        <v>557</v>
      </c>
      <c r="AJ1018" s="6">
        <f>IF(AN1018=0,L1018,0)</f>
        <v>0</v>
      </c>
      <c r="AK1018" s="6">
        <f>IF(AN1018=15,L1018,0)</f>
        <v>0</v>
      </c>
      <c r="AL1018" s="6">
        <f>IF(AN1018=21,L1018,0)</f>
        <v>0</v>
      </c>
      <c r="AN1018" s="14">
        <v>21</v>
      </c>
      <c r="AO1018" s="92">
        <f>H1018*1</f>
        <v>0</v>
      </c>
      <c r="AP1018" s="92">
        <f>H1018*(1-1)</f>
        <v>0</v>
      </c>
      <c r="AQ1018" s="18" t="s">
        <v>2435</v>
      </c>
      <c r="AV1018" s="14">
        <f>AW1018+AX1018</f>
        <v>0</v>
      </c>
      <c r="AW1018" s="14">
        <f>G1018*AO1018</f>
        <v>0</v>
      </c>
      <c r="AX1018" s="14">
        <f>G1018*AP1018</f>
        <v>0</v>
      </c>
      <c r="AY1018" s="55" t="s">
        <v>256</v>
      </c>
      <c r="AZ1018" s="55" t="s">
        <v>831</v>
      </c>
      <c r="BA1018" s="15" t="s">
        <v>1982</v>
      </c>
      <c r="BC1018" s="14">
        <f>AW1018+AX1018</f>
        <v>0</v>
      </c>
      <c r="BD1018" s="14">
        <f>H1018/(100-BE1018)*100</f>
        <v>0</v>
      </c>
      <c r="BE1018" s="14">
        <v>0</v>
      </c>
      <c r="BF1018" s="14">
        <f>O1018</f>
        <v>0.05</v>
      </c>
      <c r="BH1018" s="6">
        <f>G1018*AO1018</f>
        <v>0</v>
      </c>
      <c r="BI1018" s="6">
        <f>G1018*AP1018</f>
        <v>0</v>
      </c>
      <c r="BJ1018" s="6">
        <f>G1018*H1018</f>
        <v>0</v>
      </c>
      <c r="BK1018" s="6"/>
      <c r="BL1018" s="14">
        <v>766</v>
      </c>
      <c r="BW1018" s="14" t="str">
        <f>I1018</f>
        <v>21</v>
      </c>
    </row>
    <row r="1019" spans="1:75" ht="15" customHeight="1">
      <c r="A1019" s="32"/>
      <c r="D1019" s="3" t="s">
        <v>2422</v>
      </c>
      <c r="E1019" s="28" t="s">
        <v>365</v>
      </c>
      <c r="G1019" s="27">
        <v>1</v>
      </c>
      <c r="P1019" s="33"/>
    </row>
    <row r="1020" spans="1:75" ht="27" customHeight="1">
      <c r="A1020" s="21" t="s">
        <v>262</v>
      </c>
      <c r="B1020" s="37" t="s">
        <v>557</v>
      </c>
      <c r="C1020" s="37" t="s">
        <v>1900</v>
      </c>
      <c r="D1020" s="578" t="s">
        <v>2674</v>
      </c>
      <c r="E1020" s="579"/>
      <c r="F1020" s="37" t="s">
        <v>595</v>
      </c>
      <c r="G1020" s="14">
        <v>1</v>
      </c>
      <c r="H1020" s="569"/>
      <c r="I1020" s="55" t="s">
        <v>1720</v>
      </c>
      <c r="J1020" s="14">
        <f>G1020*AO1020</f>
        <v>0</v>
      </c>
      <c r="K1020" s="14">
        <f>G1020*AP1020</f>
        <v>0</v>
      </c>
      <c r="L1020" s="14">
        <f>G1020*H1020</f>
        <v>0</v>
      </c>
      <c r="M1020" s="14">
        <f>L1020*(1+BW1020/100)</f>
        <v>0</v>
      </c>
      <c r="N1020" s="14">
        <v>5.5599999999999998E-3</v>
      </c>
      <c r="O1020" s="14">
        <f>G1020*N1020</f>
        <v>5.5599999999999998E-3</v>
      </c>
      <c r="P1020" s="72" t="s">
        <v>921</v>
      </c>
      <c r="Z1020" s="14">
        <f>IF(AQ1020="5",BJ1020,0)</f>
        <v>0</v>
      </c>
      <c r="AB1020" s="14">
        <f>IF(AQ1020="1",BH1020,0)</f>
        <v>0</v>
      </c>
      <c r="AC1020" s="14">
        <f>IF(AQ1020="1",BI1020,0)</f>
        <v>0</v>
      </c>
      <c r="AD1020" s="14">
        <f>IF(AQ1020="7",BH1020,0)</f>
        <v>0</v>
      </c>
      <c r="AE1020" s="14">
        <f>IF(AQ1020="7",BI1020,0)</f>
        <v>0</v>
      </c>
      <c r="AF1020" s="14">
        <f>IF(AQ1020="2",BH1020,0)</f>
        <v>0</v>
      </c>
      <c r="AG1020" s="14">
        <f>IF(AQ1020="2",BI1020,0)</f>
        <v>0</v>
      </c>
      <c r="AH1020" s="14">
        <f>IF(AQ1020="0",BJ1020,0)</f>
        <v>0</v>
      </c>
      <c r="AI1020" s="15" t="s">
        <v>557</v>
      </c>
      <c r="AJ1020" s="14">
        <f>IF(AN1020=0,L1020,0)</f>
        <v>0</v>
      </c>
      <c r="AK1020" s="14">
        <f>IF(AN1020=15,L1020,0)</f>
        <v>0</v>
      </c>
      <c r="AL1020" s="14">
        <f>IF(AN1020=21,L1020,0)</f>
        <v>0</v>
      </c>
      <c r="AN1020" s="14">
        <v>21</v>
      </c>
      <c r="AO1020" s="92">
        <f>H1020*0.24599776411403</f>
        <v>0</v>
      </c>
      <c r="AP1020" s="92">
        <f>H1020*(1-0.24599776411403)</f>
        <v>0</v>
      </c>
      <c r="AQ1020" s="55" t="s">
        <v>2435</v>
      </c>
      <c r="AV1020" s="14">
        <f>AW1020+AX1020</f>
        <v>0</v>
      </c>
      <c r="AW1020" s="14">
        <f>G1020*AO1020</f>
        <v>0</v>
      </c>
      <c r="AX1020" s="14">
        <f>G1020*AP1020</f>
        <v>0</v>
      </c>
      <c r="AY1020" s="55" t="s">
        <v>256</v>
      </c>
      <c r="AZ1020" s="55" t="s">
        <v>831</v>
      </c>
      <c r="BA1020" s="15" t="s">
        <v>1982</v>
      </c>
      <c r="BC1020" s="14">
        <f>AW1020+AX1020</f>
        <v>0</v>
      </c>
      <c r="BD1020" s="14">
        <f>H1020/(100-BE1020)*100</f>
        <v>0</v>
      </c>
      <c r="BE1020" s="14">
        <v>0</v>
      </c>
      <c r="BF1020" s="14">
        <f>O1020</f>
        <v>5.5599999999999998E-3</v>
      </c>
      <c r="BH1020" s="14">
        <f>G1020*AO1020</f>
        <v>0</v>
      </c>
      <c r="BI1020" s="14">
        <f>G1020*AP1020</f>
        <v>0</v>
      </c>
      <c r="BJ1020" s="14">
        <f>G1020*H1020</f>
        <v>0</v>
      </c>
      <c r="BK1020" s="14"/>
      <c r="BL1020" s="14">
        <v>766</v>
      </c>
      <c r="BW1020" s="14" t="str">
        <f>I1020</f>
        <v>21</v>
      </c>
    </row>
    <row r="1021" spans="1:75" ht="15" customHeight="1">
      <c r="A1021" s="32"/>
      <c r="D1021" s="3" t="s">
        <v>2422</v>
      </c>
      <c r="E1021" s="28" t="s">
        <v>1683</v>
      </c>
      <c r="G1021" s="27">
        <v>1</v>
      </c>
      <c r="P1021" s="33"/>
    </row>
    <row r="1022" spans="1:75" ht="27" customHeight="1">
      <c r="A1022" s="20" t="s">
        <v>729</v>
      </c>
      <c r="B1022" s="84" t="s">
        <v>557</v>
      </c>
      <c r="C1022" s="84" t="s">
        <v>1635</v>
      </c>
      <c r="D1022" s="653" t="s">
        <v>1337</v>
      </c>
      <c r="E1022" s="654"/>
      <c r="F1022" s="84" t="s">
        <v>595</v>
      </c>
      <c r="G1022" s="6">
        <v>1</v>
      </c>
      <c r="H1022" s="570"/>
      <c r="I1022" s="18" t="s">
        <v>1720</v>
      </c>
      <c r="J1022" s="6">
        <f>G1022*AO1022</f>
        <v>0</v>
      </c>
      <c r="K1022" s="6">
        <f>G1022*AP1022</f>
        <v>0</v>
      </c>
      <c r="L1022" s="6">
        <f>G1022*H1022</f>
        <v>0</v>
      </c>
      <c r="M1022" s="6">
        <f>L1022*(1+BW1022/100)</f>
        <v>0</v>
      </c>
      <c r="N1022" s="6">
        <v>8.8999999999999996E-2</v>
      </c>
      <c r="O1022" s="6">
        <f>G1022*N1022</f>
        <v>8.8999999999999996E-2</v>
      </c>
      <c r="P1022" s="109" t="s">
        <v>921</v>
      </c>
      <c r="Z1022" s="14">
        <f>IF(AQ1022="5",BJ1022,0)</f>
        <v>0</v>
      </c>
      <c r="AB1022" s="14">
        <f>IF(AQ1022="1",BH1022,0)</f>
        <v>0</v>
      </c>
      <c r="AC1022" s="14">
        <f>IF(AQ1022="1",BI1022,0)</f>
        <v>0</v>
      </c>
      <c r="AD1022" s="14">
        <f>IF(AQ1022="7",BH1022,0)</f>
        <v>0</v>
      </c>
      <c r="AE1022" s="14">
        <f>IF(AQ1022="7",BI1022,0)</f>
        <v>0</v>
      </c>
      <c r="AF1022" s="14">
        <f>IF(AQ1022="2",BH1022,0)</f>
        <v>0</v>
      </c>
      <c r="AG1022" s="14">
        <f>IF(AQ1022="2",BI1022,0)</f>
        <v>0</v>
      </c>
      <c r="AH1022" s="14">
        <f>IF(AQ1022="0",BJ1022,0)</f>
        <v>0</v>
      </c>
      <c r="AI1022" s="15" t="s">
        <v>557</v>
      </c>
      <c r="AJ1022" s="6">
        <f>IF(AN1022=0,L1022,0)</f>
        <v>0</v>
      </c>
      <c r="AK1022" s="6">
        <f>IF(AN1022=15,L1022,0)</f>
        <v>0</v>
      </c>
      <c r="AL1022" s="6">
        <f>IF(AN1022=21,L1022,0)</f>
        <v>0</v>
      </c>
      <c r="AN1022" s="14">
        <v>21</v>
      </c>
      <c r="AO1022" s="92">
        <f>H1022*1</f>
        <v>0</v>
      </c>
      <c r="AP1022" s="92">
        <f>H1022*(1-1)</f>
        <v>0</v>
      </c>
      <c r="AQ1022" s="18" t="s">
        <v>2435</v>
      </c>
      <c r="AV1022" s="14">
        <f>AW1022+AX1022</f>
        <v>0</v>
      </c>
      <c r="AW1022" s="14">
        <f>G1022*AO1022</f>
        <v>0</v>
      </c>
      <c r="AX1022" s="14">
        <f>G1022*AP1022</f>
        <v>0</v>
      </c>
      <c r="AY1022" s="55" t="s">
        <v>256</v>
      </c>
      <c r="AZ1022" s="55" t="s">
        <v>831</v>
      </c>
      <c r="BA1022" s="15" t="s">
        <v>1982</v>
      </c>
      <c r="BC1022" s="14">
        <f>AW1022+AX1022</f>
        <v>0</v>
      </c>
      <c r="BD1022" s="14">
        <f>H1022/(100-BE1022)*100</f>
        <v>0</v>
      </c>
      <c r="BE1022" s="14">
        <v>0</v>
      </c>
      <c r="BF1022" s="14">
        <f>O1022</f>
        <v>8.8999999999999996E-2</v>
      </c>
      <c r="BH1022" s="6">
        <f>G1022*AO1022</f>
        <v>0</v>
      </c>
      <c r="BI1022" s="6">
        <f>G1022*AP1022</f>
        <v>0</v>
      </c>
      <c r="BJ1022" s="6">
        <f>G1022*H1022</f>
        <v>0</v>
      </c>
      <c r="BK1022" s="6"/>
      <c r="BL1022" s="14">
        <v>766</v>
      </c>
      <c r="BW1022" s="14" t="str">
        <f>I1022</f>
        <v>21</v>
      </c>
    </row>
    <row r="1023" spans="1:75" ht="15" customHeight="1">
      <c r="A1023" s="32"/>
      <c r="D1023" s="3" t="s">
        <v>2422</v>
      </c>
      <c r="E1023" s="28" t="s">
        <v>1491</v>
      </c>
      <c r="G1023" s="27">
        <v>1</v>
      </c>
      <c r="P1023" s="33"/>
    </row>
    <row r="1024" spans="1:75" ht="13.5" customHeight="1">
      <c r="A1024" s="21" t="s">
        <v>954</v>
      </c>
      <c r="B1024" s="37" t="s">
        <v>557</v>
      </c>
      <c r="C1024" s="37" t="s">
        <v>1542</v>
      </c>
      <c r="D1024" s="578" t="s">
        <v>1738</v>
      </c>
      <c r="E1024" s="579"/>
      <c r="F1024" s="37" t="s">
        <v>595</v>
      </c>
      <c r="G1024" s="14">
        <v>8</v>
      </c>
      <c r="H1024" s="569"/>
      <c r="I1024" s="55" t="s">
        <v>1720</v>
      </c>
      <c r="J1024" s="14">
        <f>G1024*AO1024</f>
        <v>0</v>
      </c>
      <c r="K1024" s="14">
        <f>G1024*AP1024</f>
        <v>0</v>
      </c>
      <c r="L1024" s="14">
        <f>G1024*H1024</f>
        <v>0</v>
      </c>
      <c r="M1024" s="14">
        <f>L1024*(1+BW1024/100)</f>
        <v>0</v>
      </c>
      <c r="N1024" s="14">
        <v>1.0000000000000001E-5</v>
      </c>
      <c r="O1024" s="14">
        <f>G1024*N1024</f>
        <v>8.0000000000000007E-5</v>
      </c>
      <c r="P1024" s="72" t="s">
        <v>1664</v>
      </c>
      <c r="Z1024" s="14">
        <f>IF(AQ1024="5",BJ1024,0)</f>
        <v>0</v>
      </c>
      <c r="AB1024" s="14">
        <f>IF(AQ1024="1",BH1024,0)</f>
        <v>0</v>
      </c>
      <c r="AC1024" s="14">
        <f>IF(AQ1024="1",BI1024,0)</f>
        <v>0</v>
      </c>
      <c r="AD1024" s="14">
        <f>IF(AQ1024="7",BH1024,0)</f>
        <v>0</v>
      </c>
      <c r="AE1024" s="14">
        <f>IF(AQ1024="7",BI1024,0)</f>
        <v>0</v>
      </c>
      <c r="AF1024" s="14">
        <f>IF(AQ1024="2",BH1024,0)</f>
        <v>0</v>
      </c>
      <c r="AG1024" s="14">
        <f>IF(AQ1024="2",BI1024,0)</f>
        <v>0</v>
      </c>
      <c r="AH1024" s="14">
        <f>IF(AQ1024="0",BJ1024,0)</f>
        <v>0</v>
      </c>
      <c r="AI1024" s="15" t="s">
        <v>557</v>
      </c>
      <c r="AJ1024" s="14">
        <f>IF(AN1024=0,L1024,0)</f>
        <v>0</v>
      </c>
      <c r="AK1024" s="14">
        <f>IF(AN1024=15,L1024,0)</f>
        <v>0</v>
      </c>
      <c r="AL1024" s="14">
        <f>IF(AN1024=21,L1024,0)</f>
        <v>0</v>
      </c>
      <c r="AN1024" s="14">
        <v>21</v>
      </c>
      <c r="AO1024" s="92">
        <f>H1024*0.0388191881918819</f>
        <v>0</v>
      </c>
      <c r="AP1024" s="92">
        <f>H1024*(1-0.0388191881918819)</f>
        <v>0</v>
      </c>
      <c r="AQ1024" s="55" t="s">
        <v>2435</v>
      </c>
      <c r="AV1024" s="14">
        <f>AW1024+AX1024</f>
        <v>0</v>
      </c>
      <c r="AW1024" s="14">
        <f>G1024*AO1024</f>
        <v>0</v>
      </c>
      <c r="AX1024" s="14">
        <f>G1024*AP1024</f>
        <v>0</v>
      </c>
      <c r="AY1024" s="55" t="s">
        <v>256</v>
      </c>
      <c r="AZ1024" s="55" t="s">
        <v>831</v>
      </c>
      <c r="BA1024" s="15" t="s">
        <v>1982</v>
      </c>
      <c r="BC1024" s="14">
        <f>AW1024+AX1024</f>
        <v>0</v>
      </c>
      <c r="BD1024" s="14">
        <f>H1024/(100-BE1024)*100</f>
        <v>0</v>
      </c>
      <c r="BE1024" s="14">
        <v>0</v>
      </c>
      <c r="BF1024" s="14">
        <f>O1024</f>
        <v>8.0000000000000007E-5</v>
      </c>
      <c r="BH1024" s="14">
        <f>G1024*AO1024</f>
        <v>0</v>
      </c>
      <c r="BI1024" s="14">
        <f>G1024*AP1024</f>
        <v>0</v>
      </c>
      <c r="BJ1024" s="14">
        <f>G1024*H1024</f>
        <v>0</v>
      </c>
      <c r="BK1024" s="14"/>
      <c r="BL1024" s="14">
        <v>766</v>
      </c>
      <c r="BW1024" s="14" t="str">
        <f>I1024</f>
        <v>21</v>
      </c>
    </row>
    <row r="1025" spans="1:75" ht="15" customHeight="1">
      <c r="A1025" s="32"/>
      <c r="D1025" s="3" t="s">
        <v>170</v>
      </c>
      <c r="E1025" s="28" t="s">
        <v>1683</v>
      </c>
      <c r="G1025" s="27">
        <v>8</v>
      </c>
      <c r="P1025" s="33"/>
    </row>
    <row r="1026" spans="1:75" ht="13.5" customHeight="1">
      <c r="A1026" s="20" t="s">
        <v>1303</v>
      </c>
      <c r="B1026" s="84" t="s">
        <v>557</v>
      </c>
      <c r="C1026" s="84" t="s">
        <v>2775</v>
      </c>
      <c r="D1026" s="653" t="s">
        <v>2588</v>
      </c>
      <c r="E1026" s="654"/>
      <c r="F1026" s="84" t="s">
        <v>595</v>
      </c>
      <c r="G1026" s="6">
        <v>8</v>
      </c>
      <c r="H1026" s="570"/>
      <c r="I1026" s="18" t="s">
        <v>1720</v>
      </c>
      <c r="J1026" s="6">
        <f>G1026*AO1026</f>
        <v>0</v>
      </c>
      <c r="K1026" s="6">
        <f>G1026*AP1026</f>
        <v>0</v>
      </c>
      <c r="L1026" s="6">
        <f>G1026*H1026</f>
        <v>0</v>
      </c>
      <c r="M1026" s="6">
        <f>L1026*(1+BW1026/100)</f>
        <v>0</v>
      </c>
      <c r="N1026" s="6">
        <v>1.1999999999999999E-3</v>
      </c>
      <c r="O1026" s="6">
        <f>G1026*N1026</f>
        <v>9.5999999999999992E-3</v>
      </c>
      <c r="P1026" s="109" t="s">
        <v>1664</v>
      </c>
      <c r="Z1026" s="14">
        <f>IF(AQ1026="5",BJ1026,0)</f>
        <v>0</v>
      </c>
      <c r="AB1026" s="14">
        <f>IF(AQ1026="1",BH1026,0)</f>
        <v>0</v>
      </c>
      <c r="AC1026" s="14">
        <f>IF(AQ1026="1",BI1026,0)</f>
        <v>0</v>
      </c>
      <c r="AD1026" s="14">
        <f>IF(AQ1026="7",BH1026,0)</f>
        <v>0</v>
      </c>
      <c r="AE1026" s="14">
        <f>IF(AQ1026="7",BI1026,0)</f>
        <v>0</v>
      </c>
      <c r="AF1026" s="14">
        <f>IF(AQ1026="2",BH1026,0)</f>
        <v>0</v>
      </c>
      <c r="AG1026" s="14">
        <f>IF(AQ1026="2",BI1026,0)</f>
        <v>0</v>
      </c>
      <c r="AH1026" s="14">
        <f>IF(AQ1026="0",BJ1026,0)</f>
        <v>0</v>
      </c>
      <c r="AI1026" s="15" t="s">
        <v>557</v>
      </c>
      <c r="AJ1026" s="6">
        <f>IF(AN1026=0,L1026,0)</f>
        <v>0</v>
      </c>
      <c r="AK1026" s="6">
        <f>IF(AN1026=15,L1026,0)</f>
        <v>0</v>
      </c>
      <c r="AL1026" s="6">
        <f>IF(AN1026=21,L1026,0)</f>
        <v>0</v>
      </c>
      <c r="AN1026" s="14">
        <v>21</v>
      </c>
      <c r="AO1026" s="92">
        <f>H1026*1</f>
        <v>0</v>
      </c>
      <c r="AP1026" s="92">
        <f>H1026*(1-1)</f>
        <v>0</v>
      </c>
      <c r="AQ1026" s="18" t="s">
        <v>2435</v>
      </c>
      <c r="AV1026" s="14">
        <f>AW1026+AX1026</f>
        <v>0</v>
      </c>
      <c r="AW1026" s="14">
        <f>G1026*AO1026</f>
        <v>0</v>
      </c>
      <c r="AX1026" s="14">
        <f>G1026*AP1026</f>
        <v>0</v>
      </c>
      <c r="AY1026" s="55" t="s">
        <v>256</v>
      </c>
      <c r="AZ1026" s="55" t="s">
        <v>831</v>
      </c>
      <c r="BA1026" s="15" t="s">
        <v>1982</v>
      </c>
      <c r="BC1026" s="14">
        <f>AW1026+AX1026</f>
        <v>0</v>
      </c>
      <c r="BD1026" s="14">
        <f>H1026/(100-BE1026)*100</f>
        <v>0</v>
      </c>
      <c r="BE1026" s="14">
        <v>0</v>
      </c>
      <c r="BF1026" s="14">
        <f>O1026</f>
        <v>9.5999999999999992E-3</v>
      </c>
      <c r="BH1026" s="6">
        <f>G1026*AO1026</f>
        <v>0</v>
      </c>
      <c r="BI1026" s="6">
        <f>G1026*AP1026</f>
        <v>0</v>
      </c>
      <c r="BJ1026" s="6">
        <f>G1026*H1026</f>
        <v>0</v>
      </c>
      <c r="BK1026" s="6"/>
      <c r="BL1026" s="14">
        <v>766</v>
      </c>
      <c r="BW1026" s="14" t="str">
        <f>I1026</f>
        <v>21</v>
      </c>
    </row>
    <row r="1027" spans="1:75" ht="15" customHeight="1">
      <c r="A1027" s="32"/>
      <c r="D1027" s="3" t="s">
        <v>1924</v>
      </c>
      <c r="E1027" s="28" t="s">
        <v>1683</v>
      </c>
      <c r="G1027" s="27">
        <v>8</v>
      </c>
      <c r="P1027" s="33"/>
    </row>
    <row r="1028" spans="1:75" ht="15" customHeight="1">
      <c r="A1028" s="65" t="s">
        <v>1683</v>
      </c>
      <c r="B1028" s="26" t="s">
        <v>557</v>
      </c>
      <c r="C1028" s="26" t="s">
        <v>1096</v>
      </c>
      <c r="D1028" s="649" t="s">
        <v>738</v>
      </c>
      <c r="E1028" s="650"/>
      <c r="F1028" s="74" t="s">
        <v>2262</v>
      </c>
      <c r="G1028" s="74" t="s">
        <v>2262</v>
      </c>
      <c r="H1028" s="74" t="s">
        <v>2262</v>
      </c>
      <c r="I1028" s="74" t="s">
        <v>2262</v>
      </c>
      <c r="J1028" s="2">
        <f>SUM(J1029:J1045)</f>
        <v>0</v>
      </c>
      <c r="K1028" s="2">
        <f>SUM(K1029:K1045)</f>
        <v>0</v>
      </c>
      <c r="L1028" s="2">
        <f>SUM(L1029:L1045)</f>
        <v>0</v>
      </c>
      <c r="M1028" s="2">
        <f>SUM(M1029:M1045)</f>
        <v>0</v>
      </c>
      <c r="N1028" s="15" t="s">
        <v>1683</v>
      </c>
      <c r="O1028" s="2">
        <f>SUM(O1029:O1045)</f>
        <v>6.1030000000000008E-2</v>
      </c>
      <c r="P1028" s="47" t="s">
        <v>1683</v>
      </c>
      <c r="AI1028" s="15" t="s">
        <v>557</v>
      </c>
      <c r="AS1028" s="2">
        <f>SUM(AJ1029:AJ1045)</f>
        <v>0</v>
      </c>
      <c r="AT1028" s="2">
        <f>SUM(AK1029:AK1045)</f>
        <v>0</v>
      </c>
      <c r="AU1028" s="2">
        <f>SUM(AL1029:AL1045)</f>
        <v>0</v>
      </c>
    </row>
    <row r="1029" spans="1:75" ht="13.5" customHeight="1">
      <c r="A1029" s="21" t="s">
        <v>2179</v>
      </c>
      <c r="B1029" s="37" t="s">
        <v>557</v>
      </c>
      <c r="C1029" s="37" t="s">
        <v>2231</v>
      </c>
      <c r="D1029" s="578" t="s">
        <v>635</v>
      </c>
      <c r="E1029" s="579"/>
      <c r="F1029" s="37" t="s">
        <v>2302</v>
      </c>
      <c r="G1029" s="14">
        <v>25</v>
      </c>
      <c r="H1029" s="569"/>
      <c r="I1029" s="55" t="s">
        <v>1720</v>
      </c>
      <c r="J1029" s="14">
        <f>G1029*AO1029</f>
        <v>0</v>
      </c>
      <c r="K1029" s="14">
        <f>G1029*AP1029</f>
        <v>0</v>
      </c>
      <c r="L1029" s="14">
        <f>G1029*H1029</f>
        <v>0</v>
      </c>
      <c r="M1029" s="14">
        <f>L1029*(1+BW1029/100)</f>
        <v>0</v>
      </c>
      <c r="N1029" s="14">
        <v>6.0000000000000002E-5</v>
      </c>
      <c r="O1029" s="14">
        <f>G1029*N1029</f>
        <v>1.5E-3</v>
      </c>
      <c r="P1029" s="72" t="s">
        <v>1664</v>
      </c>
      <c r="Z1029" s="14">
        <f>IF(AQ1029="5",BJ1029,0)</f>
        <v>0</v>
      </c>
      <c r="AB1029" s="14">
        <f>IF(AQ1029="1",BH1029,0)</f>
        <v>0</v>
      </c>
      <c r="AC1029" s="14">
        <f>IF(AQ1029="1",BI1029,0)</f>
        <v>0</v>
      </c>
      <c r="AD1029" s="14">
        <f>IF(AQ1029="7",BH1029,0)</f>
        <v>0</v>
      </c>
      <c r="AE1029" s="14">
        <f>IF(AQ1029="7",BI1029,0)</f>
        <v>0</v>
      </c>
      <c r="AF1029" s="14">
        <f>IF(AQ1029="2",BH1029,0)</f>
        <v>0</v>
      </c>
      <c r="AG1029" s="14">
        <f>IF(AQ1029="2",BI1029,0)</f>
        <v>0</v>
      </c>
      <c r="AH1029" s="14">
        <f>IF(AQ1029="0",BJ1029,0)</f>
        <v>0</v>
      </c>
      <c r="AI1029" s="15" t="s">
        <v>557</v>
      </c>
      <c r="AJ1029" s="14">
        <f>IF(AN1029=0,L1029,0)</f>
        <v>0</v>
      </c>
      <c r="AK1029" s="14">
        <f>IF(AN1029=15,L1029,0)</f>
        <v>0</v>
      </c>
      <c r="AL1029" s="14">
        <f>IF(AN1029=21,L1029,0)</f>
        <v>0</v>
      </c>
      <c r="AN1029" s="14">
        <v>21</v>
      </c>
      <c r="AO1029" s="92">
        <f>H1029*0.0818333333333333</f>
        <v>0</v>
      </c>
      <c r="AP1029" s="92">
        <f>H1029*(1-0.0818333333333333)</f>
        <v>0</v>
      </c>
      <c r="AQ1029" s="55" t="s">
        <v>2435</v>
      </c>
      <c r="AV1029" s="14">
        <f>AW1029+AX1029</f>
        <v>0</v>
      </c>
      <c r="AW1029" s="14">
        <f>G1029*AO1029</f>
        <v>0</v>
      </c>
      <c r="AX1029" s="14">
        <f>G1029*AP1029</f>
        <v>0</v>
      </c>
      <c r="AY1029" s="55" t="s">
        <v>681</v>
      </c>
      <c r="AZ1029" s="55" t="s">
        <v>831</v>
      </c>
      <c r="BA1029" s="15" t="s">
        <v>1982</v>
      </c>
      <c r="BC1029" s="14">
        <f>AW1029+AX1029</f>
        <v>0</v>
      </c>
      <c r="BD1029" s="14">
        <f>H1029/(100-BE1029)*100</f>
        <v>0</v>
      </c>
      <c r="BE1029" s="14">
        <v>0</v>
      </c>
      <c r="BF1029" s="14">
        <f>O1029</f>
        <v>1.5E-3</v>
      </c>
      <c r="BH1029" s="14">
        <f>G1029*AO1029</f>
        <v>0</v>
      </c>
      <c r="BI1029" s="14">
        <f>G1029*AP1029</f>
        <v>0</v>
      </c>
      <c r="BJ1029" s="14">
        <f>G1029*H1029</f>
        <v>0</v>
      </c>
      <c r="BK1029" s="14"/>
      <c r="BL1029" s="14">
        <v>767</v>
      </c>
      <c r="BW1029" s="14" t="str">
        <f>I1029</f>
        <v>21</v>
      </c>
    </row>
    <row r="1030" spans="1:75" ht="15" customHeight="1">
      <c r="A1030" s="32"/>
      <c r="D1030" s="3" t="s">
        <v>2061</v>
      </c>
      <c r="E1030" s="28" t="s">
        <v>1291</v>
      </c>
      <c r="G1030" s="27">
        <v>25.000000000000004</v>
      </c>
      <c r="P1030" s="33"/>
    </row>
    <row r="1031" spans="1:75" ht="13.5" customHeight="1">
      <c r="A1031" s="20" t="s">
        <v>913</v>
      </c>
      <c r="B1031" s="84" t="s">
        <v>557</v>
      </c>
      <c r="C1031" s="84" t="s">
        <v>263</v>
      </c>
      <c r="D1031" s="653" t="s">
        <v>2295</v>
      </c>
      <c r="E1031" s="654"/>
      <c r="F1031" s="84" t="s">
        <v>595</v>
      </c>
      <c r="G1031" s="6">
        <v>50</v>
      </c>
      <c r="H1031" s="570"/>
      <c r="I1031" s="18" t="s">
        <v>1720</v>
      </c>
      <c r="J1031" s="6">
        <f>G1031*AO1031</f>
        <v>0</v>
      </c>
      <c r="K1031" s="6">
        <f>G1031*AP1031</f>
        <v>0</v>
      </c>
      <c r="L1031" s="6">
        <f>G1031*H1031</f>
        <v>0</v>
      </c>
      <c r="M1031" s="6">
        <f>L1031*(1+BW1031/100)</f>
        <v>0</v>
      </c>
      <c r="N1031" s="6">
        <v>0</v>
      </c>
      <c r="O1031" s="6">
        <f>G1031*N1031</f>
        <v>0</v>
      </c>
      <c r="P1031" s="109" t="s">
        <v>1664</v>
      </c>
      <c r="Z1031" s="14">
        <f>IF(AQ1031="5",BJ1031,0)</f>
        <v>0</v>
      </c>
      <c r="AB1031" s="14">
        <f>IF(AQ1031="1",BH1031,0)</f>
        <v>0</v>
      </c>
      <c r="AC1031" s="14">
        <f>IF(AQ1031="1",BI1031,0)</f>
        <v>0</v>
      </c>
      <c r="AD1031" s="14">
        <f>IF(AQ1031="7",BH1031,0)</f>
        <v>0</v>
      </c>
      <c r="AE1031" s="14">
        <f>IF(AQ1031="7",BI1031,0)</f>
        <v>0</v>
      </c>
      <c r="AF1031" s="14">
        <f>IF(AQ1031="2",BH1031,0)</f>
        <v>0</v>
      </c>
      <c r="AG1031" s="14">
        <f>IF(AQ1031="2",BI1031,0)</f>
        <v>0</v>
      </c>
      <c r="AH1031" s="14">
        <f>IF(AQ1031="0",BJ1031,0)</f>
        <v>0</v>
      </c>
      <c r="AI1031" s="15" t="s">
        <v>557</v>
      </c>
      <c r="AJ1031" s="6">
        <f>IF(AN1031=0,L1031,0)</f>
        <v>0</v>
      </c>
      <c r="AK1031" s="6">
        <f>IF(AN1031=15,L1031,0)</f>
        <v>0</v>
      </c>
      <c r="AL1031" s="6">
        <f>IF(AN1031=21,L1031,0)</f>
        <v>0</v>
      </c>
      <c r="AN1031" s="14">
        <v>21</v>
      </c>
      <c r="AO1031" s="92">
        <f>H1031*1</f>
        <v>0</v>
      </c>
      <c r="AP1031" s="92">
        <f>H1031*(1-1)</f>
        <v>0</v>
      </c>
      <c r="AQ1031" s="18" t="s">
        <v>2435</v>
      </c>
      <c r="AV1031" s="14">
        <f>AW1031+AX1031</f>
        <v>0</v>
      </c>
      <c r="AW1031" s="14">
        <f>G1031*AO1031</f>
        <v>0</v>
      </c>
      <c r="AX1031" s="14">
        <f>G1031*AP1031</f>
        <v>0</v>
      </c>
      <c r="AY1031" s="55" t="s">
        <v>681</v>
      </c>
      <c r="AZ1031" s="55" t="s">
        <v>831</v>
      </c>
      <c r="BA1031" s="15" t="s">
        <v>1982</v>
      </c>
      <c r="BC1031" s="14">
        <f>AW1031+AX1031</f>
        <v>0</v>
      </c>
      <c r="BD1031" s="14">
        <f>H1031/(100-BE1031)*100</f>
        <v>0</v>
      </c>
      <c r="BE1031" s="14">
        <v>0</v>
      </c>
      <c r="BF1031" s="14">
        <f>O1031</f>
        <v>0</v>
      </c>
      <c r="BH1031" s="6">
        <f>G1031*AO1031</f>
        <v>0</v>
      </c>
      <c r="BI1031" s="6">
        <f>G1031*AP1031</f>
        <v>0</v>
      </c>
      <c r="BJ1031" s="6">
        <f>G1031*H1031</f>
        <v>0</v>
      </c>
      <c r="BK1031" s="6"/>
      <c r="BL1031" s="14">
        <v>767</v>
      </c>
      <c r="BW1031" s="14" t="str">
        <f>I1031</f>
        <v>21</v>
      </c>
    </row>
    <row r="1032" spans="1:75" ht="15" customHeight="1">
      <c r="A1032" s="32"/>
      <c r="D1032" s="3" t="s">
        <v>1999</v>
      </c>
      <c r="E1032" s="28" t="s">
        <v>1683</v>
      </c>
      <c r="G1032" s="27">
        <v>50.000000000000007</v>
      </c>
      <c r="P1032" s="33"/>
    </row>
    <row r="1033" spans="1:75" ht="13.5" customHeight="1">
      <c r="A1033" s="20" t="s">
        <v>2003</v>
      </c>
      <c r="B1033" s="84" t="s">
        <v>557</v>
      </c>
      <c r="C1033" s="84" t="s">
        <v>1959</v>
      </c>
      <c r="D1033" s="653" t="s">
        <v>278</v>
      </c>
      <c r="E1033" s="654"/>
      <c r="F1033" s="84" t="s">
        <v>2019</v>
      </c>
      <c r="G1033" s="6">
        <v>25</v>
      </c>
      <c r="H1033" s="570"/>
      <c r="I1033" s="18" t="s">
        <v>1720</v>
      </c>
      <c r="J1033" s="6">
        <f>G1033*AO1033</f>
        <v>0</v>
      </c>
      <c r="K1033" s="6">
        <f>G1033*AP1033</f>
        <v>0</v>
      </c>
      <c r="L1033" s="6">
        <f>G1033*H1033</f>
        <v>0</v>
      </c>
      <c r="M1033" s="6">
        <f>L1033*(1+BW1033/100)</f>
        <v>0</v>
      </c>
      <c r="N1033" s="6">
        <v>1.33E-3</v>
      </c>
      <c r="O1033" s="6">
        <f>G1033*N1033</f>
        <v>3.3250000000000002E-2</v>
      </c>
      <c r="P1033" s="109" t="s">
        <v>1664</v>
      </c>
      <c r="Z1033" s="14">
        <f>IF(AQ1033="5",BJ1033,0)</f>
        <v>0</v>
      </c>
      <c r="AB1033" s="14">
        <f>IF(AQ1033="1",BH1033,0)</f>
        <v>0</v>
      </c>
      <c r="AC1033" s="14">
        <f>IF(AQ1033="1",BI1033,0)</f>
        <v>0</v>
      </c>
      <c r="AD1033" s="14">
        <f>IF(AQ1033="7",BH1033,0)</f>
        <v>0</v>
      </c>
      <c r="AE1033" s="14">
        <f>IF(AQ1033="7",BI1033,0)</f>
        <v>0</v>
      </c>
      <c r="AF1033" s="14">
        <f>IF(AQ1033="2",BH1033,0)</f>
        <v>0</v>
      </c>
      <c r="AG1033" s="14">
        <f>IF(AQ1033="2",BI1033,0)</f>
        <v>0</v>
      </c>
      <c r="AH1033" s="14">
        <f>IF(AQ1033="0",BJ1033,0)</f>
        <v>0</v>
      </c>
      <c r="AI1033" s="15" t="s">
        <v>557</v>
      </c>
      <c r="AJ1033" s="6">
        <f>IF(AN1033=0,L1033,0)</f>
        <v>0</v>
      </c>
      <c r="AK1033" s="6">
        <f>IF(AN1033=15,L1033,0)</f>
        <v>0</v>
      </c>
      <c r="AL1033" s="6">
        <f>IF(AN1033=21,L1033,0)</f>
        <v>0</v>
      </c>
      <c r="AN1033" s="14">
        <v>21</v>
      </c>
      <c r="AO1033" s="92">
        <f>H1033*1</f>
        <v>0</v>
      </c>
      <c r="AP1033" s="92">
        <f>H1033*(1-1)</f>
        <v>0</v>
      </c>
      <c r="AQ1033" s="18" t="s">
        <v>2435</v>
      </c>
      <c r="AV1033" s="14">
        <f>AW1033+AX1033</f>
        <v>0</v>
      </c>
      <c r="AW1033" s="14">
        <f>G1033*AO1033</f>
        <v>0</v>
      </c>
      <c r="AX1033" s="14">
        <f>G1033*AP1033</f>
        <v>0</v>
      </c>
      <c r="AY1033" s="55" t="s">
        <v>681</v>
      </c>
      <c r="AZ1033" s="55" t="s">
        <v>831</v>
      </c>
      <c r="BA1033" s="15" t="s">
        <v>1982</v>
      </c>
      <c r="BC1033" s="14">
        <f>AW1033+AX1033</f>
        <v>0</v>
      </c>
      <c r="BD1033" s="14">
        <f>H1033/(100-BE1033)*100</f>
        <v>0</v>
      </c>
      <c r="BE1033" s="14">
        <v>0</v>
      </c>
      <c r="BF1033" s="14">
        <f>O1033</f>
        <v>3.3250000000000002E-2</v>
      </c>
      <c r="BH1033" s="6">
        <f>G1033*AO1033</f>
        <v>0</v>
      </c>
      <c r="BI1033" s="6">
        <f>G1033*AP1033</f>
        <v>0</v>
      </c>
      <c r="BJ1033" s="6">
        <f>G1033*H1033</f>
        <v>0</v>
      </c>
      <c r="BK1033" s="6"/>
      <c r="BL1033" s="14">
        <v>767</v>
      </c>
      <c r="BW1033" s="14" t="str">
        <f>I1033</f>
        <v>21</v>
      </c>
    </row>
    <row r="1034" spans="1:75" ht="15" customHeight="1">
      <c r="A1034" s="32"/>
      <c r="D1034" s="3" t="s">
        <v>593</v>
      </c>
      <c r="E1034" s="28" t="s">
        <v>1683</v>
      </c>
      <c r="G1034" s="27">
        <v>25.000000000000004</v>
      </c>
      <c r="P1034" s="33"/>
    </row>
    <row r="1035" spans="1:75" ht="13.5" customHeight="1">
      <c r="A1035" s="20" t="s">
        <v>2041</v>
      </c>
      <c r="B1035" s="84" t="s">
        <v>557</v>
      </c>
      <c r="C1035" s="84" t="s">
        <v>1447</v>
      </c>
      <c r="D1035" s="653" t="s">
        <v>1992</v>
      </c>
      <c r="E1035" s="654"/>
      <c r="F1035" s="84" t="s">
        <v>595</v>
      </c>
      <c r="G1035" s="6">
        <v>10</v>
      </c>
      <c r="H1035" s="570"/>
      <c r="I1035" s="18" t="s">
        <v>1720</v>
      </c>
      <c r="J1035" s="6">
        <f>G1035*AO1035</f>
        <v>0</v>
      </c>
      <c r="K1035" s="6">
        <f>G1035*AP1035</f>
        <v>0</v>
      </c>
      <c r="L1035" s="6">
        <f>G1035*H1035</f>
        <v>0</v>
      </c>
      <c r="M1035" s="6">
        <f>L1035*(1+BW1035/100)</f>
        <v>0</v>
      </c>
      <c r="N1035" s="6">
        <v>0</v>
      </c>
      <c r="O1035" s="6">
        <f>G1035*N1035</f>
        <v>0</v>
      </c>
      <c r="P1035" s="109" t="s">
        <v>921</v>
      </c>
      <c r="Z1035" s="14">
        <f>IF(AQ1035="5",BJ1035,0)</f>
        <v>0</v>
      </c>
      <c r="AB1035" s="14">
        <f>IF(AQ1035="1",BH1035,0)</f>
        <v>0</v>
      </c>
      <c r="AC1035" s="14">
        <f>IF(AQ1035="1",BI1035,0)</f>
        <v>0</v>
      </c>
      <c r="AD1035" s="14">
        <f>IF(AQ1035="7",BH1035,0)</f>
        <v>0</v>
      </c>
      <c r="AE1035" s="14">
        <f>IF(AQ1035="7",BI1035,0)</f>
        <v>0</v>
      </c>
      <c r="AF1035" s="14">
        <f>IF(AQ1035="2",BH1035,0)</f>
        <v>0</v>
      </c>
      <c r="AG1035" s="14">
        <f>IF(AQ1035="2",BI1035,0)</f>
        <v>0</v>
      </c>
      <c r="AH1035" s="14">
        <f>IF(AQ1035="0",BJ1035,0)</f>
        <v>0</v>
      </c>
      <c r="AI1035" s="15" t="s">
        <v>557</v>
      </c>
      <c r="AJ1035" s="6">
        <f>IF(AN1035=0,L1035,0)</f>
        <v>0</v>
      </c>
      <c r="AK1035" s="6">
        <f>IF(AN1035=15,L1035,0)</f>
        <v>0</v>
      </c>
      <c r="AL1035" s="6">
        <f>IF(AN1035=21,L1035,0)</f>
        <v>0</v>
      </c>
      <c r="AN1035" s="14">
        <v>21</v>
      </c>
      <c r="AO1035" s="92">
        <f>H1035*1</f>
        <v>0</v>
      </c>
      <c r="AP1035" s="92">
        <f>H1035*(1-1)</f>
        <v>0</v>
      </c>
      <c r="AQ1035" s="18" t="s">
        <v>2435</v>
      </c>
      <c r="AV1035" s="14">
        <f>AW1035+AX1035</f>
        <v>0</v>
      </c>
      <c r="AW1035" s="14">
        <f>G1035*AO1035</f>
        <v>0</v>
      </c>
      <c r="AX1035" s="14">
        <f>G1035*AP1035</f>
        <v>0</v>
      </c>
      <c r="AY1035" s="55" t="s">
        <v>681</v>
      </c>
      <c r="AZ1035" s="55" t="s">
        <v>831</v>
      </c>
      <c r="BA1035" s="15" t="s">
        <v>1982</v>
      </c>
      <c r="BC1035" s="14">
        <f>AW1035+AX1035</f>
        <v>0</v>
      </c>
      <c r="BD1035" s="14">
        <f>H1035/(100-BE1035)*100</f>
        <v>0</v>
      </c>
      <c r="BE1035" s="14">
        <v>0</v>
      </c>
      <c r="BF1035" s="14">
        <f>O1035</f>
        <v>0</v>
      </c>
      <c r="BH1035" s="6">
        <f>G1035*AO1035</f>
        <v>0</v>
      </c>
      <c r="BI1035" s="6">
        <f>G1035*AP1035</f>
        <v>0</v>
      </c>
      <c r="BJ1035" s="6">
        <f>G1035*H1035</f>
        <v>0</v>
      </c>
      <c r="BK1035" s="6"/>
      <c r="BL1035" s="14">
        <v>767</v>
      </c>
      <c r="BW1035" s="14" t="str">
        <f>I1035</f>
        <v>21</v>
      </c>
    </row>
    <row r="1036" spans="1:75" ht="15" customHeight="1">
      <c r="A1036" s="32"/>
      <c r="D1036" s="3" t="s">
        <v>1416</v>
      </c>
      <c r="E1036" s="28" t="s">
        <v>1683</v>
      </c>
      <c r="G1036" s="27">
        <v>10</v>
      </c>
      <c r="P1036" s="33"/>
    </row>
    <row r="1037" spans="1:75" ht="27" customHeight="1">
      <c r="A1037" s="21" t="s">
        <v>1184</v>
      </c>
      <c r="B1037" s="37" t="s">
        <v>557</v>
      </c>
      <c r="C1037" s="37" t="s">
        <v>1665</v>
      </c>
      <c r="D1037" s="578" t="s">
        <v>774</v>
      </c>
      <c r="E1037" s="579"/>
      <c r="F1037" s="37" t="s">
        <v>2302</v>
      </c>
      <c r="G1037" s="14">
        <v>350</v>
      </c>
      <c r="H1037" s="569"/>
      <c r="I1037" s="55" t="s">
        <v>1720</v>
      </c>
      <c r="J1037" s="14">
        <f>G1037*AO1037</f>
        <v>0</v>
      </c>
      <c r="K1037" s="14">
        <f>G1037*AP1037</f>
        <v>0</v>
      </c>
      <c r="L1037" s="14">
        <f>G1037*H1037</f>
        <v>0</v>
      </c>
      <c r="M1037" s="14">
        <f>L1037*(1+BW1037/100)</f>
        <v>0</v>
      </c>
      <c r="N1037" s="14">
        <v>6.0000000000000002E-5</v>
      </c>
      <c r="O1037" s="14">
        <f>G1037*N1037</f>
        <v>2.1000000000000001E-2</v>
      </c>
      <c r="P1037" s="72" t="s">
        <v>1664</v>
      </c>
      <c r="Z1037" s="14">
        <f>IF(AQ1037="5",BJ1037,0)</f>
        <v>0</v>
      </c>
      <c r="AB1037" s="14">
        <f>IF(AQ1037="1",BH1037,0)</f>
        <v>0</v>
      </c>
      <c r="AC1037" s="14">
        <f>IF(AQ1037="1",BI1037,0)</f>
        <v>0</v>
      </c>
      <c r="AD1037" s="14">
        <f>IF(AQ1037="7",BH1037,0)</f>
        <v>0</v>
      </c>
      <c r="AE1037" s="14">
        <f>IF(AQ1037="7",BI1037,0)</f>
        <v>0</v>
      </c>
      <c r="AF1037" s="14">
        <f>IF(AQ1037="2",BH1037,0)</f>
        <v>0</v>
      </c>
      <c r="AG1037" s="14">
        <f>IF(AQ1037="2",BI1037,0)</f>
        <v>0</v>
      </c>
      <c r="AH1037" s="14">
        <f>IF(AQ1037="0",BJ1037,0)</f>
        <v>0</v>
      </c>
      <c r="AI1037" s="15" t="s">
        <v>557</v>
      </c>
      <c r="AJ1037" s="14">
        <f>IF(AN1037=0,L1037,0)</f>
        <v>0</v>
      </c>
      <c r="AK1037" s="14">
        <f>IF(AN1037=15,L1037,0)</f>
        <v>0</v>
      </c>
      <c r="AL1037" s="14">
        <f>IF(AN1037=21,L1037,0)</f>
        <v>0</v>
      </c>
      <c r="AN1037" s="14">
        <v>21</v>
      </c>
      <c r="AO1037" s="92">
        <f>H1037*0.0951149425287356</f>
        <v>0</v>
      </c>
      <c r="AP1037" s="92">
        <f>H1037*(1-0.0951149425287356)</f>
        <v>0</v>
      </c>
      <c r="AQ1037" s="55" t="s">
        <v>2435</v>
      </c>
      <c r="AV1037" s="14">
        <f>AW1037+AX1037</f>
        <v>0</v>
      </c>
      <c r="AW1037" s="14">
        <f>G1037*AO1037</f>
        <v>0</v>
      </c>
      <c r="AX1037" s="14">
        <f>G1037*AP1037</f>
        <v>0</v>
      </c>
      <c r="AY1037" s="55" t="s">
        <v>681</v>
      </c>
      <c r="AZ1037" s="55" t="s">
        <v>831</v>
      </c>
      <c r="BA1037" s="15" t="s">
        <v>1982</v>
      </c>
      <c r="BC1037" s="14">
        <f>AW1037+AX1037</f>
        <v>0</v>
      </c>
      <c r="BD1037" s="14">
        <f>H1037/(100-BE1037)*100</f>
        <v>0</v>
      </c>
      <c r="BE1037" s="14">
        <v>0</v>
      </c>
      <c r="BF1037" s="14">
        <f>O1037</f>
        <v>2.1000000000000001E-2</v>
      </c>
      <c r="BH1037" s="14">
        <f>G1037*AO1037</f>
        <v>0</v>
      </c>
      <c r="BI1037" s="14">
        <f>G1037*AP1037</f>
        <v>0</v>
      </c>
      <c r="BJ1037" s="14">
        <f>G1037*H1037</f>
        <v>0</v>
      </c>
      <c r="BK1037" s="14"/>
      <c r="BL1037" s="14">
        <v>767</v>
      </c>
      <c r="BW1037" s="14" t="str">
        <f>I1037</f>
        <v>21</v>
      </c>
    </row>
    <row r="1038" spans="1:75" ht="15" customHeight="1">
      <c r="A1038" s="32"/>
      <c r="D1038" s="3" t="s">
        <v>2454</v>
      </c>
      <c r="E1038" s="28" t="s">
        <v>1668</v>
      </c>
      <c r="G1038" s="27">
        <v>350.00000000000006</v>
      </c>
      <c r="P1038" s="33"/>
    </row>
    <row r="1039" spans="1:75" ht="13.5" customHeight="1">
      <c r="A1039" s="20" t="s">
        <v>2540</v>
      </c>
      <c r="B1039" s="84" t="s">
        <v>557</v>
      </c>
      <c r="C1039" s="84" t="s">
        <v>1447</v>
      </c>
      <c r="D1039" s="653" t="s">
        <v>1992</v>
      </c>
      <c r="E1039" s="654"/>
      <c r="F1039" s="84" t="s">
        <v>595</v>
      </c>
      <c r="G1039" s="6">
        <v>10</v>
      </c>
      <c r="H1039" s="570"/>
      <c r="I1039" s="18" t="s">
        <v>1720</v>
      </c>
      <c r="J1039" s="6">
        <f>G1039*AO1039</f>
        <v>0</v>
      </c>
      <c r="K1039" s="6">
        <f>G1039*AP1039</f>
        <v>0</v>
      </c>
      <c r="L1039" s="6">
        <f>G1039*H1039</f>
        <v>0</v>
      </c>
      <c r="M1039" s="6">
        <f>L1039*(1+BW1039/100)</f>
        <v>0</v>
      </c>
      <c r="N1039" s="6">
        <v>0</v>
      </c>
      <c r="O1039" s="6">
        <f>G1039*N1039</f>
        <v>0</v>
      </c>
      <c r="P1039" s="109" t="s">
        <v>921</v>
      </c>
      <c r="Z1039" s="14">
        <f>IF(AQ1039="5",BJ1039,0)</f>
        <v>0</v>
      </c>
      <c r="AB1039" s="14">
        <f>IF(AQ1039="1",BH1039,0)</f>
        <v>0</v>
      </c>
      <c r="AC1039" s="14">
        <f>IF(AQ1039="1",BI1039,0)</f>
        <v>0</v>
      </c>
      <c r="AD1039" s="14">
        <f>IF(AQ1039="7",BH1039,0)</f>
        <v>0</v>
      </c>
      <c r="AE1039" s="14">
        <f>IF(AQ1039="7",BI1039,0)</f>
        <v>0</v>
      </c>
      <c r="AF1039" s="14">
        <f>IF(AQ1039="2",BH1039,0)</f>
        <v>0</v>
      </c>
      <c r="AG1039" s="14">
        <f>IF(AQ1039="2",BI1039,0)</f>
        <v>0</v>
      </c>
      <c r="AH1039" s="14">
        <f>IF(AQ1039="0",BJ1039,0)</f>
        <v>0</v>
      </c>
      <c r="AI1039" s="15" t="s">
        <v>557</v>
      </c>
      <c r="AJ1039" s="6">
        <f>IF(AN1039=0,L1039,0)</f>
        <v>0</v>
      </c>
      <c r="AK1039" s="6">
        <f>IF(AN1039=15,L1039,0)</f>
        <v>0</v>
      </c>
      <c r="AL1039" s="6">
        <f>IF(AN1039=21,L1039,0)</f>
        <v>0</v>
      </c>
      <c r="AN1039" s="14">
        <v>21</v>
      </c>
      <c r="AO1039" s="92">
        <f>H1039*1</f>
        <v>0</v>
      </c>
      <c r="AP1039" s="92">
        <f>H1039*(1-1)</f>
        <v>0</v>
      </c>
      <c r="AQ1039" s="18" t="s">
        <v>2435</v>
      </c>
      <c r="AV1039" s="14">
        <f>AW1039+AX1039</f>
        <v>0</v>
      </c>
      <c r="AW1039" s="14">
        <f>G1039*AO1039</f>
        <v>0</v>
      </c>
      <c r="AX1039" s="14">
        <f>G1039*AP1039</f>
        <v>0</v>
      </c>
      <c r="AY1039" s="55" t="s">
        <v>681</v>
      </c>
      <c r="AZ1039" s="55" t="s">
        <v>831</v>
      </c>
      <c r="BA1039" s="15" t="s">
        <v>1982</v>
      </c>
      <c r="BC1039" s="14">
        <f>AW1039+AX1039</f>
        <v>0</v>
      </c>
      <c r="BD1039" s="14">
        <f>H1039/(100-BE1039)*100</f>
        <v>0</v>
      </c>
      <c r="BE1039" s="14">
        <v>0</v>
      </c>
      <c r="BF1039" s="14">
        <f>O1039</f>
        <v>0</v>
      </c>
      <c r="BH1039" s="6">
        <f>G1039*AO1039</f>
        <v>0</v>
      </c>
      <c r="BI1039" s="6">
        <f>G1039*AP1039</f>
        <v>0</v>
      </c>
      <c r="BJ1039" s="6">
        <f>G1039*H1039</f>
        <v>0</v>
      </c>
      <c r="BK1039" s="6"/>
      <c r="BL1039" s="14">
        <v>767</v>
      </c>
      <c r="BW1039" s="14" t="str">
        <f>I1039</f>
        <v>21</v>
      </c>
    </row>
    <row r="1040" spans="1:75" ht="15" customHeight="1">
      <c r="A1040" s="32"/>
      <c r="D1040" s="3" t="s">
        <v>1416</v>
      </c>
      <c r="E1040" s="28" t="s">
        <v>1683</v>
      </c>
      <c r="G1040" s="27">
        <v>10</v>
      </c>
      <c r="P1040" s="33"/>
    </row>
    <row r="1041" spans="1:75" ht="13.5" customHeight="1">
      <c r="A1041" s="21" t="s">
        <v>1043</v>
      </c>
      <c r="B1041" s="37" t="s">
        <v>557</v>
      </c>
      <c r="C1041" s="37" t="s">
        <v>1665</v>
      </c>
      <c r="D1041" s="578" t="s">
        <v>2163</v>
      </c>
      <c r="E1041" s="579"/>
      <c r="F1041" s="37" t="s">
        <v>2302</v>
      </c>
      <c r="G1041" s="14">
        <v>88</v>
      </c>
      <c r="H1041" s="569"/>
      <c r="I1041" s="55" t="s">
        <v>1720</v>
      </c>
      <c r="J1041" s="14">
        <f>G1041*AO1041</f>
        <v>0</v>
      </c>
      <c r="K1041" s="14">
        <f>G1041*AP1041</f>
        <v>0</v>
      </c>
      <c r="L1041" s="14">
        <f>G1041*H1041</f>
        <v>0</v>
      </c>
      <c r="M1041" s="14">
        <f>L1041*(1+BW1041/100)</f>
        <v>0</v>
      </c>
      <c r="N1041" s="14">
        <v>6.0000000000000002E-5</v>
      </c>
      <c r="O1041" s="14">
        <f>G1041*N1041</f>
        <v>5.28E-3</v>
      </c>
      <c r="P1041" s="72" t="s">
        <v>1664</v>
      </c>
      <c r="Z1041" s="14">
        <f>IF(AQ1041="5",BJ1041,0)</f>
        <v>0</v>
      </c>
      <c r="AB1041" s="14">
        <f>IF(AQ1041="1",BH1041,0)</f>
        <v>0</v>
      </c>
      <c r="AC1041" s="14">
        <f>IF(AQ1041="1",BI1041,0)</f>
        <v>0</v>
      </c>
      <c r="AD1041" s="14">
        <f>IF(AQ1041="7",BH1041,0)</f>
        <v>0</v>
      </c>
      <c r="AE1041" s="14">
        <f>IF(AQ1041="7",BI1041,0)</f>
        <v>0</v>
      </c>
      <c r="AF1041" s="14">
        <f>IF(AQ1041="2",BH1041,0)</f>
        <v>0</v>
      </c>
      <c r="AG1041" s="14">
        <f>IF(AQ1041="2",BI1041,0)</f>
        <v>0</v>
      </c>
      <c r="AH1041" s="14">
        <f>IF(AQ1041="0",BJ1041,0)</f>
        <v>0</v>
      </c>
      <c r="AI1041" s="15" t="s">
        <v>557</v>
      </c>
      <c r="AJ1041" s="14">
        <f>IF(AN1041=0,L1041,0)</f>
        <v>0</v>
      </c>
      <c r="AK1041" s="14">
        <f>IF(AN1041=15,L1041,0)</f>
        <v>0</v>
      </c>
      <c r="AL1041" s="14">
        <f>IF(AN1041=21,L1041,0)</f>
        <v>0</v>
      </c>
      <c r="AN1041" s="14">
        <v>21</v>
      </c>
      <c r="AO1041" s="92">
        <f>H1041*0.0951149425287356</f>
        <v>0</v>
      </c>
      <c r="AP1041" s="92">
        <f>H1041*(1-0.0951149425287356)</f>
        <v>0</v>
      </c>
      <c r="AQ1041" s="55" t="s">
        <v>2435</v>
      </c>
      <c r="AV1041" s="14">
        <f>AW1041+AX1041</f>
        <v>0</v>
      </c>
      <c r="AW1041" s="14">
        <f>G1041*AO1041</f>
        <v>0</v>
      </c>
      <c r="AX1041" s="14">
        <f>G1041*AP1041</f>
        <v>0</v>
      </c>
      <c r="AY1041" s="55" t="s">
        <v>681</v>
      </c>
      <c r="AZ1041" s="55" t="s">
        <v>831</v>
      </c>
      <c r="BA1041" s="15" t="s">
        <v>1982</v>
      </c>
      <c r="BC1041" s="14">
        <f>AW1041+AX1041</f>
        <v>0</v>
      </c>
      <c r="BD1041" s="14">
        <f>H1041/(100-BE1041)*100</f>
        <v>0</v>
      </c>
      <c r="BE1041" s="14">
        <v>0</v>
      </c>
      <c r="BF1041" s="14">
        <f>O1041</f>
        <v>5.28E-3</v>
      </c>
      <c r="BH1041" s="14">
        <f>G1041*AO1041</f>
        <v>0</v>
      </c>
      <c r="BI1041" s="14">
        <f>G1041*AP1041</f>
        <v>0</v>
      </c>
      <c r="BJ1041" s="14">
        <f>G1041*H1041</f>
        <v>0</v>
      </c>
      <c r="BK1041" s="14"/>
      <c r="BL1041" s="14">
        <v>767</v>
      </c>
      <c r="BW1041" s="14" t="str">
        <f>I1041</f>
        <v>21</v>
      </c>
    </row>
    <row r="1042" spans="1:75" ht="15" customHeight="1">
      <c r="A1042" s="32"/>
      <c r="D1042" s="3" t="s">
        <v>2639</v>
      </c>
      <c r="E1042" s="28" t="s">
        <v>963</v>
      </c>
      <c r="G1042" s="27">
        <v>88.000000000000014</v>
      </c>
      <c r="P1042" s="33"/>
    </row>
    <row r="1043" spans="1:75" ht="27" customHeight="1">
      <c r="A1043" s="20" t="s">
        <v>1599</v>
      </c>
      <c r="B1043" s="84" t="s">
        <v>557</v>
      </c>
      <c r="C1043" s="84" t="s">
        <v>144</v>
      </c>
      <c r="D1043" s="653" t="s">
        <v>680</v>
      </c>
      <c r="E1043" s="654"/>
      <c r="F1043" s="84" t="s">
        <v>595</v>
      </c>
      <c r="G1043" s="6">
        <v>1</v>
      </c>
      <c r="H1043" s="570"/>
      <c r="I1043" s="18" t="s">
        <v>1720</v>
      </c>
      <c r="J1043" s="6">
        <f>G1043*AO1043</f>
        <v>0</v>
      </c>
      <c r="K1043" s="6">
        <f>G1043*AP1043</f>
        <v>0</v>
      </c>
      <c r="L1043" s="6">
        <f>G1043*H1043</f>
        <v>0</v>
      </c>
      <c r="M1043" s="6">
        <f>L1043*(1+BW1043/100)</f>
        <v>0</v>
      </c>
      <c r="N1043" s="6">
        <v>0</v>
      </c>
      <c r="O1043" s="6">
        <f>G1043*N1043</f>
        <v>0</v>
      </c>
      <c r="P1043" s="109" t="s">
        <v>1683</v>
      </c>
      <c r="Z1043" s="14">
        <f>IF(AQ1043="5",BJ1043,0)</f>
        <v>0</v>
      </c>
      <c r="AB1043" s="14">
        <f>IF(AQ1043="1",BH1043,0)</f>
        <v>0</v>
      </c>
      <c r="AC1043" s="14">
        <f>IF(AQ1043="1",BI1043,0)</f>
        <v>0</v>
      </c>
      <c r="AD1043" s="14">
        <f>IF(AQ1043="7",BH1043,0)</f>
        <v>0</v>
      </c>
      <c r="AE1043" s="14">
        <f>IF(AQ1043="7",BI1043,0)</f>
        <v>0</v>
      </c>
      <c r="AF1043" s="14">
        <f>IF(AQ1043="2",BH1043,0)</f>
        <v>0</v>
      </c>
      <c r="AG1043" s="14">
        <f>IF(AQ1043="2",BI1043,0)</f>
        <v>0</v>
      </c>
      <c r="AH1043" s="14">
        <f>IF(AQ1043="0",BJ1043,0)</f>
        <v>0</v>
      </c>
      <c r="AI1043" s="15" t="s">
        <v>557</v>
      </c>
      <c r="AJ1043" s="6">
        <f>IF(AN1043=0,L1043,0)</f>
        <v>0</v>
      </c>
      <c r="AK1043" s="6">
        <f>IF(AN1043=15,L1043,0)</f>
        <v>0</v>
      </c>
      <c r="AL1043" s="6">
        <f>IF(AN1043=21,L1043,0)</f>
        <v>0</v>
      </c>
      <c r="AN1043" s="14">
        <v>21</v>
      </c>
      <c r="AO1043" s="92">
        <f>H1043*1</f>
        <v>0</v>
      </c>
      <c r="AP1043" s="92">
        <f>H1043*(1-1)</f>
        <v>0</v>
      </c>
      <c r="AQ1043" s="18" t="s">
        <v>2435</v>
      </c>
      <c r="AV1043" s="14">
        <f>AW1043+AX1043</f>
        <v>0</v>
      </c>
      <c r="AW1043" s="14">
        <f>G1043*AO1043</f>
        <v>0</v>
      </c>
      <c r="AX1043" s="14">
        <f>G1043*AP1043</f>
        <v>0</v>
      </c>
      <c r="AY1043" s="55" t="s">
        <v>681</v>
      </c>
      <c r="AZ1043" s="55" t="s">
        <v>831</v>
      </c>
      <c r="BA1043" s="15" t="s">
        <v>1982</v>
      </c>
      <c r="BC1043" s="14">
        <f>AW1043+AX1043</f>
        <v>0</v>
      </c>
      <c r="BD1043" s="14">
        <f>H1043/(100-BE1043)*100</f>
        <v>0</v>
      </c>
      <c r="BE1043" s="14">
        <v>0</v>
      </c>
      <c r="BF1043" s="14">
        <f>O1043</f>
        <v>0</v>
      </c>
      <c r="BH1043" s="6">
        <f>G1043*AO1043</f>
        <v>0</v>
      </c>
      <c r="BI1043" s="6">
        <f>G1043*AP1043</f>
        <v>0</v>
      </c>
      <c r="BJ1043" s="6">
        <f>G1043*H1043</f>
        <v>0</v>
      </c>
      <c r="BK1043" s="6"/>
      <c r="BL1043" s="14">
        <v>767</v>
      </c>
      <c r="BW1043" s="14" t="str">
        <f>I1043</f>
        <v>21</v>
      </c>
    </row>
    <row r="1044" spans="1:75" ht="15" customHeight="1">
      <c r="A1044" s="32"/>
      <c r="D1044" s="3" t="s">
        <v>2422</v>
      </c>
      <c r="E1044" s="28" t="s">
        <v>2608</v>
      </c>
      <c r="G1044" s="27">
        <v>1</v>
      </c>
      <c r="P1044" s="33"/>
    </row>
    <row r="1045" spans="1:75" ht="13.5" customHeight="1">
      <c r="A1045" s="20" t="s">
        <v>2303</v>
      </c>
      <c r="B1045" s="84" t="s">
        <v>557</v>
      </c>
      <c r="C1045" s="84" t="s">
        <v>2189</v>
      </c>
      <c r="D1045" s="653" t="s">
        <v>2184</v>
      </c>
      <c r="E1045" s="654"/>
      <c r="F1045" s="84" t="s">
        <v>595</v>
      </c>
      <c r="G1045" s="6">
        <v>1</v>
      </c>
      <c r="H1045" s="570"/>
      <c r="I1045" s="18" t="s">
        <v>1720</v>
      </c>
      <c r="J1045" s="6">
        <f>G1045*AO1045</f>
        <v>0</v>
      </c>
      <c r="K1045" s="6">
        <f>G1045*AP1045</f>
        <v>0</v>
      </c>
      <c r="L1045" s="6">
        <f>G1045*H1045</f>
        <v>0</v>
      </c>
      <c r="M1045" s="6">
        <f>L1045*(1+BW1045/100)</f>
        <v>0</v>
      </c>
      <c r="N1045" s="6">
        <v>0</v>
      </c>
      <c r="O1045" s="6">
        <f>G1045*N1045</f>
        <v>0</v>
      </c>
      <c r="P1045" s="109" t="s">
        <v>1683</v>
      </c>
      <c r="Z1045" s="14">
        <f>IF(AQ1045="5",BJ1045,0)</f>
        <v>0</v>
      </c>
      <c r="AB1045" s="14">
        <f>IF(AQ1045="1",BH1045,0)</f>
        <v>0</v>
      </c>
      <c r="AC1045" s="14">
        <f>IF(AQ1045="1",BI1045,0)</f>
        <v>0</v>
      </c>
      <c r="AD1045" s="14">
        <f>IF(AQ1045="7",BH1045,0)</f>
        <v>0</v>
      </c>
      <c r="AE1045" s="14">
        <f>IF(AQ1045="7",BI1045,0)</f>
        <v>0</v>
      </c>
      <c r="AF1045" s="14">
        <f>IF(AQ1045="2",BH1045,0)</f>
        <v>0</v>
      </c>
      <c r="AG1045" s="14">
        <f>IF(AQ1045="2",BI1045,0)</f>
        <v>0</v>
      </c>
      <c r="AH1045" s="14">
        <f>IF(AQ1045="0",BJ1045,0)</f>
        <v>0</v>
      </c>
      <c r="AI1045" s="15" t="s">
        <v>557</v>
      </c>
      <c r="AJ1045" s="6">
        <f>IF(AN1045=0,L1045,0)</f>
        <v>0</v>
      </c>
      <c r="AK1045" s="6">
        <f>IF(AN1045=15,L1045,0)</f>
        <v>0</v>
      </c>
      <c r="AL1045" s="6">
        <f>IF(AN1045=21,L1045,0)</f>
        <v>0</v>
      </c>
      <c r="AN1045" s="14">
        <v>21</v>
      </c>
      <c r="AO1045" s="92">
        <f>H1045*1</f>
        <v>0</v>
      </c>
      <c r="AP1045" s="92">
        <f>H1045*(1-1)</f>
        <v>0</v>
      </c>
      <c r="AQ1045" s="18" t="s">
        <v>2435</v>
      </c>
      <c r="AV1045" s="14">
        <f>AW1045+AX1045</f>
        <v>0</v>
      </c>
      <c r="AW1045" s="14">
        <f>G1045*AO1045</f>
        <v>0</v>
      </c>
      <c r="AX1045" s="14">
        <f>G1045*AP1045</f>
        <v>0</v>
      </c>
      <c r="AY1045" s="55" t="s">
        <v>681</v>
      </c>
      <c r="AZ1045" s="55" t="s">
        <v>831</v>
      </c>
      <c r="BA1045" s="15" t="s">
        <v>1982</v>
      </c>
      <c r="BC1045" s="14">
        <f>AW1045+AX1045</f>
        <v>0</v>
      </c>
      <c r="BD1045" s="14">
        <f>H1045/(100-BE1045)*100</f>
        <v>0</v>
      </c>
      <c r="BE1045" s="14">
        <v>0</v>
      </c>
      <c r="BF1045" s="14">
        <f>O1045</f>
        <v>0</v>
      </c>
      <c r="BH1045" s="6">
        <f>G1045*AO1045</f>
        <v>0</v>
      </c>
      <c r="BI1045" s="6">
        <f>G1045*AP1045</f>
        <v>0</v>
      </c>
      <c r="BJ1045" s="6">
        <f>G1045*H1045</f>
        <v>0</v>
      </c>
      <c r="BK1045" s="6"/>
      <c r="BL1045" s="14">
        <v>767</v>
      </c>
      <c r="BW1045" s="14" t="str">
        <f>I1045</f>
        <v>21</v>
      </c>
    </row>
    <row r="1046" spans="1:75" ht="15" customHeight="1">
      <c r="A1046" s="32"/>
      <c r="D1046" s="3" t="s">
        <v>2422</v>
      </c>
      <c r="E1046" s="28" t="s">
        <v>1094</v>
      </c>
      <c r="G1046" s="27">
        <v>1</v>
      </c>
      <c r="P1046" s="33"/>
    </row>
    <row r="1047" spans="1:75" ht="15" customHeight="1">
      <c r="A1047" s="65" t="s">
        <v>1683</v>
      </c>
      <c r="B1047" s="26" t="s">
        <v>557</v>
      </c>
      <c r="C1047" s="26" t="s">
        <v>2683</v>
      </c>
      <c r="D1047" s="649" t="s">
        <v>2152</v>
      </c>
      <c r="E1047" s="650"/>
      <c r="F1047" s="74" t="s">
        <v>2262</v>
      </c>
      <c r="G1047" s="74" t="s">
        <v>2262</v>
      </c>
      <c r="H1047" s="74" t="s">
        <v>2262</v>
      </c>
      <c r="I1047" s="74" t="s">
        <v>2262</v>
      </c>
      <c r="J1047" s="2">
        <f>SUM(J1048:J1050)</f>
        <v>0</v>
      </c>
      <c r="K1047" s="2">
        <f>SUM(K1048:K1050)</f>
        <v>0</v>
      </c>
      <c r="L1047" s="2">
        <f>SUM(L1048:L1050)</f>
        <v>0</v>
      </c>
      <c r="M1047" s="2">
        <f>SUM(M1048:M1050)</f>
        <v>0</v>
      </c>
      <c r="N1047" s="15" t="s">
        <v>1683</v>
      </c>
      <c r="O1047" s="2">
        <f>SUM(O1048:O1050)</f>
        <v>0.80520000000000003</v>
      </c>
      <c r="P1047" s="47" t="s">
        <v>1683</v>
      </c>
      <c r="AI1047" s="15" t="s">
        <v>557</v>
      </c>
      <c r="AS1047" s="2">
        <f>SUM(AJ1048:AJ1050)</f>
        <v>0</v>
      </c>
      <c r="AT1047" s="2">
        <f>SUM(AK1048:AK1050)</f>
        <v>0</v>
      </c>
      <c r="AU1047" s="2">
        <f>SUM(AL1048:AL1050)</f>
        <v>0</v>
      </c>
    </row>
    <row r="1048" spans="1:75" ht="13.5" customHeight="1">
      <c r="A1048" s="21" t="s">
        <v>1891</v>
      </c>
      <c r="B1048" s="37" t="s">
        <v>557</v>
      </c>
      <c r="C1048" s="37" t="s">
        <v>183</v>
      </c>
      <c r="D1048" s="578" t="s">
        <v>1102</v>
      </c>
      <c r="E1048" s="579"/>
      <c r="F1048" s="37" t="s">
        <v>2398</v>
      </c>
      <c r="G1048" s="14">
        <v>30</v>
      </c>
      <c r="H1048" s="569"/>
      <c r="I1048" s="55" t="s">
        <v>1720</v>
      </c>
      <c r="J1048" s="14">
        <f>G1048*AO1048</f>
        <v>0</v>
      </c>
      <c r="K1048" s="14">
        <f>G1048*AP1048</f>
        <v>0</v>
      </c>
      <c r="L1048" s="14">
        <f>G1048*H1048</f>
        <v>0</v>
      </c>
      <c r="M1048" s="14">
        <f>L1048*(1+BW1048/100)</f>
        <v>0</v>
      </c>
      <c r="N1048" s="14">
        <v>4.7600000000000003E-3</v>
      </c>
      <c r="O1048" s="14">
        <f>G1048*N1048</f>
        <v>0.14280000000000001</v>
      </c>
      <c r="P1048" s="72" t="s">
        <v>1664</v>
      </c>
      <c r="Z1048" s="14">
        <f>IF(AQ1048="5",BJ1048,0)</f>
        <v>0</v>
      </c>
      <c r="AB1048" s="14">
        <f>IF(AQ1048="1",BH1048,0)</f>
        <v>0</v>
      </c>
      <c r="AC1048" s="14">
        <f>IF(AQ1048="1",BI1048,0)</f>
        <v>0</v>
      </c>
      <c r="AD1048" s="14">
        <f>IF(AQ1048="7",BH1048,0)</f>
        <v>0</v>
      </c>
      <c r="AE1048" s="14">
        <f>IF(AQ1048="7",BI1048,0)</f>
        <v>0</v>
      </c>
      <c r="AF1048" s="14">
        <f>IF(AQ1048="2",BH1048,0)</f>
        <v>0</v>
      </c>
      <c r="AG1048" s="14">
        <f>IF(AQ1048="2",BI1048,0)</f>
        <v>0</v>
      </c>
      <c r="AH1048" s="14">
        <f>IF(AQ1048="0",BJ1048,0)</f>
        <v>0</v>
      </c>
      <c r="AI1048" s="15" t="s">
        <v>557</v>
      </c>
      <c r="AJ1048" s="14">
        <f>IF(AN1048=0,L1048,0)</f>
        <v>0</v>
      </c>
      <c r="AK1048" s="14">
        <f>IF(AN1048=15,L1048,0)</f>
        <v>0</v>
      </c>
      <c r="AL1048" s="14">
        <f>IF(AN1048=21,L1048,0)</f>
        <v>0</v>
      </c>
      <c r="AN1048" s="14">
        <v>21</v>
      </c>
      <c r="AO1048" s="92">
        <f>H1048*0.192165242165242</f>
        <v>0</v>
      </c>
      <c r="AP1048" s="92">
        <f>H1048*(1-0.192165242165242)</f>
        <v>0</v>
      </c>
      <c r="AQ1048" s="55" t="s">
        <v>2435</v>
      </c>
      <c r="AV1048" s="14">
        <f>AW1048+AX1048</f>
        <v>0</v>
      </c>
      <c r="AW1048" s="14">
        <f>G1048*AO1048</f>
        <v>0</v>
      </c>
      <c r="AX1048" s="14">
        <f>G1048*AP1048</f>
        <v>0</v>
      </c>
      <c r="AY1048" s="55" t="s">
        <v>2490</v>
      </c>
      <c r="AZ1048" s="55" t="s">
        <v>2735</v>
      </c>
      <c r="BA1048" s="15" t="s">
        <v>1982</v>
      </c>
      <c r="BC1048" s="14">
        <f>AW1048+AX1048</f>
        <v>0</v>
      </c>
      <c r="BD1048" s="14">
        <f>H1048/(100-BE1048)*100</f>
        <v>0</v>
      </c>
      <c r="BE1048" s="14">
        <v>0</v>
      </c>
      <c r="BF1048" s="14">
        <f>O1048</f>
        <v>0.14280000000000001</v>
      </c>
      <c r="BH1048" s="14">
        <f>G1048*AO1048</f>
        <v>0</v>
      </c>
      <c r="BI1048" s="14">
        <f>G1048*AP1048</f>
        <v>0</v>
      </c>
      <c r="BJ1048" s="14">
        <f>G1048*H1048</f>
        <v>0</v>
      </c>
      <c r="BK1048" s="14"/>
      <c r="BL1048" s="14">
        <v>771</v>
      </c>
      <c r="BW1048" s="14" t="str">
        <f>I1048</f>
        <v>21</v>
      </c>
    </row>
    <row r="1049" spans="1:75" ht="15" customHeight="1">
      <c r="A1049" s="32"/>
      <c r="D1049" s="3" t="s">
        <v>2670</v>
      </c>
      <c r="E1049" s="28" t="s">
        <v>1683</v>
      </c>
      <c r="G1049" s="27">
        <v>30.000000000000004</v>
      </c>
      <c r="P1049" s="33"/>
    </row>
    <row r="1050" spans="1:75" ht="13.5" customHeight="1">
      <c r="A1050" s="20" t="s">
        <v>1166</v>
      </c>
      <c r="B1050" s="84" t="s">
        <v>557</v>
      </c>
      <c r="C1050" s="84" t="s">
        <v>1282</v>
      </c>
      <c r="D1050" s="653" t="s">
        <v>2107</v>
      </c>
      <c r="E1050" s="654"/>
      <c r="F1050" s="84" t="s">
        <v>2398</v>
      </c>
      <c r="G1050" s="6">
        <v>34.5</v>
      </c>
      <c r="H1050" s="570"/>
      <c r="I1050" s="18" t="s">
        <v>1720</v>
      </c>
      <c r="J1050" s="6">
        <f>G1050*AO1050</f>
        <v>0</v>
      </c>
      <c r="K1050" s="6">
        <f>G1050*AP1050</f>
        <v>0</v>
      </c>
      <c r="L1050" s="6">
        <f>G1050*H1050</f>
        <v>0</v>
      </c>
      <c r="M1050" s="6">
        <f>L1050*(1+BW1050/100)</f>
        <v>0</v>
      </c>
      <c r="N1050" s="6">
        <v>1.9199999999999998E-2</v>
      </c>
      <c r="O1050" s="6">
        <f>G1050*N1050</f>
        <v>0.66239999999999999</v>
      </c>
      <c r="P1050" s="109" t="s">
        <v>1664</v>
      </c>
      <c r="Z1050" s="14">
        <f>IF(AQ1050="5",BJ1050,0)</f>
        <v>0</v>
      </c>
      <c r="AB1050" s="14">
        <f>IF(AQ1050="1",BH1050,0)</f>
        <v>0</v>
      </c>
      <c r="AC1050" s="14">
        <f>IF(AQ1050="1",BI1050,0)</f>
        <v>0</v>
      </c>
      <c r="AD1050" s="14">
        <f>IF(AQ1050="7",BH1050,0)</f>
        <v>0</v>
      </c>
      <c r="AE1050" s="14">
        <f>IF(AQ1050="7",BI1050,0)</f>
        <v>0</v>
      </c>
      <c r="AF1050" s="14">
        <f>IF(AQ1050="2",BH1050,0)</f>
        <v>0</v>
      </c>
      <c r="AG1050" s="14">
        <f>IF(AQ1050="2",BI1050,0)</f>
        <v>0</v>
      </c>
      <c r="AH1050" s="14">
        <f>IF(AQ1050="0",BJ1050,0)</f>
        <v>0</v>
      </c>
      <c r="AI1050" s="15" t="s">
        <v>557</v>
      </c>
      <c r="AJ1050" s="6">
        <f>IF(AN1050=0,L1050,0)</f>
        <v>0</v>
      </c>
      <c r="AK1050" s="6">
        <f>IF(AN1050=15,L1050,0)</f>
        <v>0</v>
      </c>
      <c r="AL1050" s="6">
        <f>IF(AN1050=21,L1050,0)</f>
        <v>0</v>
      </c>
      <c r="AN1050" s="14">
        <v>21</v>
      </c>
      <c r="AO1050" s="92">
        <f>H1050*1</f>
        <v>0</v>
      </c>
      <c r="AP1050" s="92">
        <f>H1050*(1-1)</f>
        <v>0</v>
      </c>
      <c r="AQ1050" s="18" t="s">
        <v>2435</v>
      </c>
      <c r="AV1050" s="14">
        <f>AW1050+AX1050</f>
        <v>0</v>
      </c>
      <c r="AW1050" s="14">
        <f>G1050*AO1050</f>
        <v>0</v>
      </c>
      <c r="AX1050" s="14">
        <f>G1050*AP1050</f>
        <v>0</v>
      </c>
      <c r="AY1050" s="55" t="s">
        <v>2490</v>
      </c>
      <c r="AZ1050" s="55" t="s">
        <v>2735</v>
      </c>
      <c r="BA1050" s="15" t="s">
        <v>1982</v>
      </c>
      <c r="BC1050" s="14">
        <f>AW1050+AX1050</f>
        <v>0</v>
      </c>
      <c r="BD1050" s="14">
        <f>H1050/(100-BE1050)*100</f>
        <v>0</v>
      </c>
      <c r="BE1050" s="14">
        <v>0</v>
      </c>
      <c r="BF1050" s="14">
        <f>O1050</f>
        <v>0.66239999999999999</v>
      </c>
      <c r="BH1050" s="6">
        <f>G1050*AO1050</f>
        <v>0</v>
      </c>
      <c r="BI1050" s="6">
        <f>G1050*AP1050</f>
        <v>0</v>
      </c>
      <c r="BJ1050" s="6">
        <f>G1050*H1050</f>
        <v>0</v>
      </c>
      <c r="BK1050" s="6"/>
      <c r="BL1050" s="14">
        <v>771</v>
      </c>
      <c r="BW1050" s="14" t="str">
        <f>I1050</f>
        <v>21</v>
      </c>
    </row>
    <row r="1051" spans="1:75" ht="15" customHeight="1">
      <c r="A1051" s="32"/>
      <c r="D1051" s="3" t="s">
        <v>1565</v>
      </c>
      <c r="E1051" s="28" t="s">
        <v>1683</v>
      </c>
      <c r="G1051" s="27">
        <v>30.000000000000004</v>
      </c>
      <c r="P1051" s="33"/>
    </row>
    <row r="1052" spans="1:75" ht="15" customHeight="1">
      <c r="A1052" s="32"/>
      <c r="D1052" s="3" t="s">
        <v>1245</v>
      </c>
      <c r="E1052" s="28" t="s">
        <v>1683</v>
      </c>
      <c r="G1052" s="27">
        <v>4.5</v>
      </c>
      <c r="P1052" s="33"/>
    </row>
    <row r="1053" spans="1:75" ht="15" customHeight="1">
      <c r="A1053" s="65" t="s">
        <v>1683</v>
      </c>
      <c r="B1053" s="26" t="s">
        <v>557</v>
      </c>
      <c r="C1053" s="26" t="s">
        <v>1922</v>
      </c>
      <c r="D1053" s="649" t="s">
        <v>1600</v>
      </c>
      <c r="E1053" s="650"/>
      <c r="F1053" s="74" t="s">
        <v>2262</v>
      </c>
      <c r="G1053" s="74" t="s">
        <v>2262</v>
      </c>
      <c r="H1053" s="74" t="s">
        <v>2262</v>
      </c>
      <c r="I1053" s="74" t="s">
        <v>2262</v>
      </c>
      <c r="J1053" s="2">
        <f>SUM(J1054:J1063)</f>
        <v>0</v>
      </c>
      <c r="K1053" s="2">
        <f>SUM(K1054:K1063)</f>
        <v>0</v>
      </c>
      <c r="L1053" s="2">
        <f>SUM(L1054:L1063)</f>
        <v>0</v>
      </c>
      <c r="M1053" s="2">
        <f>SUM(M1054:M1063)</f>
        <v>0</v>
      </c>
      <c r="N1053" s="15" t="s">
        <v>1683</v>
      </c>
      <c r="O1053" s="2">
        <f>SUM(O1054:O1063)</f>
        <v>0.51167000000000007</v>
      </c>
      <c r="P1053" s="47" t="s">
        <v>1683</v>
      </c>
      <c r="AI1053" s="15" t="s">
        <v>557</v>
      </c>
      <c r="AS1053" s="2">
        <f>SUM(AJ1054:AJ1063)</f>
        <v>0</v>
      </c>
      <c r="AT1053" s="2">
        <f>SUM(AK1054:AK1063)</f>
        <v>0</v>
      </c>
      <c r="AU1053" s="2">
        <f>SUM(AL1054:AL1063)</f>
        <v>0</v>
      </c>
    </row>
    <row r="1054" spans="1:75" ht="13.5" customHeight="1">
      <c r="A1054" s="21" t="s">
        <v>1701</v>
      </c>
      <c r="B1054" s="37" t="s">
        <v>557</v>
      </c>
      <c r="C1054" s="37" t="s">
        <v>1185</v>
      </c>
      <c r="D1054" s="578" t="s">
        <v>1000</v>
      </c>
      <c r="E1054" s="579"/>
      <c r="F1054" s="37" t="s">
        <v>2398</v>
      </c>
      <c r="G1054" s="14">
        <v>97.9</v>
      </c>
      <c r="H1054" s="569"/>
      <c r="I1054" s="55" t="s">
        <v>1720</v>
      </c>
      <c r="J1054" s="14">
        <f>G1054*AO1054</f>
        <v>0</v>
      </c>
      <c r="K1054" s="14">
        <f>G1054*AP1054</f>
        <v>0</v>
      </c>
      <c r="L1054" s="14">
        <f>G1054*H1054</f>
        <v>0</v>
      </c>
      <c r="M1054" s="14">
        <f>L1054*(1+BW1054/100)</f>
        <v>0</v>
      </c>
      <c r="N1054" s="14">
        <v>2.5000000000000001E-4</v>
      </c>
      <c r="O1054" s="14">
        <f>G1054*N1054</f>
        <v>2.4475E-2</v>
      </c>
      <c r="P1054" s="72" t="s">
        <v>1664</v>
      </c>
      <c r="Z1054" s="14">
        <f>IF(AQ1054="5",BJ1054,0)</f>
        <v>0</v>
      </c>
      <c r="AB1054" s="14">
        <f>IF(AQ1054="1",BH1054,0)</f>
        <v>0</v>
      </c>
      <c r="AC1054" s="14">
        <f>IF(AQ1054="1",BI1054,0)</f>
        <v>0</v>
      </c>
      <c r="AD1054" s="14">
        <f>IF(AQ1054="7",BH1054,0)</f>
        <v>0</v>
      </c>
      <c r="AE1054" s="14">
        <f>IF(AQ1054="7",BI1054,0)</f>
        <v>0</v>
      </c>
      <c r="AF1054" s="14">
        <f>IF(AQ1054="2",BH1054,0)</f>
        <v>0</v>
      </c>
      <c r="AG1054" s="14">
        <f>IF(AQ1054="2",BI1054,0)</f>
        <v>0</v>
      </c>
      <c r="AH1054" s="14">
        <f>IF(AQ1054="0",BJ1054,0)</f>
        <v>0</v>
      </c>
      <c r="AI1054" s="15" t="s">
        <v>557</v>
      </c>
      <c r="AJ1054" s="14">
        <f>IF(AN1054=0,L1054,0)</f>
        <v>0</v>
      </c>
      <c r="AK1054" s="14">
        <f>IF(AN1054=15,L1054,0)</f>
        <v>0</v>
      </c>
      <c r="AL1054" s="14">
        <f>IF(AN1054=21,L1054,0)</f>
        <v>0</v>
      </c>
      <c r="AN1054" s="14">
        <v>21</v>
      </c>
      <c r="AO1054" s="92">
        <f>H1054*0.283826606875934</f>
        <v>0</v>
      </c>
      <c r="AP1054" s="92">
        <f>H1054*(1-0.283826606875934)</f>
        <v>0</v>
      </c>
      <c r="AQ1054" s="55" t="s">
        <v>2435</v>
      </c>
      <c r="AV1054" s="14">
        <f>AW1054+AX1054</f>
        <v>0</v>
      </c>
      <c r="AW1054" s="14">
        <f>G1054*AO1054</f>
        <v>0</v>
      </c>
      <c r="AX1054" s="14">
        <f>G1054*AP1054</f>
        <v>0</v>
      </c>
      <c r="AY1054" s="55" t="s">
        <v>472</v>
      </c>
      <c r="AZ1054" s="55" t="s">
        <v>2735</v>
      </c>
      <c r="BA1054" s="15" t="s">
        <v>1982</v>
      </c>
      <c r="BC1054" s="14">
        <f>AW1054+AX1054</f>
        <v>0</v>
      </c>
      <c r="BD1054" s="14">
        <f>H1054/(100-BE1054)*100</f>
        <v>0</v>
      </c>
      <c r="BE1054" s="14">
        <v>0</v>
      </c>
      <c r="BF1054" s="14">
        <f>O1054</f>
        <v>2.4475E-2</v>
      </c>
      <c r="BH1054" s="14">
        <f>G1054*AO1054</f>
        <v>0</v>
      </c>
      <c r="BI1054" s="14">
        <f>G1054*AP1054</f>
        <v>0</v>
      </c>
      <c r="BJ1054" s="14">
        <f>G1054*H1054</f>
        <v>0</v>
      </c>
      <c r="BK1054" s="14"/>
      <c r="BL1054" s="14">
        <v>776</v>
      </c>
      <c r="BW1054" s="14" t="str">
        <f>I1054</f>
        <v>21</v>
      </c>
    </row>
    <row r="1055" spans="1:75" ht="15" customHeight="1">
      <c r="A1055" s="32"/>
      <c r="D1055" s="3" t="s">
        <v>1390</v>
      </c>
      <c r="E1055" s="28" t="s">
        <v>1683</v>
      </c>
      <c r="G1055" s="27">
        <v>97.9</v>
      </c>
      <c r="P1055" s="33"/>
    </row>
    <row r="1056" spans="1:75" ht="13.5" customHeight="1">
      <c r="A1056" s="20" t="s">
        <v>2218</v>
      </c>
      <c r="B1056" s="84" t="s">
        <v>557</v>
      </c>
      <c r="C1056" s="84" t="s">
        <v>2094</v>
      </c>
      <c r="D1056" s="653" t="s">
        <v>2326</v>
      </c>
      <c r="E1056" s="654"/>
      <c r="F1056" s="84" t="s">
        <v>2398</v>
      </c>
      <c r="G1056" s="6">
        <v>112.7</v>
      </c>
      <c r="H1056" s="570"/>
      <c r="I1056" s="18" t="s">
        <v>1720</v>
      </c>
      <c r="J1056" s="6">
        <f>G1056*AO1056</f>
        <v>0</v>
      </c>
      <c r="K1056" s="6">
        <f>G1056*AP1056</f>
        <v>0</v>
      </c>
      <c r="L1056" s="6">
        <f>G1056*H1056</f>
        <v>0</v>
      </c>
      <c r="M1056" s="6">
        <f>L1056*(1+BW1056/100)</f>
        <v>0</v>
      </c>
      <c r="N1056" s="6">
        <v>4.0000000000000001E-3</v>
      </c>
      <c r="O1056" s="6">
        <f>G1056*N1056</f>
        <v>0.45080000000000003</v>
      </c>
      <c r="P1056" s="109" t="s">
        <v>921</v>
      </c>
      <c r="Z1056" s="14">
        <f>IF(AQ1056="5",BJ1056,0)</f>
        <v>0</v>
      </c>
      <c r="AB1056" s="14">
        <f>IF(AQ1056="1",BH1056,0)</f>
        <v>0</v>
      </c>
      <c r="AC1056" s="14">
        <f>IF(AQ1056="1",BI1056,0)</f>
        <v>0</v>
      </c>
      <c r="AD1056" s="14">
        <f>IF(AQ1056="7",BH1056,0)</f>
        <v>0</v>
      </c>
      <c r="AE1056" s="14">
        <f>IF(AQ1056="7",BI1056,0)</f>
        <v>0</v>
      </c>
      <c r="AF1056" s="14">
        <f>IF(AQ1056="2",BH1056,0)</f>
        <v>0</v>
      </c>
      <c r="AG1056" s="14">
        <f>IF(AQ1056="2",BI1056,0)</f>
        <v>0</v>
      </c>
      <c r="AH1056" s="14">
        <f>IF(AQ1056="0",BJ1056,0)</f>
        <v>0</v>
      </c>
      <c r="AI1056" s="15" t="s">
        <v>557</v>
      </c>
      <c r="AJ1056" s="6">
        <f>IF(AN1056=0,L1056,0)</f>
        <v>0</v>
      </c>
      <c r="AK1056" s="6">
        <f>IF(AN1056=15,L1056,0)</f>
        <v>0</v>
      </c>
      <c r="AL1056" s="6">
        <f>IF(AN1056=21,L1056,0)</f>
        <v>0</v>
      </c>
      <c r="AN1056" s="14">
        <v>21</v>
      </c>
      <c r="AO1056" s="92">
        <f>H1056*1</f>
        <v>0</v>
      </c>
      <c r="AP1056" s="92">
        <f>H1056*(1-1)</f>
        <v>0</v>
      </c>
      <c r="AQ1056" s="18" t="s">
        <v>2435</v>
      </c>
      <c r="AV1056" s="14">
        <f>AW1056+AX1056</f>
        <v>0</v>
      </c>
      <c r="AW1056" s="14">
        <f>G1056*AO1056</f>
        <v>0</v>
      </c>
      <c r="AX1056" s="14">
        <f>G1056*AP1056</f>
        <v>0</v>
      </c>
      <c r="AY1056" s="55" t="s">
        <v>472</v>
      </c>
      <c r="AZ1056" s="55" t="s">
        <v>2735</v>
      </c>
      <c r="BA1056" s="15" t="s">
        <v>1982</v>
      </c>
      <c r="BC1056" s="14">
        <f>AW1056+AX1056</f>
        <v>0</v>
      </c>
      <c r="BD1056" s="14">
        <f>H1056/(100-BE1056)*100</f>
        <v>0</v>
      </c>
      <c r="BE1056" s="14">
        <v>0</v>
      </c>
      <c r="BF1056" s="14">
        <f>O1056</f>
        <v>0.45080000000000003</v>
      </c>
      <c r="BH1056" s="6">
        <f>G1056*AO1056</f>
        <v>0</v>
      </c>
      <c r="BI1056" s="6">
        <f>G1056*AP1056</f>
        <v>0</v>
      </c>
      <c r="BJ1056" s="6">
        <f>G1056*H1056</f>
        <v>0</v>
      </c>
      <c r="BK1056" s="6"/>
      <c r="BL1056" s="14">
        <v>776</v>
      </c>
      <c r="BW1056" s="14" t="str">
        <f>I1056</f>
        <v>21</v>
      </c>
    </row>
    <row r="1057" spans="1:75" ht="15" customHeight="1">
      <c r="A1057" s="32"/>
      <c r="D1057" s="3" t="s">
        <v>1713</v>
      </c>
      <c r="E1057" s="28" t="s">
        <v>1683</v>
      </c>
      <c r="G1057" s="27">
        <v>98.000000000000014</v>
      </c>
      <c r="P1057" s="33"/>
    </row>
    <row r="1058" spans="1:75" ht="15" customHeight="1">
      <c r="A1058" s="32"/>
      <c r="D1058" s="3" t="s">
        <v>1226</v>
      </c>
      <c r="E1058" s="28" t="s">
        <v>1683</v>
      </c>
      <c r="G1058" s="27">
        <v>14.700000000000001</v>
      </c>
      <c r="P1058" s="33"/>
    </row>
    <row r="1059" spans="1:75" ht="13.5" customHeight="1">
      <c r="A1059" s="21" t="s">
        <v>435</v>
      </c>
      <c r="B1059" s="37" t="s">
        <v>557</v>
      </c>
      <c r="C1059" s="37" t="s">
        <v>2058</v>
      </c>
      <c r="D1059" s="578" t="s">
        <v>1368</v>
      </c>
      <c r="E1059" s="579"/>
      <c r="F1059" s="37" t="s">
        <v>2398</v>
      </c>
      <c r="G1059" s="14">
        <v>103.5</v>
      </c>
      <c r="H1059" s="569"/>
      <c r="I1059" s="55" t="s">
        <v>1720</v>
      </c>
      <c r="J1059" s="14">
        <f>G1059*AO1059</f>
        <v>0</v>
      </c>
      <c r="K1059" s="14">
        <f>G1059*AP1059</f>
        <v>0</v>
      </c>
      <c r="L1059" s="14">
        <f>G1059*H1059</f>
        <v>0</v>
      </c>
      <c r="M1059" s="14">
        <f>L1059*(1+BW1059/100)</f>
        <v>0</v>
      </c>
      <c r="N1059" s="14">
        <v>2.7E-4</v>
      </c>
      <c r="O1059" s="14">
        <f>G1059*N1059</f>
        <v>2.7945000000000001E-2</v>
      </c>
      <c r="P1059" s="72" t="s">
        <v>921</v>
      </c>
      <c r="Z1059" s="14">
        <f>IF(AQ1059="5",BJ1059,0)</f>
        <v>0</v>
      </c>
      <c r="AB1059" s="14">
        <f>IF(AQ1059="1",BH1059,0)</f>
        <v>0</v>
      </c>
      <c r="AC1059" s="14">
        <f>IF(AQ1059="1",BI1059,0)</f>
        <v>0</v>
      </c>
      <c r="AD1059" s="14">
        <f>IF(AQ1059="7",BH1059,0)</f>
        <v>0</v>
      </c>
      <c r="AE1059" s="14">
        <f>IF(AQ1059="7",BI1059,0)</f>
        <v>0</v>
      </c>
      <c r="AF1059" s="14">
        <f>IF(AQ1059="2",BH1059,0)</f>
        <v>0</v>
      </c>
      <c r="AG1059" s="14">
        <f>IF(AQ1059="2",BI1059,0)</f>
        <v>0</v>
      </c>
      <c r="AH1059" s="14">
        <f>IF(AQ1059="0",BJ1059,0)</f>
        <v>0</v>
      </c>
      <c r="AI1059" s="15" t="s">
        <v>557</v>
      </c>
      <c r="AJ1059" s="14">
        <f>IF(AN1059=0,L1059,0)</f>
        <v>0</v>
      </c>
      <c r="AK1059" s="14">
        <f>IF(AN1059=15,L1059,0)</f>
        <v>0</v>
      </c>
      <c r="AL1059" s="14">
        <f>IF(AN1059=21,L1059,0)</f>
        <v>0</v>
      </c>
      <c r="AN1059" s="14">
        <v>21</v>
      </c>
      <c r="AO1059" s="92">
        <f>H1059*0.337993079584775</f>
        <v>0</v>
      </c>
      <c r="AP1059" s="92">
        <f>H1059*(1-0.337993079584775)</f>
        <v>0</v>
      </c>
      <c r="AQ1059" s="55" t="s">
        <v>2435</v>
      </c>
      <c r="AV1059" s="14">
        <f>AW1059+AX1059</f>
        <v>0</v>
      </c>
      <c r="AW1059" s="14">
        <f>G1059*AO1059</f>
        <v>0</v>
      </c>
      <c r="AX1059" s="14">
        <f>G1059*AP1059</f>
        <v>0</v>
      </c>
      <c r="AY1059" s="55" t="s">
        <v>472</v>
      </c>
      <c r="AZ1059" s="55" t="s">
        <v>2735</v>
      </c>
      <c r="BA1059" s="15" t="s">
        <v>1982</v>
      </c>
      <c r="BC1059" s="14">
        <f>AW1059+AX1059</f>
        <v>0</v>
      </c>
      <c r="BD1059" s="14">
        <f>H1059/(100-BE1059)*100</f>
        <v>0</v>
      </c>
      <c r="BE1059" s="14">
        <v>0</v>
      </c>
      <c r="BF1059" s="14">
        <f>O1059</f>
        <v>2.7945000000000001E-2</v>
      </c>
      <c r="BH1059" s="14">
        <f>G1059*AO1059</f>
        <v>0</v>
      </c>
      <c r="BI1059" s="14">
        <f>G1059*AP1059</f>
        <v>0</v>
      </c>
      <c r="BJ1059" s="14">
        <f>G1059*H1059</f>
        <v>0</v>
      </c>
      <c r="BK1059" s="14"/>
      <c r="BL1059" s="14">
        <v>776</v>
      </c>
      <c r="BW1059" s="14" t="str">
        <f>I1059</f>
        <v>21</v>
      </c>
    </row>
    <row r="1060" spans="1:75" ht="15" customHeight="1">
      <c r="A1060" s="32"/>
      <c r="D1060" s="3" t="s">
        <v>1436</v>
      </c>
      <c r="E1060" s="28" t="s">
        <v>1683</v>
      </c>
      <c r="G1060" s="27">
        <v>103.50000000000001</v>
      </c>
      <c r="P1060" s="33"/>
    </row>
    <row r="1061" spans="1:75" ht="13.5" customHeight="1">
      <c r="A1061" s="21" t="s">
        <v>784</v>
      </c>
      <c r="B1061" s="37" t="s">
        <v>557</v>
      </c>
      <c r="C1061" s="37" t="s">
        <v>2178</v>
      </c>
      <c r="D1061" s="578" t="s">
        <v>739</v>
      </c>
      <c r="E1061" s="579"/>
      <c r="F1061" s="37" t="s">
        <v>2019</v>
      </c>
      <c r="G1061" s="14">
        <v>65</v>
      </c>
      <c r="H1061" s="569"/>
      <c r="I1061" s="55" t="s">
        <v>1720</v>
      </c>
      <c r="J1061" s="14">
        <f>G1061*AO1061</f>
        <v>0</v>
      </c>
      <c r="K1061" s="14">
        <f>G1061*AP1061</f>
        <v>0</v>
      </c>
      <c r="L1061" s="14">
        <f>G1061*H1061</f>
        <v>0</v>
      </c>
      <c r="M1061" s="14">
        <f>L1061*(1+BW1061/100)</f>
        <v>0</v>
      </c>
      <c r="N1061" s="14">
        <v>2.0000000000000002E-5</v>
      </c>
      <c r="O1061" s="14">
        <f>G1061*N1061</f>
        <v>1.3000000000000002E-3</v>
      </c>
      <c r="P1061" s="72" t="s">
        <v>1664</v>
      </c>
      <c r="Z1061" s="14">
        <f>IF(AQ1061="5",BJ1061,0)</f>
        <v>0</v>
      </c>
      <c r="AB1061" s="14">
        <f>IF(AQ1061="1",BH1061,0)</f>
        <v>0</v>
      </c>
      <c r="AC1061" s="14">
        <f>IF(AQ1061="1",BI1061,0)</f>
        <v>0</v>
      </c>
      <c r="AD1061" s="14">
        <f>IF(AQ1061="7",BH1061,0)</f>
        <v>0</v>
      </c>
      <c r="AE1061" s="14">
        <f>IF(AQ1061="7",BI1061,0)</f>
        <v>0</v>
      </c>
      <c r="AF1061" s="14">
        <f>IF(AQ1061="2",BH1061,0)</f>
        <v>0</v>
      </c>
      <c r="AG1061" s="14">
        <f>IF(AQ1061="2",BI1061,0)</f>
        <v>0</v>
      </c>
      <c r="AH1061" s="14">
        <f>IF(AQ1061="0",BJ1061,0)</f>
        <v>0</v>
      </c>
      <c r="AI1061" s="15" t="s">
        <v>557</v>
      </c>
      <c r="AJ1061" s="14">
        <f>IF(AN1061=0,L1061,0)</f>
        <v>0</v>
      </c>
      <c r="AK1061" s="14">
        <f>IF(AN1061=15,L1061,0)</f>
        <v>0</v>
      </c>
      <c r="AL1061" s="14">
        <f>IF(AN1061=21,L1061,0)</f>
        <v>0</v>
      </c>
      <c r="AN1061" s="14">
        <v>21</v>
      </c>
      <c r="AO1061" s="92">
        <f>H1061*0.164692482915718</f>
        <v>0</v>
      </c>
      <c r="AP1061" s="92">
        <f>H1061*(1-0.164692482915718)</f>
        <v>0</v>
      </c>
      <c r="AQ1061" s="55" t="s">
        <v>2435</v>
      </c>
      <c r="AV1061" s="14">
        <f>AW1061+AX1061</f>
        <v>0</v>
      </c>
      <c r="AW1061" s="14">
        <f>G1061*AO1061</f>
        <v>0</v>
      </c>
      <c r="AX1061" s="14">
        <f>G1061*AP1061</f>
        <v>0</v>
      </c>
      <c r="AY1061" s="55" t="s">
        <v>472</v>
      </c>
      <c r="AZ1061" s="55" t="s">
        <v>2735</v>
      </c>
      <c r="BA1061" s="15" t="s">
        <v>1982</v>
      </c>
      <c r="BC1061" s="14">
        <f>AW1061+AX1061</f>
        <v>0</v>
      </c>
      <c r="BD1061" s="14">
        <f>H1061/(100-BE1061)*100</f>
        <v>0</v>
      </c>
      <c r="BE1061" s="14">
        <v>0</v>
      </c>
      <c r="BF1061" s="14">
        <f>O1061</f>
        <v>1.3000000000000002E-3</v>
      </c>
      <c r="BH1061" s="14">
        <f>G1061*AO1061</f>
        <v>0</v>
      </c>
      <c r="BI1061" s="14">
        <f>G1061*AP1061</f>
        <v>0</v>
      </c>
      <c r="BJ1061" s="14">
        <f>G1061*H1061</f>
        <v>0</v>
      </c>
      <c r="BK1061" s="14"/>
      <c r="BL1061" s="14">
        <v>776</v>
      </c>
      <c r="BW1061" s="14" t="str">
        <f>I1061</f>
        <v>21</v>
      </c>
    </row>
    <row r="1062" spans="1:75" ht="15" customHeight="1">
      <c r="A1062" s="32"/>
      <c r="D1062" s="3" t="s">
        <v>2707</v>
      </c>
      <c r="E1062" s="28" t="s">
        <v>1683</v>
      </c>
      <c r="G1062" s="27">
        <v>65</v>
      </c>
      <c r="P1062" s="33"/>
    </row>
    <row r="1063" spans="1:75" ht="13.5" customHeight="1">
      <c r="A1063" s="20" t="s">
        <v>1519</v>
      </c>
      <c r="B1063" s="84" t="s">
        <v>557</v>
      </c>
      <c r="C1063" s="84" t="s">
        <v>1970</v>
      </c>
      <c r="D1063" s="653" t="s">
        <v>2614</v>
      </c>
      <c r="E1063" s="654"/>
      <c r="F1063" s="84" t="s">
        <v>595</v>
      </c>
      <c r="G1063" s="6">
        <v>71.5</v>
      </c>
      <c r="H1063" s="570"/>
      <c r="I1063" s="18" t="s">
        <v>1720</v>
      </c>
      <c r="J1063" s="6">
        <f>G1063*AO1063</f>
        <v>0</v>
      </c>
      <c r="K1063" s="6">
        <f>G1063*AP1063</f>
        <v>0</v>
      </c>
      <c r="L1063" s="6">
        <f>G1063*H1063</f>
        <v>0</v>
      </c>
      <c r="M1063" s="6">
        <f>L1063*(1+BW1063/100)</f>
        <v>0</v>
      </c>
      <c r="N1063" s="6">
        <v>1E-4</v>
      </c>
      <c r="O1063" s="6">
        <f>G1063*N1063</f>
        <v>7.1500000000000001E-3</v>
      </c>
      <c r="P1063" s="109" t="s">
        <v>921</v>
      </c>
      <c r="Z1063" s="14">
        <f>IF(AQ1063="5",BJ1063,0)</f>
        <v>0</v>
      </c>
      <c r="AB1063" s="14">
        <f>IF(AQ1063="1",BH1063,0)</f>
        <v>0</v>
      </c>
      <c r="AC1063" s="14">
        <f>IF(AQ1063="1",BI1063,0)</f>
        <v>0</v>
      </c>
      <c r="AD1063" s="14">
        <f>IF(AQ1063="7",BH1063,0)</f>
        <v>0</v>
      </c>
      <c r="AE1063" s="14">
        <f>IF(AQ1063="7",BI1063,0)</f>
        <v>0</v>
      </c>
      <c r="AF1063" s="14">
        <f>IF(AQ1063="2",BH1063,0)</f>
        <v>0</v>
      </c>
      <c r="AG1063" s="14">
        <f>IF(AQ1063="2",BI1063,0)</f>
        <v>0</v>
      </c>
      <c r="AH1063" s="14">
        <f>IF(AQ1063="0",BJ1063,0)</f>
        <v>0</v>
      </c>
      <c r="AI1063" s="15" t="s">
        <v>557</v>
      </c>
      <c r="AJ1063" s="6">
        <f>IF(AN1063=0,L1063,0)</f>
        <v>0</v>
      </c>
      <c r="AK1063" s="6">
        <f>IF(AN1063=15,L1063,0)</f>
        <v>0</v>
      </c>
      <c r="AL1063" s="6">
        <f>IF(AN1063=21,L1063,0)</f>
        <v>0</v>
      </c>
      <c r="AN1063" s="14">
        <v>21</v>
      </c>
      <c r="AO1063" s="92">
        <f>H1063*1</f>
        <v>0</v>
      </c>
      <c r="AP1063" s="92">
        <f>H1063*(1-1)</f>
        <v>0</v>
      </c>
      <c r="AQ1063" s="18" t="s">
        <v>2435</v>
      </c>
      <c r="AV1063" s="14">
        <f>AW1063+AX1063</f>
        <v>0</v>
      </c>
      <c r="AW1063" s="14">
        <f>G1063*AO1063</f>
        <v>0</v>
      </c>
      <c r="AX1063" s="14">
        <f>G1063*AP1063</f>
        <v>0</v>
      </c>
      <c r="AY1063" s="55" t="s">
        <v>472</v>
      </c>
      <c r="AZ1063" s="55" t="s">
        <v>2735</v>
      </c>
      <c r="BA1063" s="15" t="s">
        <v>1982</v>
      </c>
      <c r="BC1063" s="14">
        <f>AW1063+AX1063</f>
        <v>0</v>
      </c>
      <c r="BD1063" s="14">
        <f>H1063/(100-BE1063)*100</f>
        <v>0</v>
      </c>
      <c r="BE1063" s="14">
        <v>0</v>
      </c>
      <c r="BF1063" s="14">
        <f>O1063</f>
        <v>7.1500000000000001E-3</v>
      </c>
      <c r="BH1063" s="6">
        <f>G1063*AO1063</f>
        <v>0</v>
      </c>
      <c r="BI1063" s="6">
        <f>G1063*AP1063</f>
        <v>0</v>
      </c>
      <c r="BJ1063" s="6">
        <f>G1063*H1063</f>
        <v>0</v>
      </c>
      <c r="BK1063" s="6"/>
      <c r="BL1063" s="14">
        <v>776</v>
      </c>
      <c r="BW1063" s="14" t="str">
        <f>I1063</f>
        <v>21</v>
      </c>
    </row>
    <row r="1064" spans="1:75" ht="15" customHeight="1">
      <c r="A1064" s="32"/>
      <c r="D1064" s="3" t="s">
        <v>2707</v>
      </c>
      <c r="E1064" s="28" t="s">
        <v>1683</v>
      </c>
      <c r="G1064" s="27">
        <v>65</v>
      </c>
      <c r="P1064" s="33"/>
    </row>
    <row r="1065" spans="1:75" ht="15" customHeight="1">
      <c r="A1065" s="32"/>
      <c r="D1065" s="3" t="s">
        <v>1520</v>
      </c>
      <c r="E1065" s="28" t="s">
        <v>1683</v>
      </c>
      <c r="G1065" s="27">
        <v>6.5000000000000009</v>
      </c>
      <c r="P1065" s="33"/>
    </row>
    <row r="1066" spans="1:75" ht="15" customHeight="1">
      <c r="A1066" s="65" t="s">
        <v>1683</v>
      </c>
      <c r="B1066" s="26" t="s">
        <v>557</v>
      </c>
      <c r="C1066" s="26" t="s">
        <v>2092</v>
      </c>
      <c r="D1066" s="649" t="s">
        <v>2239</v>
      </c>
      <c r="E1066" s="650"/>
      <c r="F1066" s="74" t="s">
        <v>2262</v>
      </c>
      <c r="G1066" s="74" t="s">
        <v>2262</v>
      </c>
      <c r="H1066" s="74" t="s">
        <v>2262</v>
      </c>
      <c r="I1066" s="74" t="s">
        <v>2262</v>
      </c>
      <c r="J1066" s="2">
        <f>SUM(J1067:J1069)</f>
        <v>0</v>
      </c>
      <c r="K1066" s="2">
        <f>SUM(K1067:K1069)</f>
        <v>0</v>
      </c>
      <c r="L1066" s="2">
        <f>SUM(L1067:L1069)</f>
        <v>0</v>
      </c>
      <c r="M1066" s="2">
        <f>SUM(M1067:M1069)</f>
        <v>0</v>
      </c>
      <c r="N1066" s="15" t="s">
        <v>1683</v>
      </c>
      <c r="O1066" s="2">
        <f>SUM(O1067:O1069)</f>
        <v>0.85499999999999998</v>
      </c>
      <c r="P1066" s="47" t="s">
        <v>1683</v>
      </c>
      <c r="AI1066" s="15" t="s">
        <v>557</v>
      </c>
      <c r="AS1066" s="2">
        <f>SUM(AJ1067:AJ1069)</f>
        <v>0</v>
      </c>
      <c r="AT1066" s="2">
        <f>SUM(AK1067:AK1069)</f>
        <v>0</v>
      </c>
      <c r="AU1066" s="2">
        <f>SUM(AL1067:AL1069)</f>
        <v>0</v>
      </c>
    </row>
    <row r="1067" spans="1:75" ht="27" customHeight="1">
      <c r="A1067" s="21" t="s">
        <v>2368</v>
      </c>
      <c r="B1067" s="37" t="s">
        <v>557</v>
      </c>
      <c r="C1067" s="37" t="s">
        <v>1058</v>
      </c>
      <c r="D1067" s="578" t="s">
        <v>755</v>
      </c>
      <c r="E1067" s="579"/>
      <c r="F1067" s="37" t="s">
        <v>2398</v>
      </c>
      <c r="G1067" s="14">
        <v>110</v>
      </c>
      <c r="H1067" s="569"/>
      <c r="I1067" s="55" t="s">
        <v>1720</v>
      </c>
      <c r="J1067" s="14">
        <f>G1067*AO1067</f>
        <v>0</v>
      </c>
      <c r="K1067" s="14">
        <f>G1067*AP1067</f>
        <v>0</v>
      </c>
      <c r="L1067" s="14">
        <f>G1067*H1067</f>
        <v>0</v>
      </c>
      <c r="M1067" s="14">
        <f>L1067*(1+BW1067/100)</f>
        <v>0</v>
      </c>
      <c r="N1067" s="14">
        <v>3.5999999999999999E-3</v>
      </c>
      <c r="O1067" s="14">
        <f>G1067*N1067</f>
        <v>0.39599999999999996</v>
      </c>
      <c r="P1067" s="72" t="s">
        <v>1664</v>
      </c>
      <c r="Z1067" s="14">
        <f>IF(AQ1067="5",BJ1067,0)</f>
        <v>0</v>
      </c>
      <c r="AB1067" s="14">
        <f>IF(AQ1067="1",BH1067,0)</f>
        <v>0</v>
      </c>
      <c r="AC1067" s="14">
        <f>IF(AQ1067="1",BI1067,0)</f>
        <v>0</v>
      </c>
      <c r="AD1067" s="14">
        <f>IF(AQ1067="7",BH1067,0)</f>
        <v>0</v>
      </c>
      <c r="AE1067" s="14">
        <f>IF(AQ1067="7",BI1067,0)</f>
        <v>0</v>
      </c>
      <c r="AF1067" s="14">
        <f>IF(AQ1067="2",BH1067,0)</f>
        <v>0</v>
      </c>
      <c r="AG1067" s="14">
        <f>IF(AQ1067="2",BI1067,0)</f>
        <v>0</v>
      </c>
      <c r="AH1067" s="14">
        <f>IF(AQ1067="0",BJ1067,0)</f>
        <v>0</v>
      </c>
      <c r="AI1067" s="15" t="s">
        <v>557</v>
      </c>
      <c r="AJ1067" s="14">
        <f>IF(AN1067=0,L1067,0)</f>
        <v>0</v>
      </c>
      <c r="AK1067" s="14">
        <f>IF(AN1067=15,L1067,0)</f>
        <v>0</v>
      </c>
      <c r="AL1067" s="14">
        <f>IF(AN1067=21,L1067,0)</f>
        <v>0</v>
      </c>
      <c r="AN1067" s="14">
        <v>21</v>
      </c>
      <c r="AO1067" s="92">
        <f>H1067*0.466595905989386</f>
        <v>0</v>
      </c>
      <c r="AP1067" s="92">
        <f>H1067*(1-0.466595905989386)</f>
        <v>0</v>
      </c>
      <c r="AQ1067" s="55" t="s">
        <v>2435</v>
      </c>
      <c r="AV1067" s="14">
        <f>AW1067+AX1067</f>
        <v>0</v>
      </c>
      <c r="AW1067" s="14">
        <f>G1067*AO1067</f>
        <v>0</v>
      </c>
      <c r="AX1067" s="14">
        <f>G1067*AP1067</f>
        <v>0</v>
      </c>
      <c r="AY1067" s="55" t="s">
        <v>751</v>
      </c>
      <c r="AZ1067" s="55" t="s">
        <v>2735</v>
      </c>
      <c r="BA1067" s="15" t="s">
        <v>1982</v>
      </c>
      <c r="BC1067" s="14">
        <f>AW1067+AX1067</f>
        <v>0</v>
      </c>
      <c r="BD1067" s="14">
        <f>H1067/(100-BE1067)*100</f>
        <v>0</v>
      </c>
      <c r="BE1067" s="14">
        <v>0</v>
      </c>
      <c r="BF1067" s="14">
        <f>O1067</f>
        <v>0.39599999999999996</v>
      </c>
      <c r="BH1067" s="14">
        <f>G1067*AO1067</f>
        <v>0</v>
      </c>
      <c r="BI1067" s="14">
        <f>G1067*AP1067</f>
        <v>0</v>
      </c>
      <c r="BJ1067" s="14">
        <f>G1067*H1067</f>
        <v>0</v>
      </c>
      <c r="BK1067" s="14"/>
      <c r="BL1067" s="14">
        <v>777</v>
      </c>
      <c r="BW1067" s="14" t="str">
        <f>I1067</f>
        <v>21</v>
      </c>
    </row>
    <row r="1068" spans="1:75" ht="15" customHeight="1">
      <c r="A1068" s="32"/>
      <c r="D1068" s="3" t="s">
        <v>1558</v>
      </c>
      <c r="E1068" s="28" t="s">
        <v>1152</v>
      </c>
      <c r="G1068" s="27">
        <v>110.00000000000001</v>
      </c>
      <c r="P1068" s="33"/>
    </row>
    <row r="1069" spans="1:75" ht="13.5" customHeight="1">
      <c r="A1069" s="21" t="s">
        <v>22</v>
      </c>
      <c r="B1069" s="37" t="s">
        <v>557</v>
      </c>
      <c r="C1069" s="37" t="s">
        <v>1710</v>
      </c>
      <c r="D1069" s="578" t="s">
        <v>309</v>
      </c>
      <c r="E1069" s="579"/>
      <c r="F1069" s="37" t="s">
        <v>2398</v>
      </c>
      <c r="G1069" s="14">
        <v>153</v>
      </c>
      <c r="H1069" s="569"/>
      <c r="I1069" s="55" t="s">
        <v>1720</v>
      </c>
      <c r="J1069" s="14">
        <f>G1069*AO1069</f>
        <v>0</v>
      </c>
      <c r="K1069" s="14">
        <f>G1069*AP1069</f>
        <v>0</v>
      </c>
      <c r="L1069" s="14">
        <f>G1069*H1069</f>
        <v>0</v>
      </c>
      <c r="M1069" s="14">
        <f>L1069*(1+BW1069/100)</f>
        <v>0</v>
      </c>
      <c r="N1069" s="14">
        <v>3.0000000000000001E-3</v>
      </c>
      <c r="O1069" s="14">
        <f>G1069*N1069</f>
        <v>0.45900000000000002</v>
      </c>
      <c r="P1069" s="72" t="s">
        <v>1664</v>
      </c>
      <c r="Z1069" s="14">
        <f>IF(AQ1069="5",BJ1069,0)</f>
        <v>0</v>
      </c>
      <c r="AB1069" s="14">
        <f>IF(AQ1069="1",BH1069,0)</f>
        <v>0</v>
      </c>
      <c r="AC1069" s="14">
        <f>IF(AQ1069="1",BI1069,0)</f>
        <v>0</v>
      </c>
      <c r="AD1069" s="14">
        <f>IF(AQ1069="7",BH1069,0)</f>
        <v>0</v>
      </c>
      <c r="AE1069" s="14">
        <f>IF(AQ1069="7",BI1069,0)</f>
        <v>0</v>
      </c>
      <c r="AF1069" s="14">
        <f>IF(AQ1069="2",BH1069,0)</f>
        <v>0</v>
      </c>
      <c r="AG1069" s="14">
        <f>IF(AQ1069="2",BI1069,0)</f>
        <v>0</v>
      </c>
      <c r="AH1069" s="14">
        <f>IF(AQ1069="0",BJ1069,0)</f>
        <v>0</v>
      </c>
      <c r="AI1069" s="15" t="s">
        <v>557</v>
      </c>
      <c r="AJ1069" s="14">
        <f>IF(AN1069=0,L1069,0)</f>
        <v>0</v>
      </c>
      <c r="AK1069" s="14">
        <f>IF(AN1069=15,L1069,0)</f>
        <v>0</v>
      </c>
      <c r="AL1069" s="14">
        <f>IF(AN1069=21,L1069,0)</f>
        <v>0</v>
      </c>
      <c r="AN1069" s="14">
        <v>21</v>
      </c>
      <c r="AO1069" s="92">
        <f>H1069*0.227472527472527</f>
        <v>0</v>
      </c>
      <c r="AP1069" s="92">
        <f>H1069*(1-0.227472527472527)</f>
        <v>0</v>
      </c>
      <c r="AQ1069" s="55" t="s">
        <v>2435</v>
      </c>
      <c r="AV1069" s="14">
        <f>AW1069+AX1069</f>
        <v>0</v>
      </c>
      <c r="AW1069" s="14">
        <f>G1069*AO1069</f>
        <v>0</v>
      </c>
      <c r="AX1069" s="14">
        <f>G1069*AP1069</f>
        <v>0</v>
      </c>
      <c r="AY1069" s="55" t="s">
        <v>751</v>
      </c>
      <c r="AZ1069" s="55" t="s">
        <v>2735</v>
      </c>
      <c r="BA1069" s="15" t="s">
        <v>1982</v>
      </c>
      <c r="BC1069" s="14">
        <f>AW1069+AX1069</f>
        <v>0</v>
      </c>
      <c r="BD1069" s="14">
        <f>H1069/(100-BE1069)*100</f>
        <v>0</v>
      </c>
      <c r="BE1069" s="14">
        <v>0</v>
      </c>
      <c r="BF1069" s="14">
        <f>O1069</f>
        <v>0.45900000000000002</v>
      </c>
      <c r="BH1069" s="14">
        <f>G1069*AO1069</f>
        <v>0</v>
      </c>
      <c r="BI1069" s="14">
        <f>G1069*AP1069</f>
        <v>0</v>
      </c>
      <c r="BJ1069" s="14">
        <f>G1069*H1069</f>
        <v>0</v>
      </c>
      <c r="BK1069" s="14"/>
      <c r="BL1069" s="14">
        <v>777</v>
      </c>
      <c r="BW1069" s="14" t="str">
        <f>I1069</f>
        <v>21</v>
      </c>
    </row>
    <row r="1070" spans="1:75" ht="15" customHeight="1">
      <c r="A1070" s="32"/>
      <c r="D1070" s="3" t="s">
        <v>2279</v>
      </c>
      <c r="E1070" s="28" t="s">
        <v>1683</v>
      </c>
      <c r="G1070" s="27">
        <v>153</v>
      </c>
      <c r="P1070" s="33"/>
    </row>
    <row r="1071" spans="1:75" ht="15" customHeight="1">
      <c r="A1071" s="65" t="s">
        <v>1683</v>
      </c>
      <c r="B1071" s="26" t="s">
        <v>557</v>
      </c>
      <c r="C1071" s="26" t="s">
        <v>1402</v>
      </c>
      <c r="D1071" s="649" t="s">
        <v>1932</v>
      </c>
      <c r="E1071" s="650"/>
      <c r="F1071" s="74" t="s">
        <v>2262</v>
      </c>
      <c r="G1071" s="74" t="s">
        <v>2262</v>
      </c>
      <c r="H1071" s="74" t="s">
        <v>2262</v>
      </c>
      <c r="I1071" s="74" t="s">
        <v>2262</v>
      </c>
      <c r="J1071" s="2">
        <f>SUM(J1072:J1076)</f>
        <v>0</v>
      </c>
      <c r="K1071" s="2">
        <f>SUM(K1072:K1076)</f>
        <v>0</v>
      </c>
      <c r="L1071" s="2">
        <f>SUM(L1072:L1076)</f>
        <v>0</v>
      </c>
      <c r="M1071" s="2">
        <f>SUM(M1072:M1076)</f>
        <v>0</v>
      </c>
      <c r="N1071" s="15" t="s">
        <v>1683</v>
      </c>
      <c r="O1071" s="2">
        <f>SUM(O1072:O1076)</f>
        <v>0.186</v>
      </c>
      <c r="P1071" s="47" t="s">
        <v>1683</v>
      </c>
      <c r="AI1071" s="15" t="s">
        <v>557</v>
      </c>
      <c r="AS1071" s="2">
        <f>SUM(AJ1072:AJ1076)</f>
        <v>0</v>
      </c>
      <c r="AT1071" s="2">
        <f>SUM(AK1072:AK1076)</f>
        <v>0</v>
      </c>
      <c r="AU1071" s="2">
        <f>SUM(AL1072:AL1076)</f>
        <v>0</v>
      </c>
    </row>
    <row r="1072" spans="1:75" ht="13.5" customHeight="1">
      <c r="A1072" s="21" t="s">
        <v>265</v>
      </c>
      <c r="B1072" s="37" t="s">
        <v>557</v>
      </c>
      <c r="C1072" s="37" t="s">
        <v>786</v>
      </c>
      <c r="D1072" s="578" t="s">
        <v>1698</v>
      </c>
      <c r="E1072" s="579"/>
      <c r="F1072" s="37" t="s">
        <v>2398</v>
      </c>
      <c r="G1072" s="14">
        <v>250</v>
      </c>
      <c r="H1072" s="569"/>
      <c r="I1072" s="55" t="s">
        <v>1720</v>
      </c>
      <c r="J1072" s="14">
        <f>G1072*AO1072</f>
        <v>0</v>
      </c>
      <c r="K1072" s="14">
        <f>G1072*AP1072</f>
        <v>0</v>
      </c>
      <c r="L1072" s="14">
        <f>G1072*H1072</f>
        <v>0</v>
      </c>
      <c r="M1072" s="14">
        <f>L1072*(1+BW1072/100)</f>
        <v>0</v>
      </c>
      <c r="N1072" s="14">
        <v>1.3999999999999999E-4</v>
      </c>
      <c r="O1072" s="14">
        <f>G1072*N1072</f>
        <v>3.4999999999999996E-2</v>
      </c>
      <c r="P1072" s="72" t="s">
        <v>921</v>
      </c>
      <c r="Z1072" s="14">
        <f>IF(AQ1072="5",BJ1072,0)</f>
        <v>0</v>
      </c>
      <c r="AB1072" s="14">
        <f>IF(AQ1072="1",BH1072,0)</f>
        <v>0</v>
      </c>
      <c r="AC1072" s="14">
        <f>IF(AQ1072="1",BI1072,0)</f>
        <v>0</v>
      </c>
      <c r="AD1072" s="14">
        <f>IF(AQ1072="7",BH1072,0)</f>
        <v>0</v>
      </c>
      <c r="AE1072" s="14">
        <f>IF(AQ1072="7",BI1072,0)</f>
        <v>0</v>
      </c>
      <c r="AF1072" s="14">
        <f>IF(AQ1072="2",BH1072,0)</f>
        <v>0</v>
      </c>
      <c r="AG1072" s="14">
        <f>IF(AQ1072="2",BI1072,0)</f>
        <v>0</v>
      </c>
      <c r="AH1072" s="14">
        <f>IF(AQ1072="0",BJ1072,0)</f>
        <v>0</v>
      </c>
      <c r="AI1072" s="15" t="s">
        <v>557</v>
      </c>
      <c r="AJ1072" s="14">
        <f>IF(AN1072=0,L1072,0)</f>
        <v>0</v>
      </c>
      <c r="AK1072" s="14">
        <f>IF(AN1072=15,L1072,0)</f>
        <v>0</v>
      </c>
      <c r="AL1072" s="14">
        <f>IF(AN1072=21,L1072,0)</f>
        <v>0</v>
      </c>
      <c r="AN1072" s="14">
        <v>21</v>
      </c>
      <c r="AO1072" s="92">
        <f>H1072*0.7108928979219</f>
        <v>0</v>
      </c>
      <c r="AP1072" s="92">
        <f>H1072*(1-0.7108928979219)</f>
        <v>0</v>
      </c>
      <c r="AQ1072" s="55" t="s">
        <v>2435</v>
      </c>
      <c r="AV1072" s="14">
        <f>AW1072+AX1072</f>
        <v>0</v>
      </c>
      <c r="AW1072" s="14">
        <f>G1072*AO1072</f>
        <v>0</v>
      </c>
      <c r="AX1072" s="14">
        <f>G1072*AP1072</f>
        <v>0</v>
      </c>
      <c r="AY1072" s="55" t="s">
        <v>561</v>
      </c>
      <c r="AZ1072" s="55" t="s">
        <v>1925</v>
      </c>
      <c r="BA1072" s="15" t="s">
        <v>1982</v>
      </c>
      <c r="BC1072" s="14">
        <f>AW1072+AX1072</f>
        <v>0</v>
      </c>
      <c r="BD1072" s="14">
        <f>H1072/(100-BE1072)*100</f>
        <v>0</v>
      </c>
      <c r="BE1072" s="14">
        <v>0</v>
      </c>
      <c r="BF1072" s="14">
        <f>O1072</f>
        <v>3.4999999999999996E-2</v>
      </c>
      <c r="BH1072" s="14">
        <f>G1072*AO1072</f>
        <v>0</v>
      </c>
      <c r="BI1072" s="14">
        <f>G1072*AP1072</f>
        <v>0</v>
      </c>
      <c r="BJ1072" s="14">
        <f>G1072*H1072</f>
        <v>0</v>
      </c>
      <c r="BK1072" s="14"/>
      <c r="BL1072" s="14">
        <v>783</v>
      </c>
      <c r="BW1072" s="14" t="str">
        <f>I1072</f>
        <v>21</v>
      </c>
    </row>
    <row r="1073" spans="1:75" ht="15" customHeight="1">
      <c r="A1073" s="32"/>
      <c r="D1073" s="3" t="s">
        <v>1115</v>
      </c>
      <c r="E1073" s="28" t="s">
        <v>1683</v>
      </c>
      <c r="G1073" s="27">
        <v>250.00000000000003</v>
      </c>
      <c r="P1073" s="33"/>
    </row>
    <row r="1074" spans="1:75" ht="13.5" customHeight="1">
      <c r="A1074" s="21" t="s">
        <v>2575</v>
      </c>
      <c r="B1074" s="37" t="s">
        <v>557</v>
      </c>
      <c r="C1074" s="37" t="s">
        <v>1209</v>
      </c>
      <c r="D1074" s="578" t="s">
        <v>1278</v>
      </c>
      <c r="E1074" s="579"/>
      <c r="F1074" s="37" t="s">
        <v>2398</v>
      </c>
      <c r="G1074" s="14">
        <v>250</v>
      </c>
      <c r="H1074" s="569"/>
      <c r="I1074" s="55" t="s">
        <v>1720</v>
      </c>
      <c r="J1074" s="14">
        <f>G1074*AO1074</f>
        <v>0</v>
      </c>
      <c r="K1074" s="14">
        <f>G1074*AP1074</f>
        <v>0</v>
      </c>
      <c r="L1074" s="14">
        <f>G1074*H1074</f>
        <v>0</v>
      </c>
      <c r="M1074" s="14">
        <f>L1074*(1+BW1074/100)</f>
        <v>0</v>
      </c>
      <c r="N1074" s="14">
        <v>2.2000000000000001E-4</v>
      </c>
      <c r="O1074" s="14">
        <f>G1074*N1074</f>
        <v>5.5E-2</v>
      </c>
      <c r="P1074" s="72" t="s">
        <v>1664</v>
      </c>
      <c r="Z1074" s="14">
        <f>IF(AQ1074="5",BJ1074,0)</f>
        <v>0</v>
      </c>
      <c r="AB1074" s="14">
        <f>IF(AQ1074="1",BH1074,0)</f>
        <v>0</v>
      </c>
      <c r="AC1074" s="14">
        <f>IF(AQ1074="1",BI1074,0)</f>
        <v>0</v>
      </c>
      <c r="AD1074" s="14">
        <f>IF(AQ1074="7",BH1074,0)</f>
        <v>0</v>
      </c>
      <c r="AE1074" s="14">
        <f>IF(AQ1074="7",BI1074,0)</f>
        <v>0</v>
      </c>
      <c r="AF1074" s="14">
        <f>IF(AQ1074="2",BH1074,0)</f>
        <v>0</v>
      </c>
      <c r="AG1074" s="14">
        <f>IF(AQ1074="2",BI1074,0)</f>
        <v>0</v>
      </c>
      <c r="AH1074" s="14">
        <f>IF(AQ1074="0",BJ1074,0)</f>
        <v>0</v>
      </c>
      <c r="AI1074" s="15" t="s">
        <v>557</v>
      </c>
      <c r="AJ1074" s="14">
        <f>IF(AN1074=0,L1074,0)</f>
        <v>0</v>
      </c>
      <c r="AK1074" s="14">
        <f>IF(AN1074=15,L1074,0)</f>
        <v>0</v>
      </c>
      <c r="AL1074" s="14">
        <f>IF(AN1074=21,L1074,0)</f>
        <v>0</v>
      </c>
      <c r="AN1074" s="14">
        <v>21</v>
      </c>
      <c r="AO1074" s="92">
        <f>H1074*0.480287474332649</f>
        <v>0</v>
      </c>
      <c r="AP1074" s="92">
        <f>H1074*(1-0.480287474332649)</f>
        <v>0</v>
      </c>
      <c r="AQ1074" s="55" t="s">
        <v>2435</v>
      </c>
      <c r="AV1074" s="14">
        <f>AW1074+AX1074</f>
        <v>0</v>
      </c>
      <c r="AW1074" s="14">
        <f>G1074*AO1074</f>
        <v>0</v>
      </c>
      <c r="AX1074" s="14">
        <f>G1074*AP1074</f>
        <v>0</v>
      </c>
      <c r="AY1074" s="55" t="s">
        <v>561</v>
      </c>
      <c r="AZ1074" s="55" t="s">
        <v>1925</v>
      </c>
      <c r="BA1074" s="15" t="s">
        <v>1982</v>
      </c>
      <c r="BC1074" s="14">
        <f>AW1074+AX1074</f>
        <v>0</v>
      </c>
      <c r="BD1074" s="14">
        <f>H1074/(100-BE1074)*100</f>
        <v>0</v>
      </c>
      <c r="BE1074" s="14">
        <v>0</v>
      </c>
      <c r="BF1074" s="14">
        <f>O1074</f>
        <v>5.5E-2</v>
      </c>
      <c r="BH1074" s="14">
        <f>G1074*AO1074</f>
        <v>0</v>
      </c>
      <c r="BI1074" s="14">
        <f>G1074*AP1074</f>
        <v>0</v>
      </c>
      <c r="BJ1074" s="14">
        <f>G1074*H1074</f>
        <v>0</v>
      </c>
      <c r="BK1074" s="14"/>
      <c r="BL1074" s="14">
        <v>783</v>
      </c>
      <c r="BW1074" s="14" t="str">
        <f>I1074</f>
        <v>21</v>
      </c>
    </row>
    <row r="1075" spans="1:75" ht="15" customHeight="1">
      <c r="A1075" s="32"/>
      <c r="D1075" s="3" t="s">
        <v>1115</v>
      </c>
      <c r="E1075" s="28" t="s">
        <v>1683</v>
      </c>
      <c r="G1075" s="27">
        <v>250.00000000000003</v>
      </c>
      <c r="P1075" s="33"/>
    </row>
    <row r="1076" spans="1:75" ht="13.5" customHeight="1">
      <c r="A1076" s="21" t="s">
        <v>2751</v>
      </c>
      <c r="B1076" s="37" t="s">
        <v>557</v>
      </c>
      <c r="C1076" s="37" t="s">
        <v>1733</v>
      </c>
      <c r="D1076" s="578" t="s">
        <v>1479</v>
      </c>
      <c r="E1076" s="579"/>
      <c r="F1076" s="37" t="s">
        <v>2398</v>
      </c>
      <c r="G1076" s="14">
        <v>600</v>
      </c>
      <c r="H1076" s="569"/>
      <c r="I1076" s="55" t="s">
        <v>1720</v>
      </c>
      <c r="J1076" s="14">
        <f>G1076*AO1076</f>
        <v>0</v>
      </c>
      <c r="K1076" s="14">
        <f>G1076*AP1076</f>
        <v>0</v>
      </c>
      <c r="L1076" s="14">
        <f>G1076*H1076</f>
        <v>0</v>
      </c>
      <c r="M1076" s="14">
        <f>L1076*(1+BW1076/100)</f>
        <v>0</v>
      </c>
      <c r="N1076" s="14">
        <v>1.6000000000000001E-4</v>
      </c>
      <c r="O1076" s="14">
        <f>G1076*N1076</f>
        <v>9.6000000000000002E-2</v>
      </c>
      <c r="P1076" s="72" t="s">
        <v>1664</v>
      </c>
      <c r="Z1076" s="14">
        <f>IF(AQ1076="5",BJ1076,0)</f>
        <v>0</v>
      </c>
      <c r="AB1076" s="14">
        <f>IF(AQ1076="1",BH1076,0)</f>
        <v>0</v>
      </c>
      <c r="AC1076" s="14">
        <f>IF(AQ1076="1",BI1076,0)</f>
        <v>0</v>
      </c>
      <c r="AD1076" s="14">
        <f>IF(AQ1076="7",BH1076,0)</f>
        <v>0</v>
      </c>
      <c r="AE1076" s="14">
        <f>IF(AQ1076="7",BI1076,0)</f>
        <v>0</v>
      </c>
      <c r="AF1076" s="14">
        <f>IF(AQ1076="2",BH1076,0)</f>
        <v>0</v>
      </c>
      <c r="AG1076" s="14">
        <f>IF(AQ1076="2",BI1076,0)</f>
        <v>0</v>
      </c>
      <c r="AH1076" s="14">
        <f>IF(AQ1076="0",BJ1076,0)</f>
        <v>0</v>
      </c>
      <c r="AI1076" s="15" t="s">
        <v>557</v>
      </c>
      <c r="AJ1076" s="14">
        <f>IF(AN1076=0,L1076,0)</f>
        <v>0</v>
      </c>
      <c r="AK1076" s="14">
        <f>IF(AN1076=15,L1076,0)</f>
        <v>0</v>
      </c>
      <c r="AL1076" s="14">
        <f>IF(AN1076=21,L1076,0)</f>
        <v>0</v>
      </c>
      <c r="AN1076" s="14">
        <v>21</v>
      </c>
      <c r="AO1076" s="92">
        <f>H1076*0.167158056659403</f>
        <v>0</v>
      </c>
      <c r="AP1076" s="92">
        <f>H1076*(1-0.167158056659403)</f>
        <v>0</v>
      </c>
      <c r="AQ1076" s="55" t="s">
        <v>2435</v>
      </c>
      <c r="AV1076" s="14">
        <f>AW1076+AX1076</f>
        <v>0</v>
      </c>
      <c r="AW1076" s="14">
        <f>G1076*AO1076</f>
        <v>0</v>
      </c>
      <c r="AX1076" s="14">
        <f>G1076*AP1076</f>
        <v>0</v>
      </c>
      <c r="AY1076" s="55" t="s">
        <v>561</v>
      </c>
      <c r="AZ1076" s="55" t="s">
        <v>1925</v>
      </c>
      <c r="BA1076" s="15" t="s">
        <v>1982</v>
      </c>
      <c r="BC1076" s="14">
        <f>AW1076+AX1076</f>
        <v>0</v>
      </c>
      <c r="BD1076" s="14">
        <f>H1076/(100-BE1076)*100</f>
        <v>0</v>
      </c>
      <c r="BE1076" s="14">
        <v>0</v>
      </c>
      <c r="BF1076" s="14">
        <f>O1076</f>
        <v>9.6000000000000002E-2</v>
      </c>
      <c r="BH1076" s="14">
        <f>G1076*AO1076</f>
        <v>0</v>
      </c>
      <c r="BI1076" s="14">
        <f>G1076*AP1076</f>
        <v>0</v>
      </c>
      <c r="BJ1076" s="14">
        <f>G1076*H1076</f>
        <v>0</v>
      </c>
      <c r="BK1076" s="14"/>
      <c r="BL1076" s="14">
        <v>783</v>
      </c>
      <c r="BW1076" s="14" t="str">
        <f>I1076</f>
        <v>21</v>
      </c>
    </row>
    <row r="1077" spans="1:75" ht="15" customHeight="1">
      <c r="A1077" s="32"/>
      <c r="D1077" s="3" t="s">
        <v>846</v>
      </c>
      <c r="E1077" s="28" t="s">
        <v>1683</v>
      </c>
      <c r="G1077" s="27">
        <v>600</v>
      </c>
      <c r="P1077" s="33"/>
    </row>
    <row r="1078" spans="1:75" ht="13.5" customHeight="1">
      <c r="A1078" s="577" t="s">
        <v>3743</v>
      </c>
      <c r="B1078" s="573" t="s">
        <v>1842</v>
      </c>
      <c r="C1078" s="573" t="s">
        <v>3740</v>
      </c>
      <c r="D1078" s="643" t="s">
        <v>3741</v>
      </c>
      <c r="E1078" s="644"/>
      <c r="F1078" s="37" t="s">
        <v>2398</v>
      </c>
      <c r="G1078" s="14">
        <v>11</v>
      </c>
      <c r="H1078" s="569"/>
      <c r="I1078">
        <v>21</v>
      </c>
      <c r="J1078" s="14">
        <f>G1078*H1078*0.44</f>
        <v>0</v>
      </c>
      <c r="K1078" s="14">
        <f>G1078*H1078-J1078</f>
        <v>0</v>
      </c>
      <c r="L1078" s="14">
        <f>G1078*H1078</f>
        <v>0</v>
      </c>
      <c r="M1078" s="14">
        <f>L1078*(1+I1078/100)</f>
        <v>0</v>
      </c>
      <c r="N1078" s="14">
        <v>0</v>
      </c>
      <c r="O1078" s="14">
        <f>G1078*N1078</f>
        <v>0</v>
      </c>
      <c r="P1078" s="72" t="s">
        <v>1664</v>
      </c>
      <c r="Z1078" s="14">
        <f>IF(AQ1078="5",BJ1078,0)</f>
        <v>0</v>
      </c>
      <c r="AB1078" s="14">
        <f>IF(AQ1078="1",BH1078,0)</f>
        <v>0</v>
      </c>
      <c r="AC1078" s="14">
        <f>IF(AQ1078="1",BI1078,0)</f>
        <v>0</v>
      </c>
      <c r="AD1078" s="14">
        <f>IF(AQ1078="7",BH1078,0)</f>
        <v>0</v>
      </c>
      <c r="AE1078" s="14">
        <f>IF(AQ1078="7",BI1078,0)</f>
        <v>0</v>
      </c>
      <c r="AF1078" s="14">
        <f>IF(AQ1078="2",BH1078,0)</f>
        <v>0</v>
      </c>
      <c r="AG1078" s="14">
        <f>IF(AQ1078="2",BI1078,0)</f>
        <v>0</v>
      </c>
      <c r="AH1078" s="14">
        <f>IF(AQ1078="0",BJ1078,0)</f>
        <v>0</v>
      </c>
      <c r="AI1078" s="15" t="s">
        <v>1842</v>
      </c>
      <c r="AJ1078" s="14">
        <f>IF(AN1078=0,P1078,0)</f>
        <v>0</v>
      </c>
      <c r="AK1078" s="14">
        <f>IF(AN1078=15,P1078,0)</f>
        <v>0</v>
      </c>
      <c r="AL1078" s="14" t="str">
        <f>IF(AN1078=21,P1078,0)</f>
        <v>RTS I / 2023</v>
      </c>
      <c r="AN1078" s="14">
        <v>21</v>
      </c>
      <c r="AO1078" s="14">
        <f>H1078*0.444843304843305</f>
        <v>0</v>
      </c>
      <c r="AP1078" s="14">
        <f>H1078*(1-0.444843304843305)</f>
        <v>0</v>
      </c>
      <c r="AQ1078" s="55" t="s">
        <v>2435</v>
      </c>
      <c r="AV1078" s="14">
        <f>AW1078+AX1078</f>
        <v>0</v>
      </c>
      <c r="AW1078" s="14">
        <f>G1078*AO1078</f>
        <v>0</v>
      </c>
      <c r="AX1078" s="14">
        <f>G1078*AP1078</f>
        <v>0</v>
      </c>
      <c r="AY1078" s="55" t="s">
        <v>561</v>
      </c>
      <c r="AZ1078" s="55" t="s">
        <v>84</v>
      </c>
      <c r="BA1078" s="15" t="s">
        <v>1843</v>
      </c>
      <c r="BC1078" s="14">
        <f>AW1078+AX1078</f>
        <v>0</v>
      </c>
      <c r="BD1078" s="14">
        <f>H1078/(100-BE1078)*100</f>
        <v>0</v>
      </c>
      <c r="BE1078" s="14">
        <v>0</v>
      </c>
      <c r="BF1078" s="14">
        <f>O1078</f>
        <v>0</v>
      </c>
      <c r="BH1078" s="14">
        <f>G1078*AO1078</f>
        <v>0</v>
      </c>
      <c r="BI1078" s="14">
        <f>G1078*AP1078</f>
        <v>0</v>
      </c>
      <c r="BJ1078" s="14">
        <f>G1078*H1078</f>
        <v>0</v>
      </c>
      <c r="BK1078" s="14"/>
      <c r="BL1078" s="14">
        <v>783</v>
      </c>
      <c r="BW1078" s="14">
        <f>J1078</f>
        <v>0</v>
      </c>
    </row>
    <row r="1079" spans="1:75" ht="15" customHeight="1">
      <c r="A1079" s="32"/>
      <c r="D1079" s="3">
        <v>11</v>
      </c>
      <c r="E1079" s="28" t="s">
        <v>3742</v>
      </c>
      <c r="G1079" s="27">
        <v>11</v>
      </c>
      <c r="P1079" s="33"/>
      <c r="AO1079"/>
      <c r="AP1079"/>
    </row>
    <row r="1080" spans="1:75" ht="15" customHeight="1">
      <c r="A1080" s="65" t="s">
        <v>1683</v>
      </c>
      <c r="B1080" s="26" t="s">
        <v>557</v>
      </c>
      <c r="C1080" s="26" t="s">
        <v>1348</v>
      </c>
      <c r="D1080" s="649" t="s">
        <v>45</v>
      </c>
      <c r="E1080" s="650"/>
      <c r="F1080" s="74" t="s">
        <v>2262</v>
      </c>
      <c r="G1080" s="74" t="s">
        <v>2262</v>
      </c>
      <c r="H1080" s="74" t="s">
        <v>2262</v>
      </c>
      <c r="I1080" s="74" t="s">
        <v>2262</v>
      </c>
      <c r="J1080" s="2">
        <f>SUM(J1081:J1083)</f>
        <v>0</v>
      </c>
      <c r="K1080" s="2">
        <f>SUM(K1081:K1083)</f>
        <v>0</v>
      </c>
      <c r="L1080" s="2">
        <f>SUM(L1081:L1083)</f>
        <v>0</v>
      </c>
      <c r="M1080" s="2">
        <f>SUM(M1081:M1083)</f>
        <v>0</v>
      </c>
      <c r="N1080" s="15" t="s">
        <v>1683</v>
      </c>
      <c r="O1080" s="2">
        <f>SUM(O1081:O1083)</f>
        <v>0.23930000000000001</v>
      </c>
      <c r="P1080" s="47" t="s">
        <v>1683</v>
      </c>
      <c r="AI1080" s="15" t="s">
        <v>557</v>
      </c>
      <c r="AS1080" s="2">
        <f>SUM(AJ1081:AJ1083)</f>
        <v>0</v>
      </c>
      <c r="AT1080" s="2">
        <f>SUM(AK1081:AK1083)</f>
        <v>0</v>
      </c>
      <c r="AU1080" s="2">
        <f>SUM(AL1081:AL1083)</f>
        <v>0</v>
      </c>
    </row>
    <row r="1081" spans="1:75" ht="27" customHeight="1">
      <c r="A1081" s="21" t="s">
        <v>1320</v>
      </c>
      <c r="B1081" s="37" t="s">
        <v>557</v>
      </c>
      <c r="C1081" s="37" t="s">
        <v>196</v>
      </c>
      <c r="D1081" s="578" t="s">
        <v>1499</v>
      </c>
      <c r="E1081" s="579"/>
      <c r="F1081" s="37" t="s">
        <v>2398</v>
      </c>
      <c r="G1081" s="14">
        <v>32</v>
      </c>
      <c r="H1081" s="569"/>
      <c r="I1081" s="55" t="s">
        <v>1720</v>
      </c>
      <c r="J1081" s="14">
        <f>G1081*AO1081</f>
        <v>0</v>
      </c>
      <c r="K1081" s="14">
        <f>G1081*AP1081</f>
        <v>0</v>
      </c>
      <c r="L1081" s="14">
        <f>G1081*H1081</f>
        <v>0</v>
      </c>
      <c r="M1081" s="14">
        <f>L1081*(1+BW1081/100)</f>
        <v>0</v>
      </c>
      <c r="N1081" s="14">
        <v>2.0000000000000001E-4</v>
      </c>
      <c r="O1081" s="14">
        <f>G1081*N1081</f>
        <v>6.4000000000000003E-3</v>
      </c>
      <c r="P1081" s="72" t="s">
        <v>1664</v>
      </c>
      <c r="Z1081" s="14">
        <f>IF(AQ1081="5",BJ1081,0)</f>
        <v>0</v>
      </c>
      <c r="AB1081" s="14">
        <f>IF(AQ1081="1",BH1081,0)</f>
        <v>0</v>
      </c>
      <c r="AC1081" s="14">
        <f>IF(AQ1081="1",BI1081,0)</f>
        <v>0</v>
      </c>
      <c r="AD1081" s="14">
        <f>IF(AQ1081="7",BH1081,0)</f>
        <v>0</v>
      </c>
      <c r="AE1081" s="14">
        <f>IF(AQ1081="7",BI1081,0)</f>
        <v>0</v>
      </c>
      <c r="AF1081" s="14">
        <f>IF(AQ1081="2",BH1081,0)</f>
        <v>0</v>
      </c>
      <c r="AG1081" s="14">
        <f>IF(AQ1081="2",BI1081,0)</f>
        <v>0</v>
      </c>
      <c r="AH1081" s="14">
        <f>IF(AQ1081="0",BJ1081,0)</f>
        <v>0</v>
      </c>
      <c r="AI1081" s="15" t="s">
        <v>557</v>
      </c>
      <c r="AJ1081" s="14">
        <f>IF(AN1081=0,L1081,0)</f>
        <v>0</v>
      </c>
      <c r="AK1081" s="14">
        <f>IF(AN1081=15,L1081,0)</f>
        <v>0</v>
      </c>
      <c r="AL1081" s="14">
        <f>IF(AN1081=21,L1081,0)</f>
        <v>0</v>
      </c>
      <c r="AN1081" s="14">
        <v>21</v>
      </c>
      <c r="AO1081" s="92">
        <f>H1081*0.352014652014652</f>
        <v>0</v>
      </c>
      <c r="AP1081" s="92">
        <f>H1081*(1-0.352014652014652)</f>
        <v>0</v>
      </c>
      <c r="AQ1081" s="55" t="s">
        <v>2435</v>
      </c>
      <c r="AV1081" s="14">
        <f>AW1081+AX1081</f>
        <v>0</v>
      </c>
      <c r="AW1081" s="14">
        <f>G1081*AO1081</f>
        <v>0</v>
      </c>
      <c r="AX1081" s="14">
        <f>G1081*AP1081</f>
        <v>0</v>
      </c>
      <c r="AY1081" s="55" t="s">
        <v>2162</v>
      </c>
      <c r="AZ1081" s="55" t="s">
        <v>1925</v>
      </c>
      <c r="BA1081" s="15" t="s">
        <v>1982</v>
      </c>
      <c r="BC1081" s="14">
        <f>AW1081+AX1081</f>
        <v>0</v>
      </c>
      <c r="BD1081" s="14">
        <f>H1081/(100-BE1081)*100</f>
        <v>0</v>
      </c>
      <c r="BE1081" s="14">
        <v>0</v>
      </c>
      <c r="BF1081" s="14">
        <f>O1081</f>
        <v>6.4000000000000003E-3</v>
      </c>
      <c r="BH1081" s="14">
        <f>G1081*AO1081</f>
        <v>0</v>
      </c>
      <c r="BI1081" s="14">
        <f>G1081*AP1081</f>
        <v>0</v>
      </c>
      <c r="BJ1081" s="14">
        <f>G1081*H1081</f>
        <v>0</v>
      </c>
      <c r="BK1081" s="14"/>
      <c r="BL1081" s="14">
        <v>784</v>
      </c>
      <c r="BW1081" s="14" t="str">
        <f>I1081</f>
        <v>21</v>
      </c>
    </row>
    <row r="1082" spans="1:75" ht="15" customHeight="1">
      <c r="A1082" s="32"/>
      <c r="D1082" s="3" t="s">
        <v>2053</v>
      </c>
      <c r="E1082" s="28" t="s">
        <v>1683</v>
      </c>
      <c r="G1082" s="27">
        <v>32</v>
      </c>
      <c r="P1082" s="33"/>
    </row>
    <row r="1083" spans="1:75" ht="13.5" customHeight="1">
      <c r="A1083" s="21" t="s">
        <v>2677</v>
      </c>
      <c r="B1083" s="37" t="s">
        <v>557</v>
      </c>
      <c r="C1083" s="37" t="s">
        <v>2205</v>
      </c>
      <c r="D1083" s="578" t="s">
        <v>2026</v>
      </c>
      <c r="E1083" s="579"/>
      <c r="F1083" s="37" t="s">
        <v>2398</v>
      </c>
      <c r="G1083" s="14">
        <v>685</v>
      </c>
      <c r="H1083" s="569"/>
      <c r="I1083" s="55" t="s">
        <v>1720</v>
      </c>
      <c r="J1083" s="14">
        <f>G1083*AO1083</f>
        <v>0</v>
      </c>
      <c r="K1083" s="14">
        <f>G1083*AP1083</f>
        <v>0</v>
      </c>
      <c r="L1083" s="14">
        <f>G1083*H1083</f>
        <v>0</v>
      </c>
      <c r="M1083" s="14">
        <f>L1083*(1+BW1083/100)</f>
        <v>0</v>
      </c>
      <c r="N1083" s="14">
        <v>3.4000000000000002E-4</v>
      </c>
      <c r="O1083" s="14">
        <f>G1083*N1083</f>
        <v>0.23290000000000002</v>
      </c>
      <c r="P1083" s="72" t="s">
        <v>1664</v>
      </c>
      <c r="Z1083" s="14">
        <f>IF(AQ1083="5",BJ1083,0)</f>
        <v>0</v>
      </c>
      <c r="AB1083" s="14">
        <f>IF(AQ1083="1",BH1083,0)</f>
        <v>0</v>
      </c>
      <c r="AC1083" s="14">
        <f>IF(AQ1083="1",BI1083,0)</f>
        <v>0</v>
      </c>
      <c r="AD1083" s="14">
        <f>IF(AQ1083="7",BH1083,0)</f>
        <v>0</v>
      </c>
      <c r="AE1083" s="14">
        <f>IF(AQ1083="7",BI1083,0)</f>
        <v>0</v>
      </c>
      <c r="AF1083" s="14">
        <f>IF(AQ1083="2",BH1083,0)</f>
        <v>0</v>
      </c>
      <c r="AG1083" s="14">
        <f>IF(AQ1083="2",BI1083,0)</f>
        <v>0</v>
      </c>
      <c r="AH1083" s="14">
        <f>IF(AQ1083="0",BJ1083,0)</f>
        <v>0</v>
      </c>
      <c r="AI1083" s="15" t="s">
        <v>557</v>
      </c>
      <c r="AJ1083" s="14">
        <f>IF(AN1083=0,L1083,0)</f>
        <v>0</v>
      </c>
      <c r="AK1083" s="14">
        <f>IF(AN1083=15,L1083,0)</f>
        <v>0</v>
      </c>
      <c r="AL1083" s="14">
        <f>IF(AN1083=21,L1083,0)</f>
        <v>0</v>
      </c>
      <c r="AN1083" s="14">
        <v>21</v>
      </c>
      <c r="AO1083" s="92">
        <f>H1083*0.28421686746988</f>
        <v>0</v>
      </c>
      <c r="AP1083" s="92">
        <f>H1083*(1-0.28421686746988)</f>
        <v>0</v>
      </c>
      <c r="AQ1083" s="55" t="s">
        <v>2435</v>
      </c>
      <c r="AV1083" s="14">
        <f>AW1083+AX1083</f>
        <v>0</v>
      </c>
      <c r="AW1083" s="14">
        <f>G1083*AO1083</f>
        <v>0</v>
      </c>
      <c r="AX1083" s="14">
        <f>G1083*AP1083</f>
        <v>0</v>
      </c>
      <c r="AY1083" s="55" t="s">
        <v>2162</v>
      </c>
      <c r="AZ1083" s="55" t="s">
        <v>1925</v>
      </c>
      <c r="BA1083" s="15" t="s">
        <v>1982</v>
      </c>
      <c r="BC1083" s="14">
        <f>AW1083+AX1083</f>
        <v>0</v>
      </c>
      <c r="BD1083" s="14">
        <f>H1083/(100-BE1083)*100</f>
        <v>0</v>
      </c>
      <c r="BE1083" s="14">
        <v>0</v>
      </c>
      <c r="BF1083" s="14">
        <f>O1083</f>
        <v>0.23290000000000002</v>
      </c>
      <c r="BH1083" s="14">
        <f>G1083*AO1083</f>
        <v>0</v>
      </c>
      <c r="BI1083" s="14">
        <f>G1083*AP1083</f>
        <v>0</v>
      </c>
      <c r="BJ1083" s="14">
        <f>G1083*H1083</f>
        <v>0</v>
      </c>
      <c r="BK1083" s="14"/>
      <c r="BL1083" s="14">
        <v>784</v>
      </c>
      <c r="BW1083" s="14" t="str">
        <f>I1083</f>
        <v>21</v>
      </c>
    </row>
    <row r="1084" spans="1:75" ht="15" customHeight="1">
      <c r="A1084" s="32"/>
      <c r="D1084" s="3" t="s">
        <v>1387</v>
      </c>
      <c r="E1084" s="28" t="s">
        <v>1601</v>
      </c>
      <c r="G1084" s="27">
        <v>685</v>
      </c>
      <c r="P1084" s="33"/>
    </row>
    <row r="1085" spans="1:75" ht="15" customHeight="1">
      <c r="A1085" s="65" t="s">
        <v>1683</v>
      </c>
      <c r="B1085" s="26" t="s">
        <v>557</v>
      </c>
      <c r="C1085" s="26" t="s">
        <v>968</v>
      </c>
      <c r="D1085" s="649" t="s">
        <v>1808</v>
      </c>
      <c r="E1085" s="650"/>
      <c r="F1085" s="74" t="s">
        <v>2262</v>
      </c>
      <c r="G1085" s="74" t="s">
        <v>2262</v>
      </c>
      <c r="H1085" s="74" t="s">
        <v>2262</v>
      </c>
      <c r="I1085" s="74" t="s">
        <v>2262</v>
      </c>
      <c r="J1085" s="2">
        <f>SUM(J1086:J1086)</f>
        <v>0</v>
      </c>
      <c r="K1085" s="2">
        <f>SUM(K1086:K1086)</f>
        <v>0</v>
      </c>
      <c r="L1085" s="2">
        <f>SUM(L1086:L1086)</f>
        <v>0</v>
      </c>
      <c r="M1085" s="2">
        <f>SUM(M1086:M1086)</f>
        <v>0</v>
      </c>
      <c r="N1085" s="15" t="s">
        <v>1683</v>
      </c>
      <c r="O1085" s="2">
        <f>SUM(O1086:O1086)</f>
        <v>9.8000000000000014E-3</v>
      </c>
      <c r="P1085" s="47" t="s">
        <v>1683</v>
      </c>
      <c r="AI1085" s="15" t="s">
        <v>557</v>
      </c>
      <c r="AS1085" s="2">
        <f>SUM(AJ1086:AJ1086)</f>
        <v>0</v>
      </c>
      <c r="AT1085" s="2">
        <f>SUM(AK1086:AK1086)</f>
        <v>0</v>
      </c>
      <c r="AU1085" s="2">
        <f>SUM(AL1086:AL1086)</f>
        <v>0</v>
      </c>
    </row>
    <row r="1086" spans="1:75" ht="13.5" customHeight="1">
      <c r="A1086" s="21" t="s">
        <v>985</v>
      </c>
      <c r="B1086" s="37" t="s">
        <v>557</v>
      </c>
      <c r="C1086" s="37" t="s">
        <v>2158</v>
      </c>
      <c r="D1086" s="578" t="s">
        <v>772</v>
      </c>
      <c r="E1086" s="579"/>
      <c r="F1086" s="37" t="s">
        <v>2398</v>
      </c>
      <c r="G1086" s="14">
        <v>245</v>
      </c>
      <c r="H1086" s="569"/>
      <c r="I1086" s="55" t="s">
        <v>1720</v>
      </c>
      <c r="J1086" s="14">
        <f>G1086*AO1086</f>
        <v>0</v>
      </c>
      <c r="K1086" s="14">
        <f>G1086*AP1086</f>
        <v>0</v>
      </c>
      <c r="L1086" s="14">
        <f>G1086*H1086</f>
        <v>0</v>
      </c>
      <c r="M1086" s="14">
        <f>L1086*(1+BW1086/100)</f>
        <v>0</v>
      </c>
      <c r="N1086" s="14">
        <v>4.0000000000000003E-5</v>
      </c>
      <c r="O1086" s="14">
        <f>G1086*N1086</f>
        <v>9.8000000000000014E-3</v>
      </c>
      <c r="P1086" s="72" t="s">
        <v>1664</v>
      </c>
      <c r="Z1086" s="14">
        <f>IF(AQ1086="5",BJ1086,0)</f>
        <v>0</v>
      </c>
      <c r="AB1086" s="14">
        <f>IF(AQ1086="1",BH1086,0)</f>
        <v>0</v>
      </c>
      <c r="AC1086" s="14">
        <f>IF(AQ1086="1",BI1086,0)</f>
        <v>0</v>
      </c>
      <c r="AD1086" s="14">
        <f>IF(AQ1086="7",BH1086,0)</f>
        <v>0</v>
      </c>
      <c r="AE1086" s="14">
        <f>IF(AQ1086="7",BI1086,0)</f>
        <v>0</v>
      </c>
      <c r="AF1086" s="14">
        <f>IF(AQ1086="2",BH1086,0)</f>
        <v>0</v>
      </c>
      <c r="AG1086" s="14">
        <f>IF(AQ1086="2",BI1086,0)</f>
        <v>0</v>
      </c>
      <c r="AH1086" s="14">
        <f>IF(AQ1086="0",BJ1086,0)</f>
        <v>0</v>
      </c>
      <c r="AI1086" s="15" t="s">
        <v>557</v>
      </c>
      <c r="AJ1086" s="14">
        <f>IF(AN1086=0,L1086,0)</f>
        <v>0</v>
      </c>
      <c r="AK1086" s="14">
        <f>IF(AN1086=15,L1086,0)</f>
        <v>0</v>
      </c>
      <c r="AL1086" s="14">
        <f>IF(AN1086=21,L1086,0)</f>
        <v>0</v>
      </c>
      <c r="AN1086" s="14">
        <v>21</v>
      </c>
      <c r="AO1086" s="92">
        <f>H1086*0.0135315985130112</f>
        <v>0</v>
      </c>
      <c r="AP1086" s="92">
        <f>H1086*(1-0.0135315985130112)</f>
        <v>0</v>
      </c>
      <c r="AQ1086" s="55" t="s">
        <v>2422</v>
      </c>
      <c r="AV1086" s="14">
        <f>AW1086+AX1086</f>
        <v>0</v>
      </c>
      <c r="AW1086" s="14">
        <f>G1086*AO1086</f>
        <v>0</v>
      </c>
      <c r="AX1086" s="14">
        <f>G1086*AP1086</f>
        <v>0</v>
      </c>
      <c r="AY1086" s="55" t="s">
        <v>1492</v>
      </c>
      <c r="AZ1086" s="55" t="s">
        <v>1073</v>
      </c>
      <c r="BA1086" s="15" t="s">
        <v>1982</v>
      </c>
      <c r="BC1086" s="14">
        <f>AW1086+AX1086</f>
        <v>0</v>
      </c>
      <c r="BD1086" s="14">
        <f>H1086/(100-BE1086)*100</f>
        <v>0</v>
      </c>
      <c r="BE1086" s="14">
        <v>0</v>
      </c>
      <c r="BF1086" s="14">
        <f>O1086</f>
        <v>9.8000000000000014E-3</v>
      </c>
      <c r="BH1086" s="14">
        <f>G1086*AO1086</f>
        <v>0</v>
      </c>
      <c r="BI1086" s="14">
        <f>G1086*AP1086</f>
        <v>0</v>
      </c>
      <c r="BJ1086" s="14">
        <f>G1086*H1086</f>
        <v>0</v>
      </c>
      <c r="BK1086" s="14"/>
      <c r="BL1086" s="14">
        <v>95</v>
      </c>
      <c r="BW1086" s="14" t="str">
        <f>I1086</f>
        <v>21</v>
      </c>
    </row>
    <row r="1087" spans="1:75" ht="15" customHeight="1">
      <c r="A1087" s="32"/>
      <c r="D1087" s="3" t="s">
        <v>2611</v>
      </c>
      <c r="E1087" s="28" t="s">
        <v>1683</v>
      </c>
      <c r="G1087" s="27">
        <v>245.00000000000003</v>
      </c>
      <c r="P1087" s="33"/>
    </row>
    <row r="1088" spans="1:75" ht="15" customHeight="1">
      <c r="A1088" s="65" t="s">
        <v>1683</v>
      </c>
      <c r="B1088" s="26" t="s">
        <v>557</v>
      </c>
      <c r="C1088" s="26" t="s">
        <v>1574</v>
      </c>
      <c r="D1088" s="649" t="s">
        <v>1489</v>
      </c>
      <c r="E1088" s="650"/>
      <c r="F1088" s="74" t="s">
        <v>2262</v>
      </c>
      <c r="G1088" s="74" t="s">
        <v>2262</v>
      </c>
      <c r="H1088" s="74" t="s">
        <v>2262</v>
      </c>
      <c r="I1088" s="74" t="s">
        <v>2262</v>
      </c>
      <c r="J1088" s="2">
        <f>SUM(J1089:J1089)</f>
        <v>0</v>
      </c>
      <c r="K1088" s="2">
        <f>SUM(K1089:K1089)</f>
        <v>0</v>
      </c>
      <c r="L1088" s="2">
        <f>SUM(L1089:L1089)</f>
        <v>0</v>
      </c>
      <c r="M1088" s="2">
        <f>SUM(M1089:M1089)</f>
        <v>0</v>
      </c>
      <c r="N1088" s="15" t="s">
        <v>1683</v>
      </c>
      <c r="O1088" s="2">
        <f>SUM(O1089:O1089)</f>
        <v>0</v>
      </c>
      <c r="P1088" s="47" t="s">
        <v>1683</v>
      </c>
      <c r="AI1088" s="15" t="s">
        <v>557</v>
      </c>
      <c r="AS1088" s="2">
        <f>SUM(AJ1089:AJ1089)</f>
        <v>0</v>
      </c>
      <c r="AT1088" s="2">
        <f>SUM(AK1089:AK1089)</f>
        <v>0</v>
      </c>
      <c r="AU1088" s="2">
        <f>SUM(AL1089:AL1089)</f>
        <v>0</v>
      </c>
    </row>
    <row r="1089" spans="1:75" ht="13.5" customHeight="1">
      <c r="A1089" s="21" t="s">
        <v>135</v>
      </c>
      <c r="B1089" s="37" t="s">
        <v>557</v>
      </c>
      <c r="C1089" s="37" t="s">
        <v>643</v>
      </c>
      <c r="D1089" s="578" t="s">
        <v>448</v>
      </c>
      <c r="E1089" s="579"/>
      <c r="F1089" s="37" t="s">
        <v>1130</v>
      </c>
      <c r="G1089" s="14">
        <v>202.85</v>
      </c>
      <c r="H1089" s="569"/>
      <c r="I1089" s="55" t="s">
        <v>1720</v>
      </c>
      <c r="J1089" s="14">
        <f>G1089*AO1089</f>
        <v>0</v>
      </c>
      <c r="K1089" s="14">
        <f>G1089*AP1089</f>
        <v>0</v>
      </c>
      <c r="L1089" s="14">
        <f>G1089*H1089</f>
        <v>0</v>
      </c>
      <c r="M1089" s="14">
        <f>L1089*(1+BW1089/100)</f>
        <v>0</v>
      </c>
      <c r="N1089" s="14">
        <v>0</v>
      </c>
      <c r="O1089" s="14">
        <f>G1089*N1089</f>
        <v>0</v>
      </c>
      <c r="P1089" s="72" t="s">
        <v>1664</v>
      </c>
      <c r="Z1089" s="14">
        <f>IF(AQ1089="5",BJ1089,0)</f>
        <v>0</v>
      </c>
      <c r="AB1089" s="14">
        <f>IF(AQ1089="1",BH1089,0)</f>
        <v>0</v>
      </c>
      <c r="AC1089" s="14">
        <f>IF(AQ1089="1",BI1089,0)</f>
        <v>0</v>
      </c>
      <c r="AD1089" s="14">
        <f>IF(AQ1089="7",BH1089,0)</f>
        <v>0</v>
      </c>
      <c r="AE1089" s="14">
        <f>IF(AQ1089="7",BI1089,0)</f>
        <v>0</v>
      </c>
      <c r="AF1089" s="14">
        <f>IF(AQ1089="2",BH1089,0)</f>
        <v>0</v>
      </c>
      <c r="AG1089" s="14">
        <f>IF(AQ1089="2",BI1089,0)</f>
        <v>0</v>
      </c>
      <c r="AH1089" s="14">
        <f>IF(AQ1089="0",BJ1089,0)</f>
        <v>0</v>
      </c>
      <c r="AI1089" s="15" t="s">
        <v>557</v>
      </c>
      <c r="AJ1089" s="14">
        <f>IF(AN1089=0,L1089,0)</f>
        <v>0</v>
      </c>
      <c r="AK1089" s="14">
        <f>IF(AN1089=15,L1089,0)</f>
        <v>0</v>
      </c>
      <c r="AL1089" s="14">
        <f>IF(AN1089=21,L1089,0)</f>
        <v>0</v>
      </c>
      <c r="AN1089" s="14">
        <v>21</v>
      </c>
      <c r="AO1089" s="92">
        <f>H1089*0</f>
        <v>0</v>
      </c>
      <c r="AP1089" s="92">
        <f>H1089*(1-0)</f>
        <v>0</v>
      </c>
      <c r="AQ1089" s="55" t="s">
        <v>1287</v>
      </c>
      <c r="AV1089" s="14">
        <f>AW1089+AX1089</f>
        <v>0</v>
      </c>
      <c r="AW1089" s="14">
        <f>G1089*AO1089</f>
        <v>0</v>
      </c>
      <c r="AX1089" s="14">
        <f>G1089*AP1089</f>
        <v>0</v>
      </c>
      <c r="AY1089" s="55" t="s">
        <v>2478</v>
      </c>
      <c r="AZ1089" s="55" t="s">
        <v>1073</v>
      </c>
      <c r="BA1089" s="15" t="s">
        <v>1982</v>
      </c>
      <c r="BC1089" s="14">
        <f>AW1089+AX1089</f>
        <v>0</v>
      </c>
      <c r="BD1089" s="14">
        <f>H1089/(100-BE1089)*100</f>
        <v>0</v>
      </c>
      <c r="BE1089" s="14">
        <v>0</v>
      </c>
      <c r="BF1089" s="14">
        <f>O1089</f>
        <v>0</v>
      </c>
      <c r="BH1089" s="14">
        <f>G1089*AO1089</f>
        <v>0</v>
      </c>
      <c r="BI1089" s="14">
        <f>G1089*AP1089</f>
        <v>0</v>
      </c>
      <c r="BJ1089" s="14">
        <f>G1089*H1089</f>
        <v>0</v>
      </c>
      <c r="BK1089" s="14"/>
      <c r="BL1089" s="14"/>
      <c r="BW1089" s="14" t="str">
        <f>I1089</f>
        <v>21</v>
      </c>
    </row>
    <row r="1090" spans="1:75" ht="15" customHeight="1">
      <c r="A1090" s="32"/>
      <c r="D1090" s="3" t="s">
        <v>1550</v>
      </c>
      <c r="E1090" s="28" t="s">
        <v>1683</v>
      </c>
      <c r="G1090" s="27">
        <v>202.85000000000002</v>
      </c>
      <c r="P1090" s="33"/>
    </row>
    <row r="1091" spans="1:75" ht="15" customHeight="1">
      <c r="A1091" s="65" t="s">
        <v>1683</v>
      </c>
      <c r="B1091" s="26" t="s">
        <v>557</v>
      </c>
      <c r="C1091" s="26" t="s">
        <v>2420</v>
      </c>
      <c r="D1091" s="649" t="s">
        <v>2753</v>
      </c>
      <c r="E1091" s="650"/>
      <c r="F1091" s="74" t="s">
        <v>2262</v>
      </c>
      <c r="G1091" s="74" t="s">
        <v>2262</v>
      </c>
      <c r="H1091" s="74" t="s">
        <v>2262</v>
      </c>
      <c r="I1091" s="74" t="s">
        <v>2262</v>
      </c>
      <c r="J1091" s="2">
        <f>SUM(J1092:J1092)</f>
        <v>0</v>
      </c>
      <c r="K1091" s="2">
        <f>SUM(K1092:K1092)</f>
        <v>0</v>
      </c>
      <c r="L1091" s="2">
        <f>SUM(L1092:L1092)</f>
        <v>0</v>
      </c>
      <c r="M1091" s="2">
        <f>SUM(M1092:M1092)</f>
        <v>0</v>
      </c>
      <c r="N1091" s="15" t="s">
        <v>1683</v>
      </c>
      <c r="O1091" s="2">
        <f>SUM(O1092:O1092)</f>
        <v>0</v>
      </c>
      <c r="P1091" s="47" t="s">
        <v>1683</v>
      </c>
      <c r="AI1091" s="15" t="s">
        <v>557</v>
      </c>
      <c r="AS1091" s="2">
        <f>SUM(AJ1092:AJ1092)</f>
        <v>0</v>
      </c>
      <c r="AT1091" s="2">
        <f>SUM(AK1092:AK1092)</f>
        <v>0</v>
      </c>
      <c r="AU1091" s="2">
        <f>SUM(AL1092:AL1092)</f>
        <v>0</v>
      </c>
    </row>
    <row r="1092" spans="1:75" ht="13.5" customHeight="1">
      <c r="A1092" s="21" t="s">
        <v>1391</v>
      </c>
      <c r="B1092" s="37" t="s">
        <v>557</v>
      </c>
      <c r="C1092" s="37" t="s">
        <v>2317</v>
      </c>
      <c r="D1092" s="578" t="s">
        <v>1912</v>
      </c>
      <c r="E1092" s="579"/>
      <c r="F1092" s="37" t="s">
        <v>1130</v>
      </c>
      <c r="G1092" s="14">
        <v>1.17</v>
      </c>
      <c r="H1092" s="569"/>
      <c r="I1092" s="55" t="s">
        <v>1720</v>
      </c>
      <c r="J1092" s="14">
        <f>G1092*AO1092</f>
        <v>0</v>
      </c>
      <c r="K1092" s="14">
        <f>G1092*AP1092</f>
        <v>0</v>
      </c>
      <c r="L1092" s="14">
        <f>G1092*H1092</f>
        <v>0</v>
      </c>
      <c r="M1092" s="14">
        <f>L1092*(1+BW1092/100)</f>
        <v>0</v>
      </c>
      <c r="N1092" s="14">
        <v>0</v>
      </c>
      <c r="O1092" s="14">
        <f>G1092*N1092</f>
        <v>0</v>
      </c>
      <c r="P1092" s="72" t="s">
        <v>1664</v>
      </c>
      <c r="Z1092" s="14">
        <f>IF(AQ1092="5",BJ1092,0)</f>
        <v>0</v>
      </c>
      <c r="AB1092" s="14">
        <f>IF(AQ1092="1",BH1092,0)</f>
        <v>0</v>
      </c>
      <c r="AC1092" s="14">
        <f>IF(AQ1092="1",BI1092,0)</f>
        <v>0</v>
      </c>
      <c r="AD1092" s="14">
        <f>IF(AQ1092="7",BH1092,0)</f>
        <v>0</v>
      </c>
      <c r="AE1092" s="14">
        <f>IF(AQ1092="7",BI1092,0)</f>
        <v>0</v>
      </c>
      <c r="AF1092" s="14">
        <f>IF(AQ1092="2",BH1092,0)</f>
        <v>0</v>
      </c>
      <c r="AG1092" s="14">
        <f>IF(AQ1092="2",BI1092,0)</f>
        <v>0</v>
      </c>
      <c r="AH1092" s="14">
        <f>IF(AQ1092="0",BJ1092,0)</f>
        <v>0</v>
      </c>
      <c r="AI1092" s="15" t="s">
        <v>557</v>
      </c>
      <c r="AJ1092" s="14">
        <f>IF(AN1092=0,L1092,0)</f>
        <v>0</v>
      </c>
      <c r="AK1092" s="14">
        <f>IF(AN1092=15,L1092,0)</f>
        <v>0</v>
      </c>
      <c r="AL1092" s="14">
        <f>IF(AN1092=21,L1092,0)</f>
        <v>0</v>
      </c>
      <c r="AN1092" s="14">
        <v>21</v>
      </c>
      <c r="AO1092" s="92">
        <f>H1092*0</f>
        <v>0</v>
      </c>
      <c r="AP1092" s="92">
        <f>H1092*(1-0)</f>
        <v>0</v>
      </c>
      <c r="AQ1092" s="55" t="s">
        <v>1287</v>
      </c>
      <c r="AV1092" s="14">
        <f>AW1092+AX1092</f>
        <v>0</v>
      </c>
      <c r="AW1092" s="14">
        <f>G1092*AO1092</f>
        <v>0</v>
      </c>
      <c r="AX1092" s="14">
        <f>G1092*AP1092</f>
        <v>0</v>
      </c>
      <c r="AY1092" s="55" t="s">
        <v>861</v>
      </c>
      <c r="AZ1092" s="55" t="s">
        <v>1073</v>
      </c>
      <c r="BA1092" s="15" t="s">
        <v>1982</v>
      </c>
      <c r="BC1092" s="14">
        <f>AW1092+AX1092</f>
        <v>0</v>
      </c>
      <c r="BD1092" s="14">
        <f>H1092/(100-BE1092)*100</f>
        <v>0</v>
      </c>
      <c r="BE1092" s="14">
        <v>0</v>
      </c>
      <c r="BF1092" s="14">
        <f>O1092</f>
        <v>0</v>
      </c>
      <c r="BH1092" s="14">
        <f>G1092*AO1092</f>
        <v>0</v>
      </c>
      <c r="BI1092" s="14">
        <f>G1092*AP1092</f>
        <v>0</v>
      </c>
      <c r="BJ1092" s="14">
        <f>G1092*H1092</f>
        <v>0</v>
      </c>
      <c r="BK1092" s="14"/>
      <c r="BL1092" s="14"/>
      <c r="BW1092" s="14" t="str">
        <f>I1092</f>
        <v>21</v>
      </c>
    </row>
    <row r="1093" spans="1:75" ht="15" customHeight="1">
      <c r="A1093" s="32"/>
      <c r="D1093" s="3" t="s">
        <v>813</v>
      </c>
      <c r="E1093" s="28" t="s">
        <v>1683</v>
      </c>
      <c r="G1093" s="27">
        <v>1.1700000000000002</v>
      </c>
      <c r="P1093" s="33"/>
    </row>
    <row r="1094" spans="1:75" ht="15" customHeight="1">
      <c r="A1094" s="65" t="s">
        <v>1683</v>
      </c>
      <c r="B1094" s="26" t="s">
        <v>557</v>
      </c>
      <c r="C1094" s="26" t="s">
        <v>319</v>
      </c>
      <c r="D1094" s="649" t="s">
        <v>2096</v>
      </c>
      <c r="E1094" s="650"/>
      <c r="F1094" s="74" t="s">
        <v>2262</v>
      </c>
      <c r="G1094" s="74" t="s">
        <v>2262</v>
      </c>
      <c r="H1094" s="74" t="s">
        <v>2262</v>
      </c>
      <c r="I1094" s="74" t="s">
        <v>2262</v>
      </c>
      <c r="J1094" s="2">
        <f>SUM(J1095:J1095)</f>
        <v>0</v>
      </c>
      <c r="K1094" s="2">
        <f>SUM(K1095:K1095)</f>
        <v>0</v>
      </c>
      <c r="L1094" s="2">
        <f>SUM(L1095:L1095)</f>
        <v>0</v>
      </c>
      <c r="M1094" s="2">
        <f>SUM(M1095:M1095)</f>
        <v>0</v>
      </c>
      <c r="N1094" s="15" t="s">
        <v>1683</v>
      </c>
      <c r="O1094" s="2">
        <f>SUM(O1095:O1095)</f>
        <v>0</v>
      </c>
      <c r="P1094" s="47" t="s">
        <v>1683</v>
      </c>
      <c r="AI1094" s="15" t="s">
        <v>557</v>
      </c>
      <c r="AS1094" s="2">
        <f>SUM(AJ1095:AJ1095)</f>
        <v>0</v>
      </c>
      <c r="AT1094" s="2">
        <f>SUM(AK1095:AK1095)</f>
        <v>0</v>
      </c>
      <c r="AU1094" s="2">
        <f>SUM(AL1095:AL1095)</f>
        <v>0</v>
      </c>
    </row>
    <row r="1095" spans="1:75" ht="13.5" customHeight="1">
      <c r="A1095" s="21" t="s">
        <v>1252</v>
      </c>
      <c r="B1095" s="37" t="s">
        <v>557</v>
      </c>
      <c r="C1095" s="37" t="s">
        <v>866</v>
      </c>
      <c r="D1095" s="578" t="s">
        <v>2265</v>
      </c>
      <c r="E1095" s="579"/>
      <c r="F1095" s="37" t="s">
        <v>1130</v>
      </c>
      <c r="G1095" s="14">
        <v>19.8</v>
      </c>
      <c r="H1095" s="569"/>
      <c r="I1095" s="55" t="s">
        <v>1720</v>
      </c>
      <c r="J1095" s="14">
        <f>G1095*AO1095</f>
        <v>0</v>
      </c>
      <c r="K1095" s="14">
        <f>G1095*AP1095</f>
        <v>0</v>
      </c>
      <c r="L1095" s="14">
        <f>G1095*H1095</f>
        <v>0</v>
      </c>
      <c r="M1095" s="14">
        <f>L1095*(1+BW1095/100)</f>
        <v>0</v>
      </c>
      <c r="N1095" s="14">
        <v>0</v>
      </c>
      <c r="O1095" s="14">
        <f>G1095*N1095</f>
        <v>0</v>
      </c>
      <c r="P1095" s="72" t="s">
        <v>1664</v>
      </c>
      <c r="Z1095" s="14">
        <f>IF(AQ1095="5",BJ1095,0)</f>
        <v>0</v>
      </c>
      <c r="AB1095" s="14">
        <f>IF(AQ1095="1",BH1095,0)</f>
        <v>0</v>
      </c>
      <c r="AC1095" s="14">
        <f>IF(AQ1095="1",BI1095,0)</f>
        <v>0</v>
      </c>
      <c r="AD1095" s="14">
        <f>IF(AQ1095="7",BH1095,0)</f>
        <v>0</v>
      </c>
      <c r="AE1095" s="14">
        <f>IF(AQ1095="7",BI1095,0)</f>
        <v>0</v>
      </c>
      <c r="AF1095" s="14">
        <f>IF(AQ1095="2",BH1095,0)</f>
        <v>0</v>
      </c>
      <c r="AG1095" s="14">
        <f>IF(AQ1095="2",BI1095,0)</f>
        <v>0</v>
      </c>
      <c r="AH1095" s="14">
        <f>IF(AQ1095="0",BJ1095,0)</f>
        <v>0</v>
      </c>
      <c r="AI1095" s="15" t="s">
        <v>557</v>
      </c>
      <c r="AJ1095" s="14">
        <f>IF(AN1095=0,L1095,0)</f>
        <v>0</v>
      </c>
      <c r="AK1095" s="14">
        <f>IF(AN1095=15,L1095,0)</f>
        <v>0</v>
      </c>
      <c r="AL1095" s="14">
        <f>IF(AN1095=21,L1095,0)</f>
        <v>0</v>
      </c>
      <c r="AN1095" s="14">
        <v>21</v>
      </c>
      <c r="AO1095" s="92">
        <f>H1095*0</f>
        <v>0</v>
      </c>
      <c r="AP1095" s="92">
        <f>H1095*(1-0)</f>
        <v>0</v>
      </c>
      <c r="AQ1095" s="55" t="s">
        <v>1287</v>
      </c>
      <c r="AV1095" s="14">
        <f>AW1095+AX1095</f>
        <v>0</v>
      </c>
      <c r="AW1095" s="14">
        <f>G1095*AO1095</f>
        <v>0</v>
      </c>
      <c r="AX1095" s="14">
        <f>G1095*AP1095</f>
        <v>0</v>
      </c>
      <c r="AY1095" s="55" t="s">
        <v>2198</v>
      </c>
      <c r="AZ1095" s="55" t="s">
        <v>1073</v>
      </c>
      <c r="BA1095" s="15" t="s">
        <v>1982</v>
      </c>
      <c r="BC1095" s="14">
        <f>AW1095+AX1095</f>
        <v>0</v>
      </c>
      <c r="BD1095" s="14">
        <f>H1095/(100-BE1095)*100</f>
        <v>0</v>
      </c>
      <c r="BE1095" s="14">
        <v>0</v>
      </c>
      <c r="BF1095" s="14">
        <f>O1095</f>
        <v>0</v>
      </c>
      <c r="BH1095" s="14">
        <f>G1095*AO1095</f>
        <v>0</v>
      </c>
      <c r="BI1095" s="14">
        <f>G1095*AP1095</f>
        <v>0</v>
      </c>
      <c r="BJ1095" s="14">
        <f>G1095*H1095</f>
        <v>0</v>
      </c>
      <c r="BK1095" s="14"/>
      <c r="BL1095" s="14"/>
      <c r="BW1095" s="14" t="str">
        <f>I1095</f>
        <v>21</v>
      </c>
    </row>
    <row r="1096" spans="1:75" ht="15" customHeight="1">
      <c r="A1096" s="32"/>
      <c r="D1096" s="3" t="s">
        <v>137</v>
      </c>
      <c r="E1096" s="28" t="s">
        <v>1683</v>
      </c>
      <c r="G1096" s="27">
        <v>19.8</v>
      </c>
      <c r="P1096" s="33"/>
    </row>
    <row r="1097" spans="1:75" ht="15" customHeight="1">
      <c r="A1097" s="65" t="s">
        <v>1683</v>
      </c>
      <c r="B1097" s="26" t="s">
        <v>557</v>
      </c>
      <c r="C1097" s="26" t="s">
        <v>882</v>
      </c>
      <c r="D1097" s="649" t="s">
        <v>2590</v>
      </c>
      <c r="E1097" s="650"/>
      <c r="F1097" s="74" t="s">
        <v>2262</v>
      </c>
      <c r="G1097" s="74" t="s">
        <v>2262</v>
      </c>
      <c r="H1097" s="74" t="s">
        <v>2262</v>
      </c>
      <c r="I1097" s="74" t="s">
        <v>2262</v>
      </c>
      <c r="J1097" s="2">
        <f>SUM(J1098:J1098)</f>
        <v>0</v>
      </c>
      <c r="K1097" s="2">
        <f>SUM(K1098:K1098)</f>
        <v>0</v>
      </c>
      <c r="L1097" s="2">
        <f>SUM(L1098:L1098)</f>
        <v>0</v>
      </c>
      <c r="M1097" s="2">
        <f>SUM(M1098:M1098)</f>
        <v>0</v>
      </c>
      <c r="N1097" s="15" t="s">
        <v>1683</v>
      </c>
      <c r="O1097" s="2">
        <f>SUM(O1098:O1098)</f>
        <v>0</v>
      </c>
      <c r="P1097" s="47" t="s">
        <v>1683</v>
      </c>
      <c r="AI1097" s="15" t="s">
        <v>557</v>
      </c>
      <c r="AS1097" s="2">
        <f>SUM(AJ1098:AJ1098)</f>
        <v>0</v>
      </c>
      <c r="AT1097" s="2">
        <f>SUM(AK1098:AK1098)</f>
        <v>0</v>
      </c>
      <c r="AU1097" s="2">
        <f>SUM(AL1098:AL1098)</f>
        <v>0</v>
      </c>
    </row>
    <row r="1098" spans="1:75" ht="13.5" customHeight="1">
      <c r="A1098" s="21" t="s">
        <v>572</v>
      </c>
      <c r="B1098" s="37" t="s">
        <v>557</v>
      </c>
      <c r="C1098" s="37" t="s">
        <v>1870</v>
      </c>
      <c r="D1098" s="578" t="s">
        <v>2637</v>
      </c>
      <c r="E1098" s="579"/>
      <c r="F1098" s="37" t="s">
        <v>1130</v>
      </c>
      <c r="G1098" s="14">
        <v>38.4</v>
      </c>
      <c r="H1098" s="569"/>
      <c r="I1098" s="55" t="s">
        <v>1720</v>
      </c>
      <c r="J1098" s="14">
        <f>G1098*AO1098</f>
        <v>0</v>
      </c>
      <c r="K1098" s="14">
        <f>G1098*AP1098</f>
        <v>0</v>
      </c>
      <c r="L1098" s="14">
        <f>G1098*H1098</f>
        <v>0</v>
      </c>
      <c r="M1098" s="14">
        <f>L1098*(1+BW1098/100)</f>
        <v>0</v>
      </c>
      <c r="N1098" s="14">
        <v>0</v>
      </c>
      <c r="O1098" s="14">
        <f>G1098*N1098</f>
        <v>0</v>
      </c>
      <c r="P1098" s="72" t="s">
        <v>1664</v>
      </c>
      <c r="Z1098" s="14">
        <f>IF(AQ1098="5",BJ1098,0)</f>
        <v>0</v>
      </c>
      <c r="AB1098" s="14">
        <f>IF(AQ1098="1",BH1098,0)</f>
        <v>0</v>
      </c>
      <c r="AC1098" s="14">
        <f>IF(AQ1098="1",BI1098,0)</f>
        <v>0</v>
      </c>
      <c r="AD1098" s="14">
        <f>IF(AQ1098="7",BH1098,0)</f>
        <v>0</v>
      </c>
      <c r="AE1098" s="14">
        <f>IF(AQ1098="7",BI1098,0)</f>
        <v>0</v>
      </c>
      <c r="AF1098" s="14">
        <f>IF(AQ1098="2",BH1098,0)</f>
        <v>0</v>
      </c>
      <c r="AG1098" s="14">
        <f>IF(AQ1098="2",BI1098,0)</f>
        <v>0</v>
      </c>
      <c r="AH1098" s="14">
        <f>IF(AQ1098="0",BJ1098,0)</f>
        <v>0</v>
      </c>
      <c r="AI1098" s="15" t="s">
        <v>557</v>
      </c>
      <c r="AJ1098" s="14">
        <f>IF(AN1098=0,L1098,0)</f>
        <v>0</v>
      </c>
      <c r="AK1098" s="14">
        <f>IF(AN1098=15,L1098,0)</f>
        <v>0</v>
      </c>
      <c r="AL1098" s="14">
        <f>IF(AN1098=21,L1098,0)</f>
        <v>0</v>
      </c>
      <c r="AN1098" s="14">
        <v>21</v>
      </c>
      <c r="AO1098" s="92">
        <f>H1098*0</f>
        <v>0</v>
      </c>
      <c r="AP1098" s="92">
        <f>H1098*(1-0)</f>
        <v>0</v>
      </c>
      <c r="AQ1098" s="55" t="s">
        <v>1287</v>
      </c>
      <c r="AV1098" s="14">
        <f>AW1098+AX1098</f>
        <v>0</v>
      </c>
      <c r="AW1098" s="14">
        <f>G1098*AO1098</f>
        <v>0</v>
      </c>
      <c r="AX1098" s="14">
        <f>G1098*AP1098</f>
        <v>0</v>
      </c>
      <c r="AY1098" s="55" t="s">
        <v>201</v>
      </c>
      <c r="AZ1098" s="55" t="s">
        <v>1073</v>
      </c>
      <c r="BA1098" s="15" t="s">
        <v>1982</v>
      </c>
      <c r="BC1098" s="14">
        <f>AW1098+AX1098</f>
        <v>0</v>
      </c>
      <c r="BD1098" s="14">
        <f>H1098/(100-BE1098)*100</f>
        <v>0</v>
      </c>
      <c r="BE1098" s="14">
        <v>0</v>
      </c>
      <c r="BF1098" s="14">
        <f>O1098</f>
        <v>0</v>
      </c>
      <c r="BH1098" s="14">
        <f>G1098*AO1098</f>
        <v>0</v>
      </c>
      <c r="BI1098" s="14">
        <f>G1098*AP1098</f>
        <v>0</v>
      </c>
      <c r="BJ1098" s="14">
        <f>G1098*H1098</f>
        <v>0</v>
      </c>
      <c r="BK1098" s="14"/>
      <c r="BL1098" s="14"/>
      <c r="BW1098" s="14" t="str">
        <f>I1098</f>
        <v>21</v>
      </c>
    </row>
    <row r="1099" spans="1:75" ht="15" customHeight="1">
      <c r="A1099" s="32"/>
      <c r="D1099" s="3" t="s">
        <v>658</v>
      </c>
      <c r="E1099" s="28" t="s">
        <v>1683</v>
      </c>
      <c r="G1099" s="27">
        <v>38.400000000000006</v>
      </c>
      <c r="P1099" s="33"/>
    </row>
    <row r="1100" spans="1:75" ht="15" customHeight="1">
      <c r="A1100" s="65" t="s">
        <v>1683</v>
      </c>
      <c r="B1100" s="26" t="s">
        <v>557</v>
      </c>
      <c r="C1100" s="26" t="s">
        <v>1205</v>
      </c>
      <c r="D1100" s="649" t="s">
        <v>1561</v>
      </c>
      <c r="E1100" s="650"/>
      <c r="F1100" s="74" t="s">
        <v>2262</v>
      </c>
      <c r="G1100" s="74" t="s">
        <v>2262</v>
      </c>
      <c r="H1100" s="74" t="s">
        <v>2262</v>
      </c>
      <c r="I1100" s="74" t="s">
        <v>2262</v>
      </c>
      <c r="J1100" s="2">
        <f>SUM(J1101:J1101)</f>
        <v>0</v>
      </c>
      <c r="K1100" s="2">
        <f>SUM(K1101:K1101)</f>
        <v>0</v>
      </c>
      <c r="L1100" s="2">
        <f>SUM(L1101:L1101)</f>
        <v>0</v>
      </c>
      <c r="M1100" s="2">
        <f>SUM(M1101:M1101)</f>
        <v>0</v>
      </c>
      <c r="N1100" s="15" t="s">
        <v>1683</v>
      </c>
      <c r="O1100" s="2">
        <f>SUM(O1101:O1101)</f>
        <v>0</v>
      </c>
      <c r="P1100" s="47" t="s">
        <v>1683</v>
      </c>
      <c r="AI1100" s="15" t="s">
        <v>557</v>
      </c>
      <c r="AS1100" s="2">
        <f>SUM(AJ1101:AJ1101)</f>
        <v>0</v>
      </c>
      <c r="AT1100" s="2">
        <f>SUM(AK1101:AK1101)</f>
        <v>0</v>
      </c>
      <c r="AU1100" s="2">
        <f>SUM(AL1101:AL1101)</f>
        <v>0</v>
      </c>
    </row>
    <row r="1101" spans="1:75" ht="13.5" customHeight="1">
      <c r="A1101" s="21" t="s">
        <v>1451</v>
      </c>
      <c r="B1101" s="37" t="s">
        <v>557</v>
      </c>
      <c r="C1101" s="37" t="s">
        <v>2300</v>
      </c>
      <c r="D1101" s="578" t="s">
        <v>1210</v>
      </c>
      <c r="E1101" s="579"/>
      <c r="F1101" s="37" t="s">
        <v>1130</v>
      </c>
      <c r="G1101" s="14">
        <v>2.4300000000000002</v>
      </c>
      <c r="H1101" s="569"/>
      <c r="I1101" s="55" t="s">
        <v>1720</v>
      </c>
      <c r="J1101" s="14">
        <f>G1101*AO1101</f>
        <v>0</v>
      </c>
      <c r="K1101" s="14">
        <f>G1101*AP1101</f>
        <v>0</v>
      </c>
      <c r="L1101" s="14">
        <f>G1101*H1101</f>
        <v>0</v>
      </c>
      <c r="M1101" s="14">
        <f>L1101*(1+BW1101/100)</f>
        <v>0</v>
      </c>
      <c r="N1101" s="14">
        <v>0</v>
      </c>
      <c r="O1101" s="14">
        <f>G1101*N1101</f>
        <v>0</v>
      </c>
      <c r="P1101" s="72" t="s">
        <v>1664</v>
      </c>
      <c r="Z1101" s="14">
        <f>IF(AQ1101="5",BJ1101,0)</f>
        <v>0</v>
      </c>
      <c r="AB1101" s="14">
        <f>IF(AQ1101="1",BH1101,0)</f>
        <v>0</v>
      </c>
      <c r="AC1101" s="14">
        <f>IF(AQ1101="1",BI1101,0)</f>
        <v>0</v>
      </c>
      <c r="AD1101" s="14">
        <f>IF(AQ1101="7",BH1101,0)</f>
        <v>0</v>
      </c>
      <c r="AE1101" s="14">
        <f>IF(AQ1101="7",BI1101,0)</f>
        <v>0</v>
      </c>
      <c r="AF1101" s="14">
        <f>IF(AQ1101="2",BH1101,0)</f>
        <v>0</v>
      </c>
      <c r="AG1101" s="14">
        <f>IF(AQ1101="2",BI1101,0)</f>
        <v>0</v>
      </c>
      <c r="AH1101" s="14">
        <f>IF(AQ1101="0",BJ1101,0)</f>
        <v>0</v>
      </c>
      <c r="AI1101" s="15" t="s">
        <v>557</v>
      </c>
      <c r="AJ1101" s="14">
        <f>IF(AN1101=0,L1101,0)</f>
        <v>0</v>
      </c>
      <c r="AK1101" s="14">
        <f>IF(AN1101=15,L1101,0)</f>
        <v>0</v>
      </c>
      <c r="AL1101" s="14">
        <f>IF(AN1101=21,L1101,0)</f>
        <v>0</v>
      </c>
      <c r="AN1101" s="14">
        <v>21</v>
      </c>
      <c r="AO1101" s="92">
        <f>H1101*0</f>
        <v>0</v>
      </c>
      <c r="AP1101" s="92">
        <f>H1101*(1-0)</f>
        <v>0</v>
      </c>
      <c r="AQ1101" s="55" t="s">
        <v>1287</v>
      </c>
      <c r="AV1101" s="14">
        <f>AW1101+AX1101</f>
        <v>0</v>
      </c>
      <c r="AW1101" s="14">
        <f>G1101*AO1101</f>
        <v>0</v>
      </c>
      <c r="AX1101" s="14">
        <f>G1101*AP1101</f>
        <v>0</v>
      </c>
      <c r="AY1101" s="55" t="s">
        <v>1851</v>
      </c>
      <c r="AZ1101" s="55" t="s">
        <v>1073</v>
      </c>
      <c r="BA1101" s="15" t="s">
        <v>1982</v>
      </c>
      <c r="BC1101" s="14">
        <f>AW1101+AX1101</f>
        <v>0</v>
      </c>
      <c r="BD1101" s="14">
        <f>H1101/(100-BE1101)*100</f>
        <v>0</v>
      </c>
      <c r="BE1101" s="14">
        <v>0</v>
      </c>
      <c r="BF1101" s="14">
        <f>O1101</f>
        <v>0</v>
      </c>
      <c r="BH1101" s="14">
        <f>G1101*AO1101</f>
        <v>0</v>
      </c>
      <c r="BI1101" s="14">
        <f>G1101*AP1101</f>
        <v>0</v>
      </c>
      <c r="BJ1101" s="14">
        <f>G1101*H1101</f>
        <v>0</v>
      </c>
      <c r="BK1101" s="14"/>
      <c r="BL1101" s="14"/>
      <c r="BW1101" s="14" t="str">
        <f>I1101</f>
        <v>21</v>
      </c>
    </row>
    <row r="1102" spans="1:75" ht="15" customHeight="1">
      <c r="A1102" s="32"/>
      <c r="D1102" s="3" t="s">
        <v>1863</v>
      </c>
      <c r="E1102" s="28" t="s">
        <v>1683</v>
      </c>
      <c r="G1102" s="27">
        <v>2.4300000000000002</v>
      </c>
      <c r="P1102" s="33"/>
    </row>
    <row r="1103" spans="1:75" ht="15" customHeight="1">
      <c r="A1103" s="65" t="s">
        <v>1683</v>
      </c>
      <c r="B1103" s="26" t="s">
        <v>557</v>
      </c>
      <c r="C1103" s="26" t="s">
        <v>479</v>
      </c>
      <c r="D1103" s="649" t="s">
        <v>322</v>
      </c>
      <c r="E1103" s="650"/>
      <c r="F1103" s="74" t="s">
        <v>2262</v>
      </c>
      <c r="G1103" s="74" t="s">
        <v>2262</v>
      </c>
      <c r="H1103" s="74" t="s">
        <v>2262</v>
      </c>
      <c r="I1103" s="74" t="s">
        <v>2262</v>
      </c>
      <c r="J1103" s="2">
        <f>SUM(J1104:J1104)</f>
        <v>0</v>
      </c>
      <c r="K1103" s="2">
        <f>SUM(K1104:K1104)</f>
        <v>0</v>
      </c>
      <c r="L1103" s="2">
        <f>SUM(L1104:L1104)</f>
        <v>0</v>
      </c>
      <c r="M1103" s="2">
        <f>SUM(M1104:M1104)</f>
        <v>0</v>
      </c>
      <c r="N1103" s="15" t="s">
        <v>1683</v>
      </c>
      <c r="O1103" s="2">
        <f>SUM(O1104:O1104)</f>
        <v>0</v>
      </c>
      <c r="P1103" s="47" t="s">
        <v>1683</v>
      </c>
      <c r="AI1103" s="15" t="s">
        <v>557</v>
      </c>
      <c r="AS1103" s="2">
        <f>SUM(AJ1104:AJ1104)</f>
        <v>0</v>
      </c>
      <c r="AT1103" s="2">
        <f>SUM(AK1104:AK1104)</f>
        <v>0</v>
      </c>
      <c r="AU1103" s="2">
        <f>SUM(AL1104:AL1104)</f>
        <v>0</v>
      </c>
    </row>
    <row r="1104" spans="1:75" ht="13.5" customHeight="1">
      <c r="A1104" s="21" t="s">
        <v>64</v>
      </c>
      <c r="B1104" s="37" t="s">
        <v>557</v>
      </c>
      <c r="C1104" s="37" t="s">
        <v>1865</v>
      </c>
      <c r="D1104" s="578" t="s">
        <v>2635</v>
      </c>
      <c r="E1104" s="579"/>
      <c r="F1104" s="37" t="s">
        <v>1130</v>
      </c>
      <c r="G1104" s="14">
        <v>12.64</v>
      </c>
      <c r="H1104" s="569"/>
      <c r="I1104" s="55" t="s">
        <v>1720</v>
      </c>
      <c r="J1104" s="14">
        <f>G1104*AO1104</f>
        <v>0</v>
      </c>
      <c r="K1104" s="14">
        <f>G1104*AP1104</f>
        <v>0</v>
      </c>
      <c r="L1104" s="14">
        <f>G1104*H1104</f>
        <v>0</v>
      </c>
      <c r="M1104" s="14">
        <f>L1104*(1+BW1104/100)</f>
        <v>0</v>
      </c>
      <c r="N1104" s="14">
        <v>0</v>
      </c>
      <c r="O1104" s="14">
        <f>G1104*N1104</f>
        <v>0</v>
      </c>
      <c r="P1104" s="72" t="s">
        <v>1664</v>
      </c>
      <c r="Z1104" s="14">
        <f>IF(AQ1104="5",BJ1104,0)</f>
        <v>0</v>
      </c>
      <c r="AB1104" s="14">
        <f>IF(AQ1104="1",BH1104,0)</f>
        <v>0</v>
      </c>
      <c r="AC1104" s="14">
        <f>IF(AQ1104="1",BI1104,0)</f>
        <v>0</v>
      </c>
      <c r="AD1104" s="14">
        <f>IF(AQ1104="7",BH1104,0)</f>
        <v>0</v>
      </c>
      <c r="AE1104" s="14">
        <f>IF(AQ1104="7",BI1104,0)</f>
        <v>0</v>
      </c>
      <c r="AF1104" s="14">
        <f>IF(AQ1104="2",BH1104,0)</f>
        <v>0</v>
      </c>
      <c r="AG1104" s="14">
        <f>IF(AQ1104="2",BI1104,0)</f>
        <v>0</v>
      </c>
      <c r="AH1104" s="14">
        <f>IF(AQ1104="0",BJ1104,0)</f>
        <v>0</v>
      </c>
      <c r="AI1104" s="15" t="s">
        <v>557</v>
      </c>
      <c r="AJ1104" s="14">
        <f>IF(AN1104=0,L1104,0)</f>
        <v>0</v>
      </c>
      <c r="AK1104" s="14">
        <f>IF(AN1104=15,L1104,0)</f>
        <v>0</v>
      </c>
      <c r="AL1104" s="14">
        <f>IF(AN1104=21,L1104,0)</f>
        <v>0</v>
      </c>
      <c r="AN1104" s="14">
        <v>21</v>
      </c>
      <c r="AO1104" s="92">
        <f>H1104*0</f>
        <v>0</v>
      </c>
      <c r="AP1104" s="92">
        <f>H1104*(1-0)</f>
        <v>0</v>
      </c>
      <c r="AQ1104" s="55" t="s">
        <v>1287</v>
      </c>
      <c r="AV1104" s="14">
        <f>AW1104+AX1104</f>
        <v>0</v>
      </c>
      <c r="AW1104" s="14">
        <f>G1104*AO1104</f>
        <v>0</v>
      </c>
      <c r="AX1104" s="14">
        <f>G1104*AP1104</f>
        <v>0</v>
      </c>
      <c r="AY1104" s="55" t="s">
        <v>566</v>
      </c>
      <c r="AZ1104" s="55" t="s">
        <v>1073</v>
      </c>
      <c r="BA1104" s="15" t="s">
        <v>1982</v>
      </c>
      <c r="BC1104" s="14">
        <f>AW1104+AX1104</f>
        <v>0</v>
      </c>
      <c r="BD1104" s="14">
        <f>H1104/(100-BE1104)*100</f>
        <v>0</v>
      </c>
      <c r="BE1104" s="14">
        <v>0</v>
      </c>
      <c r="BF1104" s="14">
        <f>O1104</f>
        <v>0</v>
      </c>
      <c r="BH1104" s="14">
        <f>G1104*AO1104</f>
        <v>0</v>
      </c>
      <c r="BI1104" s="14">
        <f>G1104*AP1104</f>
        <v>0</v>
      </c>
      <c r="BJ1104" s="14">
        <f>G1104*H1104</f>
        <v>0</v>
      </c>
      <c r="BK1104" s="14"/>
      <c r="BL1104" s="14"/>
      <c r="BW1104" s="14" t="str">
        <f>I1104</f>
        <v>21</v>
      </c>
    </row>
    <row r="1105" spans="1:75" ht="15" customHeight="1">
      <c r="A1105" s="32"/>
      <c r="D1105" s="3" t="s">
        <v>138</v>
      </c>
      <c r="E1105" s="28" t="s">
        <v>1683</v>
      </c>
      <c r="G1105" s="27">
        <v>12.64</v>
      </c>
      <c r="P1105" s="33"/>
    </row>
    <row r="1106" spans="1:75" ht="15" customHeight="1">
      <c r="A1106" s="65" t="s">
        <v>1683</v>
      </c>
      <c r="B1106" s="26" t="s">
        <v>557</v>
      </c>
      <c r="C1106" s="26" t="s">
        <v>1613</v>
      </c>
      <c r="D1106" s="649" t="s">
        <v>1147</v>
      </c>
      <c r="E1106" s="650"/>
      <c r="F1106" s="74" t="s">
        <v>2262</v>
      </c>
      <c r="G1106" s="74" t="s">
        <v>2262</v>
      </c>
      <c r="H1106" s="74" t="s">
        <v>2262</v>
      </c>
      <c r="I1106" s="74" t="s">
        <v>2262</v>
      </c>
      <c r="J1106" s="2">
        <f>SUM(J1107:J1107)</f>
        <v>0</v>
      </c>
      <c r="K1106" s="2">
        <f>SUM(K1107:K1107)</f>
        <v>0</v>
      </c>
      <c r="L1106" s="2">
        <f>SUM(L1107:L1107)</f>
        <v>0</v>
      </c>
      <c r="M1106" s="2">
        <f>SUM(M1107:M1107)</f>
        <v>0</v>
      </c>
      <c r="N1106" s="15" t="s">
        <v>1683</v>
      </c>
      <c r="O1106" s="2">
        <f>SUM(O1107:O1107)</f>
        <v>0</v>
      </c>
      <c r="P1106" s="47" t="s">
        <v>1683</v>
      </c>
      <c r="AI1106" s="15" t="s">
        <v>557</v>
      </c>
      <c r="AS1106" s="2">
        <f>SUM(AJ1107:AJ1107)</f>
        <v>0</v>
      </c>
      <c r="AT1106" s="2">
        <f>SUM(AK1107:AK1107)</f>
        <v>0</v>
      </c>
      <c r="AU1106" s="2">
        <f>SUM(AL1107:AL1107)</f>
        <v>0</v>
      </c>
    </row>
    <row r="1107" spans="1:75" ht="13.5" customHeight="1">
      <c r="A1107" s="21" t="s">
        <v>2703</v>
      </c>
      <c r="B1107" s="37" t="s">
        <v>557</v>
      </c>
      <c r="C1107" s="37" t="s">
        <v>2072</v>
      </c>
      <c r="D1107" s="578" t="s">
        <v>1945</v>
      </c>
      <c r="E1107" s="579"/>
      <c r="F1107" s="37" t="s">
        <v>1130</v>
      </c>
      <c r="G1107" s="14">
        <v>0.76</v>
      </c>
      <c r="H1107" s="569"/>
      <c r="I1107" s="55" t="s">
        <v>1720</v>
      </c>
      <c r="J1107" s="14">
        <f>G1107*AO1107</f>
        <v>0</v>
      </c>
      <c r="K1107" s="14">
        <f>G1107*AP1107</f>
        <v>0</v>
      </c>
      <c r="L1107" s="14">
        <f>G1107*H1107</f>
        <v>0</v>
      </c>
      <c r="M1107" s="14">
        <f>L1107*(1+BW1107/100)</f>
        <v>0</v>
      </c>
      <c r="N1107" s="14">
        <v>0</v>
      </c>
      <c r="O1107" s="14">
        <f>G1107*N1107</f>
        <v>0</v>
      </c>
      <c r="P1107" s="72" t="s">
        <v>1664</v>
      </c>
      <c r="Z1107" s="14">
        <f>IF(AQ1107="5",BJ1107,0)</f>
        <v>0</v>
      </c>
      <c r="AB1107" s="14">
        <f>IF(AQ1107="1",BH1107,0)</f>
        <v>0</v>
      </c>
      <c r="AC1107" s="14">
        <f>IF(AQ1107="1",BI1107,0)</f>
        <v>0</v>
      </c>
      <c r="AD1107" s="14">
        <f>IF(AQ1107="7",BH1107,0)</f>
        <v>0</v>
      </c>
      <c r="AE1107" s="14">
        <f>IF(AQ1107="7",BI1107,0)</f>
        <v>0</v>
      </c>
      <c r="AF1107" s="14">
        <f>IF(AQ1107="2",BH1107,0)</f>
        <v>0</v>
      </c>
      <c r="AG1107" s="14">
        <f>IF(AQ1107="2",BI1107,0)</f>
        <v>0</v>
      </c>
      <c r="AH1107" s="14">
        <f>IF(AQ1107="0",BJ1107,0)</f>
        <v>0</v>
      </c>
      <c r="AI1107" s="15" t="s">
        <v>557</v>
      </c>
      <c r="AJ1107" s="14">
        <f>IF(AN1107=0,L1107,0)</f>
        <v>0</v>
      </c>
      <c r="AK1107" s="14">
        <f>IF(AN1107=15,L1107,0)</f>
        <v>0</v>
      </c>
      <c r="AL1107" s="14">
        <f>IF(AN1107=21,L1107,0)</f>
        <v>0</v>
      </c>
      <c r="AN1107" s="14">
        <v>21</v>
      </c>
      <c r="AO1107" s="92">
        <f>H1107*0</f>
        <v>0</v>
      </c>
      <c r="AP1107" s="92">
        <f>H1107*(1-0)</f>
        <v>0</v>
      </c>
      <c r="AQ1107" s="55" t="s">
        <v>1287</v>
      </c>
      <c r="AV1107" s="14">
        <f>AW1107+AX1107</f>
        <v>0</v>
      </c>
      <c r="AW1107" s="14">
        <f>G1107*AO1107</f>
        <v>0</v>
      </c>
      <c r="AX1107" s="14">
        <f>G1107*AP1107</f>
        <v>0</v>
      </c>
      <c r="AY1107" s="55" t="s">
        <v>1107</v>
      </c>
      <c r="AZ1107" s="55" t="s">
        <v>1073</v>
      </c>
      <c r="BA1107" s="15" t="s">
        <v>1982</v>
      </c>
      <c r="BC1107" s="14">
        <f>AW1107+AX1107</f>
        <v>0</v>
      </c>
      <c r="BD1107" s="14">
        <f>H1107/(100-BE1107)*100</f>
        <v>0</v>
      </c>
      <c r="BE1107" s="14">
        <v>0</v>
      </c>
      <c r="BF1107" s="14">
        <f>O1107</f>
        <v>0</v>
      </c>
      <c r="BH1107" s="14">
        <f>G1107*AO1107</f>
        <v>0</v>
      </c>
      <c r="BI1107" s="14">
        <f>G1107*AP1107</f>
        <v>0</v>
      </c>
      <c r="BJ1107" s="14">
        <f>G1107*H1107</f>
        <v>0</v>
      </c>
      <c r="BK1107" s="14"/>
      <c r="BL1107" s="14"/>
      <c r="BW1107" s="14" t="str">
        <f>I1107</f>
        <v>21</v>
      </c>
    </row>
    <row r="1108" spans="1:75" ht="15" customHeight="1">
      <c r="A1108" s="32"/>
      <c r="D1108" s="3" t="s">
        <v>342</v>
      </c>
      <c r="E1108" s="28" t="s">
        <v>1683</v>
      </c>
      <c r="G1108" s="27">
        <v>0.76</v>
      </c>
      <c r="P1108" s="33"/>
    </row>
    <row r="1109" spans="1:75" ht="15" customHeight="1">
      <c r="A1109" s="70" t="s">
        <v>1683</v>
      </c>
      <c r="B1109" s="40" t="s">
        <v>991</v>
      </c>
      <c r="C1109" s="40" t="s">
        <v>1683</v>
      </c>
      <c r="D1109" s="647" t="s">
        <v>162</v>
      </c>
      <c r="E1109" s="648"/>
      <c r="F1109" s="22" t="s">
        <v>2262</v>
      </c>
      <c r="G1109" s="22" t="s">
        <v>2262</v>
      </c>
      <c r="H1109" s="22" t="s">
        <v>2262</v>
      </c>
      <c r="I1109" s="22" t="s">
        <v>2262</v>
      </c>
      <c r="J1109" s="89">
        <f>J1110</f>
        <v>0</v>
      </c>
      <c r="K1109" s="89">
        <f>K1110</f>
        <v>0</v>
      </c>
      <c r="L1109" s="89">
        <f>L1110</f>
        <v>0</v>
      </c>
      <c r="M1109" s="89">
        <f>M1110</f>
        <v>0</v>
      </c>
      <c r="N1109" s="61" t="s">
        <v>1683</v>
      </c>
      <c r="O1109" s="89">
        <f>O1110</f>
        <v>0</v>
      </c>
      <c r="P1109" s="1" t="s">
        <v>1683</v>
      </c>
    </row>
    <row r="1110" spans="1:75" ht="15" customHeight="1">
      <c r="A1110" s="65" t="s">
        <v>1683</v>
      </c>
      <c r="B1110" s="26" t="s">
        <v>991</v>
      </c>
      <c r="C1110" s="26" t="s">
        <v>2159</v>
      </c>
      <c r="D1110" s="649" t="s">
        <v>1055</v>
      </c>
      <c r="E1110" s="650"/>
      <c r="F1110" s="74" t="s">
        <v>2262</v>
      </c>
      <c r="G1110" s="74" t="s">
        <v>2262</v>
      </c>
      <c r="H1110" s="74" t="s">
        <v>2262</v>
      </c>
      <c r="I1110" s="74" t="s">
        <v>2262</v>
      </c>
      <c r="J1110" s="2">
        <f>SUM(J1111:J1111)</f>
        <v>0</v>
      </c>
      <c r="K1110" s="2">
        <f>SUM(K1111:K1111)</f>
        <v>0</v>
      </c>
      <c r="L1110" s="2">
        <f>SUM(L1111:L1111)</f>
        <v>0</v>
      </c>
      <c r="M1110" s="2">
        <f>SUM(M1111:M1111)</f>
        <v>0</v>
      </c>
      <c r="N1110" s="15" t="s">
        <v>1683</v>
      </c>
      <c r="O1110" s="2">
        <f>SUM(O1111:O1111)</f>
        <v>0</v>
      </c>
      <c r="P1110" s="47" t="s">
        <v>1683</v>
      </c>
      <c r="AI1110" s="15" t="s">
        <v>991</v>
      </c>
      <c r="AS1110" s="2">
        <f>SUM(AJ1111:AJ1111)</f>
        <v>0</v>
      </c>
      <c r="AT1110" s="2">
        <f>SUM(AK1111:AK1111)</f>
        <v>0</v>
      </c>
      <c r="AU1110" s="2">
        <f>SUM(AL1111:AL1111)</f>
        <v>0</v>
      </c>
    </row>
    <row r="1111" spans="1:75" ht="13.5" customHeight="1">
      <c r="A1111" s="59" t="s">
        <v>432</v>
      </c>
      <c r="B1111" s="30" t="s">
        <v>991</v>
      </c>
      <c r="C1111" s="30" t="s">
        <v>1375</v>
      </c>
      <c r="D1111" s="663" t="s">
        <v>1088</v>
      </c>
      <c r="E1111" s="664"/>
      <c r="F1111" s="30" t="s">
        <v>1876</v>
      </c>
      <c r="G1111" s="92">
        <v>1</v>
      </c>
      <c r="H1111" s="92">
        <f>'REKAPITULACE VZT'!C45</f>
        <v>0</v>
      </c>
      <c r="I1111" s="42" t="s">
        <v>1720</v>
      </c>
      <c r="J1111" s="92">
        <f>G1111*AO1111</f>
        <v>0</v>
      </c>
      <c r="K1111" s="92">
        <f>G1111*AP1111</f>
        <v>0</v>
      </c>
      <c r="L1111" s="92">
        <f>G1111*H1111</f>
        <v>0</v>
      </c>
      <c r="M1111" s="92">
        <f>L1111*(1+BW1111/100)</f>
        <v>0</v>
      </c>
      <c r="N1111" s="92">
        <v>0</v>
      </c>
      <c r="O1111" s="92">
        <f>G1111*N1111</f>
        <v>0</v>
      </c>
      <c r="P1111" s="48" t="s">
        <v>1683</v>
      </c>
      <c r="Z1111" s="14">
        <f>IF(AQ1111="5",BJ1111,0)</f>
        <v>0</v>
      </c>
      <c r="AB1111" s="14">
        <f>IF(AQ1111="1",BH1111,0)</f>
        <v>0</v>
      </c>
      <c r="AC1111" s="14">
        <f>IF(AQ1111="1",BI1111,0)</f>
        <v>0</v>
      </c>
      <c r="AD1111" s="14">
        <f>IF(AQ1111="7",BH1111,0)</f>
        <v>0</v>
      </c>
      <c r="AE1111" s="14">
        <f>IF(AQ1111="7",BI1111,0)</f>
        <v>0</v>
      </c>
      <c r="AF1111" s="14">
        <f>IF(AQ1111="2",BH1111,0)</f>
        <v>0</v>
      </c>
      <c r="AG1111" s="14">
        <f>IF(AQ1111="2",BI1111,0)</f>
        <v>0</v>
      </c>
      <c r="AH1111" s="14">
        <f>IF(AQ1111="0",BJ1111,0)</f>
        <v>0</v>
      </c>
      <c r="AI1111" s="15" t="s">
        <v>991</v>
      </c>
      <c r="AJ1111" s="14">
        <f>IF(AN1111=0,L1111,0)</f>
        <v>0</v>
      </c>
      <c r="AK1111" s="14">
        <f>IF(AN1111=15,L1111,0)</f>
        <v>0</v>
      </c>
      <c r="AL1111" s="14">
        <f>IF(AN1111=21,L1111,0)</f>
        <v>0</v>
      </c>
      <c r="AN1111" s="14">
        <v>21</v>
      </c>
      <c r="AO1111" s="92">
        <f>'REKAPITULACE VZT'!B42</f>
        <v>0</v>
      </c>
      <c r="AP1111" s="92">
        <f>'REKAPITULACE VZT'!C43</f>
        <v>0</v>
      </c>
      <c r="AQ1111" s="55" t="s">
        <v>1676</v>
      </c>
      <c r="AV1111" s="14">
        <f>AW1111+AX1111</f>
        <v>0</v>
      </c>
      <c r="AW1111" s="14">
        <f>G1111*AO1111</f>
        <v>0</v>
      </c>
      <c r="AX1111" s="14">
        <f>G1111*AP1111</f>
        <v>0</v>
      </c>
      <c r="AY1111" s="55" t="s">
        <v>1551</v>
      </c>
      <c r="AZ1111" s="55" t="s">
        <v>1326</v>
      </c>
      <c r="BA1111" s="15" t="s">
        <v>404</v>
      </c>
      <c r="BC1111" s="14">
        <f>AW1111+AX1111</f>
        <v>0</v>
      </c>
      <c r="BD1111" s="14">
        <f>H1111/(100-BE1111)*100</f>
        <v>0</v>
      </c>
      <c r="BE1111" s="14">
        <v>0</v>
      </c>
      <c r="BF1111" s="14">
        <f>O1111</f>
        <v>0</v>
      </c>
      <c r="BH1111" s="14">
        <f>G1111*AO1111</f>
        <v>0</v>
      </c>
      <c r="BI1111" s="14">
        <f>G1111*AP1111</f>
        <v>0</v>
      </c>
      <c r="BJ1111" s="14">
        <f>G1111*H1111</f>
        <v>0</v>
      </c>
      <c r="BK1111" s="14"/>
      <c r="BL1111" s="14"/>
      <c r="BW1111" s="14" t="str">
        <f>I1111</f>
        <v>21</v>
      </c>
    </row>
    <row r="1112" spans="1:75" ht="15" customHeight="1">
      <c r="A1112" s="73"/>
      <c r="B1112" s="19"/>
      <c r="C1112" s="19"/>
      <c r="D1112" s="100" t="s">
        <v>2422</v>
      </c>
      <c r="E1112" s="41" t="s">
        <v>1192</v>
      </c>
      <c r="F1112" s="19"/>
      <c r="G1112" s="67">
        <v>1</v>
      </c>
      <c r="H1112" s="19"/>
      <c r="I1112" s="19"/>
      <c r="J1112" s="19"/>
      <c r="K1112" s="19"/>
      <c r="L1112" s="19"/>
      <c r="M1112" s="19"/>
      <c r="N1112" s="19"/>
      <c r="O1112" s="19"/>
      <c r="P1112" s="80"/>
    </row>
    <row r="1113" spans="1:75" ht="15" customHeight="1">
      <c r="A1113" s="70" t="s">
        <v>1683</v>
      </c>
      <c r="B1113" s="40" t="s">
        <v>12</v>
      </c>
      <c r="C1113" s="40" t="s">
        <v>1683</v>
      </c>
      <c r="D1113" s="647" t="s">
        <v>2344</v>
      </c>
      <c r="E1113" s="648"/>
      <c r="F1113" s="22" t="s">
        <v>2262</v>
      </c>
      <c r="G1113" s="22" t="s">
        <v>2262</v>
      </c>
      <c r="H1113" s="22" t="s">
        <v>2262</v>
      </c>
      <c r="I1113" s="22" t="s">
        <v>2262</v>
      </c>
      <c r="J1113" s="89">
        <f>J1114</f>
        <v>0</v>
      </c>
      <c r="K1113" s="89">
        <f>K1114</f>
        <v>0</v>
      </c>
      <c r="L1113" s="89">
        <f>L1114</f>
        <v>0</v>
      </c>
      <c r="M1113" s="89">
        <f>M1114</f>
        <v>0</v>
      </c>
      <c r="N1113" s="61" t="s">
        <v>1683</v>
      </c>
      <c r="O1113" s="89">
        <f>O1114</f>
        <v>0</v>
      </c>
      <c r="P1113" s="1" t="s">
        <v>1683</v>
      </c>
    </row>
    <row r="1114" spans="1:75" ht="15" customHeight="1">
      <c r="A1114" s="65" t="s">
        <v>1683</v>
      </c>
      <c r="B1114" s="26" t="s">
        <v>12</v>
      </c>
      <c r="C1114" s="26" t="s">
        <v>700</v>
      </c>
      <c r="D1114" s="649" t="s">
        <v>2694</v>
      </c>
      <c r="E1114" s="650"/>
      <c r="F1114" s="74" t="s">
        <v>2262</v>
      </c>
      <c r="G1114" s="74" t="s">
        <v>2262</v>
      </c>
      <c r="H1114" s="74" t="s">
        <v>2262</v>
      </c>
      <c r="I1114" s="74" t="s">
        <v>2262</v>
      </c>
      <c r="J1114" s="2">
        <f>SUM(J1115:J1115)</f>
        <v>0</v>
      </c>
      <c r="K1114" s="2">
        <f>SUM(K1115:K1115)</f>
        <v>0</v>
      </c>
      <c r="L1114" s="2">
        <f>SUM(L1115:L1115)</f>
        <v>0</v>
      </c>
      <c r="M1114" s="2">
        <f>SUM(M1115:M1115)</f>
        <v>0</v>
      </c>
      <c r="N1114" s="15" t="s">
        <v>1683</v>
      </c>
      <c r="O1114" s="2">
        <f>SUM(O1115:O1115)</f>
        <v>0</v>
      </c>
      <c r="P1114" s="47" t="s">
        <v>1683</v>
      </c>
      <c r="AI1114" s="15" t="s">
        <v>12</v>
      </c>
      <c r="AS1114" s="2">
        <f>SUM(AJ1115:AJ1115)</f>
        <v>0</v>
      </c>
      <c r="AT1114" s="2">
        <f>SUM(AK1115:AK1115)</f>
        <v>0</v>
      </c>
      <c r="AU1114" s="2">
        <f>SUM(AL1115:AL1115)</f>
        <v>0</v>
      </c>
    </row>
    <row r="1115" spans="1:75" ht="13.5" customHeight="1">
      <c r="A1115" s="59" t="s">
        <v>1440</v>
      </c>
      <c r="B1115" s="30" t="s">
        <v>12</v>
      </c>
      <c r="C1115" s="30" t="s">
        <v>120</v>
      </c>
      <c r="D1115" s="663" t="s">
        <v>2425</v>
      </c>
      <c r="E1115" s="664"/>
      <c r="F1115" s="30" t="s">
        <v>2669</v>
      </c>
      <c r="G1115" s="92">
        <v>1</v>
      </c>
      <c r="H1115" s="92">
        <f>TOP!J106</f>
        <v>0</v>
      </c>
      <c r="I1115" s="42" t="s">
        <v>1720</v>
      </c>
      <c r="J1115" s="92">
        <f>G1115*AO1115</f>
        <v>0</v>
      </c>
      <c r="K1115" s="92">
        <f>G1115*AP1115</f>
        <v>0</v>
      </c>
      <c r="L1115" s="92">
        <f>G1115*H1115</f>
        <v>0</v>
      </c>
      <c r="M1115" s="92">
        <f>L1115*(1+BW1115/100)</f>
        <v>0</v>
      </c>
      <c r="N1115" s="92">
        <v>0</v>
      </c>
      <c r="O1115" s="92">
        <f>G1115*N1115</f>
        <v>0</v>
      </c>
      <c r="P1115" s="48" t="s">
        <v>1683</v>
      </c>
      <c r="Z1115" s="14">
        <f>IF(AQ1115="5",BJ1115,0)</f>
        <v>0</v>
      </c>
      <c r="AB1115" s="14">
        <f>IF(AQ1115="1",BH1115,0)</f>
        <v>0</v>
      </c>
      <c r="AC1115" s="14">
        <f>IF(AQ1115="1",BI1115,0)</f>
        <v>0</v>
      </c>
      <c r="AD1115" s="14">
        <f>IF(AQ1115="7",BH1115,0)</f>
        <v>0</v>
      </c>
      <c r="AE1115" s="14">
        <f>IF(AQ1115="7",BI1115,0)</f>
        <v>0</v>
      </c>
      <c r="AF1115" s="14">
        <f>IF(AQ1115="2",BH1115,0)</f>
        <v>0</v>
      </c>
      <c r="AG1115" s="14">
        <f>IF(AQ1115="2",BI1115,0)</f>
        <v>0</v>
      </c>
      <c r="AH1115" s="14">
        <f>IF(AQ1115="0",BJ1115,0)</f>
        <v>0</v>
      </c>
      <c r="AI1115" s="15" t="s">
        <v>12</v>
      </c>
      <c r="AJ1115" s="14">
        <f>IF(AN1115=0,L1115,0)</f>
        <v>0</v>
      </c>
      <c r="AK1115" s="14">
        <f>IF(AN1115=15,L1115,0)</f>
        <v>0</v>
      </c>
      <c r="AL1115" s="14">
        <f>IF(AN1115=21,L1115,0)</f>
        <v>0</v>
      </c>
      <c r="AN1115" s="14">
        <v>21</v>
      </c>
      <c r="AO1115" s="92">
        <f>TOP!J104</f>
        <v>0</v>
      </c>
      <c r="AP1115" s="92">
        <f>TOP!J105</f>
        <v>0</v>
      </c>
      <c r="AQ1115" s="55" t="s">
        <v>2435</v>
      </c>
      <c r="AV1115" s="14">
        <f>AW1115+AX1115</f>
        <v>0</v>
      </c>
      <c r="AW1115" s="14">
        <f>G1115*AO1115</f>
        <v>0</v>
      </c>
      <c r="AX1115" s="14">
        <f>G1115*AP1115</f>
        <v>0</v>
      </c>
      <c r="AY1115" s="55" t="s">
        <v>1203</v>
      </c>
      <c r="AZ1115" s="55" t="s">
        <v>597</v>
      </c>
      <c r="BA1115" s="15" t="s">
        <v>2115</v>
      </c>
      <c r="BC1115" s="14">
        <f>AW1115+AX1115</f>
        <v>0</v>
      </c>
      <c r="BD1115" s="14">
        <f>H1115/(100-BE1115)*100</f>
        <v>0</v>
      </c>
      <c r="BE1115" s="14">
        <v>0</v>
      </c>
      <c r="BF1115" s="14">
        <f>O1115</f>
        <v>0</v>
      </c>
      <c r="BH1115" s="14">
        <f>G1115*AO1115</f>
        <v>0</v>
      </c>
      <c r="BI1115" s="14">
        <f>G1115*AP1115</f>
        <v>0</v>
      </c>
      <c r="BJ1115" s="14">
        <f>G1115*H1115</f>
        <v>0</v>
      </c>
      <c r="BK1115" s="14"/>
      <c r="BL1115" s="14"/>
      <c r="BW1115" s="14" t="str">
        <f>I1115</f>
        <v>21</v>
      </c>
    </row>
    <row r="1116" spans="1:75" ht="15" customHeight="1">
      <c r="A1116" s="73"/>
      <c r="B1116" s="19"/>
      <c r="C1116" s="19"/>
      <c r="D1116" s="100" t="s">
        <v>2422</v>
      </c>
      <c r="E1116" s="41" t="s">
        <v>1683</v>
      </c>
      <c r="F1116" s="19"/>
      <c r="G1116" s="67">
        <v>1</v>
      </c>
      <c r="H1116" s="19"/>
      <c r="I1116" s="19"/>
      <c r="J1116" s="19"/>
      <c r="K1116" s="19"/>
      <c r="L1116" s="19"/>
      <c r="M1116" s="19"/>
      <c r="N1116" s="19"/>
      <c r="O1116" s="19"/>
      <c r="P1116" s="80"/>
    </row>
    <row r="1117" spans="1:75" ht="15" customHeight="1">
      <c r="A1117" s="70" t="s">
        <v>1683</v>
      </c>
      <c r="B1117" s="40" t="s">
        <v>1529</v>
      </c>
      <c r="C1117" s="40" t="s">
        <v>1683</v>
      </c>
      <c r="D1117" s="647" t="s">
        <v>2605</v>
      </c>
      <c r="E1117" s="648"/>
      <c r="F1117" s="22" t="s">
        <v>2262</v>
      </c>
      <c r="G1117" s="22" t="s">
        <v>2262</v>
      </c>
      <c r="H1117" s="22" t="s">
        <v>2262</v>
      </c>
      <c r="I1117" s="22" t="s">
        <v>2262</v>
      </c>
      <c r="J1117" s="89">
        <f>J1118</f>
        <v>0</v>
      </c>
      <c r="K1117" s="89">
        <f>K1118</f>
        <v>0</v>
      </c>
      <c r="L1117" s="89">
        <f>L1118</f>
        <v>0</v>
      </c>
      <c r="M1117" s="89">
        <f>M1118</f>
        <v>0</v>
      </c>
      <c r="N1117" s="61" t="s">
        <v>1683</v>
      </c>
      <c r="O1117" s="89">
        <f>O1118</f>
        <v>0</v>
      </c>
      <c r="P1117" s="1" t="s">
        <v>1683</v>
      </c>
    </row>
    <row r="1118" spans="1:75" ht="15" customHeight="1">
      <c r="A1118" s="65" t="s">
        <v>1683</v>
      </c>
      <c r="B1118" s="26" t="s">
        <v>1529</v>
      </c>
      <c r="C1118" s="26" t="s">
        <v>1468</v>
      </c>
      <c r="D1118" s="649" t="s">
        <v>2273</v>
      </c>
      <c r="E1118" s="650"/>
      <c r="F1118" s="74" t="s">
        <v>2262</v>
      </c>
      <c r="G1118" s="74" t="s">
        <v>2262</v>
      </c>
      <c r="H1118" s="74" t="s">
        <v>2262</v>
      </c>
      <c r="I1118" s="74" t="s">
        <v>2262</v>
      </c>
      <c r="J1118" s="2">
        <f>SUM(J1119:J1119)</f>
        <v>0</v>
      </c>
      <c r="K1118" s="2">
        <f>SUM(K1119:K1119)</f>
        <v>0</v>
      </c>
      <c r="L1118" s="2">
        <f>SUM(L1119:L1119)</f>
        <v>0</v>
      </c>
      <c r="M1118" s="2">
        <f>SUM(M1119:M1119)</f>
        <v>0</v>
      </c>
      <c r="N1118" s="15" t="s">
        <v>1683</v>
      </c>
      <c r="O1118" s="2">
        <f>SUM(O1119:O1119)</f>
        <v>0</v>
      </c>
      <c r="P1118" s="47" t="s">
        <v>1683</v>
      </c>
      <c r="AI1118" s="15" t="s">
        <v>1529</v>
      </c>
      <c r="AS1118" s="2">
        <f>SUM(AJ1119:AJ1119)</f>
        <v>0</v>
      </c>
      <c r="AT1118" s="2">
        <f>SUM(AK1119:AK1119)</f>
        <v>0</v>
      </c>
      <c r="AU1118" s="2">
        <f>SUM(AL1119:AL1119)</f>
        <v>0</v>
      </c>
    </row>
    <row r="1119" spans="1:75" ht="13.5" customHeight="1">
      <c r="A1119" s="59" t="s">
        <v>2748</v>
      </c>
      <c r="B1119" s="30" t="s">
        <v>1529</v>
      </c>
      <c r="C1119" s="30" t="s">
        <v>809</v>
      </c>
      <c r="D1119" s="663" t="s">
        <v>1944</v>
      </c>
      <c r="E1119" s="664"/>
      <c r="F1119" s="30" t="s">
        <v>856</v>
      </c>
      <c r="G1119" s="92">
        <v>1</v>
      </c>
      <c r="H1119" s="92">
        <f>'Rekapitulace NN'!F43</f>
        <v>0</v>
      </c>
      <c r="I1119" s="42" t="s">
        <v>1720</v>
      </c>
      <c r="J1119" s="92">
        <f>G1119*AO1119</f>
        <v>0</v>
      </c>
      <c r="K1119" s="92">
        <f>G1119*AP1119</f>
        <v>0</v>
      </c>
      <c r="L1119" s="92">
        <f>G1119*H1119</f>
        <v>0</v>
      </c>
      <c r="M1119" s="92">
        <f>L1119*(1+BW1119/100)</f>
        <v>0</v>
      </c>
      <c r="N1119" s="92">
        <v>0</v>
      </c>
      <c r="O1119" s="92">
        <f>G1119*N1119</f>
        <v>0</v>
      </c>
      <c r="P1119" s="48" t="s">
        <v>1683</v>
      </c>
      <c r="Z1119" s="14">
        <f>IF(AQ1119="5",BJ1119,0)</f>
        <v>0</v>
      </c>
      <c r="AB1119" s="14">
        <f>IF(AQ1119="1",BH1119,0)</f>
        <v>0</v>
      </c>
      <c r="AC1119" s="14">
        <f>IF(AQ1119="1",BI1119,0)</f>
        <v>0</v>
      </c>
      <c r="AD1119" s="14">
        <f>IF(AQ1119="7",BH1119,0)</f>
        <v>0</v>
      </c>
      <c r="AE1119" s="14">
        <f>IF(AQ1119="7",BI1119,0)</f>
        <v>0</v>
      </c>
      <c r="AF1119" s="14">
        <f>IF(AQ1119="2",BH1119,0)</f>
        <v>0</v>
      </c>
      <c r="AG1119" s="14">
        <f>IF(AQ1119="2",BI1119,0)</f>
        <v>0</v>
      </c>
      <c r="AH1119" s="14">
        <f>IF(AQ1119="0",BJ1119,0)</f>
        <v>0</v>
      </c>
      <c r="AI1119" s="15" t="s">
        <v>1529</v>
      </c>
      <c r="AJ1119" s="14">
        <f>IF(AN1119=0,L1119,0)</f>
        <v>0</v>
      </c>
      <c r="AK1119" s="14">
        <f>IF(AN1119=15,L1119,0)</f>
        <v>0</v>
      </c>
      <c r="AL1119" s="14">
        <f>IF(AN1119=21,L1119,0)</f>
        <v>0</v>
      </c>
      <c r="AN1119" s="14">
        <v>21</v>
      </c>
      <c r="AO1119" s="92">
        <f>'Rekapitulace NN'!F41</f>
        <v>0</v>
      </c>
      <c r="AP1119" s="92">
        <f>'Rekapitulace NN'!F42</f>
        <v>0</v>
      </c>
      <c r="AQ1119" s="55" t="s">
        <v>1676</v>
      </c>
      <c r="AV1119" s="14">
        <f>AW1119+AX1119</f>
        <v>0</v>
      </c>
      <c r="AW1119" s="14">
        <f>G1119*AO1119</f>
        <v>0</v>
      </c>
      <c r="AX1119" s="14">
        <f>G1119*AP1119</f>
        <v>0</v>
      </c>
      <c r="AY1119" s="55" t="s">
        <v>2027</v>
      </c>
      <c r="AZ1119" s="55" t="s">
        <v>1730</v>
      </c>
      <c r="BA1119" s="15" t="s">
        <v>602</v>
      </c>
      <c r="BC1119" s="14">
        <f>AW1119+AX1119</f>
        <v>0</v>
      </c>
      <c r="BD1119" s="14">
        <f>H1119/(100-BE1119)*100</f>
        <v>0</v>
      </c>
      <c r="BE1119" s="14">
        <v>0</v>
      </c>
      <c r="BF1119" s="14">
        <f>O1119</f>
        <v>0</v>
      </c>
      <c r="BH1119" s="14">
        <f>G1119*AO1119</f>
        <v>0</v>
      </c>
      <c r="BI1119" s="14">
        <f>G1119*AP1119</f>
        <v>0</v>
      </c>
      <c r="BJ1119" s="14">
        <f>G1119*H1119</f>
        <v>0</v>
      </c>
      <c r="BK1119" s="14"/>
      <c r="BL1119" s="14"/>
      <c r="BW1119" s="14" t="str">
        <f>I1119</f>
        <v>21</v>
      </c>
    </row>
    <row r="1120" spans="1:75" ht="15" customHeight="1">
      <c r="A1120" s="73"/>
      <c r="B1120" s="19"/>
      <c r="C1120" s="19"/>
      <c r="D1120" s="100" t="s">
        <v>2422</v>
      </c>
      <c r="E1120" s="41" t="s">
        <v>1683</v>
      </c>
      <c r="F1120" s="19"/>
      <c r="G1120" s="67">
        <v>1</v>
      </c>
      <c r="H1120" s="19"/>
      <c r="I1120" s="19"/>
      <c r="J1120" s="19"/>
      <c r="K1120" s="19"/>
      <c r="L1120" s="19"/>
      <c r="M1120" s="19"/>
      <c r="N1120" s="19"/>
      <c r="O1120" s="19"/>
      <c r="P1120" s="80"/>
    </row>
    <row r="1121" spans="1:75" ht="15" customHeight="1">
      <c r="A1121" s="70" t="s">
        <v>1683</v>
      </c>
      <c r="B1121" s="40" t="s">
        <v>750</v>
      </c>
      <c r="C1121" s="40" t="s">
        <v>1683</v>
      </c>
      <c r="D1121" s="647" t="s">
        <v>1618</v>
      </c>
      <c r="E1121" s="648"/>
      <c r="F1121" s="22" t="s">
        <v>2262</v>
      </c>
      <c r="G1121" s="22" t="s">
        <v>2262</v>
      </c>
      <c r="H1121" s="22" t="s">
        <v>2262</v>
      </c>
      <c r="I1121" s="22" t="s">
        <v>2262</v>
      </c>
      <c r="J1121" s="89">
        <f>J1122+J1125+J1130+J1133+J1140+J1143+J1182+J1265+J1270+J1273+J1342+J1353+J1356+J1359+J1362</f>
        <v>0</v>
      </c>
      <c r="K1121" s="89">
        <f>K1122+K1125+K1130+K1133+K1140+K1143+K1182+K1265+K1270+K1273+K1342+K1353+K1356+K1359+K1362</f>
        <v>0</v>
      </c>
      <c r="L1121" s="89">
        <f>L1122+L1125+L1130+L1133+L1140+L1143+L1182+L1265+L1270+L1273+L1342+L1353+L1356+L1359+L1362</f>
        <v>0</v>
      </c>
      <c r="M1121" s="89">
        <f>M1122+M1125+M1130+M1133+M1140+M1143+M1182+M1265+M1270+M1273+M1342+M1353+M1356+M1359+M1362</f>
        <v>0</v>
      </c>
      <c r="N1121" s="61" t="s">
        <v>1683</v>
      </c>
      <c r="O1121" s="89">
        <f>O1122+O1125+O1130+O1133+O1140+O1143+O1182+O1265+O1270+O1273+O1342+O1353+O1356+O1359+O1362</f>
        <v>129.62463810000003</v>
      </c>
      <c r="P1121" s="1" t="s">
        <v>1683</v>
      </c>
    </row>
    <row r="1122" spans="1:75" ht="15" customHeight="1">
      <c r="A1122" s="65" t="s">
        <v>1683</v>
      </c>
      <c r="B1122" s="26" t="s">
        <v>750</v>
      </c>
      <c r="C1122" s="26" t="s">
        <v>705</v>
      </c>
      <c r="D1122" s="649" t="s">
        <v>17</v>
      </c>
      <c r="E1122" s="650"/>
      <c r="F1122" s="74" t="s">
        <v>2262</v>
      </c>
      <c r="G1122" s="74" t="s">
        <v>2262</v>
      </c>
      <c r="H1122" s="74" t="s">
        <v>2262</v>
      </c>
      <c r="I1122" s="74" t="s">
        <v>2262</v>
      </c>
      <c r="J1122" s="2">
        <f>SUM(J1123:J1123)</f>
        <v>0</v>
      </c>
      <c r="K1122" s="2">
        <f>SUM(K1123:K1123)</f>
        <v>0</v>
      </c>
      <c r="L1122" s="2">
        <f>SUM(L1123:L1123)</f>
        <v>0</v>
      </c>
      <c r="M1122" s="2">
        <f>SUM(M1123:M1123)</f>
        <v>0</v>
      </c>
      <c r="N1122" s="15" t="s">
        <v>1683</v>
      </c>
      <c r="O1122" s="2">
        <f>SUM(O1123:O1123)</f>
        <v>0</v>
      </c>
      <c r="P1122" s="47" t="s">
        <v>1683</v>
      </c>
      <c r="AI1122" s="15" t="s">
        <v>750</v>
      </c>
      <c r="AS1122" s="2">
        <f>SUM(AJ1123:AJ1123)</f>
        <v>0</v>
      </c>
      <c r="AT1122" s="2">
        <f>SUM(AK1123:AK1123)</f>
        <v>0</v>
      </c>
      <c r="AU1122" s="2">
        <f>SUM(AL1123:AL1123)</f>
        <v>0</v>
      </c>
    </row>
    <row r="1123" spans="1:75" ht="13.5" customHeight="1">
      <c r="A1123" s="21" t="s">
        <v>1131</v>
      </c>
      <c r="B1123" s="37" t="s">
        <v>750</v>
      </c>
      <c r="C1123" s="37" t="s">
        <v>2463</v>
      </c>
      <c r="D1123" s="578" t="s">
        <v>1268</v>
      </c>
      <c r="E1123" s="579"/>
      <c r="F1123" s="37" t="s">
        <v>2359</v>
      </c>
      <c r="G1123" s="14">
        <v>179</v>
      </c>
      <c r="H1123" s="569"/>
      <c r="I1123" s="55" t="s">
        <v>1720</v>
      </c>
      <c r="J1123" s="14">
        <f>G1123*AO1123</f>
        <v>0</v>
      </c>
      <c r="K1123" s="14">
        <f>G1123*AP1123</f>
        <v>0</v>
      </c>
      <c r="L1123" s="14">
        <f>G1123*H1123</f>
        <v>0</v>
      </c>
      <c r="M1123" s="14">
        <f>L1123*(1+BW1123/100)</f>
        <v>0</v>
      </c>
      <c r="N1123" s="14">
        <v>0</v>
      </c>
      <c r="O1123" s="14">
        <f>G1123*N1123</f>
        <v>0</v>
      </c>
      <c r="P1123" s="72" t="s">
        <v>921</v>
      </c>
      <c r="Z1123" s="14">
        <f>IF(AQ1123="5",BJ1123,0)</f>
        <v>0</v>
      </c>
      <c r="AB1123" s="14">
        <f>IF(AQ1123="1",BH1123,0)</f>
        <v>0</v>
      </c>
      <c r="AC1123" s="14">
        <f>IF(AQ1123="1",BI1123,0)</f>
        <v>0</v>
      </c>
      <c r="AD1123" s="14">
        <f>IF(AQ1123="7",BH1123,0)</f>
        <v>0</v>
      </c>
      <c r="AE1123" s="14">
        <f>IF(AQ1123="7",BI1123,0)</f>
        <v>0</v>
      </c>
      <c r="AF1123" s="14">
        <f>IF(AQ1123="2",BH1123,0)</f>
        <v>0</v>
      </c>
      <c r="AG1123" s="14">
        <f>IF(AQ1123="2",BI1123,0)</f>
        <v>0</v>
      </c>
      <c r="AH1123" s="14">
        <f>IF(AQ1123="0",BJ1123,0)</f>
        <v>0</v>
      </c>
      <c r="AI1123" s="15" t="s">
        <v>750</v>
      </c>
      <c r="AJ1123" s="14">
        <f>IF(AN1123=0,L1123,0)</f>
        <v>0</v>
      </c>
      <c r="AK1123" s="14">
        <f>IF(AN1123=15,L1123,0)</f>
        <v>0</v>
      </c>
      <c r="AL1123" s="14">
        <f>IF(AN1123=21,L1123,0)</f>
        <v>0</v>
      </c>
      <c r="AN1123" s="14">
        <v>21</v>
      </c>
      <c r="AO1123" s="92">
        <f>H1123*0</f>
        <v>0</v>
      </c>
      <c r="AP1123" s="92">
        <f>H1123*(1-0)</f>
        <v>0</v>
      </c>
      <c r="AQ1123" s="55" t="s">
        <v>2422</v>
      </c>
      <c r="AV1123" s="14">
        <f>AW1123+AX1123</f>
        <v>0</v>
      </c>
      <c r="AW1123" s="14">
        <f>G1123*AO1123</f>
        <v>0</v>
      </c>
      <c r="AX1123" s="14">
        <f>G1123*AP1123</f>
        <v>0</v>
      </c>
      <c r="AY1123" s="55" t="s">
        <v>2203</v>
      </c>
      <c r="AZ1123" s="55" t="s">
        <v>1527</v>
      </c>
      <c r="BA1123" s="15" t="s">
        <v>1027</v>
      </c>
      <c r="BC1123" s="14">
        <f>AW1123+AX1123</f>
        <v>0</v>
      </c>
      <c r="BD1123" s="14">
        <f>H1123/(100-BE1123)*100</f>
        <v>0</v>
      </c>
      <c r="BE1123" s="14">
        <v>0</v>
      </c>
      <c r="BF1123" s="14">
        <f>O1123</f>
        <v>0</v>
      </c>
      <c r="BH1123" s="14">
        <f>G1123*AO1123</f>
        <v>0</v>
      </c>
      <c r="BI1123" s="14">
        <f>G1123*AP1123</f>
        <v>0</v>
      </c>
      <c r="BJ1123" s="14">
        <f>G1123*H1123</f>
        <v>0</v>
      </c>
      <c r="BK1123" s="14"/>
      <c r="BL1123" s="14">
        <v>13</v>
      </c>
      <c r="BW1123" s="14" t="str">
        <f>I1123</f>
        <v>21</v>
      </c>
    </row>
    <row r="1124" spans="1:75" ht="15" customHeight="1">
      <c r="A1124" s="32"/>
      <c r="D1124" s="3" t="s">
        <v>2626</v>
      </c>
      <c r="E1124" s="28" t="s">
        <v>316</v>
      </c>
      <c r="G1124" s="27">
        <v>179.00000000000003</v>
      </c>
      <c r="P1124" s="33"/>
    </row>
    <row r="1125" spans="1:75" ht="15" customHeight="1">
      <c r="A1125" s="65" t="s">
        <v>1683</v>
      </c>
      <c r="B1125" s="26" t="s">
        <v>750</v>
      </c>
      <c r="C1125" s="26" t="s">
        <v>957</v>
      </c>
      <c r="D1125" s="649" t="s">
        <v>2120</v>
      </c>
      <c r="E1125" s="650"/>
      <c r="F1125" s="74" t="s">
        <v>2262</v>
      </c>
      <c r="G1125" s="74" t="s">
        <v>2262</v>
      </c>
      <c r="H1125" s="74" t="s">
        <v>2262</v>
      </c>
      <c r="I1125" s="74" t="s">
        <v>2262</v>
      </c>
      <c r="J1125" s="2">
        <f>SUM(J1126:J1128)</f>
        <v>0</v>
      </c>
      <c r="K1125" s="2">
        <f>SUM(K1126:K1128)</f>
        <v>0</v>
      </c>
      <c r="L1125" s="2">
        <f>SUM(L1126:L1128)</f>
        <v>0</v>
      </c>
      <c r="M1125" s="2">
        <f>SUM(M1126:M1128)</f>
        <v>0</v>
      </c>
      <c r="N1125" s="15" t="s">
        <v>1683</v>
      </c>
      <c r="O1125" s="2">
        <f>SUM(O1126:O1128)</f>
        <v>0.20196</v>
      </c>
      <c r="P1125" s="47" t="s">
        <v>1683</v>
      </c>
      <c r="AI1125" s="15" t="s">
        <v>750</v>
      </c>
      <c r="AS1125" s="2">
        <f>SUM(AJ1126:AJ1128)</f>
        <v>0</v>
      </c>
      <c r="AT1125" s="2">
        <f>SUM(AK1126:AK1128)</f>
        <v>0</v>
      </c>
      <c r="AU1125" s="2">
        <f>SUM(AL1126:AL1128)</f>
        <v>0</v>
      </c>
    </row>
    <row r="1126" spans="1:75" ht="13.5" customHeight="1">
      <c r="A1126" s="21" t="s">
        <v>1473</v>
      </c>
      <c r="B1126" s="37" t="s">
        <v>750</v>
      </c>
      <c r="C1126" s="37" t="s">
        <v>2699</v>
      </c>
      <c r="D1126" s="578" t="s">
        <v>552</v>
      </c>
      <c r="E1126" s="579"/>
      <c r="F1126" s="37" t="s">
        <v>2398</v>
      </c>
      <c r="G1126" s="14">
        <v>204</v>
      </c>
      <c r="H1126" s="569"/>
      <c r="I1126" s="55" t="s">
        <v>1720</v>
      </c>
      <c r="J1126" s="14">
        <f>G1126*AO1126</f>
        <v>0</v>
      </c>
      <c r="K1126" s="14">
        <f>G1126*AP1126</f>
        <v>0</v>
      </c>
      <c r="L1126" s="14">
        <f>G1126*H1126</f>
        <v>0</v>
      </c>
      <c r="M1126" s="14">
        <f>L1126*(1+BW1126/100)</f>
        <v>0</v>
      </c>
      <c r="N1126" s="14">
        <v>9.8999999999999999E-4</v>
      </c>
      <c r="O1126" s="14">
        <f>G1126*N1126</f>
        <v>0.20196</v>
      </c>
      <c r="P1126" s="72" t="s">
        <v>1664</v>
      </c>
      <c r="Z1126" s="14">
        <f>IF(AQ1126="5",BJ1126,0)</f>
        <v>0</v>
      </c>
      <c r="AB1126" s="14">
        <f>IF(AQ1126="1",BH1126,0)</f>
        <v>0</v>
      </c>
      <c r="AC1126" s="14">
        <f>IF(AQ1126="1",BI1126,0)</f>
        <v>0</v>
      </c>
      <c r="AD1126" s="14">
        <f>IF(AQ1126="7",BH1126,0)</f>
        <v>0</v>
      </c>
      <c r="AE1126" s="14">
        <f>IF(AQ1126="7",BI1126,0)</f>
        <v>0</v>
      </c>
      <c r="AF1126" s="14">
        <f>IF(AQ1126="2",BH1126,0)</f>
        <v>0</v>
      </c>
      <c r="AG1126" s="14">
        <f>IF(AQ1126="2",BI1126,0)</f>
        <v>0</v>
      </c>
      <c r="AH1126" s="14">
        <f>IF(AQ1126="0",BJ1126,0)</f>
        <v>0</v>
      </c>
      <c r="AI1126" s="15" t="s">
        <v>750</v>
      </c>
      <c r="AJ1126" s="14">
        <f>IF(AN1126=0,L1126,0)</f>
        <v>0</v>
      </c>
      <c r="AK1126" s="14">
        <f>IF(AN1126=15,L1126,0)</f>
        <v>0</v>
      </c>
      <c r="AL1126" s="14">
        <f>IF(AN1126=21,L1126,0)</f>
        <v>0</v>
      </c>
      <c r="AN1126" s="14">
        <v>21</v>
      </c>
      <c r="AO1126" s="92">
        <f>H1126*0.0932214765100671</f>
        <v>0</v>
      </c>
      <c r="AP1126" s="92">
        <f>H1126*(1-0.0932214765100671)</f>
        <v>0</v>
      </c>
      <c r="AQ1126" s="55" t="s">
        <v>2422</v>
      </c>
      <c r="AV1126" s="14">
        <f>AW1126+AX1126</f>
        <v>0</v>
      </c>
      <c r="AW1126" s="14">
        <f>G1126*AO1126</f>
        <v>0</v>
      </c>
      <c r="AX1126" s="14">
        <f>G1126*AP1126</f>
        <v>0</v>
      </c>
      <c r="AY1126" s="55" t="s">
        <v>1718</v>
      </c>
      <c r="AZ1126" s="55" t="s">
        <v>1527</v>
      </c>
      <c r="BA1126" s="15" t="s">
        <v>1027</v>
      </c>
      <c r="BC1126" s="14">
        <f>AW1126+AX1126</f>
        <v>0</v>
      </c>
      <c r="BD1126" s="14">
        <f>H1126/(100-BE1126)*100</f>
        <v>0</v>
      </c>
      <c r="BE1126" s="14">
        <v>0</v>
      </c>
      <c r="BF1126" s="14">
        <f>O1126</f>
        <v>0.20196</v>
      </c>
      <c r="BH1126" s="14">
        <f>G1126*AO1126</f>
        <v>0</v>
      </c>
      <c r="BI1126" s="14">
        <f>G1126*AP1126</f>
        <v>0</v>
      </c>
      <c r="BJ1126" s="14">
        <f>G1126*H1126</f>
        <v>0</v>
      </c>
      <c r="BK1126" s="14"/>
      <c r="BL1126" s="14">
        <v>15</v>
      </c>
      <c r="BW1126" s="14" t="str">
        <f>I1126</f>
        <v>21</v>
      </c>
    </row>
    <row r="1127" spans="1:75" ht="15" customHeight="1">
      <c r="A1127" s="32"/>
      <c r="D1127" s="3" t="s">
        <v>2062</v>
      </c>
      <c r="E1127" s="28" t="s">
        <v>1683</v>
      </c>
      <c r="G1127" s="27">
        <v>204.00000000000003</v>
      </c>
      <c r="P1127" s="33"/>
    </row>
    <row r="1128" spans="1:75" ht="13.5" customHeight="1">
      <c r="A1128" s="21" t="s">
        <v>508</v>
      </c>
      <c r="B1128" s="37" t="s">
        <v>750</v>
      </c>
      <c r="C1128" s="37" t="s">
        <v>1645</v>
      </c>
      <c r="D1128" s="578" t="s">
        <v>2362</v>
      </c>
      <c r="E1128" s="579"/>
      <c r="F1128" s="37" t="s">
        <v>2398</v>
      </c>
      <c r="G1128" s="14">
        <v>204</v>
      </c>
      <c r="H1128" s="569"/>
      <c r="I1128" s="55" t="s">
        <v>1720</v>
      </c>
      <c r="J1128" s="14">
        <f>G1128*AO1128</f>
        <v>0</v>
      </c>
      <c r="K1128" s="14">
        <f>G1128*AP1128</f>
        <v>0</v>
      </c>
      <c r="L1128" s="14">
        <f>G1128*H1128</f>
        <v>0</v>
      </c>
      <c r="M1128" s="14">
        <f>L1128*(1+BW1128/100)</f>
        <v>0</v>
      </c>
      <c r="N1128" s="14">
        <v>0</v>
      </c>
      <c r="O1128" s="14">
        <f>G1128*N1128</f>
        <v>0</v>
      </c>
      <c r="P1128" s="72" t="s">
        <v>1664</v>
      </c>
      <c r="Z1128" s="14">
        <f>IF(AQ1128="5",BJ1128,0)</f>
        <v>0</v>
      </c>
      <c r="AB1128" s="14">
        <f>IF(AQ1128="1",BH1128,0)</f>
        <v>0</v>
      </c>
      <c r="AC1128" s="14">
        <f>IF(AQ1128="1",BI1128,0)</f>
        <v>0</v>
      </c>
      <c r="AD1128" s="14">
        <f>IF(AQ1128="7",BH1128,0)</f>
        <v>0</v>
      </c>
      <c r="AE1128" s="14">
        <f>IF(AQ1128="7",BI1128,0)</f>
        <v>0</v>
      </c>
      <c r="AF1128" s="14">
        <f>IF(AQ1128="2",BH1128,0)</f>
        <v>0</v>
      </c>
      <c r="AG1128" s="14">
        <f>IF(AQ1128="2",BI1128,0)</f>
        <v>0</v>
      </c>
      <c r="AH1128" s="14">
        <f>IF(AQ1128="0",BJ1128,0)</f>
        <v>0</v>
      </c>
      <c r="AI1128" s="15" t="s">
        <v>750</v>
      </c>
      <c r="AJ1128" s="14">
        <f>IF(AN1128=0,L1128,0)</f>
        <v>0</v>
      </c>
      <c r="AK1128" s="14">
        <f>IF(AN1128=15,L1128,0)</f>
        <v>0</v>
      </c>
      <c r="AL1128" s="14">
        <f>IF(AN1128=21,L1128,0)</f>
        <v>0</v>
      </c>
      <c r="AN1128" s="14">
        <v>21</v>
      </c>
      <c r="AO1128" s="92">
        <f>H1128*0</f>
        <v>0</v>
      </c>
      <c r="AP1128" s="92">
        <f>H1128*(1-0)</f>
        <v>0</v>
      </c>
      <c r="AQ1128" s="55" t="s">
        <v>2422</v>
      </c>
      <c r="AV1128" s="14">
        <f>AW1128+AX1128</f>
        <v>0</v>
      </c>
      <c r="AW1128" s="14">
        <f>G1128*AO1128</f>
        <v>0</v>
      </c>
      <c r="AX1128" s="14">
        <f>G1128*AP1128</f>
        <v>0</v>
      </c>
      <c r="AY1128" s="55" t="s">
        <v>1718</v>
      </c>
      <c r="AZ1128" s="55" t="s">
        <v>1527</v>
      </c>
      <c r="BA1128" s="15" t="s">
        <v>1027</v>
      </c>
      <c r="BC1128" s="14">
        <f>AW1128+AX1128</f>
        <v>0</v>
      </c>
      <c r="BD1128" s="14">
        <f>H1128/(100-BE1128)*100</f>
        <v>0</v>
      </c>
      <c r="BE1128" s="14">
        <v>0</v>
      </c>
      <c r="BF1128" s="14">
        <f>O1128</f>
        <v>0</v>
      </c>
      <c r="BH1128" s="14">
        <f>G1128*AO1128</f>
        <v>0</v>
      </c>
      <c r="BI1128" s="14">
        <f>G1128*AP1128</f>
        <v>0</v>
      </c>
      <c r="BJ1128" s="14">
        <f>G1128*H1128</f>
        <v>0</v>
      </c>
      <c r="BK1128" s="14"/>
      <c r="BL1128" s="14">
        <v>15</v>
      </c>
      <c r="BW1128" s="14" t="str">
        <f>I1128</f>
        <v>21</v>
      </c>
    </row>
    <row r="1129" spans="1:75" ht="15" customHeight="1">
      <c r="A1129" s="32"/>
      <c r="D1129" s="3" t="s">
        <v>2062</v>
      </c>
      <c r="E1129" s="28" t="s">
        <v>1683</v>
      </c>
      <c r="G1129" s="27">
        <v>204.00000000000003</v>
      </c>
      <c r="P1129" s="33"/>
    </row>
    <row r="1130" spans="1:75" ht="15" customHeight="1">
      <c r="A1130" s="65" t="s">
        <v>1683</v>
      </c>
      <c r="B1130" s="26" t="s">
        <v>750</v>
      </c>
      <c r="C1130" s="26" t="s">
        <v>226</v>
      </c>
      <c r="D1130" s="649" t="s">
        <v>2033</v>
      </c>
      <c r="E1130" s="650"/>
      <c r="F1130" s="74" t="s">
        <v>2262</v>
      </c>
      <c r="G1130" s="74" t="s">
        <v>2262</v>
      </c>
      <c r="H1130" s="74" t="s">
        <v>2262</v>
      </c>
      <c r="I1130" s="74" t="s">
        <v>2262</v>
      </c>
      <c r="J1130" s="2">
        <f>SUM(J1131:J1131)</f>
        <v>0</v>
      </c>
      <c r="K1130" s="2">
        <f>SUM(K1131:K1131)</f>
        <v>0</v>
      </c>
      <c r="L1130" s="2">
        <f>SUM(L1131:L1131)</f>
        <v>0</v>
      </c>
      <c r="M1130" s="2">
        <f>SUM(M1131:M1131)</f>
        <v>0</v>
      </c>
      <c r="N1130" s="15" t="s">
        <v>1683</v>
      </c>
      <c r="O1130" s="2">
        <f>SUM(O1131:O1131)</f>
        <v>0</v>
      </c>
      <c r="P1130" s="47" t="s">
        <v>1683</v>
      </c>
      <c r="AI1130" s="15" t="s">
        <v>750</v>
      </c>
      <c r="AS1130" s="2">
        <f>SUM(AJ1131:AJ1131)</f>
        <v>0</v>
      </c>
      <c r="AT1130" s="2">
        <f>SUM(AK1131:AK1131)</f>
        <v>0</v>
      </c>
      <c r="AU1130" s="2">
        <f>SUM(AL1131:AL1131)</f>
        <v>0</v>
      </c>
    </row>
    <row r="1131" spans="1:75" ht="13.5" customHeight="1">
      <c r="A1131" s="21" t="s">
        <v>2740</v>
      </c>
      <c r="B1131" s="37" t="s">
        <v>750</v>
      </c>
      <c r="C1131" s="37" t="s">
        <v>2090</v>
      </c>
      <c r="D1131" s="578" t="s">
        <v>1661</v>
      </c>
      <c r="E1131" s="579"/>
      <c r="F1131" s="37" t="s">
        <v>2359</v>
      </c>
      <c r="G1131" s="14">
        <v>70.38</v>
      </c>
      <c r="H1131" s="569"/>
      <c r="I1131" s="55" t="s">
        <v>1720</v>
      </c>
      <c r="J1131" s="14">
        <f>G1131*AO1131</f>
        <v>0</v>
      </c>
      <c r="K1131" s="14">
        <f>G1131*AP1131</f>
        <v>0</v>
      </c>
      <c r="L1131" s="14">
        <f>G1131*H1131</f>
        <v>0</v>
      </c>
      <c r="M1131" s="14">
        <f>L1131*(1+BW1131/100)</f>
        <v>0</v>
      </c>
      <c r="N1131" s="14">
        <v>0</v>
      </c>
      <c r="O1131" s="14">
        <f>G1131*N1131</f>
        <v>0</v>
      </c>
      <c r="P1131" s="72" t="s">
        <v>1664</v>
      </c>
      <c r="Z1131" s="14">
        <f>IF(AQ1131="5",BJ1131,0)</f>
        <v>0</v>
      </c>
      <c r="AB1131" s="14">
        <f>IF(AQ1131="1",BH1131,0)</f>
        <v>0</v>
      </c>
      <c r="AC1131" s="14">
        <f>IF(AQ1131="1",BI1131,0)</f>
        <v>0</v>
      </c>
      <c r="AD1131" s="14">
        <f>IF(AQ1131="7",BH1131,0)</f>
        <v>0</v>
      </c>
      <c r="AE1131" s="14">
        <f>IF(AQ1131="7",BI1131,0)</f>
        <v>0</v>
      </c>
      <c r="AF1131" s="14">
        <f>IF(AQ1131="2",BH1131,0)</f>
        <v>0</v>
      </c>
      <c r="AG1131" s="14">
        <f>IF(AQ1131="2",BI1131,0)</f>
        <v>0</v>
      </c>
      <c r="AH1131" s="14">
        <f>IF(AQ1131="0",BJ1131,0)</f>
        <v>0</v>
      </c>
      <c r="AI1131" s="15" t="s">
        <v>750</v>
      </c>
      <c r="AJ1131" s="14">
        <f>IF(AN1131=0,L1131,0)</f>
        <v>0</v>
      </c>
      <c r="AK1131" s="14">
        <f>IF(AN1131=15,L1131,0)</f>
        <v>0</v>
      </c>
      <c r="AL1131" s="14">
        <f>IF(AN1131=21,L1131,0)</f>
        <v>0</v>
      </c>
      <c r="AN1131" s="14">
        <v>21</v>
      </c>
      <c r="AO1131" s="92">
        <f>H1131*0</f>
        <v>0</v>
      </c>
      <c r="AP1131" s="92">
        <f>H1131*(1-0)</f>
        <v>0</v>
      </c>
      <c r="AQ1131" s="55" t="s">
        <v>2422</v>
      </c>
      <c r="AV1131" s="14">
        <f>AW1131+AX1131</f>
        <v>0</v>
      </c>
      <c r="AW1131" s="14">
        <f>G1131*AO1131</f>
        <v>0</v>
      </c>
      <c r="AX1131" s="14">
        <f>G1131*AP1131</f>
        <v>0</v>
      </c>
      <c r="AY1131" s="55" t="s">
        <v>2268</v>
      </c>
      <c r="AZ1131" s="55" t="s">
        <v>1527</v>
      </c>
      <c r="BA1131" s="15" t="s">
        <v>1027</v>
      </c>
      <c r="BC1131" s="14">
        <f>AW1131+AX1131</f>
        <v>0</v>
      </c>
      <c r="BD1131" s="14">
        <f>H1131/(100-BE1131)*100</f>
        <v>0</v>
      </c>
      <c r="BE1131" s="14">
        <v>0</v>
      </c>
      <c r="BF1131" s="14">
        <f>O1131</f>
        <v>0</v>
      </c>
      <c r="BH1131" s="14">
        <f>G1131*AO1131</f>
        <v>0</v>
      </c>
      <c r="BI1131" s="14">
        <f>G1131*AP1131</f>
        <v>0</v>
      </c>
      <c r="BJ1131" s="14">
        <f>G1131*H1131</f>
        <v>0</v>
      </c>
      <c r="BK1131" s="14"/>
      <c r="BL1131" s="14">
        <v>16</v>
      </c>
      <c r="BW1131" s="14" t="str">
        <f>I1131</f>
        <v>21</v>
      </c>
    </row>
    <row r="1132" spans="1:75" ht="15" customHeight="1">
      <c r="A1132" s="32"/>
      <c r="D1132" s="3" t="s">
        <v>299</v>
      </c>
      <c r="E1132" s="28" t="s">
        <v>1683</v>
      </c>
      <c r="G1132" s="27">
        <v>70.38000000000001</v>
      </c>
      <c r="P1132" s="33"/>
    </row>
    <row r="1133" spans="1:75" ht="15" customHeight="1">
      <c r="A1133" s="65" t="s">
        <v>1683</v>
      </c>
      <c r="B1133" s="26" t="s">
        <v>750</v>
      </c>
      <c r="C1133" s="26" t="s">
        <v>1691</v>
      </c>
      <c r="D1133" s="649" t="s">
        <v>317</v>
      </c>
      <c r="E1133" s="650"/>
      <c r="F1133" s="74" t="s">
        <v>2262</v>
      </c>
      <c r="G1133" s="74" t="s">
        <v>2262</v>
      </c>
      <c r="H1133" s="74" t="s">
        <v>2262</v>
      </c>
      <c r="I1133" s="74" t="s">
        <v>2262</v>
      </c>
      <c r="J1133" s="2">
        <f>SUM(J1134:J1138)</f>
        <v>0</v>
      </c>
      <c r="K1133" s="2">
        <f>SUM(K1134:K1138)</f>
        <v>0</v>
      </c>
      <c r="L1133" s="2">
        <f>SUM(L1134:L1138)</f>
        <v>0</v>
      </c>
      <c r="M1133" s="2">
        <f>SUM(M1134:M1138)</f>
        <v>0</v>
      </c>
      <c r="N1133" s="15" t="s">
        <v>1683</v>
      </c>
      <c r="O1133" s="2">
        <f>SUM(O1134:O1138)</f>
        <v>71.144999999999996</v>
      </c>
      <c r="P1133" s="47" t="s">
        <v>1683</v>
      </c>
      <c r="AI1133" s="15" t="s">
        <v>750</v>
      </c>
      <c r="AS1133" s="2">
        <f>SUM(AJ1134:AJ1138)</f>
        <v>0</v>
      </c>
      <c r="AT1133" s="2">
        <f>SUM(AK1134:AK1138)</f>
        <v>0</v>
      </c>
      <c r="AU1133" s="2">
        <f>SUM(AL1134:AL1138)</f>
        <v>0</v>
      </c>
    </row>
    <row r="1134" spans="1:75" ht="27" customHeight="1">
      <c r="A1134" s="21" t="s">
        <v>1584</v>
      </c>
      <c r="B1134" s="37" t="s">
        <v>750</v>
      </c>
      <c r="C1134" s="37" t="s">
        <v>2145</v>
      </c>
      <c r="D1134" s="578" t="s">
        <v>2448</v>
      </c>
      <c r="E1134" s="579"/>
      <c r="F1134" s="37" t="s">
        <v>2359</v>
      </c>
      <c r="G1134" s="14">
        <v>41.85</v>
      </c>
      <c r="H1134" s="569"/>
      <c r="I1134" s="55" t="s">
        <v>1720</v>
      </c>
      <c r="J1134" s="14">
        <f>G1134*AO1134</f>
        <v>0</v>
      </c>
      <c r="K1134" s="14">
        <f>G1134*AP1134</f>
        <v>0</v>
      </c>
      <c r="L1134" s="14">
        <f>G1134*H1134</f>
        <v>0</v>
      </c>
      <c r="M1134" s="14">
        <f>L1134*(1+BW1134/100)</f>
        <v>0</v>
      </c>
      <c r="N1134" s="14">
        <v>1.7</v>
      </c>
      <c r="O1134" s="14">
        <f>G1134*N1134</f>
        <v>71.144999999999996</v>
      </c>
      <c r="P1134" s="72" t="s">
        <v>1664</v>
      </c>
      <c r="Z1134" s="14">
        <f>IF(AQ1134="5",BJ1134,0)</f>
        <v>0</v>
      </c>
      <c r="AB1134" s="14">
        <f>IF(AQ1134="1",BH1134,0)</f>
        <v>0</v>
      </c>
      <c r="AC1134" s="14">
        <f>IF(AQ1134="1",BI1134,0)</f>
        <v>0</v>
      </c>
      <c r="AD1134" s="14">
        <f>IF(AQ1134="7",BH1134,0)</f>
        <v>0</v>
      </c>
      <c r="AE1134" s="14">
        <f>IF(AQ1134="7",BI1134,0)</f>
        <v>0</v>
      </c>
      <c r="AF1134" s="14">
        <f>IF(AQ1134="2",BH1134,0)</f>
        <v>0</v>
      </c>
      <c r="AG1134" s="14">
        <f>IF(AQ1134="2",BI1134,0)</f>
        <v>0</v>
      </c>
      <c r="AH1134" s="14">
        <f>IF(AQ1134="0",BJ1134,0)</f>
        <v>0</v>
      </c>
      <c r="AI1134" s="15" t="s">
        <v>750</v>
      </c>
      <c r="AJ1134" s="14">
        <f>IF(AN1134=0,L1134,0)</f>
        <v>0</v>
      </c>
      <c r="AK1134" s="14">
        <f>IF(AN1134=15,L1134,0)</f>
        <v>0</v>
      </c>
      <c r="AL1134" s="14">
        <f>IF(AN1134=21,L1134,0)</f>
        <v>0</v>
      </c>
      <c r="AN1134" s="14">
        <v>21</v>
      </c>
      <c r="AO1134" s="92">
        <f>H1134*0.503380678201674</f>
        <v>0</v>
      </c>
      <c r="AP1134" s="92">
        <f>H1134*(1-0.503380678201674)</f>
        <v>0</v>
      </c>
      <c r="AQ1134" s="55" t="s">
        <v>2422</v>
      </c>
      <c r="AV1134" s="14">
        <f>AW1134+AX1134</f>
        <v>0</v>
      </c>
      <c r="AW1134" s="14">
        <f>G1134*AO1134</f>
        <v>0</v>
      </c>
      <c r="AX1134" s="14">
        <f>G1134*AP1134</f>
        <v>0</v>
      </c>
      <c r="AY1134" s="55" t="s">
        <v>493</v>
      </c>
      <c r="AZ1134" s="55" t="s">
        <v>1527</v>
      </c>
      <c r="BA1134" s="15" t="s">
        <v>1027</v>
      </c>
      <c r="BC1134" s="14">
        <f>AW1134+AX1134</f>
        <v>0</v>
      </c>
      <c r="BD1134" s="14">
        <f>H1134/(100-BE1134)*100</f>
        <v>0</v>
      </c>
      <c r="BE1134" s="14">
        <v>0</v>
      </c>
      <c r="BF1134" s="14">
        <f>O1134</f>
        <v>71.144999999999996</v>
      </c>
      <c r="BH1134" s="14">
        <f>G1134*AO1134</f>
        <v>0</v>
      </c>
      <c r="BI1134" s="14">
        <f>G1134*AP1134</f>
        <v>0</v>
      </c>
      <c r="BJ1134" s="14">
        <f>G1134*H1134</f>
        <v>0</v>
      </c>
      <c r="BK1134" s="14"/>
      <c r="BL1134" s="14">
        <v>17</v>
      </c>
      <c r="BW1134" s="14" t="str">
        <f>I1134</f>
        <v>21</v>
      </c>
    </row>
    <row r="1135" spans="1:75" ht="15" customHeight="1">
      <c r="A1135" s="32"/>
      <c r="D1135" s="3" t="s">
        <v>1628</v>
      </c>
      <c r="E1135" s="28" t="s">
        <v>1683</v>
      </c>
      <c r="G1135" s="27">
        <v>41.85</v>
      </c>
      <c r="P1135" s="33"/>
    </row>
    <row r="1136" spans="1:75" ht="13.5" customHeight="1">
      <c r="A1136" s="21" t="s">
        <v>1962</v>
      </c>
      <c r="B1136" s="37" t="s">
        <v>750</v>
      </c>
      <c r="C1136" s="37" t="s">
        <v>1228</v>
      </c>
      <c r="D1136" s="578" t="s">
        <v>478</v>
      </c>
      <c r="E1136" s="579"/>
      <c r="F1136" s="37" t="s">
        <v>2359</v>
      </c>
      <c r="G1136" s="14">
        <v>108.93</v>
      </c>
      <c r="H1136" s="569"/>
      <c r="I1136" s="55" t="s">
        <v>1720</v>
      </c>
      <c r="J1136" s="14">
        <f>G1136*AO1136</f>
        <v>0</v>
      </c>
      <c r="K1136" s="14">
        <f>G1136*AP1136</f>
        <v>0</v>
      </c>
      <c r="L1136" s="14">
        <f>G1136*H1136</f>
        <v>0</v>
      </c>
      <c r="M1136" s="14">
        <f>L1136*(1+BW1136/100)</f>
        <v>0</v>
      </c>
      <c r="N1136" s="14">
        <v>0</v>
      </c>
      <c r="O1136" s="14">
        <f>G1136*N1136</f>
        <v>0</v>
      </c>
      <c r="P1136" s="72" t="s">
        <v>1664</v>
      </c>
      <c r="Z1136" s="14">
        <f>IF(AQ1136="5",BJ1136,0)</f>
        <v>0</v>
      </c>
      <c r="AB1136" s="14">
        <f>IF(AQ1136="1",BH1136,0)</f>
        <v>0</v>
      </c>
      <c r="AC1136" s="14">
        <f>IF(AQ1136="1",BI1136,0)</f>
        <v>0</v>
      </c>
      <c r="AD1136" s="14">
        <f>IF(AQ1136="7",BH1136,0)</f>
        <v>0</v>
      </c>
      <c r="AE1136" s="14">
        <f>IF(AQ1136="7",BI1136,0)</f>
        <v>0</v>
      </c>
      <c r="AF1136" s="14">
        <f>IF(AQ1136="2",BH1136,0)</f>
        <v>0</v>
      </c>
      <c r="AG1136" s="14">
        <f>IF(AQ1136="2",BI1136,0)</f>
        <v>0</v>
      </c>
      <c r="AH1136" s="14">
        <f>IF(AQ1136="0",BJ1136,0)</f>
        <v>0</v>
      </c>
      <c r="AI1136" s="15" t="s">
        <v>750</v>
      </c>
      <c r="AJ1136" s="14">
        <f>IF(AN1136=0,L1136,0)</f>
        <v>0</v>
      </c>
      <c r="AK1136" s="14">
        <f>IF(AN1136=15,L1136,0)</f>
        <v>0</v>
      </c>
      <c r="AL1136" s="14">
        <f>IF(AN1136=21,L1136,0)</f>
        <v>0</v>
      </c>
      <c r="AN1136" s="14">
        <v>21</v>
      </c>
      <c r="AO1136" s="92">
        <f>H1136*0</f>
        <v>0</v>
      </c>
      <c r="AP1136" s="92">
        <f>H1136*(1-0)</f>
        <v>0</v>
      </c>
      <c r="AQ1136" s="55" t="s">
        <v>2422</v>
      </c>
      <c r="AV1136" s="14">
        <f>AW1136+AX1136</f>
        <v>0</v>
      </c>
      <c r="AW1136" s="14">
        <f>G1136*AO1136</f>
        <v>0</v>
      </c>
      <c r="AX1136" s="14">
        <f>G1136*AP1136</f>
        <v>0</v>
      </c>
      <c r="AY1136" s="55" t="s">
        <v>493</v>
      </c>
      <c r="AZ1136" s="55" t="s">
        <v>1527</v>
      </c>
      <c r="BA1136" s="15" t="s">
        <v>1027</v>
      </c>
      <c r="BC1136" s="14">
        <f>AW1136+AX1136</f>
        <v>0</v>
      </c>
      <c r="BD1136" s="14">
        <f>H1136/(100-BE1136)*100</f>
        <v>0</v>
      </c>
      <c r="BE1136" s="14">
        <v>0</v>
      </c>
      <c r="BF1136" s="14">
        <f>O1136</f>
        <v>0</v>
      </c>
      <c r="BH1136" s="14">
        <f>G1136*AO1136</f>
        <v>0</v>
      </c>
      <c r="BI1136" s="14">
        <f>G1136*AP1136</f>
        <v>0</v>
      </c>
      <c r="BJ1136" s="14">
        <f>G1136*H1136</f>
        <v>0</v>
      </c>
      <c r="BK1136" s="14"/>
      <c r="BL1136" s="14">
        <v>17</v>
      </c>
      <c r="BW1136" s="14" t="str">
        <f>I1136</f>
        <v>21</v>
      </c>
    </row>
    <row r="1137" spans="1:75" ht="15" customHeight="1">
      <c r="A1137" s="32"/>
      <c r="D1137" s="3" t="s">
        <v>2525</v>
      </c>
      <c r="E1137" s="28" t="s">
        <v>1683</v>
      </c>
      <c r="G1137" s="27">
        <v>108.93</v>
      </c>
      <c r="P1137" s="33"/>
    </row>
    <row r="1138" spans="1:75" ht="27" customHeight="1">
      <c r="A1138" s="21" t="s">
        <v>844</v>
      </c>
      <c r="B1138" s="37" t="s">
        <v>750</v>
      </c>
      <c r="C1138" s="37" t="s">
        <v>1657</v>
      </c>
      <c r="D1138" s="578" t="s">
        <v>2648</v>
      </c>
      <c r="E1138" s="579"/>
      <c r="F1138" s="37" t="s">
        <v>2359</v>
      </c>
      <c r="G1138" s="14">
        <v>70.38</v>
      </c>
      <c r="H1138" s="569"/>
      <c r="I1138" s="55" t="s">
        <v>1720</v>
      </c>
      <c r="J1138" s="14">
        <f>G1138*AO1138</f>
        <v>0</v>
      </c>
      <c r="K1138" s="14">
        <f>G1138*AP1138</f>
        <v>0</v>
      </c>
      <c r="L1138" s="14">
        <f>G1138*H1138</f>
        <v>0</v>
      </c>
      <c r="M1138" s="14">
        <f>L1138*(1+BW1138/100)</f>
        <v>0</v>
      </c>
      <c r="N1138" s="14">
        <v>0</v>
      </c>
      <c r="O1138" s="14">
        <f>G1138*N1138</f>
        <v>0</v>
      </c>
      <c r="P1138" s="72" t="s">
        <v>1664</v>
      </c>
      <c r="Z1138" s="14">
        <f>IF(AQ1138="5",BJ1138,0)</f>
        <v>0</v>
      </c>
      <c r="AB1138" s="14">
        <f>IF(AQ1138="1",BH1138,0)</f>
        <v>0</v>
      </c>
      <c r="AC1138" s="14">
        <f>IF(AQ1138="1",BI1138,0)</f>
        <v>0</v>
      </c>
      <c r="AD1138" s="14">
        <f>IF(AQ1138="7",BH1138,0)</f>
        <v>0</v>
      </c>
      <c r="AE1138" s="14">
        <f>IF(AQ1138="7",BI1138,0)</f>
        <v>0</v>
      </c>
      <c r="AF1138" s="14">
        <f>IF(AQ1138="2",BH1138,0)</f>
        <v>0</v>
      </c>
      <c r="AG1138" s="14">
        <f>IF(AQ1138="2",BI1138,0)</f>
        <v>0</v>
      </c>
      <c r="AH1138" s="14">
        <f>IF(AQ1138="0",BJ1138,0)</f>
        <v>0</v>
      </c>
      <c r="AI1138" s="15" t="s">
        <v>750</v>
      </c>
      <c r="AJ1138" s="14">
        <f>IF(AN1138=0,L1138,0)</f>
        <v>0</v>
      </c>
      <c r="AK1138" s="14">
        <f>IF(AN1138=15,L1138,0)</f>
        <v>0</v>
      </c>
      <c r="AL1138" s="14">
        <f>IF(AN1138=21,L1138,0)</f>
        <v>0</v>
      </c>
      <c r="AN1138" s="14">
        <v>21</v>
      </c>
      <c r="AO1138" s="92">
        <f>H1138*0</f>
        <v>0</v>
      </c>
      <c r="AP1138" s="92">
        <f>H1138*(1-0)</f>
        <v>0</v>
      </c>
      <c r="AQ1138" s="55" t="s">
        <v>2422</v>
      </c>
      <c r="AV1138" s="14">
        <f>AW1138+AX1138</f>
        <v>0</v>
      </c>
      <c r="AW1138" s="14">
        <f>G1138*AO1138</f>
        <v>0</v>
      </c>
      <c r="AX1138" s="14">
        <f>G1138*AP1138</f>
        <v>0</v>
      </c>
      <c r="AY1138" s="55" t="s">
        <v>493</v>
      </c>
      <c r="AZ1138" s="55" t="s">
        <v>1527</v>
      </c>
      <c r="BA1138" s="15" t="s">
        <v>1027</v>
      </c>
      <c r="BC1138" s="14">
        <f>AW1138+AX1138</f>
        <v>0</v>
      </c>
      <c r="BD1138" s="14">
        <f>H1138/(100-BE1138)*100</f>
        <v>0</v>
      </c>
      <c r="BE1138" s="14">
        <v>0</v>
      </c>
      <c r="BF1138" s="14">
        <f>O1138</f>
        <v>0</v>
      </c>
      <c r="BH1138" s="14">
        <f>G1138*AO1138</f>
        <v>0</v>
      </c>
      <c r="BI1138" s="14">
        <f>G1138*AP1138</f>
        <v>0</v>
      </c>
      <c r="BJ1138" s="14">
        <f>G1138*H1138</f>
        <v>0</v>
      </c>
      <c r="BK1138" s="14"/>
      <c r="BL1138" s="14">
        <v>17</v>
      </c>
      <c r="BW1138" s="14" t="str">
        <f>I1138</f>
        <v>21</v>
      </c>
    </row>
    <row r="1139" spans="1:75" ht="15" customHeight="1">
      <c r="A1139" s="32"/>
      <c r="D1139" s="3" t="s">
        <v>644</v>
      </c>
      <c r="E1139" s="28" t="s">
        <v>2320</v>
      </c>
      <c r="G1139" s="27">
        <v>70.38000000000001</v>
      </c>
      <c r="P1139" s="33"/>
    </row>
    <row r="1140" spans="1:75" ht="15" customHeight="1">
      <c r="A1140" s="65" t="s">
        <v>1683</v>
      </c>
      <c r="B1140" s="26" t="s">
        <v>750</v>
      </c>
      <c r="C1140" s="26" t="s">
        <v>865</v>
      </c>
      <c r="D1140" s="649" t="s">
        <v>1889</v>
      </c>
      <c r="E1140" s="650"/>
      <c r="F1140" s="74" t="s">
        <v>2262</v>
      </c>
      <c r="G1140" s="74" t="s">
        <v>2262</v>
      </c>
      <c r="H1140" s="74" t="s">
        <v>2262</v>
      </c>
      <c r="I1140" s="74" t="s">
        <v>2262</v>
      </c>
      <c r="J1140" s="2">
        <f>SUM(J1141:J1141)</f>
        <v>0</v>
      </c>
      <c r="K1140" s="2">
        <f>SUM(K1141:K1141)</f>
        <v>0</v>
      </c>
      <c r="L1140" s="2">
        <f>SUM(L1141:L1141)</f>
        <v>0</v>
      </c>
      <c r="M1140" s="2">
        <f>SUM(M1141:M1141)</f>
        <v>0</v>
      </c>
      <c r="N1140" s="15" t="s">
        <v>1683</v>
      </c>
      <c r="O1140" s="2">
        <f>SUM(O1141:O1141)</f>
        <v>53.943668100000004</v>
      </c>
      <c r="P1140" s="47" t="s">
        <v>1683</v>
      </c>
      <c r="AI1140" s="15" t="s">
        <v>750</v>
      </c>
      <c r="AS1140" s="2">
        <f>SUM(AJ1141:AJ1141)</f>
        <v>0</v>
      </c>
      <c r="AT1140" s="2">
        <f>SUM(AK1141:AK1141)</f>
        <v>0</v>
      </c>
      <c r="AU1140" s="2">
        <f>SUM(AL1141:AL1141)</f>
        <v>0</v>
      </c>
    </row>
    <row r="1141" spans="1:75" ht="13.5" customHeight="1">
      <c r="A1141" s="21" t="s">
        <v>839</v>
      </c>
      <c r="B1141" s="37" t="s">
        <v>750</v>
      </c>
      <c r="C1141" s="37" t="s">
        <v>1734</v>
      </c>
      <c r="D1141" s="578" t="s">
        <v>714</v>
      </c>
      <c r="E1141" s="579"/>
      <c r="F1141" s="37" t="s">
        <v>2359</v>
      </c>
      <c r="G1141" s="14">
        <v>28.53</v>
      </c>
      <c r="H1141" s="569"/>
      <c r="I1141" s="55" t="s">
        <v>1720</v>
      </c>
      <c r="J1141" s="14">
        <f>G1141*AO1141</f>
        <v>0</v>
      </c>
      <c r="K1141" s="14">
        <f>G1141*AP1141</f>
        <v>0</v>
      </c>
      <c r="L1141" s="14">
        <f>G1141*H1141</f>
        <v>0</v>
      </c>
      <c r="M1141" s="14">
        <f>L1141*(1+BW1141/100)</f>
        <v>0</v>
      </c>
      <c r="N1141" s="14">
        <v>1.8907700000000001</v>
      </c>
      <c r="O1141" s="14">
        <f>G1141*N1141</f>
        <v>53.943668100000004</v>
      </c>
      <c r="P1141" s="72" t="s">
        <v>1664</v>
      </c>
      <c r="Z1141" s="14">
        <f>IF(AQ1141="5",BJ1141,0)</f>
        <v>0</v>
      </c>
      <c r="AB1141" s="14">
        <f>IF(AQ1141="1",BH1141,0)</f>
        <v>0</v>
      </c>
      <c r="AC1141" s="14">
        <f>IF(AQ1141="1",BI1141,0)</f>
        <v>0</v>
      </c>
      <c r="AD1141" s="14">
        <f>IF(AQ1141="7",BH1141,0)</f>
        <v>0</v>
      </c>
      <c r="AE1141" s="14">
        <f>IF(AQ1141="7",BI1141,0)</f>
        <v>0</v>
      </c>
      <c r="AF1141" s="14">
        <f>IF(AQ1141="2",BH1141,0)</f>
        <v>0</v>
      </c>
      <c r="AG1141" s="14">
        <f>IF(AQ1141="2",BI1141,0)</f>
        <v>0</v>
      </c>
      <c r="AH1141" s="14">
        <f>IF(AQ1141="0",BJ1141,0)</f>
        <v>0</v>
      </c>
      <c r="AI1141" s="15" t="s">
        <v>750</v>
      </c>
      <c r="AJ1141" s="14">
        <f>IF(AN1141=0,L1141,0)</f>
        <v>0</v>
      </c>
      <c r="AK1141" s="14">
        <f>IF(AN1141=15,L1141,0)</f>
        <v>0</v>
      </c>
      <c r="AL1141" s="14">
        <f>IF(AN1141=21,L1141,0)</f>
        <v>0</v>
      </c>
      <c r="AN1141" s="14">
        <v>21</v>
      </c>
      <c r="AO1141" s="92">
        <f>H1141*0.480904558404558</f>
        <v>0</v>
      </c>
      <c r="AP1141" s="92">
        <f>H1141*(1-0.480904558404558)</f>
        <v>0</v>
      </c>
      <c r="AQ1141" s="55" t="s">
        <v>2422</v>
      </c>
      <c r="AV1141" s="14">
        <f>AW1141+AX1141</f>
        <v>0</v>
      </c>
      <c r="AW1141" s="14">
        <f>G1141*AO1141</f>
        <v>0</v>
      </c>
      <c r="AX1141" s="14">
        <f>G1141*AP1141</f>
        <v>0</v>
      </c>
      <c r="AY1141" s="55" t="s">
        <v>1186</v>
      </c>
      <c r="AZ1141" s="55" t="s">
        <v>2518</v>
      </c>
      <c r="BA1141" s="15" t="s">
        <v>1027</v>
      </c>
      <c r="BC1141" s="14">
        <f>AW1141+AX1141</f>
        <v>0</v>
      </c>
      <c r="BD1141" s="14">
        <f>H1141/(100-BE1141)*100</f>
        <v>0</v>
      </c>
      <c r="BE1141" s="14">
        <v>0</v>
      </c>
      <c r="BF1141" s="14">
        <f>O1141</f>
        <v>53.943668100000004</v>
      </c>
      <c r="BH1141" s="14">
        <f>G1141*AO1141</f>
        <v>0</v>
      </c>
      <c r="BI1141" s="14">
        <f>G1141*AP1141</f>
        <v>0</v>
      </c>
      <c r="BJ1141" s="14">
        <f>G1141*H1141</f>
        <v>0</v>
      </c>
      <c r="BK1141" s="14"/>
      <c r="BL1141" s="14">
        <v>45</v>
      </c>
      <c r="BW1141" s="14" t="str">
        <f>I1141</f>
        <v>21</v>
      </c>
    </row>
    <row r="1142" spans="1:75" ht="15" customHeight="1">
      <c r="A1142" s="32"/>
      <c r="D1142" s="3" t="s">
        <v>133</v>
      </c>
      <c r="E1142" s="28" t="s">
        <v>1354</v>
      </c>
      <c r="G1142" s="27">
        <v>28.53</v>
      </c>
      <c r="P1142" s="33"/>
    </row>
    <row r="1143" spans="1:75" ht="15" customHeight="1">
      <c r="A1143" s="65" t="s">
        <v>1683</v>
      </c>
      <c r="B1143" s="26" t="s">
        <v>750</v>
      </c>
      <c r="C1143" s="26" t="s">
        <v>1556</v>
      </c>
      <c r="D1143" s="649" t="s">
        <v>2787</v>
      </c>
      <c r="E1143" s="650"/>
      <c r="F1143" s="74" t="s">
        <v>2262</v>
      </c>
      <c r="G1143" s="74" t="s">
        <v>2262</v>
      </c>
      <c r="H1143" s="74" t="s">
        <v>2262</v>
      </c>
      <c r="I1143" s="74" t="s">
        <v>2262</v>
      </c>
      <c r="J1143" s="2">
        <f>SUM(J1144:J1180)</f>
        <v>0</v>
      </c>
      <c r="K1143" s="2">
        <f>SUM(K1144:K1180)</f>
        <v>0</v>
      </c>
      <c r="L1143" s="2">
        <f>SUM(L1144:L1180)</f>
        <v>0</v>
      </c>
      <c r="M1143" s="2">
        <f>SUM(M1144:M1180)</f>
        <v>0</v>
      </c>
      <c r="N1143" s="15" t="s">
        <v>1683</v>
      </c>
      <c r="O1143" s="2">
        <f>SUM(O1144:O1180)</f>
        <v>0.40777000000000002</v>
      </c>
      <c r="P1143" s="47" t="s">
        <v>1683</v>
      </c>
      <c r="AI1143" s="15" t="s">
        <v>750</v>
      </c>
      <c r="AS1143" s="2">
        <f>SUM(AJ1144:AJ1180)</f>
        <v>0</v>
      </c>
      <c r="AT1143" s="2">
        <f>SUM(AK1144:AK1180)</f>
        <v>0</v>
      </c>
      <c r="AU1143" s="2">
        <f>SUM(AL1144:AL1180)</f>
        <v>0</v>
      </c>
    </row>
    <row r="1144" spans="1:75" ht="13.5" customHeight="1">
      <c r="A1144" s="21" t="s">
        <v>249</v>
      </c>
      <c r="B1144" s="37" t="s">
        <v>750</v>
      </c>
      <c r="C1144" s="37" t="s">
        <v>1654</v>
      </c>
      <c r="D1144" s="578" t="s">
        <v>892</v>
      </c>
      <c r="E1144" s="579"/>
      <c r="F1144" s="37" t="s">
        <v>2019</v>
      </c>
      <c r="G1144" s="14">
        <v>47.5</v>
      </c>
      <c r="H1144" s="569"/>
      <c r="I1144" s="55" t="s">
        <v>1720</v>
      </c>
      <c r="J1144" s="14">
        <f>G1144*AO1144</f>
        <v>0</v>
      </c>
      <c r="K1144" s="14">
        <f>G1144*AP1144</f>
        <v>0</v>
      </c>
      <c r="L1144" s="14">
        <f>G1144*H1144</f>
        <v>0</v>
      </c>
      <c r="M1144" s="14">
        <f>L1144*(1+BW1144/100)</f>
        <v>0</v>
      </c>
      <c r="N1144" s="14">
        <v>1.4400000000000001E-3</v>
      </c>
      <c r="O1144" s="14">
        <f>G1144*N1144</f>
        <v>6.8400000000000002E-2</v>
      </c>
      <c r="P1144" s="72" t="s">
        <v>1664</v>
      </c>
      <c r="Z1144" s="14">
        <f>IF(AQ1144="5",BJ1144,0)</f>
        <v>0</v>
      </c>
      <c r="AB1144" s="14">
        <f>IF(AQ1144="1",BH1144,0)</f>
        <v>0</v>
      </c>
      <c r="AC1144" s="14">
        <f>IF(AQ1144="1",BI1144,0)</f>
        <v>0</v>
      </c>
      <c r="AD1144" s="14">
        <f>IF(AQ1144="7",BH1144,0)</f>
        <v>0</v>
      </c>
      <c r="AE1144" s="14">
        <f>IF(AQ1144="7",BI1144,0)</f>
        <v>0</v>
      </c>
      <c r="AF1144" s="14">
        <f>IF(AQ1144="2",BH1144,0)</f>
        <v>0</v>
      </c>
      <c r="AG1144" s="14">
        <f>IF(AQ1144="2",BI1144,0)</f>
        <v>0</v>
      </c>
      <c r="AH1144" s="14">
        <f>IF(AQ1144="0",BJ1144,0)</f>
        <v>0</v>
      </c>
      <c r="AI1144" s="15" t="s">
        <v>750</v>
      </c>
      <c r="AJ1144" s="14">
        <f>IF(AN1144=0,L1144,0)</f>
        <v>0</v>
      </c>
      <c r="AK1144" s="14">
        <f>IF(AN1144=15,L1144,0)</f>
        <v>0</v>
      </c>
      <c r="AL1144" s="14">
        <f>IF(AN1144=21,L1144,0)</f>
        <v>0</v>
      </c>
      <c r="AN1144" s="14">
        <v>21</v>
      </c>
      <c r="AO1144" s="92">
        <f>H1144*0.491866977829638</f>
        <v>0</v>
      </c>
      <c r="AP1144" s="92">
        <f>H1144*(1-0.491866977829638)</f>
        <v>0</v>
      </c>
      <c r="AQ1144" s="55" t="s">
        <v>2435</v>
      </c>
      <c r="AV1144" s="14">
        <f>AW1144+AX1144</f>
        <v>0</v>
      </c>
      <c r="AW1144" s="14">
        <f>G1144*AO1144</f>
        <v>0</v>
      </c>
      <c r="AX1144" s="14">
        <f>G1144*AP1144</f>
        <v>0</v>
      </c>
      <c r="AY1144" s="55" t="s">
        <v>369</v>
      </c>
      <c r="AZ1144" s="55" t="s">
        <v>1212</v>
      </c>
      <c r="BA1144" s="15" t="s">
        <v>1027</v>
      </c>
      <c r="BC1144" s="14">
        <f>AW1144+AX1144</f>
        <v>0</v>
      </c>
      <c r="BD1144" s="14">
        <f>H1144/(100-BE1144)*100</f>
        <v>0</v>
      </c>
      <c r="BE1144" s="14">
        <v>0</v>
      </c>
      <c r="BF1144" s="14">
        <f>O1144</f>
        <v>6.8400000000000002E-2</v>
      </c>
      <c r="BH1144" s="14">
        <f>G1144*AO1144</f>
        <v>0</v>
      </c>
      <c r="BI1144" s="14">
        <f>G1144*AP1144</f>
        <v>0</v>
      </c>
      <c r="BJ1144" s="14">
        <f>G1144*H1144</f>
        <v>0</v>
      </c>
      <c r="BK1144" s="14"/>
      <c r="BL1144" s="14">
        <v>721</v>
      </c>
      <c r="BW1144" s="14" t="str">
        <f>I1144</f>
        <v>21</v>
      </c>
    </row>
    <row r="1145" spans="1:75" ht="15" customHeight="1">
      <c r="A1145" s="32"/>
      <c r="D1145" s="3" t="s">
        <v>2701</v>
      </c>
      <c r="E1145" s="28" t="s">
        <v>1683</v>
      </c>
      <c r="G1145" s="27">
        <v>47.500000000000007</v>
      </c>
      <c r="P1145" s="33"/>
    </row>
    <row r="1146" spans="1:75" ht="13.5" customHeight="1">
      <c r="A1146" s="21" t="s">
        <v>394</v>
      </c>
      <c r="B1146" s="37" t="s">
        <v>750</v>
      </c>
      <c r="C1146" s="37" t="s">
        <v>127</v>
      </c>
      <c r="D1146" s="578" t="s">
        <v>509</v>
      </c>
      <c r="E1146" s="579"/>
      <c r="F1146" s="37" t="s">
        <v>2019</v>
      </c>
      <c r="G1146" s="14">
        <v>32</v>
      </c>
      <c r="H1146" s="569"/>
      <c r="I1146" s="55" t="s">
        <v>1720</v>
      </c>
      <c r="J1146" s="14">
        <f>G1146*AO1146</f>
        <v>0</v>
      </c>
      <c r="K1146" s="14">
        <f>G1146*AP1146</f>
        <v>0</v>
      </c>
      <c r="L1146" s="14">
        <f>G1146*H1146</f>
        <v>0</v>
      </c>
      <c r="M1146" s="14">
        <f>L1146*(1+BW1146/100)</f>
        <v>0</v>
      </c>
      <c r="N1146" s="14">
        <v>1.8799999999999999E-3</v>
      </c>
      <c r="O1146" s="14">
        <f>G1146*N1146</f>
        <v>6.0159999999999998E-2</v>
      </c>
      <c r="P1146" s="72" t="s">
        <v>1664</v>
      </c>
      <c r="Z1146" s="14">
        <f>IF(AQ1146="5",BJ1146,0)</f>
        <v>0</v>
      </c>
      <c r="AB1146" s="14">
        <f>IF(AQ1146="1",BH1146,0)</f>
        <v>0</v>
      </c>
      <c r="AC1146" s="14">
        <f>IF(AQ1146="1",BI1146,0)</f>
        <v>0</v>
      </c>
      <c r="AD1146" s="14">
        <f>IF(AQ1146="7",BH1146,0)</f>
        <v>0</v>
      </c>
      <c r="AE1146" s="14">
        <f>IF(AQ1146="7",BI1146,0)</f>
        <v>0</v>
      </c>
      <c r="AF1146" s="14">
        <f>IF(AQ1146="2",BH1146,0)</f>
        <v>0</v>
      </c>
      <c r="AG1146" s="14">
        <f>IF(AQ1146="2",BI1146,0)</f>
        <v>0</v>
      </c>
      <c r="AH1146" s="14">
        <f>IF(AQ1146="0",BJ1146,0)</f>
        <v>0</v>
      </c>
      <c r="AI1146" s="15" t="s">
        <v>750</v>
      </c>
      <c r="AJ1146" s="14">
        <f>IF(AN1146=0,L1146,0)</f>
        <v>0</v>
      </c>
      <c r="AK1146" s="14">
        <f>IF(AN1146=15,L1146,0)</f>
        <v>0</v>
      </c>
      <c r="AL1146" s="14">
        <f>IF(AN1146=21,L1146,0)</f>
        <v>0</v>
      </c>
      <c r="AN1146" s="14">
        <v>21</v>
      </c>
      <c r="AO1146" s="92">
        <f>H1146*0.717777057679844</f>
        <v>0</v>
      </c>
      <c r="AP1146" s="92">
        <f>H1146*(1-0.717777057679844)</f>
        <v>0</v>
      </c>
      <c r="AQ1146" s="55" t="s">
        <v>2435</v>
      </c>
      <c r="AV1146" s="14">
        <f>AW1146+AX1146</f>
        <v>0</v>
      </c>
      <c r="AW1146" s="14">
        <f>G1146*AO1146</f>
        <v>0</v>
      </c>
      <c r="AX1146" s="14">
        <f>G1146*AP1146</f>
        <v>0</v>
      </c>
      <c r="AY1146" s="55" t="s">
        <v>369</v>
      </c>
      <c r="AZ1146" s="55" t="s">
        <v>1212</v>
      </c>
      <c r="BA1146" s="15" t="s">
        <v>1027</v>
      </c>
      <c r="BC1146" s="14">
        <f>AW1146+AX1146</f>
        <v>0</v>
      </c>
      <c r="BD1146" s="14">
        <f>H1146/(100-BE1146)*100</f>
        <v>0</v>
      </c>
      <c r="BE1146" s="14">
        <v>0</v>
      </c>
      <c r="BF1146" s="14">
        <f>O1146</f>
        <v>6.0159999999999998E-2</v>
      </c>
      <c r="BH1146" s="14">
        <f>G1146*AO1146</f>
        <v>0</v>
      </c>
      <c r="BI1146" s="14">
        <f>G1146*AP1146</f>
        <v>0</v>
      </c>
      <c r="BJ1146" s="14">
        <f>G1146*H1146</f>
        <v>0</v>
      </c>
      <c r="BK1146" s="14"/>
      <c r="BL1146" s="14">
        <v>721</v>
      </c>
      <c r="BW1146" s="14" t="str">
        <f>I1146</f>
        <v>21</v>
      </c>
    </row>
    <row r="1147" spans="1:75" ht="15" customHeight="1">
      <c r="A1147" s="32"/>
      <c r="D1147" s="3" t="s">
        <v>2053</v>
      </c>
      <c r="E1147" s="28" t="s">
        <v>1683</v>
      </c>
      <c r="G1147" s="27">
        <v>32</v>
      </c>
      <c r="P1147" s="33"/>
    </row>
    <row r="1148" spans="1:75" ht="13.5" customHeight="1">
      <c r="A1148" s="21" t="s">
        <v>7</v>
      </c>
      <c r="B1148" s="37" t="s">
        <v>750</v>
      </c>
      <c r="C1148" s="37" t="s">
        <v>1577</v>
      </c>
      <c r="D1148" s="578" t="s">
        <v>2542</v>
      </c>
      <c r="E1148" s="579"/>
      <c r="F1148" s="37" t="s">
        <v>2019</v>
      </c>
      <c r="G1148" s="14">
        <v>14</v>
      </c>
      <c r="H1148" s="569"/>
      <c r="I1148" s="55" t="s">
        <v>1720</v>
      </c>
      <c r="J1148" s="14">
        <f>G1148*AO1148</f>
        <v>0</v>
      </c>
      <c r="K1148" s="14">
        <f>G1148*AP1148</f>
        <v>0</v>
      </c>
      <c r="L1148" s="14">
        <f>G1148*H1148</f>
        <v>0</v>
      </c>
      <c r="M1148" s="14">
        <f>L1148*(1+BW1148/100)</f>
        <v>0</v>
      </c>
      <c r="N1148" s="14">
        <v>2.7699999999999999E-3</v>
      </c>
      <c r="O1148" s="14">
        <f>G1148*N1148</f>
        <v>3.8779999999999995E-2</v>
      </c>
      <c r="P1148" s="72" t="s">
        <v>1664</v>
      </c>
      <c r="Z1148" s="14">
        <f>IF(AQ1148="5",BJ1148,0)</f>
        <v>0</v>
      </c>
      <c r="AB1148" s="14">
        <f>IF(AQ1148="1",BH1148,0)</f>
        <v>0</v>
      </c>
      <c r="AC1148" s="14">
        <f>IF(AQ1148="1",BI1148,0)</f>
        <v>0</v>
      </c>
      <c r="AD1148" s="14">
        <f>IF(AQ1148="7",BH1148,0)</f>
        <v>0</v>
      </c>
      <c r="AE1148" s="14">
        <f>IF(AQ1148="7",BI1148,0)</f>
        <v>0</v>
      </c>
      <c r="AF1148" s="14">
        <f>IF(AQ1148="2",BH1148,0)</f>
        <v>0</v>
      </c>
      <c r="AG1148" s="14">
        <f>IF(AQ1148="2",BI1148,0)</f>
        <v>0</v>
      </c>
      <c r="AH1148" s="14">
        <f>IF(AQ1148="0",BJ1148,0)</f>
        <v>0</v>
      </c>
      <c r="AI1148" s="15" t="s">
        <v>750</v>
      </c>
      <c r="AJ1148" s="14">
        <f>IF(AN1148=0,L1148,0)</f>
        <v>0</v>
      </c>
      <c r="AK1148" s="14">
        <f>IF(AN1148=15,L1148,0)</f>
        <v>0</v>
      </c>
      <c r="AL1148" s="14">
        <f>IF(AN1148=21,L1148,0)</f>
        <v>0</v>
      </c>
      <c r="AN1148" s="14">
        <v>21</v>
      </c>
      <c r="AO1148" s="92">
        <f>H1148*0.821361447724059</f>
        <v>0</v>
      </c>
      <c r="AP1148" s="92">
        <f>H1148*(1-0.821361447724059)</f>
        <v>0</v>
      </c>
      <c r="AQ1148" s="55" t="s">
        <v>2435</v>
      </c>
      <c r="AV1148" s="14">
        <f>AW1148+AX1148</f>
        <v>0</v>
      </c>
      <c r="AW1148" s="14">
        <f>G1148*AO1148</f>
        <v>0</v>
      </c>
      <c r="AX1148" s="14">
        <f>G1148*AP1148</f>
        <v>0</v>
      </c>
      <c r="AY1148" s="55" t="s">
        <v>369</v>
      </c>
      <c r="AZ1148" s="55" t="s">
        <v>1212</v>
      </c>
      <c r="BA1148" s="15" t="s">
        <v>1027</v>
      </c>
      <c r="BC1148" s="14">
        <f>AW1148+AX1148</f>
        <v>0</v>
      </c>
      <c r="BD1148" s="14">
        <f>H1148/(100-BE1148)*100</f>
        <v>0</v>
      </c>
      <c r="BE1148" s="14">
        <v>0</v>
      </c>
      <c r="BF1148" s="14">
        <f>O1148</f>
        <v>3.8779999999999995E-2</v>
      </c>
      <c r="BH1148" s="14">
        <f>G1148*AO1148</f>
        <v>0</v>
      </c>
      <c r="BI1148" s="14">
        <f>G1148*AP1148</f>
        <v>0</v>
      </c>
      <c r="BJ1148" s="14">
        <f>G1148*H1148</f>
        <v>0</v>
      </c>
      <c r="BK1148" s="14"/>
      <c r="BL1148" s="14">
        <v>721</v>
      </c>
      <c r="BW1148" s="14" t="str">
        <f>I1148</f>
        <v>21</v>
      </c>
    </row>
    <row r="1149" spans="1:75" ht="15" customHeight="1">
      <c r="A1149" s="32"/>
      <c r="D1149" s="3" t="s">
        <v>1446</v>
      </c>
      <c r="E1149" s="28" t="s">
        <v>1683</v>
      </c>
      <c r="G1149" s="27">
        <v>14.000000000000002</v>
      </c>
      <c r="P1149" s="33"/>
    </row>
    <row r="1150" spans="1:75" ht="13.5" customHeight="1">
      <c r="A1150" s="21" t="s">
        <v>518</v>
      </c>
      <c r="B1150" s="37" t="s">
        <v>750</v>
      </c>
      <c r="C1150" s="37" t="s">
        <v>2779</v>
      </c>
      <c r="D1150" s="578" t="s">
        <v>2261</v>
      </c>
      <c r="E1150" s="579"/>
      <c r="F1150" s="37" t="s">
        <v>2019</v>
      </c>
      <c r="G1150" s="14">
        <v>38</v>
      </c>
      <c r="H1150" s="569"/>
      <c r="I1150" s="55" t="s">
        <v>1720</v>
      </c>
      <c r="J1150" s="14">
        <f>G1150*AO1150</f>
        <v>0</v>
      </c>
      <c r="K1150" s="14">
        <f>G1150*AP1150</f>
        <v>0</v>
      </c>
      <c r="L1150" s="14">
        <f>G1150*H1150</f>
        <v>0</v>
      </c>
      <c r="M1150" s="14">
        <f>L1150*(1+BW1150/100)</f>
        <v>0</v>
      </c>
      <c r="N1150" s="14">
        <v>2.5200000000000001E-3</v>
      </c>
      <c r="O1150" s="14">
        <f>G1150*N1150</f>
        <v>9.5759999999999998E-2</v>
      </c>
      <c r="P1150" s="72" t="s">
        <v>1664</v>
      </c>
      <c r="Z1150" s="14">
        <f>IF(AQ1150="5",BJ1150,0)</f>
        <v>0</v>
      </c>
      <c r="AB1150" s="14">
        <f>IF(AQ1150="1",BH1150,0)</f>
        <v>0</v>
      </c>
      <c r="AC1150" s="14">
        <f>IF(AQ1150="1",BI1150,0)</f>
        <v>0</v>
      </c>
      <c r="AD1150" s="14">
        <f>IF(AQ1150="7",BH1150,0)</f>
        <v>0</v>
      </c>
      <c r="AE1150" s="14">
        <f>IF(AQ1150="7",BI1150,0)</f>
        <v>0</v>
      </c>
      <c r="AF1150" s="14">
        <f>IF(AQ1150="2",BH1150,0)</f>
        <v>0</v>
      </c>
      <c r="AG1150" s="14">
        <f>IF(AQ1150="2",BI1150,0)</f>
        <v>0</v>
      </c>
      <c r="AH1150" s="14">
        <f>IF(AQ1150="0",BJ1150,0)</f>
        <v>0</v>
      </c>
      <c r="AI1150" s="15" t="s">
        <v>750</v>
      </c>
      <c r="AJ1150" s="14">
        <f>IF(AN1150=0,L1150,0)</f>
        <v>0</v>
      </c>
      <c r="AK1150" s="14">
        <f>IF(AN1150=15,L1150,0)</f>
        <v>0</v>
      </c>
      <c r="AL1150" s="14">
        <f>IF(AN1150=21,L1150,0)</f>
        <v>0</v>
      </c>
      <c r="AN1150" s="14">
        <v>21</v>
      </c>
      <c r="AO1150" s="92">
        <f>H1150*0.578032945736434</f>
        <v>0</v>
      </c>
      <c r="AP1150" s="92">
        <f>H1150*(1-0.578032945736434)</f>
        <v>0</v>
      </c>
      <c r="AQ1150" s="55" t="s">
        <v>2435</v>
      </c>
      <c r="AV1150" s="14">
        <f>AW1150+AX1150</f>
        <v>0</v>
      </c>
      <c r="AW1150" s="14">
        <f>G1150*AO1150</f>
        <v>0</v>
      </c>
      <c r="AX1150" s="14">
        <f>G1150*AP1150</f>
        <v>0</v>
      </c>
      <c r="AY1150" s="55" t="s">
        <v>369</v>
      </c>
      <c r="AZ1150" s="55" t="s">
        <v>1212</v>
      </c>
      <c r="BA1150" s="15" t="s">
        <v>1027</v>
      </c>
      <c r="BC1150" s="14">
        <f>AW1150+AX1150</f>
        <v>0</v>
      </c>
      <c r="BD1150" s="14">
        <f>H1150/(100-BE1150)*100</f>
        <v>0</v>
      </c>
      <c r="BE1150" s="14">
        <v>0</v>
      </c>
      <c r="BF1150" s="14">
        <f>O1150</f>
        <v>9.5759999999999998E-2</v>
      </c>
      <c r="BH1150" s="14">
        <f>G1150*AO1150</f>
        <v>0</v>
      </c>
      <c r="BI1150" s="14">
        <f>G1150*AP1150</f>
        <v>0</v>
      </c>
      <c r="BJ1150" s="14">
        <f>G1150*H1150</f>
        <v>0</v>
      </c>
      <c r="BK1150" s="14"/>
      <c r="BL1150" s="14">
        <v>721</v>
      </c>
      <c r="BW1150" s="14" t="str">
        <f>I1150</f>
        <v>21</v>
      </c>
    </row>
    <row r="1151" spans="1:75" ht="15" customHeight="1">
      <c r="A1151" s="32"/>
      <c r="D1151" s="3" t="s">
        <v>1470</v>
      </c>
      <c r="E1151" s="28" t="s">
        <v>1683</v>
      </c>
      <c r="G1151" s="27">
        <v>38</v>
      </c>
      <c r="P1151" s="33"/>
    </row>
    <row r="1152" spans="1:75" ht="13.5" customHeight="1">
      <c r="A1152" s="21" t="s">
        <v>2282</v>
      </c>
      <c r="B1152" s="37" t="s">
        <v>750</v>
      </c>
      <c r="C1152" s="37" t="s">
        <v>1706</v>
      </c>
      <c r="D1152" s="578" t="s">
        <v>2634</v>
      </c>
      <c r="E1152" s="579"/>
      <c r="F1152" s="37" t="s">
        <v>2019</v>
      </c>
      <c r="G1152" s="14">
        <v>4</v>
      </c>
      <c r="H1152" s="569"/>
      <c r="I1152" s="55" t="s">
        <v>1720</v>
      </c>
      <c r="J1152" s="14">
        <f>G1152*AO1152</f>
        <v>0</v>
      </c>
      <c r="K1152" s="14">
        <f>G1152*AP1152</f>
        <v>0</v>
      </c>
      <c r="L1152" s="14">
        <f>G1152*H1152</f>
        <v>0</v>
      </c>
      <c r="M1152" s="14">
        <f>L1152*(1+BW1152/100)</f>
        <v>0</v>
      </c>
      <c r="N1152" s="14">
        <v>3.5699999999999998E-3</v>
      </c>
      <c r="O1152" s="14">
        <f>G1152*N1152</f>
        <v>1.4279999999999999E-2</v>
      </c>
      <c r="P1152" s="72" t="s">
        <v>1664</v>
      </c>
      <c r="Z1152" s="14">
        <f>IF(AQ1152="5",BJ1152,0)</f>
        <v>0</v>
      </c>
      <c r="AB1152" s="14">
        <f>IF(AQ1152="1",BH1152,0)</f>
        <v>0</v>
      </c>
      <c r="AC1152" s="14">
        <f>IF(AQ1152="1",BI1152,0)</f>
        <v>0</v>
      </c>
      <c r="AD1152" s="14">
        <f>IF(AQ1152="7",BH1152,0)</f>
        <v>0</v>
      </c>
      <c r="AE1152" s="14">
        <f>IF(AQ1152="7",BI1152,0)</f>
        <v>0</v>
      </c>
      <c r="AF1152" s="14">
        <f>IF(AQ1152="2",BH1152,0)</f>
        <v>0</v>
      </c>
      <c r="AG1152" s="14">
        <f>IF(AQ1152="2",BI1152,0)</f>
        <v>0</v>
      </c>
      <c r="AH1152" s="14">
        <f>IF(AQ1152="0",BJ1152,0)</f>
        <v>0</v>
      </c>
      <c r="AI1152" s="15" t="s">
        <v>750</v>
      </c>
      <c r="AJ1152" s="14">
        <f>IF(AN1152=0,L1152,0)</f>
        <v>0</v>
      </c>
      <c r="AK1152" s="14">
        <f>IF(AN1152=15,L1152,0)</f>
        <v>0</v>
      </c>
      <c r="AL1152" s="14">
        <f>IF(AN1152=21,L1152,0)</f>
        <v>0</v>
      </c>
      <c r="AN1152" s="14">
        <v>21</v>
      </c>
      <c r="AO1152" s="92">
        <f>H1152*0.715672215838406</f>
        <v>0</v>
      </c>
      <c r="AP1152" s="92">
        <f>H1152*(1-0.715672215838406)</f>
        <v>0</v>
      </c>
      <c r="AQ1152" s="55" t="s">
        <v>2435</v>
      </c>
      <c r="AV1152" s="14">
        <f>AW1152+AX1152</f>
        <v>0</v>
      </c>
      <c r="AW1152" s="14">
        <f>G1152*AO1152</f>
        <v>0</v>
      </c>
      <c r="AX1152" s="14">
        <f>G1152*AP1152</f>
        <v>0</v>
      </c>
      <c r="AY1152" s="55" t="s">
        <v>369</v>
      </c>
      <c r="AZ1152" s="55" t="s">
        <v>1212</v>
      </c>
      <c r="BA1152" s="15" t="s">
        <v>1027</v>
      </c>
      <c r="BC1152" s="14">
        <f>AW1152+AX1152</f>
        <v>0</v>
      </c>
      <c r="BD1152" s="14">
        <f>H1152/(100-BE1152)*100</f>
        <v>0</v>
      </c>
      <c r="BE1152" s="14">
        <v>0</v>
      </c>
      <c r="BF1152" s="14">
        <f>O1152</f>
        <v>1.4279999999999999E-2</v>
      </c>
      <c r="BH1152" s="14">
        <f>G1152*AO1152</f>
        <v>0</v>
      </c>
      <c r="BI1152" s="14">
        <f>G1152*AP1152</f>
        <v>0</v>
      </c>
      <c r="BJ1152" s="14">
        <f>G1152*H1152</f>
        <v>0</v>
      </c>
      <c r="BK1152" s="14"/>
      <c r="BL1152" s="14">
        <v>721</v>
      </c>
      <c r="BW1152" s="14" t="str">
        <f>I1152</f>
        <v>21</v>
      </c>
    </row>
    <row r="1153" spans="1:75" ht="15" customHeight="1">
      <c r="A1153" s="32"/>
      <c r="D1153" s="3" t="s">
        <v>272</v>
      </c>
      <c r="E1153" s="28" t="s">
        <v>1683</v>
      </c>
      <c r="G1153" s="27">
        <v>4</v>
      </c>
      <c r="P1153" s="33"/>
    </row>
    <row r="1154" spans="1:75" ht="13.5" customHeight="1">
      <c r="A1154" s="21" t="s">
        <v>1464</v>
      </c>
      <c r="B1154" s="37" t="s">
        <v>750</v>
      </c>
      <c r="C1154" s="37" t="s">
        <v>236</v>
      </c>
      <c r="D1154" s="578" t="s">
        <v>1494</v>
      </c>
      <c r="E1154" s="579"/>
      <c r="F1154" s="37" t="s">
        <v>2019</v>
      </c>
      <c r="G1154" s="14">
        <v>30</v>
      </c>
      <c r="H1154" s="569"/>
      <c r="I1154" s="55" t="s">
        <v>1720</v>
      </c>
      <c r="J1154" s="14">
        <f>G1154*AO1154</f>
        <v>0</v>
      </c>
      <c r="K1154" s="14">
        <f>G1154*AP1154</f>
        <v>0</v>
      </c>
      <c r="L1154" s="14">
        <f>G1154*H1154</f>
        <v>0</v>
      </c>
      <c r="M1154" s="14">
        <f>L1154*(1+BW1154/100)</f>
        <v>0</v>
      </c>
      <c r="N1154" s="14">
        <v>7.7999999999999999E-4</v>
      </c>
      <c r="O1154" s="14">
        <f>G1154*N1154</f>
        <v>2.3400000000000001E-2</v>
      </c>
      <c r="P1154" s="72" t="s">
        <v>1664</v>
      </c>
      <c r="Z1154" s="14">
        <f>IF(AQ1154="5",BJ1154,0)</f>
        <v>0</v>
      </c>
      <c r="AB1154" s="14">
        <f>IF(AQ1154="1",BH1154,0)</f>
        <v>0</v>
      </c>
      <c r="AC1154" s="14">
        <f>IF(AQ1154="1",BI1154,0)</f>
        <v>0</v>
      </c>
      <c r="AD1154" s="14">
        <f>IF(AQ1154="7",BH1154,0)</f>
        <v>0</v>
      </c>
      <c r="AE1154" s="14">
        <f>IF(AQ1154="7",BI1154,0)</f>
        <v>0</v>
      </c>
      <c r="AF1154" s="14">
        <f>IF(AQ1154="2",BH1154,0)</f>
        <v>0</v>
      </c>
      <c r="AG1154" s="14">
        <f>IF(AQ1154="2",BI1154,0)</f>
        <v>0</v>
      </c>
      <c r="AH1154" s="14">
        <f>IF(AQ1154="0",BJ1154,0)</f>
        <v>0</v>
      </c>
      <c r="AI1154" s="15" t="s">
        <v>750</v>
      </c>
      <c r="AJ1154" s="14">
        <f>IF(AN1154=0,L1154,0)</f>
        <v>0</v>
      </c>
      <c r="AK1154" s="14">
        <f>IF(AN1154=15,L1154,0)</f>
        <v>0</v>
      </c>
      <c r="AL1154" s="14">
        <f>IF(AN1154=21,L1154,0)</f>
        <v>0</v>
      </c>
      <c r="AN1154" s="14">
        <v>21</v>
      </c>
      <c r="AO1154" s="92">
        <f>H1154*0.396720867208672</f>
        <v>0</v>
      </c>
      <c r="AP1154" s="92">
        <f>H1154*(1-0.396720867208672)</f>
        <v>0</v>
      </c>
      <c r="AQ1154" s="55" t="s">
        <v>2435</v>
      </c>
      <c r="AV1154" s="14">
        <f>AW1154+AX1154</f>
        <v>0</v>
      </c>
      <c r="AW1154" s="14">
        <f>G1154*AO1154</f>
        <v>0</v>
      </c>
      <c r="AX1154" s="14">
        <f>G1154*AP1154</f>
        <v>0</v>
      </c>
      <c r="AY1154" s="55" t="s">
        <v>369</v>
      </c>
      <c r="AZ1154" s="55" t="s">
        <v>1212</v>
      </c>
      <c r="BA1154" s="15" t="s">
        <v>1027</v>
      </c>
      <c r="BC1154" s="14">
        <f>AW1154+AX1154</f>
        <v>0</v>
      </c>
      <c r="BD1154" s="14">
        <f>H1154/(100-BE1154)*100</f>
        <v>0</v>
      </c>
      <c r="BE1154" s="14">
        <v>0</v>
      </c>
      <c r="BF1154" s="14">
        <f>O1154</f>
        <v>2.3400000000000001E-2</v>
      </c>
      <c r="BH1154" s="14">
        <f>G1154*AO1154</f>
        <v>0</v>
      </c>
      <c r="BI1154" s="14">
        <f>G1154*AP1154</f>
        <v>0</v>
      </c>
      <c r="BJ1154" s="14">
        <f>G1154*H1154</f>
        <v>0</v>
      </c>
      <c r="BK1154" s="14"/>
      <c r="BL1154" s="14">
        <v>721</v>
      </c>
      <c r="BW1154" s="14" t="str">
        <f>I1154</f>
        <v>21</v>
      </c>
    </row>
    <row r="1155" spans="1:75" ht="15" customHeight="1">
      <c r="A1155" s="32"/>
      <c r="D1155" s="3" t="s">
        <v>1565</v>
      </c>
      <c r="E1155" s="28" t="s">
        <v>1683</v>
      </c>
      <c r="G1155" s="27">
        <v>30.000000000000004</v>
      </c>
      <c r="P1155" s="33"/>
    </row>
    <row r="1156" spans="1:75" ht="13.5" customHeight="1">
      <c r="A1156" s="21" t="s">
        <v>2663</v>
      </c>
      <c r="B1156" s="37" t="s">
        <v>750</v>
      </c>
      <c r="C1156" s="37" t="s">
        <v>797</v>
      </c>
      <c r="D1156" s="578" t="s">
        <v>145</v>
      </c>
      <c r="E1156" s="579"/>
      <c r="F1156" s="37" t="s">
        <v>2019</v>
      </c>
      <c r="G1156" s="14">
        <v>19</v>
      </c>
      <c r="H1156" s="569"/>
      <c r="I1156" s="55" t="s">
        <v>1720</v>
      </c>
      <c r="J1156" s="14">
        <f>G1156*AO1156</f>
        <v>0</v>
      </c>
      <c r="K1156" s="14">
        <f>G1156*AP1156</f>
        <v>0</v>
      </c>
      <c r="L1156" s="14">
        <f>G1156*H1156</f>
        <v>0</v>
      </c>
      <c r="M1156" s="14">
        <f>L1156*(1+BW1156/100)</f>
        <v>0</v>
      </c>
      <c r="N1156" s="14">
        <v>1.31E-3</v>
      </c>
      <c r="O1156" s="14">
        <f>G1156*N1156</f>
        <v>2.4889999999999999E-2</v>
      </c>
      <c r="P1156" s="72" t="s">
        <v>1664</v>
      </c>
      <c r="Z1156" s="14">
        <f>IF(AQ1156="5",BJ1156,0)</f>
        <v>0</v>
      </c>
      <c r="AB1156" s="14">
        <f>IF(AQ1156="1",BH1156,0)</f>
        <v>0</v>
      </c>
      <c r="AC1156" s="14">
        <f>IF(AQ1156="1",BI1156,0)</f>
        <v>0</v>
      </c>
      <c r="AD1156" s="14">
        <f>IF(AQ1156="7",BH1156,0)</f>
        <v>0</v>
      </c>
      <c r="AE1156" s="14">
        <f>IF(AQ1156="7",BI1156,0)</f>
        <v>0</v>
      </c>
      <c r="AF1156" s="14">
        <f>IF(AQ1156="2",BH1156,0)</f>
        <v>0</v>
      </c>
      <c r="AG1156" s="14">
        <f>IF(AQ1156="2",BI1156,0)</f>
        <v>0</v>
      </c>
      <c r="AH1156" s="14">
        <f>IF(AQ1156="0",BJ1156,0)</f>
        <v>0</v>
      </c>
      <c r="AI1156" s="15" t="s">
        <v>750</v>
      </c>
      <c r="AJ1156" s="14">
        <f>IF(AN1156=0,L1156,0)</f>
        <v>0</v>
      </c>
      <c r="AK1156" s="14">
        <f>IF(AN1156=15,L1156,0)</f>
        <v>0</v>
      </c>
      <c r="AL1156" s="14">
        <f>IF(AN1156=21,L1156,0)</f>
        <v>0</v>
      </c>
      <c r="AN1156" s="14">
        <v>21</v>
      </c>
      <c r="AO1156" s="92">
        <f>H1156*0.486055918672376</f>
        <v>0</v>
      </c>
      <c r="AP1156" s="92">
        <f>H1156*(1-0.486055918672376)</f>
        <v>0</v>
      </c>
      <c r="AQ1156" s="55" t="s">
        <v>2435</v>
      </c>
      <c r="AV1156" s="14">
        <f>AW1156+AX1156</f>
        <v>0</v>
      </c>
      <c r="AW1156" s="14">
        <f>G1156*AO1156</f>
        <v>0</v>
      </c>
      <c r="AX1156" s="14">
        <f>G1156*AP1156</f>
        <v>0</v>
      </c>
      <c r="AY1156" s="55" t="s">
        <v>369</v>
      </c>
      <c r="AZ1156" s="55" t="s">
        <v>1212</v>
      </c>
      <c r="BA1156" s="15" t="s">
        <v>1027</v>
      </c>
      <c r="BC1156" s="14">
        <f>AW1156+AX1156</f>
        <v>0</v>
      </c>
      <c r="BD1156" s="14">
        <f>H1156/(100-BE1156)*100</f>
        <v>0</v>
      </c>
      <c r="BE1156" s="14">
        <v>0</v>
      </c>
      <c r="BF1156" s="14">
        <f>O1156</f>
        <v>2.4889999999999999E-2</v>
      </c>
      <c r="BH1156" s="14">
        <f>G1156*AO1156</f>
        <v>0</v>
      </c>
      <c r="BI1156" s="14">
        <f>G1156*AP1156</f>
        <v>0</v>
      </c>
      <c r="BJ1156" s="14">
        <f>G1156*H1156</f>
        <v>0</v>
      </c>
      <c r="BK1156" s="14"/>
      <c r="BL1156" s="14">
        <v>721</v>
      </c>
      <c r="BW1156" s="14" t="str">
        <f>I1156</f>
        <v>21</v>
      </c>
    </row>
    <row r="1157" spans="1:75" ht="15" customHeight="1">
      <c r="A1157" s="32"/>
      <c r="D1157" s="3" t="s">
        <v>1545</v>
      </c>
      <c r="E1157" s="28" t="s">
        <v>1683</v>
      </c>
      <c r="G1157" s="27">
        <v>19</v>
      </c>
      <c r="P1157" s="33"/>
    </row>
    <row r="1158" spans="1:75" ht="13.5" customHeight="1">
      <c r="A1158" s="21" t="s">
        <v>1251</v>
      </c>
      <c r="B1158" s="37" t="s">
        <v>750</v>
      </c>
      <c r="C1158" s="37" t="s">
        <v>328</v>
      </c>
      <c r="D1158" s="578" t="s">
        <v>1597</v>
      </c>
      <c r="E1158" s="579"/>
      <c r="F1158" s="37" t="s">
        <v>2019</v>
      </c>
      <c r="G1158" s="14">
        <v>32</v>
      </c>
      <c r="H1158" s="569"/>
      <c r="I1158" s="55" t="s">
        <v>1720</v>
      </c>
      <c r="J1158" s="14">
        <f>G1158*AO1158</f>
        <v>0</v>
      </c>
      <c r="K1158" s="14">
        <f>G1158*AP1158</f>
        <v>0</v>
      </c>
      <c r="L1158" s="14">
        <f>G1158*H1158</f>
        <v>0</v>
      </c>
      <c r="M1158" s="14">
        <f>L1158*(1+BW1158/100)</f>
        <v>0</v>
      </c>
      <c r="N1158" s="14">
        <v>3.8000000000000002E-4</v>
      </c>
      <c r="O1158" s="14">
        <f>G1158*N1158</f>
        <v>1.2160000000000001E-2</v>
      </c>
      <c r="P1158" s="72" t="s">
        <v>1664</v>
      </c>
      <c r="Z1158" s="14">
        <f>IF(AQ1158="5",BJ1158,0)</f>
        <v>0</v>
      </c>
      <c r="AB1158" s="14">
        <f>IF(AQ1158="1",BH1158,0)</f>
        <v>0</v>
      </c>
      <c r="AC1158" s="14">
        <f>IF(AQ1158="1",BI1158,0)</f>
        <v>0</v>
      </c>
      <c r="AD1158" s="14">
        <f>IF(AQ1158="7",BH1158,0)</f>
        <v>0</v>
      </c>
      <c r="AE1158" s="14">
        <f>IF(AQ1158="7",BI1158,0)</f>
        <v>0</v>
      </c>
      <c r="AF1158" s="14">
        <f>IF(AQ1158="2",BH1158,0)</f>
        <v>0</v>
      </c>
      <c r="AG1158" s="14">
        <f>IF(AQ1158="2",BI1158,0)</f>
        <v>0</v>
      </c>
      <c r="AH1158" s="14">
        <f>IF(AQ1158="0",BJ1158,0)</f>
        <v>0</v>
      </c>
      <c r="AI1158" s="15" t="s">
        <v>750</v>
      </c>
      <c r="AJ1158" s="14">
        <f>IF(AN1158=0,L1158,0)</f>
        <v>0</v>
      </c>
      <c r="AK1158" s="14">
        <f>IF(AN1158=15,L1158,0)</f>
        <v>0</v>
      </c>
      <c r="AL1158" s="14">
        <f>IF(AN1158=21,L1158,0)</f>
        <v>0</v>
      </c>
      <c r="AN1158" s="14">
        <v>21</v>
      </c>
      <c r="AO1158" s="92">
        <f>H1158*0.39933105754974</f>
        <v>0</v>
      </c>
      <c r="AP1158" s="92">
        <f>H1158*(1-0.39933105754974)</f>
        <v>0</v>
      </c>
      <c r="AQ1158" s="55" t="s">
        <v>2435</v>
      </c>
      <c r="AV1158" s="14">
        <f>AW1158+AX1158</f>
        <v>0</v>
      </c>
      <c r="AW1158" s="14">
        <f>G1158*AO1158</f>
        <v>0</v>
      </c>
      <c r="AX1158" s="14">
        <f>G1158*AP1158</f>
        <v>0</v>
      </c>
      <c r="AY1158" s="55" t="s">
        <v>369</v>
      </c>
      <c r="AZ1158" s="55" t="s">
        <v>1212</v>
      </c>
      <c r="BA1158" s="15" t="s">
        <v>1027</v>
      </c>
      <c r="BC1158" s="14">
        <f>AW1158+AX1158</f>
        <v>0</v>
      </c>
      <c r="BD1158" s="14">
        <f>H1158/(100-BE1158)*100</f>
        <v>0</v>
      </c>
      <c r="BE1158" s="14">
        <v>0</v>
      </c>
      <c r="BF1158" s="14">
        <f>O1158</f>
        <v>1.2160000000000001E-2</v>
      </c>
      <c r="BH1158" s="14">
        <f>G1158*AO1158</f>
        <v>0</v>
      </c>
      <c r="BI1158" s="14">
        <f>G1158*AP1158</f>
        <v>0</v>
      </c>
      <c r="BJ1158" s="14">
        <f>G1158*H1158</f>
        <v>0</v>
      </c>
      <c r="BK1158" s="14"/>
      <c r="BL1158" s="14">
        <v>721</v>
      </c>
      <c r="BW1158" s="14" t="str">
        <f>I1158</f>
        <v>21</v>
      </c>
    </row>
    <row r="1159" spans="1:75" ht="15" customHeight="1">
      <c r="A1159" s="32"/>
      <c r="D1159" s="3" t="s">
        <v>2053</v>
      </c>
      <c r="E1159" s="28" t="s">
        <v>1683</v>
      </c>
      <c r="G1159" s="27">
        <v>32</v>
      </c>
      <c r="P1159" s="33"/>
    </row>
    <row r="1160" spans="1:75" ht="13.5" customHeight="1">
      <c r="A1160" s="21" t="s">
        <v>1739</v>
      </c>
      <c r="B1160" s="37" t="s">
        <v>750</v>
      </c>
      <c r="C1160" s="37" t="s">
        <v>994</v>
      </c>
      <c r="D1160" s="578" t="s">
        <v>1973</v>
      </c>
      <c r="E1160" s="579"/>
      <c r="F1160" s="37" t="s">
        <v>2019</v>
      </c>
      <c r="G1160" s="14">
        <v>39</v>
      </c>
      <c r="H1160" s="569"/>
      <c r="I1160" s="55" t="s">
        <v>1720</v>
      </c>
      <c r="J1160" s="14">
        <f>G1160*AO1160</f>
        <v>0</v>
      </c>
      <c r="K1160" s="14">
        <f>G1160*AP1160</f>
        <v>0</v>
      </c>
      <c r="L1160" s="14">
        <f>G1160*H1160</f>
        <v>0</v>
      </c>
      <c r="M1160" s="14">
        <f>L1160*(1+BW1160/100)</f>
        <v>0</v>
      </c>
      <c r="N1160" s="14">
        <v>4.6999999999999999E-4</v>
      </c>
      <c r="O1160" s="14">
        <f>G1160*N1160</f>
        <v>1.8329999999999999E-2</v>
      </c>
      <c r="P1160" s="72" t="s">
        <v>1664</v>
      </c>
      <c r="Z1160" s="14">
        <f>IF(AQ1160="5",BJ1160,0)</f>
        <v>0</v>
      </c>
      <c r="AB1160" s="14">
        <f>IF(AQ1160="1",BH1160,0)</f>
        <v>0</v>
      </c>
      <c r="AC1160" s="14">
        <f>IF(AQ1160="1",BI1160,0)</f>
        <v>0</v>
      </c>
      <c r="AD1160" s="14">
        <f>IF(AQ1160="7",BH1160,0)</f>
        <v>0</v>
      </c>
      <c r="AE1160" s="14">
        <f>IF(AQ1160="7",BI1160,0)</f>
        <v>0</v>
      </c>
      <c r="AF1160" s="14">
        <f>IF(AQ1160="2",BH1160,0)</f>
        <v>0</v>
      </c>
      <c r="AG1160" s="14">
        <f>IF(AQ1160="2",BI1160,0)</f>
        <v>0</v>
      </c>
      <c r="AH1160" s="14">
        <f>IF(AQ1160="0",BJ1160,0)</f>
        <v>0</v>
      </c>
      <c r="AI1160" s="15" t="s">
        <v>750</v>
      </c>
      <c r="AJ1160" s="14">
        <f>IF(AN1160=0,L1160,0)</f>
        <v>0</v>
      </c>
      <c r="AK1160" s="14">
        <f>IF(AN1160=15,L1160,0)</f>
        <v>0</v>
      </c>
      <c r="AL1160" s="14">
        <f>IF(AN1160=21,L1160,0)</f>
        <v>0</v>
      </c>
      <c r="AN1160" s="14">
        <v>21</v>
      </c>
      <c r="AO1160" s="92">
        <f>H1160*0.398750730791717</f>
        <v>0</v>
      </c>
      <c r="AP1160" s="92">
        <f>H1160*(1-0.398750730791717)</f>
        <v>0</v>
      </c>
      <c r="AQ1160" s="55" t="s">
        <v>2435</v>
      </c>
      <c r="AV1160" s="14">
        <f>AW1160+AX1160</f>
        <v>0</v>
      </c>
      <c r="AW1160" s="14">
        <f>G1160*AO1160</f>
        <v>0</v>
      </c>
      <c r="AX1160" s="14">
        <f>G1160*AP1160</f>
        <v>0</v>
      </c>
      <c r="AY1160" s="55" t="s">
        <v>369</v>
      </c>
      <c r="AZ1160" s="55" t="s">
        <v>1212</v>
      </c>
      <c r="BA1160" s="15" t="s">
        <v>1027</v>
      </c>
      <c r="BC1160" s="14">
        <f>AW1160+AX1160</f>
        <v>0</v>
      </c>
      <c r="BD1160" s="14">
        <f>H1160/(100-BE1160)*100</f>
        <v>0</v>
      </c>
      <c r="BE1160" s="14">
        <v>0</v>
      </c>
      <c r="BF1160" s="14">
        <f>O1160</f>
        <v>1.8329999999999999E-2</v>
      </c>
      <c r="BH1160" s="14">
        <f>G1160*AO1160</f>
        <v>0</v>
      </c>
      <c r="BI1160" s="14">
        <f>G1160*AP1160</f>
        <v>0</v>
      </c>
      <c r="BJ1160" s="14">
        <f>G1160*H1160</f>
        <v>0</v>
      </c>
      <c r="BK1160" s="14"/>
      <c r="BL1160" s="14">
        <v>721</v>
      </c>
      <c r="BW1160" s="14" t="str">
        <f>I1160</f>
        <v>21</v>
      </c>
    </row>
    <row r="1161" spans="1:75" ht="15" customHeight="1">
      <c r="A1161" s="32"/>
      <c r="D1161" s="3" t="s">
        <v>1563</v>
      </c>
      <c r="E1161" s="28" t="s">
        <v>1683</v>
      </c>
      <c r="G1161" s="27">
        <v>39</v>
      </c>
      <c r="P1161" s="33"/>
    </row>
    <row r="1162" spans="1:75" ht="13.5" customHeight="1">
      <c r="A1162" s="21" t="s">
        <v>233</v>
      </c>
      <c r="B1162" s="37" t="s">
        <v>750</v>
      </c>
      <c r="C1162" s="37" t="s">
        <v>1066</v>
      </c>
      <c r="D1162" s="578" t="s">
        <v>2456</v>
      </c>
      <c r="E1162" s="579"/>
      <c r="F1162" s="37" t="s">
        <v>2019</v>
      </c>
      <c r="G1162" s="14">
        <v>30</v>
      </c>
      <c r="H1162" s="569"/>
      <c r="I1162" s="55" t="s">
        <v>1720</v>
      </c>
      <c r="J1162" s="14">
        <f>G1162*AO1162</f>
        <v>0</v>
      </c>
      <c r="K1162" s="14">
        <f>G1162*AP1162</f>
        <v>0</v>
      </c>
      <c r="L1162" s="14">
        <f>G1162*H1162</f>
        <v>0</v>
      </c>
      <c r="M1162" s="14">
        <f>L1162*(1+BW1162/100)</f>
        <v>0</v>
      </c>
      <c r="N1162" s="14">
        <v>1.5200000000000001E-3</v>
      </c>
      <c r="O1162" s="14">
        <f>G1162*N1162</f>
        <v>4.5600000000000002E-2</v>
      </c>
      <c r="P1162" s="72" t="s">
        <v>1664</v>
      </c>
      <c r="Z1162" s="14">
        <f>IF(AQ1162="5",BJ1162,0)</f>
        <v>0</v>
      </c>
      <c r="AB1162" s="14">
        <f>IF(AQ1162="1",BH1162,0)</f>
        <v>0</v>
      </c>
      <c r="AC1162" s="14">
        <f>IF(AQ1162="1",BI1162,0)</f>
        <v>0</v>
      </c>
      <c r="AD1162" s="14">
        <f>IF(AQ1162="7",BH1162,0)</f>
        <v>0</v>
      </c>
      <c r="AE1162" s="14">
        <f>IF(AQ1162="7",BI1162,0)</f>
        <v>0</v>
      </c>
      <c r="AF1162" s="14">
        <f>IF(AQ1162="2",BH1162,0)</f>
        <v>0</v>
      </c>
      <c r="AG1162" s="14">
        <f>IF(AQ1162="2",BI1162,0)</f>
        <v>0</v>
      </c>
      <c r="AH1162" s="14">
        <f>IF(AQ1162="0",BJ1162,0)</f>
        <v>0</v>
      </c>
      <c r="AI1162" s="15" t="s">
        <v>750</v>
      </c>
      <c r="AJ1162" s="14">
        <f>IF(AN1162=0,L1162,0)</f>
        <v>0</v>
      </c>
      <c r="AK1162" s="14">
        <f>IF(AN1162=15,L1162,0)</f>
        <v>0</v>
      </c>
      <c r="AL1162" s="14">
        <f>IF(AN1162=21,L1162,0)</f>
        <v>0</v>
      </c>
      <c r="AN1162" s="14">
        <v>21</v>
      </c>
      <c r="AO1162" s="92">
        <f>H1162*0.380087378640777</f>
        <v>0</v>
      </c>
      <c r="AP1162" s="92">
        <f>H1162*(1-0.380087378640777)</f>
        <v>0</v>
      </c>
      <c r="AQ1162" s="55" t="s">
        <v>2435</v>
      </c>
      <c r="AV1162" s="14">
        <f>AW1162+AX1162</f>
        <v>0</v>
      </c>
      <c r="AW1162" s="14">
        <f>G1162*AO1162</f>
        <v>0</v>
      </c>
      <c r="AX1162" s="14">
        <f>G1162*AP1162</f>
        <v>0</v>
      </c>
      <c r="AY1162" s="55" t="s">
        <v>369</v>
      </c>
      <c r="AZ1162" s="55" t="s">
        <v>1212</v>
      </c>
      <c r="BA1162" s="15" t="s">
        <v>1027</v>
      </c>
      <c r="BC1162" s="14">
        <f>AW1162+AX1162</f>
        <v>0</v>
      </c>
      <c r="BD1162" s="14">
        <f>H1162/(100-BE1162)*100</f>
        <v>0</v>
      </c>
      <c r="BE1162" s="14">
        <v>0</v>
      </c>
      <c r="BF1162" s="14">
        <f>O1162</f>
        <v>4.5600000000000002E-2</v>
      </c>
      <c r="BH1162" s="14">
        <f>G1162*AO1162</f>
        <v>0</v>
      </c>
      <c r="BI1162" s="14">
        <f>G1162*AP1162</f>
        <v>0</v>
      </c>
      <c r="BJ1162" s="14">
        <f>G1162*H1162</f>
        <v>0</v>
      </c>
      <c r="BK1162" s="14"/>
      <c r="BL1162" s="14">
        <v>721</v>
      </c>
      <c r="BW1162" s="14" t="str">
        <f>I1162</f>
        <v>21</v>
      </c>
    </row>
    <row r="1163" spans="1:75" ht="15" customHeight="1">
      <c r="A1163" s="32"/>
      <c r="D1163" s="3" t="s">
        <v>1565</v>
      </c>
      <c r="E1163" s="28" t="s">
        <v>1683</v>
      </c>
      <c r="G1163" s="27">
        <v>30.000000000000004</v>
      </c>
      <c r="P1163" s="33"/>
    </row>
    <row r="1164" spans="1:75" ht="13.5" customHeight="1">
      <c r="A1164" s="21" t="s">
        <v>2622</v>
      </c>
      <c r="B1164" s="37" t="s">
        <v>750</v>
      </c>
      <c r="C1164" s="37" t="s">
        <v>1022</v>
      </c>
      <c r="D1164" s="578" t="s">
        <v>2651</v>
      </c>
      <c r="E1164" s="579"/>
      <c r="F1164" s="37" t="s">
        <v>595</v>
      </c>
      <c r="G1164" s="14">
        <v>10</v>
      </c>
      <c r="H1164" s="569"/>
      <c r="I1164" s="55" t="s">
        <v>1720</v>
      </c>
      <c r="J1164" s="14">
        <f>G1164*AO1164</f>
        <v>0</v>
      </c>
      <c r="K1164" s="14">
        <f>G1164*AP1164</f>
        <v>0</v>
      </c>
      <c r="L1164" s="14">
        <f>G1164*H1164</f>
        <v>0</v>
      </c>
      <c r="M1164" s="14">
        <f>L1164*(1+BW1164/100)</f>
        <v>0</v>
      </c>
      <c r="N1164" s="14">
        <v>0</v>
      </c>
      <c r="O1164" s="14">
        <f>G1164*N1164</f>
        <v>0</v>
      </c>
      <c r="P1164" s="72" t="s">
        <v>1664</v>
      </c>
      <c r="Z1164" s="14">
        <f>IF(AQ1164="5",BJ1164,0)</f>
        <v>0</v>
      </c>
      <c r="AB1164" s="14">
        <f>IF(AQ1164="1",BH1164,0)</f>
        <v>0</v>
      </c>
      <c r="AC1164" s="14">
        <f>IF(AQ1164="1",BI1164,0)</f>
        <v>0</v>
      </c>
      <c r="AD1164" s="14">
        <f>IF(AQ1164="7",BH1164,0)</f>
        <v>0</v>
      </c>
      <c r="AE1164" s="14">
        <f>IF(AQ1164="7",BI1164,0)</f>
        <v>0</v>
      </c>
      <c r="AF1164" s="14">
        <f>IF(AQ1164="2",BH1164,0)</f>
        <v>0</v>
      </c>
      <c r="AG1164" s="14">
        <f>IF(AQ1164="2",BI1164,0)</f>
        <v>0</v>
      </c>
      <c r="AH1164" s="14">
        <f>IF(AQ1164="0",BJ1164,0)</f>
        <v>0</v>
      </c>
      <c r="AI1164" s="15" t="s">
        <v>750</v>
      </c>
      <c r="AJ1164" s="14">
        <f>IF(AN1164=0,L1164,0)</f>
        <v>0</v>
      </c>
      <c r="AK1164" s="14">
        <f>IF(AN1164=15,L1164,0)</f>
        <v>0</v>
      </c>
      <c r="AL1164" s="14">
        <f>IF(AN1164=21,L1164,0)</f>
        <v>0</v>
      </c>
      <c r="AN1164" s="14">
        <v>21</v>
      </c>
      <c r="AO1164" s="92">
        <f>H1164*0</f>
        <v>0</v>
      </c>
      <c r="AP1164" s="92">
        <f>H1164*(1-0)</f>
        <v>0</v>
      </c>
      <c r="AQ1164" s="55" t="s">
        <v>2435</v>
      </c>
      <c r="AV1164" s="14">
        <f>AW1164+AX1164</f>
        <v>0</v>
      </c>
      <c r="AW1164" s="14">
        <f>G1164*AO1164</f>
        <v>0</v>
      </c>
      <c r="AX1164" s="14">
        <f>G1164*AP1164</f>
        <v>0</v>
      </c>
      <c r="AY1164" s="55" t="s">
        <v>369</v>
      </c>
      <c r="AZ1164" s="55" t="s">
        <v>1212</v>
      </c>
      <c r="BA1164" s="15" t="s">
        <v>1027</v>
      </c>
      <c r="BC1164" s="14">
        <f>AW1164+AX1164</f>
        <v>0</v>
      </c>
      <c r="BD1164" s="14">
        <f>H1164/(100-BE1164)*100</f>
        <v>0</v>
      </c>
      <c r="BE1164" s="14">
        <v>0</v>
      </c>
      <c r="BF1164" s="14">
        <f>O1164</f>
        <v>0</v>
      </c>
      <c r="BH1164" s="14">
        <f>G1164*AO1164</f>
        <v>0</v>
      </c>
      <c r="BI1164" s="14">
        <f>G1164*AP1164</f>
        <v>0</v>
      </c>
      <c r="BJ1164" s="14">
        <f>G1164*H1164</f>
        <v>0</v>
      </c>
      <c r="BK1164" s="14"/>
      <c r="BL1164" s="14">
        <v>721</v>
      </c>
      <c r="BW1164" s="14" t="str">
        <f>I1164</f>
        <v>21</v>
      </c>
    </row>
    <row r="1165" spans="1:75" ht="15" customHeight="1">
      <c r="A1165" s="32"/>
      <c r="D1165" s="3" t="s">
        <v>1416</v>
      </c>
      <c r="E1165" s="28" t="s">
        <v>1683</v>
      </c>
      <c r="G1165" s="27">
        <v>10</v>
      </c>
      <c r="P1165" s="33"/>
    </row>
    <row r="1166" spans="1:75" ht="13.5" customHeight="1">
      <c r="A1166" s="21" t="s">
        <v>163</v>
      </c>
      <c r="B1166" s="37" t="s">
        <v>750</v>
      </c>
      <c r="C1166" s="37" t="s">
        <v>130</v>
      </c>
      <c r="D1166" s="578" t="s">
        <v>1441</v>
      </c>
      <c r="E1166" s="579"/>
      <c r="F1166" s="37" t="s">
        <v>595</v>
      </c>
      <c r="G1166" s="14">
        <v>12</v>
      </c>
      <c r="H1166" s="569"/>
      <c r="I1166" s="55" t="s">
        <v>1720</v>
      </c>
      <c r="J1166" s="14">
        <f>G1166*AO1166</f>
        <v>0</v>
      </c>
      <c r="K1166" s="14">
        <f>G1166*AP1166</f>
        <v>0</v>
      </c>
      <c r="L1166" s="14">
        <f>G1166*H1166</f>
        <v>0</v>
      </c>
      <c r="M1166" s="14">
        <f>L1166*(1+BW1166/100)</f>
        <v>0</v>
      </c>
      <c r="N1166" s="14">
        <v>0</v>
      </c>
      <c r="O1166" s="14">
        <f>G1166*N1166</f>
        <v>0</v>
      </c>
      <c r="P1166" s="72" t="s">
        <v>1664</v>
      </c>
      <c r="Z1166" s="14">
        <f>IF(AQ1166="5",BJ1166,0)</f>
        <v>0</v>
      </c>
      <c r="AB1166" s="14">
        <f>IF(AQ1166="1",BH1166,0)</f>
        <v>0</v>
      </c>
      <c r="AC1166" s="14">
        <f>IF(AQ1166="1",BI1166,0)</f>
        <v>0</v>
      </c>
      <c r="AD1166" s="14">
        <f>IF(AQ1166="7",BH1166,0)</f>
        <v>0</v>
      </c>
      <c r="AE1166" s="14">
        <f>IF(AQ1166="7",BI1166,0)</f>
        <v>0</v>
      </c>
      <c r="AF1166" s="14">
        <f>IF(AQ1166="2",BH1166,0)</f>
        <v>0</v>
      </c>
      <c r="AG1166" s="14">
        <f>IF(AQ1166="2",BI1166,0)</f>
        <v>0</v>
      </c>
      <c r="AH1166" s="14">
        <f>IF(AQ1166="0",BJ1166,0)</f>
        <v>0</v>
      </c>
      <c r="AI1166" s="15" t="s">
        <v>750</v>
      </c>
      <c r="AJ1166" s="14">
        <f>IF(AN1166=0,L1166,0)</f>
        <v>0</v>
      </c>
      <c r="AK1166" s="14">
        <f>IF(AN1166=15,L1166,0)</f>
        <v>0</v>
      </c>
      <c r="AL1166" s="14">
        <f>IF(AN1166=21,L1166,0)</f>
        <v>0</v>
      </c>
      <c r="AN1166" s="14">
        <v>21</v>
      </c>
      <c r="AO1166" s="92">
        <f>H1166*0</f>
        <v>0</v>
      </c>
      <c r="AP1166" s="92">
        <f>H1166*(1-0)</f>
        <v>0</v>
      </c>
      <c r="AQ1166" s="55" t="s">
        <v>2435</v>
      </c>
      <c r="AV1166" s="14">
        <f>AW1166+AX1166</f>
        <v>0</v>
      </c>
      <c r="AW1166" s="14">
        <f>G1166*AO1166</f>
        <v>0</v>
      </c>
      <c r="AX1166" s="14">
        <f>G1166*AP1166</f>
        <v>0</v>
      </c>
      <c r="AY1166" s="55" t="s">
        <v>369</v>
      </c>
      <c r="AZ1166" s="55" t="s">
        <v>1212</v>
      </c>
      <c r="BA1166" s="15" t="s">
        <v>1027</v>
      </c>
      <c r="BC1166" s="14">
        <f>AW1166+AX1166</f>
        <v>0</v>
      </c>
      <c r="BD1166" s="14">
        <f>H1166/(100-BE1166)*100</f>
        <v>0</v>
      </c>
      <c r="BE1166" s="14">
        <v>0</v>
      </c>
      <c r="BF1166" s="14">
        <f>O1166</f>
        <v>0</v>
      </c>
      <c r="BH1166" s="14">
        <f>G1166*AO1166</f>
        <v>0</v>
      </c>
      <c r="BI1166" s="14">
        <f>G1166*AP1166</f>
        <v>0</v>
      </c>
      <c r="BJ1166" s="14">
        <f>G1166*H1166</f>
        <v>0</v>
      </c>
      <c r="BK1166" s="14"/>
      <c r="BL1166" s="14">
        <v>721</v>
      </c>
      <c r="BW1166" s="14" t="str">
        <f>I1166</f>
        <v>21</v>
      </c>
    </row>
    <row r="1167" spans="1:75" ht="15" customHeight="1">
      <c r="A1167" s="32"/>
      <c r="D1167" s="3" t="s">
        <v>1790</v>
      </c>
      <c r="E1167" s="28" t="s">
        <v>1683</v>
      </c>
      <c r="G1167" s="27">
        <v>12.000000000000002</v>
      </c>
      <c r="P1167" s="33"/>
    </row>
    <row r="1168" spans="1:75" ht="13.5" customHeight="1">
      <c r="A1168" s="21" t="s">
        <v>2447</v>
      </c>
      <c r="B1168" s="37" t="s">
        <v>750</v>
      </c>
      <c r="C1168" s="37" t="s">
        <v>592</v>
      </c>
      <c r="D1168" s="578" t="s">
        <v>139</v>
      </c>
      <c r="E1168" s="579"/>
      <c r="F1168" s="37" t="s">
        <v>595</v>
      </c>
      <c r="G1168" s="14">
        <v>13</v>
      </c>
      <c r="H1168" s="569"/>
      <c r="I1168" s="55" t="s">
        <v>1720</v>
      </c>
      <c r="J1168" s="14">
        <f>G1168*AO1168</f>
        <v>0</v>
      </c>
      <c r="K1168" s="14">
        <f>G1168*AP1168</f>
        <v>0</v>
      </c>
      <c r="L1168" s="14">
        <f>G1168*H1168</f>
        <v>0</v>
      </c>
      <c r="M1168" s="14">
        <f>L1168*(1+BW1168/100)</f>
        <v>0</v>
      </c>
      <c r="N1168" s="14">
        <v>0</v>
      </c>
      <c r="O1168" s="14">
        <f>G1168*N1168</f>
        <v>0</v>
      </c>
      <c r="P1168" s="72" t="s">
        <v>1664</v>
      </c>
      <c r="Z1168" s="14">
        <f>IF(AQ1168="5",BJ1168,0)</f>
        <v>0</v>
      </c>
      <c r="AB1168" s="14">
        <f>IF(AQ1168="1",BH1168,0)</f>
        <v>0</v>
      </c>
      <c r="AC1168" s="14">
        <f>IF(AQ1168="1",BI1168,0)</f>
        <v>0</v>
      </c>
      <c r="AD1168" s="14">
        <f>IF(AQ1168="7",BH1168,0)</f>
        <v>0</v>
      </c>
      <c r="AE1168" s="14">
        <f>IF(AQ1168="7",BI1168,0)</f>
        <v>0</v>
      </c>
      <c r="AF1168" s="14">
        <f>IF(AQ1168="2",BH1168,0)</f>
        <v>0</v>
      </c>
      <c r="AG1168" s="14">
        <f>IF(AQ1168="2",BI1168,0)</f>
        <v>0</v>
      </c>
      <c r="AH1168" s="14">
        <f>IF(AQ1168="0",BJ1168,0)</f>
        <v>0</v>
      </c>
      <c r="AI1168" s="15" t="s">
        <v>750</v>
      </c>
      <c r="AJ1168" s="14">
        <f>IF(AN1168=0,L1168,0)</f>
        <v>0</v>
      </c>
      <c r="AK1168" s="14">
        <f>IF(AN1168=15,L1168,0)</f>
        <v>0</v>
      </c>
      <c r="AL1168" s="14">
        <f>IF(AN1168=21,L1168,0)</f>
        <v>0</v>
      </c>
      <c r="AN1168" s="14">
        <v>21</v>
      </c>
      <c r="AO1168" s="92">
        <f>H1168*0</f>
        <v>0</v>
      </c>
      <c r="AP1168" s="92">
        <f>H1168*(1-0)</f>
        <v>0</v>
      </c>
      <c r="AQ1168" s="55" t="s">
        <v>2435</v>
      </c>
      <c r="AV1168" s="14">
        <f>AW1168+AX1168</f>
        <v>0</v>
      </c>
      <c r="AW1168" s="14">
        <f>G1168*AO1168</f>
        <v>0</v>
      </c>
      <c r="AX1168" s="14">
        <f>G1168*AP1168</f>
        <v>0</v>
      </c>
      <c r="AY1168" s="55" t="s">
        <v>369</v>
      </c>
      <c r="AZ1168" s="55" t="s">
        <v>1212</v>
      </c>
      <c r="BA1168" s="15" t="s">
        <v>1027</v>
      </c>
      <c r="BC1168" s="14">
        <f>AW1168+AX1168</f>
        <v>0</v>
      </c>
      <c r="BD1168" s="14">
        <f>H1168/(100-BE1168)*100</f>
        <v>0</v>
      </c>
      <c r="BE1168" s="14">
        <v>0</v>
      </c>
      <c r="BF1168" s="14">
        <f>O1168</f>
        <v>0</v>
      </c>
      <c r="BH1168" s="14">
        <f>G1168*AO1168</f>
        <v>0</v>
      </c>
      <c r="BI1168" s="14">
        <f>G1168*AP1168</f>
        <v>0</v>
      </c>
      <c r="BJ1168" s="14">
        <f>G1168*H1168</f>
        <v>0</v>
      </c>
      <c r="BK1168" s="14"/>
      <c r="BL1168" s="14">
        <v>721</v>
      </c>
      <c r="BW1168" s="14" t="str">
        <f>I1168</f>
        <v>21</v>
      </c>
    </row>
    <row r="1169" spans="1:75" ht="15" customHeight="1">
      <c r="A1169" s="32"/>
      <c r="D1169" s="3" t="s">
        <v>705</v>
      </c>
      <c r="E1169" s="28" t="s">
        <v>1683</v>
      </c>
      <c r="G1169" s="27">
        <v>13.000000000000002</v>
      </c>
      <c r="P1169" s="33"/>
    </row>
    <row r="1170" spans="1:75" ht="27" customHeight="1">
      <c r="A1170" s="21" t="s">
        <v>817</v>
      </c>
      <c r="B1170" s="37" t="s">
        <v>750</v>
      </c>
      <c r="C1170" s="37" t="s">
        <v>1490</v>
      </c>
      <c r="D1170" s="578" t="s">
        <v>505</v>
      </c>
      <c r="E1170" s="579"/>
      <c r="F1170" s="37" t="s">
        <v>595</v>
      </c>
      <c r="G1170" s="14">
        <v>1</v>
      </c>
      <c r="H1170" s="569"/>
      <c r="I1170" s="55" t="s">
        <v>1720</v>
      </c>
      <c r="J1170" s="14">
        <f>G1170*AO1170</f>
        <v>0</v>
      </c>
      <c r="K1170" s="14">
        <f>G1170*AP1170</f>
        <v>0</v>
      </c>
      <c r="L1170" s="14">
        <f>G1170*H1170</f>
        <v>0</v>
      </c>
      <c r="M1170" s="14">
        <f>L1170*(1+BW1170/100)</f>
        <v>0</v>
      </c>
      <c r="N1170" s="14">
        <v>5.5999999999999995E-4</v>
      </c>
      <c r="O1170" s="14">
        <f>G1170*N1170</f>
        <v>5.5999999999999995E-4</v>
      </c>
      <c r="P1170" s="72" t="s">
        <v>1664</v>
      </c>
      <c r="Z1170" s="14">
        <f>IF(AQ1170="5",BJ1170,0)</f>
        <v>0</v>
      </c>
      <c r="AB1170" s="14">
        <f>IF(AQ1170="1",BH1170,0)</f>
        <v>0</v>
      </c>
      <c r="AC1170" s="14">
        <f>IF(AQ1170="1",BI1170,0)</f>
        <v>0</v>
      </c>
      <c r="AD1170" s="14">
        <f>IF(AQ1170="7",BH1170,0)</f>
        <v>0</v>
      </c>
      <c r="AE1170" s="14">
        <f>IF(AQ1170="7",BI1170,0)</f>
        <v>0</v>
      </c>
      <c r="AF1170" s="14">
        <f>IF(AQ1170="2",BH1170,0)</f>
        <v>0</v>
      </c>
      <c r="AG1170" s="14">
        <f>IF(AQ1170="2",BI1170,0)</f>
        <v>0</v>
      </c>
      <c r="AH1170" s="14">
        <f>IF(AQ1170="0",BJ1170,0)</f>
        <v>0</v>
      </c>
      <c r="AI1170" s="15" t="s">
        <v>750</v>
      </c>
      <c r="AJ1170" s="14">
        <f>IF(AN1170=0,L1170,0)</f>
        <v>0</v>
      </c>
      <c r="AK1170" s="14">
        <f>IF(AN1170=15,L1170,0)</f>
        <v>0</v>
      </c>
      <c r="AL1170" s="14">
        <f>IF(AN1170=21,L1170,0)</f>
        <v>0</v>
      </c>
      <c r="AN1170" s="14">
        <v>21</v>
      </c>
      <c r="AO1170" s="92">
        <f>H1170*0.92278523505799</f>
        <v>0</v>
      </c>
      <c r="AP1170" s="92">
        <f>H1170*(1-0.92278523505799)</f>
        <v>0</v>
      </c>
      <c r="AQ1170" s="55" t="s">
        <v>2435</v>
      </c>
      <c r="AV1170" s="14">
        <f>AW1170+AX1170</f>
        <v>0</v>
      </c>
      <c r="AW1170" s="14">
        <f>G1170*AO1170</f>
        <v>0</v>
      </c>
      <c r="AX1170" s="14">
        <f>G1170*AP1170</f>
        <v>0</v>
      </c>
      <c r="AY1170" s="55" t="s">
        <v>369</v>
      </c>
      <c r="AZ1170" s="55" t="s">
        <v>1212</v>
      </c>
      <c r="BA1170" s="15" t="s">
        <v>1027</v>
      </c>
      <c r="BC1170" s="14">
        <f>AW1170+AX1170</f>
        <v>0</v>
      </c>
      <c r="BD1170" s="14">
        <f>H1170/(100-BE1170)*100</f>
        <v>0</v>
      </c>
      <c r="BE1170" s="14">
        <v>0</v>
      </c>
      <c r="BF1170" s="14">
        <f>O1170</f>
        <v>5.5999999999999995E-4</v>
      </c>
      <c r="BH1170" s="14">
        <f>G1170*AO1170</f>
        <v>0</v>
      </c>
      <c r="BI1170" s="14">
        <f>G1170*AP1170</f>
        <v>0</v>
      </c>
      <c r="BJ1170" s="14">
        <f>G1170*H1170</f>
        <v>0</v>
      </c>
      <c r="BK1170" s="14"/>
      <c r="BL1170" s="14">
        <v>721</v>
      </c>
      <c r="BW1170" s="14" t="str">
        <f>I1170</f>
        <v>21</v>
      </c>
    </row>
    <row r="1171" spans="1:75" ht="15" customHeight="1">
      <c r="A1171" s="32"/>
      <c r="D1171" s="3" t="s">
        <v>2422</v>
      </c>
      <c r="E1171" s="28" t="s">
        <v>1683</v>
      </c>
      <c r="G1171" s="27">
        <v>1</v>
      </c>
      <c r="P1171" s="33"/>
    </row>
    <row r="1172" spans="1:75" ht="27" customHeight="1">
      <c r="A1172" s="21" t="s">
        <v>338</v>
      </c>
      <c r="B1172" s="37" t="s">
        <v>750</v>
      </c>
      <c r="C1172" s="37" t="s">
        <v>880</v>
      </c>
      <c r="D1172" s="578" t="s">
        <v>1544</v>
      </c>
      <c r="E1172" s="579"/>
      <c r="F1172" s="37" t="s">
        <v>595</v>
      </c>
      <c r="G1172" s="14">
        <v>6</v>
      </c>
      <c r="H1172" s="569"/>
      <c r="I1172" s="55" t="s">
        <v>1720</v>
      </c>
      <c r="J1172" s="14">
        <f>G1172*AO1172</f>
        <v>0</v>
      </c>
      <c r="K1172" s="14">
        <f>G1172*AP1172</f>
        <v>0</v>
      </c>
      <c r="L1172" s="14">
        <f>G1172*H1172</f>
        <v>0</v>
      </c>
      <c r="M1172" s="14">
        <f>L1172*(1+BW1172/100)</f>
        <v>0</v>
      </c>
      <c r="N1172" s="14">
        <v>8.0000000000000007E-5</v>
      </c>
      <c r="O1172" s="14">
        <f>G1172*N1172</f>
        <v>4.8000000000000007E-4</v>
      </c>
      <c r="P1172" s="72" t="s">
        <v>1664</v>
      </c>
      <c r="Z1172" s="14">
        <f>IF(AQ1172="5",BJ1172,0)</f>
        <v>0</v>
      </c>
      <c r="AB1172" s="14">
        <f>IF(AQ1172="1",BH1172,0)</f>
        <v>0</v>
      </c>
      <c r="AC1172" s="14">
        <f>IF(AQ1172="1",BI1172,0)</f>
        <v>0</v>
      </c>
      <c r="AD1172" s="14">
        <f>IF(AQ1172="7",BH1172,0)</f>
        <v>0</v>
      </c>
      <c r="AE1172" s="14">
        <f>IF(AQ1172="7",BI1172,0)</f>
        <v>0</v>
      </c>
      <c r="AF1172" s="14">
        <f>IF(AQ1172="2",BH1172,0)</f>
        <v>0</v>
      </c>
      <c r="AG1172" s="14">
        <f>IF(AQ1172="2",BI1172,0)</f>
        <v>0</v>
      </c>
      <c r="AH1172" s="14">
        <f>IF(AQ1172="0",BJ1172,0)</f>
        <v>0</v>
      </c>
      <c r="AI1172" s="15" t="s">
        <v>750</v>
      </c>
      <c r="AJ1172" s="14">
        <f>IF(AN1172=0,L1172,0)</f>
        <v>0</v>
      </c>
      <c r="AK1172" s="14">
        <f>IF(AN1172=15,L1172,0)</f>
        <v>0</v>
      </c>
      <c r="AL1172" s="14">
        <f>IF(AN1172=21,L1172,0)</f>
        <v>0</v>
      </c>
      <c r="AN1172" s="14">
        <v>21</v>
      </c>
      <c r="AO1172" s="92">
        <f>H1172*0.887156862745098</f>
        <v>0</v>
      </c>
      <c r="AP1172" s="92">
        <f>H1172*(1-0.887156862745098)</f>
        <v>0</v>
      </c>
      <c r="AQ1172" s="55" t="s">
        <v>2435</v>
      </c>
      <c r="AV1172" s="14">
        <f>AW1172+AX1172</f>
        <v>0</v>
      </c>
      <c r="AW1172" s="14">
        <f>G1172*AO1172</f>
        <v>0</v>
      </c>
      <c r="AX1172" s="14">
        <f>G1172*AP1172</f>
        <v>0</v>
      </c>
      <c r="AY1172" s="55" t="s">
        <v>369</v>
      </c>
      <c r="AZ1172" s="55" t="s">
        <v>1212</v>
      </c>
      <c r="BA1172" s="15" t="s">
        <v>1027</v>
      </c>
      <c r="BC1172" s="14">
        <f>AW1172+AX1172</f>
        <v>0</v>
      </c>
      <c r="BD1172" s="14">
        <f>H1172/(100-BE1172)*100</f>
        <v>0</v>
      </c>
      <c r="BE1172" s="14">
        <v>0</v>
      </c>
      <c r="BF1172" s="14">
        <f>O1172</f>
        <v>4.8000000000000007E-4</v>
      </c>
      <c r="BH1172" s="14">
        <f>G1172*AO1172</f>
        <v>0</v>
      </c>
      <c r="BI1172" s="14">
        <f>G1172*AP1172</f>
        <v>0</v>
      </c>
      <c r="BJ1172" s="14">
        <f>G1172*H1172</f>
        <v>0</v>
      </c>
      <c r="BK1172" s="14"/>
      <c r="BL1172" s="14">
        <v>721</v>
      </c>
      <c r="BW1172" s="14" t="str">
        <f>I1172</f>
        <v>21</v>
      </c>
    </row>
    <row r="1173" spans="1:75" ht="15" customHeight="1">
      <c r="A1173" s="32"/>
      <c r="D1173" s="3" t="s">
        <v>408</v>
      </c>
      <c r="E1173" s="28" t="s">
        <v>1683</v>
      </c>
      <c r="G1173" s="27">
        <v>6.0000000000000009</v>
      </c>
      <c r="P1173" s="33"/>
    </row>
    <row r="1174" spans="1:75" ht="27" customHeight="1">
      <c r="A1174" s="21" t="s">
        <v>2473</v>
      </c>
      <c r="B1174" s="37" t="s">
        <v>750</v>
      </c>
      <c r="C1174" s="37" t="s">
        <v>501</v>
      </c>
      <c r="D1174" s="578" t="s">
        <v>143</v>
      </c>
      <c r="E1174" s="579"/>
      <c r="F1174" s="37" t="s">
        <v>595</v>
      </c>
      <c r="G1174" s="14">
        <v>7</v>
      </c>
      <c r="H1174" s="569"/>
      <c r="I1174" s="55" t="s">
        <v>1720</v>
      </c>
      <c r="J1174" s="14">
        <f>G1174*AO1174</f>
        <v>0</v>
      </c>
      <c r="K1174" s="14">
        <f>G1174*AP1174</f>
        <v>0</v>
      </c>
      <c r="L1174" s="14">
        <f>G1174*H1174</f>
        <v>0</v>
      </c>
      <c r="M1174" s="14">
        <f>L1174*(1+BW1174/100)</f>
        <v>0</v>
      </c>
      <c r="N1174" s="14">
        <v>5.0000000000000001E-4</v>
      </c>
      <c r="O1174" s="14">
        <f>G1174*N1174</f>
        <v>3.5000000000000001E-3</v>
      </c>
      <c r="P1174" s="72" t="s">
        <v>1664</v>
      </c>
      <c r="Z1174" s="14">
        <f>IF(AQ1174="5",BJ1174,0)</f>
        <v>0</v>
      </c>
      <c r="AB1174" s="14">
        <f>IF(AQ1174="1",BH1174,0)</f>
        <v>0</v>
      </c>
      <c r="AC1174" s="14">
        <f>IF(AQ1174="1",BI1174,0)</f>
        <v>0</v>
      </c>
      <c r="AD1174" s="14">
        <f>IF(AQ1174="7",BH1174,0)</f>
        <v>0</v>
      </c>
      <c r="AE1174" s="14">
        <f>IF(AQ1174="7",BI1174,0)</f>
        <v>0</v>
      </c>
      <c r="AF1174" s="14">
        <f>IF(AQ1174="2",BH1174,0)</f>
        <v>0</v>
      </c>
      <c r="AG1174" s="14">
        <f>IF(AQ1174="2",BI1174,0)</f>
        <v>0</v>
      </c>
      <c r="AH1174" s="14">
        <f>IF(AQ1174="0",BJ1174,0)</f>
        <v>0</v>
      </c>
      <c r="AI1174" s="15" t="s">
        <v>750</v>
      </c>
      <c r="AJ1174" s="14">
        <f>IF(AN1174=0,L1174,0)</f>
        <v>0</v>
      </c>
      <c r="AK1174" s="14">
        <f>IF(AN1174=15,L1174,0)</f>
        <v>0</v>
      </c>
      <c r="AL1174" s="14">
        <f>IF(AN1174=21,L1174,0)</f>
        <v>0</v>
      </c>
      <c r="AN1174" s="14">
        <v>21</v>
      </c>
      <c r="AO1174" s="92">
        <f>H1174*0.941349845201238</f>
        <v>0</v>
      </c>
      <c r="AP1174" s="92">
        <f>H1174*(1-0.941349845201238)</f>
        <v>0</v>
      </c>
      <c r="AQ1174" s="55" t="s">
        <v>2435</v>
      </c>
      <c r="AV1174" s="14">
        <f>AW1174+AX1174</f>
        <v>0</v>
      </c>
      <c r="AW1174" s="14">
        <f>G1174*AO1174</f>
        <v>0</v>
      </c>
      <c r="AX1174" s="14">
        <f>G1174*AP1174</f>
        <v>0</v>
      </c>
      <c r="AY1174" s="55" t="s">
        <v>369</v>
      </c>
      <c r="AZ1174" s="55" t="s">
        <v>1212</v>
      </c>
      <c r="BA1174" s="15" t="s">
        <v>1027</v>
      </c>
      <c r="BC1174" s="14">
        <f>AW1174+AX1174</f>
        <v>0</v>
      </c>
      <c r="BD1174" s="14">
        <f>H1174/(100-BE1174)*100</f>
        <v>0</v>
      </c>
      <c r="BE1174" s="14">
        <v>0</v>
      </c>
      <c r="BF1174" s="14">
        <f>O1174</f>
        <v>3.5000000000000001E-3</v>
      </c>
      <c r="BH1174" s="14">
        <f>G1174*AO1174</f>
        <v>0</v>
      </c>
      <c r="BI1174" s="14">
        <f>G1174*AP1174</f>
        <v>0</v>
      </c>
      <c r="BJ1174" s="14">
        <f>G1174*H1174</f>
        <v>0</v>
      </c>
      <c r="BK1174" s="14"/>
      <c r="BL1174" s="14">
        <v>721</v>
      </c>
      <c r="BW1174" s="14" t="str">
        <f>I1174</f>
        <v>21</v>
      </c>
    </row>
    <row r="1175" spans="1:75" ht="15" customHeight="1">
      <c r="A1175" s="32"/>
      <c r="D1175" s="3" t="s">
        <v>2435</v>
      </c>
      <c r="E1175" s="28" t="s">
        <v>1683</v>
      </c>
      <c r="G1175" s="27">
        <v>7.0000000000000009</v>
      </c>
      <c r="P1175" s="33"/>
    </row>
    <row r="1176" spans="1:75" ht="13.5" customHeight="1">
      <c r="A1176" s="21" t="s">
        <v>1629</v>
      </c>
      <c r="B1176" s="37" t="s">
        <v>750</v>
      </c>
      <c r="C1176" s="37" t="s">
        <v>1333</v>
      </c>
      <c r="D1176" s="578" t="s">
        <v>2623</v>
      </c>
      <c r="E1176" s="579"/>
      <c r="F1176" s="37" t="s">
        <v>595</v>
      </c>
      <c r="G1176" s="14">
        <v>3</v>
      </c>
      <c r="H1176" s="569"/>
      <c r="I1176" s="55" t="s">
        <v>1720</v>
      </c>
      <c r="J1176" s="14">
        <f>G1176*AO1176</f>
        <v>0</v>
      </c>
      <c r="K1176" s="14">
        <f>G1176*AP1176</f>
        <v>0</v>
      </c>
      <c r="L1176" s="14">
        <f>G1176*H1176</f>
        <v>0</v>
      </c>
      <c r="M1176" s="14">
        <f>L1176*(1+BW1176/100)</f>
        <v>0</v>
      </c>
      <c r="N1176" s="14">
        <v>4.8999999999999998E-4</v>
      </c>
      <c r="O1176" s="14">
        <f>G1176*N1176</f>
        <v>1.47E-3</v>
      </c>
      <c r="P1176" s="72" t="s">
        <v>1664</v>
      </c>
      <c r="Z1176" s="14">
        <f>IF(AQ1176="5",BJ1176,0)</f>
        <v>0</v>
      </c>
      <c r="AB1176" s="14">
        <f>IF(AQ1176="1",BH1176,0)</f>
        <v>0</v>
      </c>
      <c r="AC1176" s="14">
        <f>IF(AQ1176="1",BI1176,0)</f>
        <v>0</v>
      </c>
      <c r="AD1176" s="14">
        <f>IF(AQ1176="7",BH1176,0)</f>
        <v>0</v>
      </c>
      <c r="AE1176" s="14">
        <f>IF(AQ1176="7",BI1176,0)</f>
        <v>0</v>
      </c>
      <c r="AF1176" s="14">
        <f>IF(AQ1176="2",BH1176,0)</f>
        <v>0</v>
      </c>
      <c r="AG1176" s="14">
        <f>IF(AQ1176="2",BI1176,0)</f>
        <v>0</v>
      </c>
      <c r="AH1176" s="14">
        <f>IF(AQ1176="0",BJ1176,0)</f>
        <v>0</v>
      </c>
      <c r="AI1176" s="15" t="s">
        <v>750</v>
      </c>
      <c r="AJ1176" s="14">
        <f>IF(AN1176=0,L1176,0)</f>
        <v>0</v>
      </c>
      <c r="AK1176" s="14">
        <f>IF(AN1176=15,L1176,0)</f>
        <v>0</v>
      </c>
      <c r="AL1176" s="14">
        <f>IF(AN1176=21,L1176,0)</f>
        <v>0</v>
      </c>
      <c r="AN1176" s="14">
        <v>21</v>
      </c>
      <c r="AO1176" s="92">
        <f>H1176*0.960708987641771</f>
        <v>0</v>
      </c>
      <c r="AP1176" s="92">
        <f>H1176*(1-0.960708987641771)</f>
        <v>0</v>
      </c>
      <c r="AQ1176" s="55" t="s">
        <v>2435</v>
      </c>
      <c r="AV1176" s="14">
        <f>AW1176+AX1176</f>
        <v>0</v>
      </c>
      <c r="AW1176" s="14">
        <f>G1176*AO1176</f>
        <v>0</v>
      </c>
      <c r="AX1176" s="14">
        <f>G1176*AP1176</f>
        <v>0</v>
      </c>
      <c r="AY1176" s="55" t="s">
        <v>369</v>
      </c>
      <c r="AZ1176" s="55" t="s">
        <v>1212</v>
      </c>
      <c r="BA1176" s="15" t="s">
        <v>1027</v>
      </c>
      <c r="BC1176" s="14">
        <f>AW1176+AX1176</f>
        <v>0</v>
      </c>
      <c r="BD1176" s="14">
        <f>H1176/(100-BE1176)*100</f>
        <v>0</v>
      </c>
      <c r="BE1176" s="14">
        <v>0</v>
      </c>
      <c r="BF1176" s="14">
        <f>O1176</f>
        <v>1.47E-3</v>
      </c>
      <c r="BH1176" s="14">
        <f>G1176*AO1176</f>
        <v>0</v>
      </c>
      <c r="BI1176" s="14">
        <f>G1176*AP1176</f>
        <v>0</v>
      </c>
      <c r="BJ1176" s="14">
        <f>G1176*H1176</f>
        <v>0</v>
      </c>
      <c r="BK1176" s="14"/>
      <c r="BL1176" s="14">
        <v>721</v>
      </c>
      <c r="BW1176" s="14" t="str">
        <f>I1176</f>
        <v>21</v>
      </c>
    </row>
    <row r="1177" spans="1:75" ht="15" customHeight="1">
      <c r="A1177" s="32"/>
      <c r="D1177" s="3" t="s">
        <v>2111</v>
      </c>
      <c r="E1177" s="28" t="s">
        <v>1683</v>
      </c>
      <c r="G1177" s="27">
        <v>3.0000000000000004</v>
      </c>
      <c r="P1177" s="33"/>
    </row>
    <row r="1178" spans="1:75" ht="13.5" customHeight="1">
      <c r="A1178" s="21" t="s">
        <v>1430</v>
      </c>
      <c r="B1178" s="37" t="s">
        <v>750</v>
      </c>
      <c r="C1178" s="37" t="s">
        <v>2055</v>
      </c>
      <c r="D1178" s="578" t="s">
        <v>2006</v>
      </c>
      <c r="E1178" s="579"/>
      <c r="F1178" s="37" t="s">
        <v>2019</v>
      </c>
      <c r="G1178" s="14">
        <v>268</v>
      </c>
      <c r="H1178" s="569"/>
      <c r="I1178" s="55" t="s">
        <v>1720</v>
      </c>
      <c r="J1178" s="14">
        <f>G1178*AO1178</f>
        <v>0</v>
      </c>
      <c r="K1178" s="14">
        <f>G1178*AP1178</f>
        <v>0</v>
      </c>
      <c r="L1178" s="14">
        <f>G1178*H1178</f>
        <v>0</v>
      </c>
      <c r="M1178" s="14">
        <f>L1178*(1+BW1178/100)</f>
        <v>0</v>
      </c>
      <c r="N1178" s="14">
        <v>0</v>
      </c>
      <c r="O1178" s="14">
        <f>G1178*N1178</f>
        <v>0</v>
      </c>
      <c r="P1178" s="72" t="s">
        <v>1664</v>
      </c>
      <c r="Z1178" s="14">
        <f>IF(AQ1178="5",BJ1178,0)</f>
        <v>0</v>
      </c>
      <c r="AB1178" s="14">
        <f>IF(AQ1178="1",BH1178,0)</f>
        <v>0</v>
      </c>
      <c r="AC1178" s="14">
        <f>IF(AQ1178="1",BI1178,0)</f>
        <v>0</v>
      </c>
      <c r="AD1178" s="14">
        <f>IF(AQ1178="7",BH1178,0)</f>
        <v>0</v>
      </c>
      <c r="AE1178" s="14">
        <f>IF(AQ1178="7",BI1178,0)</f>
        <v>0</v>
      </c>
      <c r="AF1178" s="14">
        <f>IF(AQ1178="2",BH1178,0)</f>
        <v>0</v>
      </c>
      <c r="AG1178" s="14">
        <f>IF(AQ1178="2",BI1178,0)</f>
        <v>0</v>
      </c>
      <c r="AH1178" s="14">
        <f>IF(AQ1178="0",BJ1178,0)</f>
        <v>0</v>
      </c>
      <c r="AI1178" s="15" t="s">
        <v>750</v>
      </c>
      <c r="AJ1178" s="14">
        <f>IF(AN1178=0,L1178,0)</f>
        <v>0</v>
      </c>
      <c r="AK1178" s="14">
        <f>IF(AN1178=15,L1178,0)</f>
        <v>0</v>
      </c>
      <c r="AL1178" s="14">
        <f>IF(AN1178=21,L1178,0)</f>
        <v>0</v>
      </c>
      <c r="AN1178" s="14">
        <v>21</v>
      </c>
      <c r="AO1178" s="92">
        <f>H1178*0.0275092936802974</f>
        <v>0</v>
      </c>
      <c r="AP1178" s="92">
        <f>H1178*(1-0.0275092936802974)</f>
        <v>0</v>
      </c>
      <c r="AQ1178" s="55" t="s">
        <v>2435</v>
      </c>
      <c r="AV1178" s="14">
        <f>AW1178+AX1178</f>
        <v>0</v>
      </c>
      <c r="AW1178" s="14">
        <f>G1178*AO1178</f>
        <v>0</v>
      </c>
      <c r="AX1178" s="14">
        <f>G1178*AP1178</f>
        <v>0</v>
      </c>
      <c r="AY1178" s="55" t="s">
        <v>369</v>
      </c>
      <c r="AZ1178" s="55" t="s">
        <v>1212</v>
      </c>
      <c r="BA1178" s="15" t="s">
        <v>1027</v>
      </c>
      <c r="BC1178" s="14">
        <f>AW1178+AX1178</f>
        <v>0</v>
      </c>
      <c r="BD1178" s="14">
        <f>H1178/(100-BE1178)*100</f>
        <v>0</v>
      </c>
      <c r="BE1178" s="14">
        <v>0</v>
      </c>
      <c r="BF1178" s="14">
        <f>O1178</f>
        <v>0</v>
      </c>
      <c r="BH1178" s="14">
        <f>G1178*AO1178</f>
        <v>0</v>
      </c>
      <c r="BI1178" s="14">
        <f>G1178*AP1178</f>
        <v>0</v>
      </c>
      <c r="BJ1178" s="14">
        <f>G1178*H1178</f>
        <v>0</v>
      </c>
      <c r="BK1178" s="14"/>
      <c r="BL1178" s="14">
        <v>721</v>
      </c>
      <c r="BW1178" s="14" t="str">
        <f>I1178</f>
        <v>21</v>
      </c>
    </row>
    <row r="1179" spans="1:75" ht="15" customHeight="1">
      <c r="A1179" s="32"/>
      <c r="D1179" s="3" t="s">
        <v>352</v>
      </c>
      <c r="E1179" s="28" t="s">
        <v>1683</v>
      </c>
      <c r="G1179" s="27">
        <v>268</v>
      </c>
      <c r="P1179" s="33"/>
    </row>
    <row r="1180" spans="1:75" ht="13.5" customHeight="1">
      <c r="A1180" s="21" t="s">
        <v>1383</v>
      </c>
      <c r="B1180" s="37" t="s">
        <v>750</v>
      </c>
      <c r="C1180" s="37" t="s">
        <v>161</v>
      </c>
      <c r="D1180" s="578" t="s">
        <v>388</v>
      </c>
      <c r="E1180" s="579"/>
      <c r="F1180" s="37" t="s">
        <v>2019</v>
      </c>
      <c r="G1180" s="14">
        <v>18</v>
      </c>
      <c r="H1180" s="569"/>
      <c r="I1180" s="55" t="s">
        <v>1720</v>
      </c>
      <c r="J1180" s="14">
        <f>G1180*AO1180</f>
        <v>0</v>
      </c>
      <c r="K1180" s="14">
        <f>G1180*AP1180</f>
        <v>0</v>
      </c>
      <c r="L1180" s="14">
        <f>G1180*H1180</f>
        <v>0</v>
      </c>
      <c r="M1180" s="14">
        <f>L1180*(1+BW1180/100)</f>
        <v>0</v>
      </c>
      <c r="N1180" s="14">
        <v>0</v>
      </c>
      <c r="O1180" s="14">
        <f>G1180*N1180</f>
        <v>0</v>
      </c>
      <c r="P1180" s="72" t="s">
        <v>1664</v>
      </c>
      <c r="Z1180" s="14">
        <f>IF(AQ1180="5",BJ1180,0)</f>
        <v>0</v>
      </c>
      <c r="AB1180" s="14">
        <f>IF(AQ1180="1",BH1180,0)</f>
        <v>0</v>
      </c>
      <c r="AC1180" s="14">
        <f>IF(AQ1180="1",BI1180,0)</f>
        <v>0</v>
      </c>
      <c r="AD1180" s="14">
        <f>IF(AQ1180="7",BH1180,0)</f>
        <v>0</v>
      </c>
      <c r="AE1180" s="14">
        <f>IF(AQ1180="7",BI1180,0)</f>
        <v>0</v>
      </c>
      <c r="AF1180" s="14">
        <f>IF(AQ1180="2",BH1180,0)</f>
        <v>0</v>
      </c>
      <c r="AG1180" s="14">
        <f>IF(AQ1180="2",BI1180,0)</f>
        <v>0</v>
      </c>
      <c r="AH1180" s="14">
        <f>IF(AQ1180="0",BJ1180,0)</f>
        <v>0</v>
      </c>
      <c r="AI1180" s="15" t="s">
        <v>750</v>
      </c>
      <c r="AJ1180" s="14">
        <f>IF(AN1180=0,L1180,0)</f>
        <v>0</v>
      </c>
      <c r="AK1180" s="14">
        <f>IF(AN1180=15,L1180,0)</f>
        <v>0</v>
      </c>
      <c r="AL1180" s="14">
        <f>IF(AN1180=21,L1180,0)</f>
        <v>0</v>
      </c>
      <c r="AN1180" s="14">
        <v>21</v>
      </c>
      <c r="AO1180" s="92">
        <f>H1180*0.0837606837606838</f>
        <v>0</v>
      </c>
      <c r="AP1180" s="92">
        <f>H1180*(1-0.0837606837606838)</f>
        <v>0</v>
      </c>
      <c r="AQ1180" s="55" t="s">
        <v>2435</v>
      </c>
      <c r="AV1180" s="14">
        <f>AW1180+AX1180</f>
        <v>0</v>
      </c>
      <c r="AW1180" s="14">
        <f>G1180*AO1180</f>
        <v>0</v>
      </c>
      <c r="AX1180" s="14">
        <f>G1180*AP1180</f>
        <v>0</v>
      </c>
      <c r="AY1180" s="55" t="s">
        <v>369</v>
      </c>
      <c r="AZ1180" s="55" t="s">
        <v>1212</v>
      </c>
      <c r="BA1180" s="15" t="s">
        <v>1027</v>
      </c>
      <c r="BC1180" s="14">
        <f>AW1180+AX1180</f>
        <v>0</v>
      </c>
      <c r="BD1180" s="14">
        <f>H1180/(100-BE1180)*100</f>
        <v>0</v>
      </c>
      <c r="BE1180" s="14">
        <v>0</v>
      </c>
      <c r="BF1180" s="14">
        <f>O1180</f>
        <v>0</v>
      </c>
      <c r="BH1180" s="14">
        <f>G1180*AO1180</f>
        <v>0</v>
      </c>
      <c r="BI1180" s="14">
        <f>G1180*AP1180</f>
        <v>0</v>
      </c>
      <c r="BJ1180" s="14">
        <f>G1180*H1180</f>
        <v>0</v>
      </c>
      <c r="BK1180" s="14"/>
      <c r="BL1180" s="14">
        <v>721</v>
      </c>
      <c r="BW1180" s="14" t="str">
        <f>I1180</f>
        <v>21</v>
      </c>
    </row>
    <row r="1181" spans="1:75" ht="15" customHeight="1">
      <c r="A1181" s="32"/>
      <c r="D1181" s="3" t="s">
        <v>1940</v>
      </c>
      <c r="E1181" s="28" t="s">
        <v>1683</v>
      </c>
      <c r="G1181" s="27">
        <v>18</v>
      </c>
      <c r="P1181" s="33"/>
    </row>
    <row r="1182" spans="1:75" ht="15" customHeight="1">
      <c r="A1182" s="65" t="s">
        <v>1683</v>
      </c>
      <c r="B1182" s="26" t="s">
        <v>750</v>
      </c>
      <c r="C1182" s="26" t="s">
        <v>2204</v>
      </c>
      <c r="D1182" s="649" t="s">
        <v>1502</v>
      </c>
      <c r="E1182" s="650"/>
      <c r="F1182" s="74" t="s">
        <v>2262</v>
      </c>
      <c r="G1182" s="74" t="s">
        <v>2262</v>
      </c>
      <c r="H1182" s="74" t="s">
        <v>2262</v>
      </c>
      <c r="I1182" s="74" t="s">
        <v>2262</v>
      </c>
      <c r="J1182" s="2">
        <f>SUM(J1183:J1263)</f>
        <v>0</v>
      </c>
      <c r="K1182" s="2">
        <f>SUM(K1183:K1263)</f>
        <v>0</v>
      </c>
      <c r="L1182" s="2">
        <f>SUM(L1183:L1263)</f>
        <v>0</v>
      </c>
      <c r="M1182" s="2">
        <f>SUM(M1183:M1263)</f>
        <v>0</v>
      </c>
      <c r="N1182" s="15" t="s">
        <v>1683</v>
      </c>
      <c r="O1182" s="2">
        <f>SUM(O1183:O1263)</f>
        <v>2.7290099999999997</v>
      </c>
      <c r="P1182" s="47" t="s">
        <v>1683</v>
      </c>
      <c r="AI1182" s="15" t="s">
        <v>750</v>
      </c>
      <c r="AS1182" s="2">
        <f>SUM(AJ1183:AJ1263)</f>
        <v>0</v>
      </c>
      <c r="AT1182" s="2">
        <f>SUM(AK1183:AK1263)</f>
        <v>0</v>
      </c>
      <c r="AU1182" s="2">
        <f>SUM(AL1183:AL1263)</f>
        <v>0</v>
      </c>
    </row>
    <row r="1183" spans="1:75" ht="13.5" customHeight="1">
      <c r="A1183" s="21" t="s">
        <v>266</v>
      </c>
      <c r="B1183" s="37" t="s">
        <v>750</v>
      </c>
      <c r="C1183" s="37" t="s">
        <v>2734</v>
      </c>
      <c r="D1183" s="578" t="s">
        <v>164</v>
      </c>
      <c r="E1183" s="579"/>
      <c r="F1183" s="37" t="s">
        <v>2019</v>
      </c>
      <c r="G1183" s="14">
        <v>15</v>
      </c>
      <c r="H1183" s="569"/>
      <c r="I1183" s="55" t="s">
        <v>1720</v>
      </c>
      <c r="J1183" s="14">
        <f>G1183*AO1183</f>
        <v>0</v>
      </c>
      <c r="K1183" s="14">
        <f>G1183*AP1183</f>
        <v>0</v>
      </c>
      <c r="L1183" s="14">
        <f>G1183*H1183</f>
        <v>0</v>
      </c>
      <c r="M1183" s="14">
        <f>L1183*(1+BW1183/100)</f>
        <v>0</v>
      </c>
      <c r="N1183" s="14">
        <v>1.387E-2</v>
      </c>
      <c r="O1183" s="14">
        <f>G1183*N1183</f>
        <v>0.20805000000000001</v>
      </c>
      <c r="P1183" s="72" t="s">
        <v>1664</v>
      </c>
      <c r="Z1183" s="14">
        <f>IF(AQ1183="5",BJ1183,0)</f>
        <v>0</v>
      </c>
      <c r="AB1183" s="14">
        <f>IF(AQ1183="1",BH1183,0)</f>
        <v>0</v>
      </c>
      <c r="AC1183" s="14">
        <f>IF(AQ1183="1",BI1183,0)</f>
        <v>0</v>
      </c>
      <c r="AD1183" s="14">
        <f>IF(AQ1183="7",BH1183,0)</f>
        <v>0</v>
      </c>
      <c r="AE1183" s="14">
        <f>IF(AQ1183="7",BI1183,0)</f>
        <v>0</v>
      </c>
      <c r="AF1183" s="14">
        <f>IF(AQ1183="2",BH1183,0)</f>
        <v>0</v>
      </c>
      <c r="AG1183" s="14">
        <f>IF(AQ1183="2",BI1183,0)</f>
        <v>0</v>
      </c>
      <c r="AH1183" s="14">
        <f>IF(AQ1183="0",BJ1183,0)</f>
        <v>0</v>
      </c>
      <c r="AI1183" s="15" t="s">
        <v>750</v>
      </c>
      <c r="AJ1183" s="14">
        <f>IF(AN1183=0,L1183,0)</f>
        <v>0</v>
      </c>
      <c r="AK1183" s="14">
        <f>IF(AN1183=15,L1183,0)</f>
        <v>0</v>
      </c>
      <c r="AL1183" s="14">
        <f>IF(AN1183=21,L1183,0)</f>
        <v>0</v>
      </c>
      <c r="AN1183" s="14">
        <v>21</v>
      </c>
      <c r="AO1183" s="92">
        <f>H1183*0.486</f>
        <v>0</v>
      </c>
      <c r="AP1183" s="92">
        <f>H1183*(1-0.486)</f>
        <v>0</v>
      </c>
      <c r="AQ1183" s="55" t="s">
        <v>2435</v>
      </c>
      <c r="AV1183" s="14">
        <f>AW1183+AX1183</f>
        <v>0</v>
      </c>
      <c r="AW1183" s="14">
        <f>G1183*AO1183</f>
        <v>0</v>
      </c>
      <c r="AX1183" s="14">
        <f>G1183*AP1183</f>
        <v>0</v>
      </c>
      <c r="AY1183" s="55" t="s">
        <v>1543</v>
      </c>
      <c r="AZ1183" s="55" t="s">
        <v>1212</v>
      </c>
      <c r="BA1183" s="15" t="s">
        <v>1027</v>
      </c>
      <c r="BC1183" s="14">
        <f>AW1183+AX1183</f>
        <v>0</v>
      </c>
      <c r="BD1183" s="14">
        <f>H1183/(100-BE1183)*100</f>
        <v>0</v>
      </c>
      <c r="BE1183" s="14">
        <v>0</v>
      </c>
      <c r="BF1183" s="14">
        <f>O1183</f>
        <v>0.20805000000000001</v>
      </c>
      <c r="BH1183" s="14">
        <f>G1183*AO1183</f>
        <v>0</v>
      </c>
      <c r="BI1183" s="14">
        <f>G1183*AP1183</f>
        <v>0</v>
      </c>
      <c r="BJ1183" s="14">
        <f>G1183*H1183</f>
        <v>0</v>
      </c>
      <c r="BK1183" s="14"/>
      <c r="BL1183" s="14">
        <v>722</v>
      </c>
      <c r="BW1183" s="14" t="str">
        <f>I1183</f>
        <v>21</v>
      </c>
    </row>
    <row r="1184" spans="1:75" ht="15" customHeight="1">
      <c r="A1184" s="32"/>
      <c r="D1184" s="3" t="s">
        <v>957</v>
      </c>
      <c r="E1184" s="28" t="s">
        <v>596</v>
      </c>
      <c r="G1184" s="27">
        <v>15.000000000000002</v>
      </c>
      <c r="P1184" s="33"/>
    </row>
    <row r="1185" spans="1:75" ht="13.5" customHeight="1">
      <c r="A1185" s="21" t="s">
        <v>2750</v>
      </c>
      <c r="B1185" s="37" t="s">
        <v>750</v>
      </c>
      <c r="C1185" s="37" t="s">
        <v>1741</v>
      </c>
      <c r="D1185" s="578" t="s">
        <v>624</v>
      </c>
      <c r="E1185" s="579"/>
      <c r="F1185" s="37" t="s">
        <v>2019</v>
      </c>
      <c r="G1185" s="14">
        <v>1</v>
      </c>
      <c r="H1185" s="569"/>
      <c r="I1185" s="55" t="s">
        <v>1720</v>
      </c>
      <c r="J1185" s="14">
        <f>G1185*AO1185</f>
        <v>0</v>
      </c>
      <c r="K1185" s="14">
        <f>G1185*AP1185</f>
        <v>0</v>
      </c>
      <c r="L1185" s="14">
        <f>G1185*H1185</f>
        <v>0</v>
      </c>
      <c r="M1185" s="14">
        <f>L1185*(1+BW1185/100)</f>
        <v>0</v>
      </c>
      <c r="N1185" s="14">
        <v>1.5900000000000001E-2</v>
      </c>
      <c r="O1185" s="14">
        <f>G1185*N1185</f>
        <v>1.5900000000000001E-2</v>
      </c>
      <c r="P1185" s="72" t="s">
        <v>1664</v>
      </c>
      <c r="Z1185" s="14">
        <f>IF(AQ1185="5",BJ1185,0)</f>
        <v>0</v>
      </c>
      <c r="AB1185" s="14">
        <f>IF(AQ1185="1",BH1185,0)</f>
        <v>0</v>
      </c>
      <c r="AC1185" s="14">
        <f>IF(AQ1185="1",BI1185,0)</f>
        <v>0</v>
      </c>
      <c r="AD1185" s="14">
        <f>IF(AQ1185="7",BH1185,0)</f>
        <v>0</v>
      </c>
      <c r="AE1185" s="14">
        <f>IF(AQ1185="7",BI1185,0)</f>
        <v>0</v>
      </c>
      <c r="AF1185" s="14">
        <f>IF(AQ1185="2",BH1185,0)</f>
        <v>0</v>
      </c>
      <c r="AG1185" s="14">
        <f>IF(AQ1185="2",BI1185,0)</f>
        <v>0</v>
      </c>
      <c r="AH1185" s="14">
        <f>IF(AQ1185="0",BJ1185,0)</f>
        <v>0</v>
      </c>
      <c r="AI1185" s="15" t="s">
        <v>750</v>
      </c>
      <c r="AJ1185" s="14">
        <f>IF(AN1185=0,L1185,0)</f>
        <v>0</v>
      </c>
      <c r="AK1185" s="14">
        <f>IF(AN1185=15,L1185,0)</f>
        <v>0</v>
      </c>
      <c r="AL1185" s="14">
        <f>IF(AN1185=21,L1185,0)</f>
        <v>0</v>
      </c>
      <c r="AN1185" s="14">
        <v>21</v>
      </c>
      <c r="AO1185" s="92">
        <f>H1185*0.425118406010126</f>
        <v>0</v>
      </c>
      <c r="AP1185" s="92">
        <f>H1185*(1-0.425118406010126)</f>
        <v>0</v>
      </c>
      <c r="AQ1185" s="55" t="s">
        <v>2435</v>
      </c>
      <c r="AV1185" s="14">
        <f>AW1185+AX1185</f>
        <v>0</v>
      </c>
      <c r="AW1185" s="14">
        <f>G1185*AO1185</f>
        <v>0</v>
      </c>
      <c r="AX1185" s="14">
        <f>G1185*AP1185</f>
        <v>0</v>
      </c>
      <c r="AY1185" s="55" t="s">
        <v>1543</v>
      </c>
      <c r="AZ1185" s="55" t="s">
        <v>1212</v>
      </c>
      <c r="BA1185" s="15" t="s">
        <v>1027</v>
      </c>
      <c r="BC1185" s="14">
        <f>AW1185+AX1185</f>
        <v>0</v>
      </c>
      <c r="BD1185" s="14">
        <f>H1185/(100-BE1185)*100</f>
        <v>0</v>
      </c>
      <c r="BE1185" s="14">
        <v>0</v>
      </c>
      <c r="BF1185" s="14">
        <f>O1185</f>
        <v>1.5900000000000001E-2</v>
      </c>
      <c r="BH1185" s="14">
        <f>G1185*AO1185</f>
        <v>0</v>
      </c>
      <c r="BI1185" s="14">
        <f>G1185*AP1185</f>
        <v>0</v>
      </c>
      <c r="BJ1185" s="14">
        <f>G1185*H1185</f>
        <v>0</v>
      </c>
      <c r="BK1185" s="14"/>
      <c r="BL1185" s="14">
        <v>722</v>
      </c>
      <c r="BW1185" s="14" t="str">
        <f>I1185</f>
        <v>21</v>
      </c>
    </row>
    <row r="1186" spans="1:75" ht="15" customHeight="1">
      <c r="A1186" s="32"/>
      <c r="D1186" s="3" t="s">
        <v>2422</v>
      </c>
      <c r="E1186" s="28" t="s">
        <v>596</v>
      </c>
      <c r="G1186" s="27">
        <v>1</v>
      </c>
      <c r="P1186" s="33"/>
    </row>
    <row r="1187" spans="1:75" ht="13.5" customHeight="1">
      <c r="A1187" s="21" t="s">
        <v>1836</v>
      </c>
      <c r="B1187" s="37" t="s">
        <v>750</v>
      </c>
      <c r="C1187" s="37" t="s">
        <v>1988</v>
      </c>
      <c r="D1187" s="578" t="s">
        <v>271</v>
      </c>
      <c r="E1187" s="579"/>
      <c r="F1187" s="37" t="s">
        <v>2019</v>
      </c>
      <c r="G1187" s="14">
        <v>70</v>
      </c>
      <c r="H1187" s="569"/>
      <c r="I1187" s="55" t="s">
        <v>1720</v>
      </c>
      <c r="J1187" s="14">
        <f>G1187*AO1187</f>
        <v>0</v>
      </c>
      <c r="K1187" s="14">
        <f>G1187*AP1187</f>
        <v>0</v>
      </c>
      <c r="L1187" s="14">
        <f>G1187*H1187</f>
        <v>0</v>
      </c>
      <c r="M1187" s="14">
        <f>L1187*(1+BW1187/100)</f>
        <v>0</v>
      </c>
      <c r="N1187" s="14">
        <v>3.9899999999999996E-3</v>
      </c>
      <c r="O1187" s="14">
        <f>G1187*N1187</f>
        <v>0.27929999999999999</v>
      </c>
      <c r="P1187" s="72" t="s">
        <v>1664</v>
      </c>
      <c r="Z1187" s="14">
        <f>IF(AQ1187="5",BJ1187,0)</f>
        <v>0</v>
      </c>
      <c r="AB1187" s="14">
        <f>IF(AQ1187="1",BH1187,0)</f>
        <v>0</v>
      </c>
      <c r="AC1187" s="14">
        <f>IF(AQ1187="1",BI1187,0)</f>
        <v>0</v>
      </c>
      <c r="AD1187" s="14">
        <f>IF(AQ1187="7",BH1187,0)</f>
        <v>0</v>
      </c>
      <c r="AE1187" s="14">
        <f>IF(AQ1187="7",BI1187,0)</f>
        <v>0</v>
      </c>
      <c r="AF1187" s="14">
        <f>IF(AQ1187="2",BH1187,0)</f>
        <v>0</v>
      </c>
      <c r="AG1187" s="14">
        <f>IF(AQ1187="2",BI1187,0)</f>
        <v>0</v>
      </c>
      <c r="AH1187" s="14">
        <f>IF(AQ1187="0",BJ1187,0)</f>
        <v>0</v>
      </c>
      <c r="AI1187" s="15" t="s">
        <v>750</v>
      </c>
      <c r="AJ1187" s="14">
        <f>IF(AN1187=0,L1187,0)</f>
        <v>0</v>
      </c>
      <c r="AK1187" s="14">
        <f>IF(AN1187=15,L1187,0)</f>
        <v>0</v>
      </c>
      <c r="AL1187" s="14">
        <f>IF(AN1187=21,L1187,0)</f>
        <v>0</v>
      </c>
      <c r="AN1187" s="14">
        <v>21</v>
      </c>
      <c r="AO1187" s="92">
        <f>H1187*0.272118067325493</f>
        <v>0</v>
      </c>
      <c r="AP1187" s="92">
        <f>H1187*(1-0.272118067325493)</f>
        <v>0</v>
      </c>
      <c r="AQ1187" s="55" t="s">
        <v>2435</v>
      </c>
      <c r="AV1187" s="14">
        <f>AW1187+AX1187</f>
        <v>0</v>
      </c>
      <c r="AW1187" s="14">
        <f>G1187*AO1187</f>
        <v>0</v>
      </c>
      <c r="AX1187" s="14">
        <f>G1187*AP1187</f>
        <v>0</v>
      </c>
      <c r="AY1187" s="55" t="s">
        <v>1543</v>
      </c>
      <c r="AZ1187" s="55" t="s">
        <v>1212</v>
      </c>
      <c r="BA1187" s="15" t="s">
        <v>1027</v>
      </c>
      <c r="BC1187" s="14">
        <f>AW1187+AX1187</f>
        <v>0</v>
      </c>
      <c r="BD1187" s="14">
        <f>H1187/(100-BE1187)*100</f>
        <v>0</v>
      </c>
      <c r="BE1187" s="14">
        <v>0</v>
      </c>
      <c r="BF1187" s="14">
        <f>O1187</f>
        <v>0.27929999999999999</v>
      </c>
      <c r="BH1187" s="14">
        <f>G1187*AO1187</f>
        <v>0</v>
      </c>
      <c r="BI1187" s="14">
        <f>G1187*AP1187</f>
        <v>0</v>
      </c>
      <c r="BJ1187" s="14">
        <f>G1187*H1187</f>
        <v>0</v>
      </c>
      <c r="BK1187" s="14"/>
      <c r="BL1187" s="14">
        <v>722</v>
      </c>
      <c r="BW1187" s="14" t="str">
        <f>I1187</f>
        <v>21</v>
      </c>
    </row>
    <row r="1188" spans="1:75" ht="15" customHeight="1">
      <c r="A1188" s="32"/>
      <c r="D1188" s="3" t="s">
        <v>1919</v>
      </c>
      <c r="E1188" s="28" t="s">
        <v>1683</v>
      </c>
      <c r="G1188" s="27">
        <v>70</v>
      </c>
      <c r="P1188" s="33"/>
    </row>
    <row r="1189" spans="1:75" ht="13.5" customHeight="1">
      <c r="A1189" s="21" t="s">
        <v>1789</v>
      </c>
      <c r="B1189" s="37" t="s">
        <v>750</v>
      </c>
      <c r="C1189" s="37" t="s">
        <v>320</v>
      </c>
      <c r="D1189" s="578" t="s">
        <v>2620</v>
      </c>
      <c r="E1189" s="579"/>
      <c r="F1189" s="37" t="s">
        <v>2019</v>
      </c>
      <c r="G1189" s="14">
        <v>130</v>
      </c>
      <c r="H1189" s="569"/>
      <c r="I1189" s="55" t="s">
        <v>1720</v>
      </c>
      <c r="J1189" s="14">
        <f>G1189*AO1189</f>
        <v>0</v>
      </c>
      <c r="K1189" s="14">
        <f>G1189*AP1189</f>
        <v>0</v>
      </c>
      <c r="L1189" s="14">
        <f>G1189*H1189</f>
        <v>0</v>
      </c>
      <c r="M1189" s="14">
        <f>L1189*(1+BW1189/100)</f>
        <v>0</v>
      </c>
      <c r="N1189" s="14">
        <v>5.1799999999999997E-3</v>
      </c>
      <c r="O1189" s="14">
        <f>G1189*N1189</f>
        <v>0.6734</v>
      </c>
      <c r="P1189" s="72" t="s">
        <v>1664</v>
      </c>
      <c r="Z1189" s="14">
        <f>IF(AQ1189="5",BJ1189,0)</f>
        <v>0</v>
      </c>
      <c r="AB1189" s="14">
        <f>IF(AQ1189="1",BH1189,0)</f>
        <v>0</v>
      </c>
      <c r="AC1189" s="14">
        <f>IF(AQ1189="1",BI1189,0)</f>
        <v>0</v>
      </c>
      <c r="AD1189" s="14">
        <f>IF(AQ1189="7",BH1189,0)</f>
        <v>0</v>
      </c>
      <c r="AE1189" s="14">
        <f>IF(AQ1189="7",BI1189,0)</f>
        <v>0</v>
      </c>
      <c r="AF1189" s="14">
        <f>IF(AQ1189="2",BH1189,0)</f>
        <v>0</v>
      </c>
      <c r="AG1189" s="14">
        <f>IF(AQ1189="2",BI1189,0)</f>
        <v>0</v>
      </c>
      <c r="AH1189" s="14">
        <f>IF(AQ1189="0",BJ1189,0)</f>
        <v>0</v>
      </c>
      <c r="AI1189" s="15" t="s">
        <v>750</v>
      </c>
      <c r="AJ1189" s="14">
        <f>IF(AN1189=0,L1189,0)</f>
        <v>0</v>
      </c>
      <c r="AK1189" s="14">
        <f>IF(AN1189=15,L1189,0)</f>
        <v>0</v>
      </c>
      <c r="AL1189" s="14">
        <f>IF(AN1189=21,L1189,0)</f>
        <v>0</v>
      </c>
      <c r="AN1189" s="14">
        <v>21</v>
      </c>
      <c r="AO1189" s="92">
        <f>H1189*0.304796922488364</f>
        <v>0</v>
      </c>
      <c r="AP1189" s="92">
        <f>H1189*(1-0.304796922488364)</f>
        <v>0</v>
      </c>
      <c r="AQ1189" s="55" t="s">
        <v>2435</v>
      </c>
      <c r="AV1189" s="14">
        <f>AW1189+AX1189</f>
        <v>0</v>
      </c>
      <c r="AW1189" s="14">
        <f>G1189*AO1189</f>
        <v>0</v>
      </c>
      <c r="AX1189" s="14">
        <f>G1189*AP1189</f>
        <v>0</v>
      </c>
      <c r="AY1189" s="55" t="s">
        <v>1543</v>
      </c>
      <c r="AZ1189" s="55" t="s">
        <v>1212</v>
      </c>
      <c r="BA1189" s="15" t="s">
        <v>1027</v>
      </c>
      <c r="BC1189" s="14">
        <f>AW1189+AX1189</f>
        <v>0</v>
      </c>
      <c r="BD1189" s="14">
        <f>H1189/(100-BE1189)*100</f>
        <v>0</v>
      </c>
      <c r="BE1189" s="14">
        <v>0</v>
      </c>
      <c r="BF1189" s="14">
        <f>O1189</f>
        <v>0.6734</v>
      </c>
      <c r="BH1189" s="14">
        <f>G1189*AO1189</f>
        <v>0</v>
      </c>
      <c r="BI1189" s="14">
        <f>G1189*AP1189</f>
        <v>0</v>
      </c>
      <c r="BJ1189" s="14">
        <f>G1189*H1189</f>
        <v>0</v>
      </c>
      <c r="BK1189" s="14"/>
      <c r="BL1189" s="14">
        <v>722</v>
      </c>
      <c r="BW1189" s="14" t="str">
        <f>I1189</f>
        <v>21</v>
      </c>
    </row>
    <row r="1190" spans="1:75" ht="15" customHeight="1">
      <c r="A1190" s="32"/>
      <c r="D1190" s="3" t="s">
        <v>648</v>
      </c>
      <c r="E1190" s="28" t="s">
        <v>1683</v>
      </c>
      <c r="G1190" s="27">
        <v>130</v>
      </c>
      <c r="P1190" s="33"/>
    </row>
    <row r="1191" spans="1:75" ht="13.5" customHeight="1">
      <c r="A1191" s="21" t="s">
        <v>2429</v>
      </c>
      <c r="B1191" s="37" t="s">
        <v>750</v>
      </c>
      <c r="C1191" s="37" t="s">
        <v>1782</v>
      </c>
      <c r="D1191" s="578" t="s">
        <v>2388</v>
      </c>
      <c r="E1191" s="579"/>
      <c r="F1191" s="37" t="s">
        <v>2019</v>
      </c>
      <c r="G1191" s="14">
        <v>18</v>
      </c>
      <c r="H1191" s="569"/>
      <c r="I1191" s="55" t="s">
        <v>1720</v>
      </c>
      <c r="J1191" s="14">
        <f>G1191*AO1191</f>
        <v>0</v>
      </c>
      <c r="K1191" s="14">
        <f>G1191*AP1191</f>
        <v>0</v>
      </c>
      <c r="L1191" s="14">
        <f>G1191*H1191</f>
        <v>0</v>
      </c>
      <c r="M1191" s="14">
        <f>L1191*(1+BW1191/100)</f>
        <v>0</v>
      </c>
      <c r="N1191" s="14">
        <v>5.3499999999999997E-3</v>
      </c>
      <c r="O1191" s="14">
        <f>G1191*N1191</f>
        <v>9.6299999999999997E-2</v>
      </c>
      <c r="P1191" s="72" t="s">
        <v>1664</v>
      </c>
      <c r="Z1191" s="14">
        <f>IF(AQ1191="5",BJ1191,0)</f>
        <v>0</v>
      </c>
      <c r="AB1191" s="14">
        <f>IF(AQ1191="1",BH1191,0)</f>
        <v>0</v>
      </c>
      <c r="AC1191" s="14">
        <f>IF(AQ1191="1",BI1191,0)</f>
        <v>0</v>
      </c>
      <c r="AD1191" s="14">
        <f>IF(AQ1191="7",BH1191,0)</f>
        <v>0</v>
      </c>
      <c r="AE1191" s="14">
        <f>IF(AQ1191="7",BI1191,0)</f>
        <v>0</v>
      </c>
      <c r="AF1191" s="14">
        <f>IF(AQ1191="2",BH1191,0)</f>
        <v>0</v>
      </c>
      <c r="AG1191" s="14">
        <f>IF(AQ1191="2",BI1191,0)</f>
        <v>0</v>
      </c>
      <c r="AH1191" s="14">
        <f>IF(AQ1191="0",BJ1191,0)</f>
        <v>0</v>
      </c>
      <c r="AI1191" s="15" t="s">
        <v>750</v>
      </c>
      <c r="AJ1191" s="14">
        <f>IF(AN1191=0,L1191,0)</f>
        <v>0</v>
      </c>
      <c r="AK1191" s="14">
        <f>IF(AN1191=15,L1191,0)</f>
        <v>0</v>
      </c>
      <c r="AL1191" s="14">
        <f>IF(AN1191=21,L1191,0)</f>
        <v>0</v>
      </c>
      <c r="AN1191" s="14">
        <v>21</v>
      </c>
      <c r="AO1191" s="92">
        <f>H1191*0.396170713810345</f>
        <v>0</v>
      </c>
      <c r="AP1191" s="92">
        <f>H1191*(1-0.396170713810345)</f>
        <v>0</v>
      </c>
      <c r="AQ1191" s="55" t="s">
        <v>2435</v>
      </c>
      <c r="AV1191" s="14">
        <f>AW1191+AX1191</f>
        <v>0</v>
      </c>
      <c r="AW1191" s="14">
        <f>G1191*AO1191</f>
        <v>0</v>
      </c>
      <c r="AX1191" s="14">
        <f>G1191*AP1191</f>
        <v>0</v>
      </c>
      <c r="AY1191" s="55" t="s">
        <v>1543</v>
      </c>
      <c r="AZ1191" s="55" t="s">
        <v>1212</v>
      </c>
      <c r="BA1191" s="15" t="s">
        <v>1027</v>
      </c>
      <c r="BC1191" s="14">
        <f>AW1191+AX1191</f>
        <v>0</v>
      </c>
      <c r="BD1191" s="14">
        <f>H1191/(100-BE1191)*100</f>
        <v>0</v>
      </c>
      <c r="BE1191" s="14">
        <v>0</v>
      </c>
      <c r="BF1191" s="14">
        <f>O1191</f>
        <v>9.6299999999999997E-2</v>
      </c>
      <c r="BH1191" s="14">
        <f>G1191*AO1191</f>
        <v>0</v>
      </c>
      <c r="BI1191" s="14">
        <f>G1191*AP1191</f>
        <v>0</v>
      </c>
      <c r="BJ1191" s="14">
        <f>G1191*H1191</f>
        <v>0</v>
      </c>
      <c r="BK1191" s="14"/>
      <c r="BL1191" s="14">
        <v>722</v>
      </c>
      <c r="BW1191" s="14" t="str">
        <f>I1191</f>
        <v>21</v>
      </c>
    </row>
    <row r="1192" spans="1:75" ht="15" customHeight="1">
      <c r="A1192" s="32"/>
      <c r="D1192" s="3" t="s">
        <v>1940</v>
      </c>
      <c r="E1192" s="28" t="s">
        <v>1683</v>
      </c>
      <c r="G1192" s="27">
        <v>18</v>
      </c>
      <c r="P1192" s="33"/>
    </row>
    <row r="1193" spans="1:75" ht="13.5" customHeight="1">
      <c r="A1193" s="21" t="s">
        <v>285</v>
      </c>
      <c r="B1193" s="37" t="s">
        <v>750</v>
      </c>
      <c r="C1193" s="37" t="s">
        <v>124</v>
      </c>
      <c r="D1193" s="578" t="s">
        <v>1425</v>
      </c>
      <c r="E1193" s="579"/>
      <c r="F1193" s="37" t="s">
        <v>2019</v>
      </c>
      <c r="G1193" s="14">
        <v>16</v>
      </c>
      <c r="H1193" s="569"/>
      <c r="I1193" s="55" t="s">
        <v>1720</v>
      </c>
      <c r="J1193" s="14">
        <f>G1193*AO1193</f>
        <v>0</v>
      </c>
      <c r="K1193" s="14">
        <f>G1193*AP1193</f>
        <v>0</v>
      </c>
      <c r="L1193" s="14">
        <f>G1193*H1193</f>
        <v>0</v>
      </c>
      <c r="M1193" s="14">
        <f>L1193*(1+BW1193/100)</f>
        <v>0</v>
      </c>
      <c r="N1193" s="14">
        <v>5.6299999999999996E-3</v>
      </c>
      <c r="O1193" s="14">
        <f>G1193*N1193</f>
        <v>9.0079999999999993E-2</v>
      </c>
      <c r="P1193" s="72" t="s">
        <v>1664</v>
      </c>
      <c r="Z1193" s="14">
        <f>IF(AQ1193="5",BJ1193,0)</f>
        <v>0</v>
      </c>
      <c r="AB1193" s="14">
        <f>IF(AQ1193="1",BH1193,0)</f>
        <v>0</v>
      </c>
      <c r="AC1193" s="14">
        <f>IF(AQ1193="1",BI1193,0)</f>
        <v>0</v>
      </c>
      <c r="AD1193" s="14">
        <f>IF(AQ1193="7",BH1193,0)</f>
        <v>0</v>
      </c>
      <c r="AE1193" s="14">
        <f>IF(AQ1193="7",BI1193,0)</f>
        <v>0</v>
      </c>
      <c r="AF1193" s="14">
        <f>IF(AQ1193="2",BH1193,0)</f>
        <v>0</v>
      </c>
      <c r="AG1193" s="14">
        <f>IF(AQ1193="2",BI1193,0)</f>
        <v>0</v>
      </c>
      <c r="AH1193" s="14">
        <f>IF(AQ1193="0",BJ1193,0)</f>
        <v>0</v>
      </c>
      <c r="AI1193" s="15" t="s">
        <v>750</v>
      </c>
      <c r="AJ1193" s="14">
        <f>IF(AN1193=0,L1193,0)</f>
        <v>0</v>
      </c>
      <c r="AK1193" s="14">
        <f>IF(AN1193=15,L1193,0)</f>
        <v>0</v>
      </c>
      <c r="AL1193" s="14">
        <f>IF(AN1193=21,L1193,0)</f>
        <v>0</v>
      </c>
      <c r="AN1193" s="14">
        <v>21</v>
      </c>
      <c r="AO1193" s="92">
        <f>H1193*0.519552599758162</f>
        <v>0</v>
      </c>
      <c r="AP1193" s="92">
        <f>H1193*(1-0.519552599758162)</f>
        <v>0</v>
      </c>
      <c r="AQ1193" s="55" t="s">
        <v>2435</v>
      </c>
      <c r="AV1193" s="14">
        <f>AW1193+AX1193</f>
        <v>0</v>
      </c>
      <c r="AW1193" s="14">
        <f>G1193*AO1193</f>
        <v>0</v>
      </c>
      <c r="AX1193" s="14">
        <f>G1193*AP1193</f>
        <v>0</v>
      </c>
      <c r="AY1193" s="55" t="s">
        <v>1543</v>
      </c>
      <c r="AZ1193" s="55" t="s">
        <v>1212</v>
      </c>
      <c r="BA1193" s="15" t="s">
        <v>1027</v>
      </c>
      <c r="BC1193" s="14">
        <f>AW1193+AX1193</f>
        <v>0</v>
      </c>
      <c r="BD1193" s="14">
        <f>H1193/(100-BE1193)*100</f>
        <v>0</v>
      </c>
      <c r="BE1193" s="14">
        <v>0</v>
      </c>
      <c r="BF1193" s="14">
        <f>O1193</f>
        <v>9.0079999999999993E-2</v>
      </c>
      <c r="BH1193" s="14">
        <f>G1193*AO1193</f>
        <v>0</v>
      </c>
      <c r="BI1193" s="14">
        <f>G1193*AP1193</f>
        <v>0</v>
      </c>
      <c r="BJ1193" s="14">
        <f>G1193*H1193</f>
        <v>0</v>
      </c>
      <c r="BK1193" s="14"/>
      <c r="BL1193" s="14">
        <v>722</v>
      </c>
      <c r="BW1193" s="14" t="str">
        <f>I1193</f>
        <v>21</v>
      </c>
    </row>
    <row r="1194" spans="1:75" ht="15" customHeight="1">
      <c r="A1194" s="32"/>
      <c r="D1194" s="3" t="s">
        <v>226</v>
      </c>
      <c r="E1194" s="28" t="s">
        <v>1683</v>
      </c>
      <c r="G1194" s="27">
        <v>16</v>
      </c>
      <c r="P1194" s="33"/>
    </row>
    <row r="1195" spans="1:75" ht="13.5" customHeight="1">
      <c r="A1195" s="21" t="s">
        <v>1374</v>
      </c>
      <c r="B1195" s="37" t="s">
        <v>750</v>
      </c>
      <c r="C1195" s="37" t="s">
        <v>2679</v>
      </c>
      <c r="D1195" s="578" t="s">
        <v>2523</v>
      </c>
      <c r="E1195" s="579"/>
      <c r="F1195" s="37" t="s">
        <v>2019</v>
      </c>
      <c r="G1195" s="14">
        <v>25</v>
      </c>
      <c r="H1195" s="569"/>
      <c r="I1195" s="55" t="s">
        <v>1720</v>
      </c>
      <c r="J1195" s="14">
        <f>G1195*AO1195</f>
        <v>0</v>
      </c>
      <c r="K1195" s="14">
        <f>G1195*AP1195</f>
        <v>0</v>
      </c>
      <c r="L1195" s="14">
        <f>G1195*H1195</f>
        <v>0</v>
      </c>
      <c r="M1195" s="14">
        <f>L1195*(1+BW1195/100)</f>
        <v>0</v>
      </c>
      <c r="N1195" s="14">
        <v>5.94E-3</v>
      </c>
      <c r="O1195" s="14">
        <f>G1195*N1195</f>
        <v>0.14849999999999999</v>
      </c>
      <c r="P1195" s="72" t="s">
        <v>1664</v>
      </c>
      <c r="Z1195" s="14">
        <f>IF(AQ1195="5",BJ1195,0)</f>
        <v>0</v>
      </c>
      <c r="AB1195" s="14">
        <f>IF(AQ1195="1",BH1195,0)</f>
        <v>0</v>
      </c>
      <c r="AC1195" s="14">
        <f>IF(AQ1195="1",BI1195,0)</f>
        <v>0</v>
      </c>
      <c r="AD1195" s="14">
        <f>IF(AQ1195="7",BH1195,0)</f>
        <v>0</v>
      </c>
      <c r="AE1195" s="14">
        <f>IF(AQ1195="7",BI1195,0)</f>
        <v>0</v>
      </c>
      <c r="AF1195" s="14">
        <f>IF(AQ1195="2",BH1195,0)</f>
        <v>0</v>
      </c>
      <c r="AG1195" s="14">
        <f>IF(AQ1195="2",BI1195,0)</f>
        <v>0</v>
      </c>
      <c r="AH1195" s="14">
        <f>IF(AQ1195="0",BJ1195,0)</f>
        <v>0</v>
      </c>
      <c r="AI1195" s="15" t="s">
        <v>750</v>
      </c>
      <c r="AJ1195" s="14">
        <f>IF(AN1195=0,L1195,0)</f>
        <v>0</v>
      </c>
      <c r="AK1195" s="14">
        <f>IF(AN1195=15,L1195,0)</f>
        <v>0</v>
      </c>
      <c r="AL1195" s="14">
        <f>IF(AN1195=21,L1195,0)</f>
        <v>0</v>
      </c>
      <c r="AN1195" s="14">
        <v>21</v>
      </c>
      <c r="AO1195" s="92">
        <f>H1195*0.488076923076923</f>
        <v>0</v>
      </c>
      <c r="AP1195" s="92">
        <f>H1195*(1-0.488076923076923)</f>
        <v>0</v>
      </c>
      <c r="AQ1195" s="55" t="s">
        <v>2435</v>
      </c>
      <c r="AV1195" s="14">
        <f>AW1195+AX1195</f>
        <v>0</v>
      </c>
      <c r="AW1195" s="14">
        <f>G1195*AO1195</f>
        <v>0</v>
      </c>
      <c r="AX1195" s="14">
        <f>G1195*AP1195</f>
        <v>0</v>
      </c>
      <c r="AY1195" s="55" t="s">
        <v>1543</v>
      </c>
      <c r="AZ1195" s="55" t="s">
        <v>1212</v>
      </c>
      <c r="BA1195" s="15" t="s">
        <v>1027</v>
      </c>
      <c r="BC1195" s="14">
        <f>AW1195+AX1195</f>
        <v>0</v>
      </c>
      <c r="BD1195" s="14">
        <f>H1195/(100-BE1195)*100</f>
        <v>0</v>
      </c>
      <c r="BE1195" s="14">
        <v>0</v>
      </c>
      <c r="BF1195" s="14">
        <f>O1195</f>
        <v>0.14849999999999999</v>
      </c>
      <c r="BH1195" s="14">
        <f>G1195*AO1195</f>
        <v>0</v>
      </c>
      <c r="BI1195" s="14">
        <f>G1195*AP1195</f>
        <v>0</v>
      </c>
      <c r="BJ1195" s="14">
        <f>G1195*H1195</f>
        <v>0</v>
      </c>
      <c r="BK1195" s="14"/>
      <c r="BL1195" s="14">
        <v>722</v>
      </c>
      <c r="BW1195" s="14" t="str">
        <f>I1195</f>
        <v>21</v>
      </c>
    </row>
    <row r="1196" spans="1:75" ht="15" customHeight="1">
      <c r="A1196" s="32"/>
      <c r="D1196" s="3" t="s">
        <v>593</v>
      </c>
      <c r="E1196" s="28" t="s">
        <v>1683</v>
      </c>
      <c r="G1196" s="27">
        <v>25.000000000000004</v>
      </c>
      <c r="P1196" s="33"/>
    </row>
    <row r="1197" spans="1:75" ht="13.5" customHeight="1">
      <c r="A1197" s="21" t="s">
        <v>1821</v>
      </c>
      <c r="B1197" s="37" t="s">
        <v>750</v>
      </c>
      <c r="C1197" s="37" t="s">
        <v>2369</v>
      </c>
      <c r="D1197" s="578" t="s">
        <v>1861</v>
      </c>
      <c r="E1197" s="579"/>
      <c r="F1197" s="37" t="s">
        <v>2019</v>
      </c>
      <c r="G1197" s="14">
        <v>13</v>
      </c>
      <c r="H1197" s="569"/>
      <c r="I1197" s="55" t="s">
        <v>1720</v>
      </c>
      <c r="J1197" s="14">
        <f>G1197*AO1197</f>
        <v>0</v>
      </c>
      <c r="K1197" s="14">
        <f>G1197*AP1197</f>
        <v>0</v>
      </c>
      <c r="L1197" s="14">
        <f>G1197*H1197</f>
        <v>0</v>
      </c>
      <c r="M1197" s="14">
        <f>L1197*(1+BW1197/100)</f>
        <v>0</v>
      </c>
      <c r="N1197" s="14">
        <v>4.0099999999999997E-3</v>
      </c>
      <c r="O1197" s="14">
        <f>G1197*N1197</f>
        <v>5.2129999999999996E-2</v>
      </c>
      <c r="P1197" s="72" t="s">
        <v>1664</v>
      </c>
      <c r="Z1197" s="14">
        <f>IF(AQ1197="5",BJ1197,0)</f>
        <v>0</v>
      </c>
      <c r="AB1197" s="14">
        <f>IF(AQ1197="1",BH1197,0)</f>
        <v>0</v>
      </c>
      <c r="AC1197" s="14">
        <f>IF(AQ1197="1",BI1197,0)</f>
        <v>0</v>
      </c>
      <c r="AD1197" s="14">
        <f>IF(AQ1197="7",BH1197,0)</f>
        <v>0</v>
      </c>
      <c r="AE1197" s="14">
        <f>IF(AQ1197="7",BI1197,0)</f>
        <v>0</v>
      </c>
      <c r="AF1197" s="14">
        <f>IF(AQ1197="2",BH1197,0)</f>
        <v>0</v>
      </c>
      <c r="AG1197" s="14">
        <f>IF(AQ1197="2",BI1197,0)</f>
        <v>0</v>
      </c>
      <c r="AH1197" s="14">
        <f>IF(AQ1197="0",BJ1197,0)</f>
        <v>0</v>
      </c>
      <c r="AI1197" s="15" t="s">
        <v>750</v>
      </c>
      <c r="AJ1197" s="14">
        <f>IF(AN1197=0,L1197,0)</f>
        <v>0</v>
      </c>
      <c r="AK1197" s="14">
        <f>IF(AN1197=15,L1197,0)</f>
        <v>0</v>
      </c>
      <c r="AL1197" s="14">
        <f>IF(AN1197=21,L1197,0)</f>
        <v>0</v>
      </c>
      <c r="AN1197" s="14">
        <v>21</v>
      </c>
      <c r="AO1197" s="92">
        <f>H1197*0.28976361924633</f>
        <v>0</v>
      </c>
      <c r="AP1197" s="92">
        <f>H1197*(1-0.28976361924633)</f>
        <v>0</v>
      </c>
      <c r="AQ1197" s="55" t="s">
        <v>2435</v>
      </c>
      <c r="AV1197" s="14">
        <f>AW1197+AX1197</f>
        <v>0</v>
      </c>
      <c r="AW1197" s="14">
        <f>G1197*AO1197</f>
        <v>0</v>
      </c>
      <c r="AX1197" s="14">
        <f>G1197*AP1197</f>
        <v>0</v>
      </c>
      <c r="AY1197" s="55" t="s">
        <v>1543</v>
      </c>
      <c r="AZ1197" s="55" t="s">
        <v>1212</v>
      </c>
      <c r="BA1197" s="15" t="s">
        <v>1027</v>
      </c>
      <c r="BC1197" s="14">
        <f>AW1197+AX1197</f>
        <v>0</v>
      </c>
      <c r="BD1197" s="14">
        <f>H1197/(100-BE1197)*100</f>
        <v>0</v>
      </c>
      <c r="BE1197" s="14">
        <v>0</v>
      </c>
      <c r="BF1197" s="14">
        <f>O1197</f>
        <v>5.2129999999999996E-2</v>
      </c>
      <c r="BH1197" s="14">
        <f>G1197*AO1197</f>
        <v>0</v>
      </c>
      <c r="BI1197" s="14">
        <f>G1197*AP1197</f>
        <v>0</v>
      </c>
      <c r="BJ1197" s="14">
        <f>G1197*H1197</f>
        <v>0</v>
      </c>
      <c r="BK1197" s="14"/>
      <c r="BL1197" s="14">
        <v>722</v>
      </c>
      <c r="BW1197" s="14" t="str">
        <f>I1197</f>
        <v>21</v>
      </c>
    </row>
    <row r="1198" spans="1:75" ht="15" customHeight="1">
      <c r="A1198" s="32"/>
      <c r="D1198" s="3" t="s">
        <v>705</v>
      </c>
      <c r="E1198" s="28" t="s">
        <v>1683</v>
      </c>
      <c r="G1198" s="27">
        <v>13.000000000000002</v>
      </c>
      <c r="P1198" s="33"/>
    </row>
    <row r="1199" spans="1:75" ht="13.5" customHeight="1">
      <c r="A1199" s="21" t="s">
        <v>2717</v>
      </c>
      <c r="B1199" s="37" t="s">
        <v>750</v>
      </c>
      <c r="C1199" s="37" t="s">
        <v>1566</v>
      </c>
      <c r="D1199" s="578" t="s">
        <v>1414</v>
      </c>
      <c r="E1199" s="579"/>
      <c r="F1199" s="37" t="s">
        <v>2019</v>
      </c>
      <c r="G1199" s="14">
        <v>165</v>
      </c>
      <c r="H1199" s="569"/>
      <c r="I1199" s="55" t="s">
        <v>1720</v>
      </c>
      <c r="J1199" s="14">
        <f>G1199*AO1199</f>
        <v>0</v>
      </c>
      <c r="K1199" s="14">
        <f>G1199*AP1199</f>
        <v>0</v>
      </c>
      <c r="L1199" s="14">
        <f>G1199*H1199</f>
        <v>0</v>
      </c>
      <c r="M1199" s="14">
        <f>L1199*(1+BW1199/100)</f>
        <v>0</v>
      </c>
      <c r="N1199" s="14">
        <v>5.2199999999999998E-3</v>
      </c>
      <c r="O1199" s="14">
        <f>G1199*N1199</f>
        <v>0.86129999999999995</v>
      </c>
      <c r="P1199" s="72" t="s">
        <v>1664</v>
      </c>
      <c r="Z1199" s="14">
        <f>IF(AQ1199="5",BJ1199,0)</f>
        <v>0</v>
      </c>
      <c r="AB1199" s="14">
        <f>IF(AQ1199="1",BH1199,0)</f>
        <v>0</v>
      </c>
      <c r="AC1199" s="14">
        <f>IF(AQ1199="1",BI1199,0)</f>
        <v>0</v>
      </c>
      <c r="AD1199" s="14">
        <f>IF(AQ1199="7",BH1199,0)</f>
        <v>0</v>
      </c>
      <c r="AE1199" s="14">
        <f>IF(AQ1199="7",BI1199,0)</f>
        <v>0</v>
      </c>
      <c r="AF1199" s="14">
        <f>IF(AQ1199="2",BH1199,0)</f>
        <v>0</v>
      </c>
      <c r="AG1199" s="14">
        <f>IF(AQ1199="2",BI1199,0)</f>
        <v>0</v>
      </c>
      <c r="AH1199" s="14">
        <f>IF(AQ1199="0",BJ1199,0)</f>
        <v>0</v>
      </c>
      <c r="AI1199" s="15" t="s">
        <v>750</v>
      </c>
      <c r="AJ1199" s="14">
        <f>IF(AN1199=0,L1199,0)</f>
        <v>0</v>
      </c>
      <c r="AK1199" s="14">
        <f>IF(AN1199=15,L1199,0)</f>
        <v>0</v>
      </c>
      <c r="AL1199" s="14">
        <f>IF(AN1199=21,L1199,0)</f>
        <v>0</v>
      </c>
      <c r="AN1199" s="14">
        <v>21</v>
      </c>
      <c r="AO1199" s="92">
        <f>H1199*0.325277084064312</f>
        <v>0</v>
      </c>
      <c r="AP1199" s="92">
        <f>H1199*(1-0.325277084064312)</f>
        <v>0</v>
      </c>
      <c r="AQ1199" s="55" t="s">
        <v>2435</v>
      </c>
      <c r="AV1199" s="14">
        <f>AW1199+AX1199</f>
        <v>0</v>
      </c>
      <c r="AW1199" s="14">
        <f>G1199*AO1199</f>
        <v>0</v>
      </c>
      <c r="AX1199" s="14">
        <f>G1199*AP1199</f>
        <v>0</v>
      </c>
      <c r="AY1199" s="55" t="s">
        <v>1543</v>
      </c>
      <c r="AZ1199" s="55" t="s">
        <v>1212</v>
      </c>
      <c r="BA1199" s="15" t="s">
        <v>1027</v>
      </c>
      <c r="BC1199" s="14">
        <f>AW1199+AX1199</f>
        <v>0</v>
      </c>
      <c r="BD1199" s="14">
        <f>H1199/(100-BE1199)*100</f>
        <v>0</v>
      </c>
      <c r="BE1199" s="14">
        <v>0</v>
      </c>
      <c r="BF1199" s="14">
        <f>O1199</f>
        <v>0.86129999999999995</v>
      </c>
      <c r="BH1199" s="14">
        <f>G1199*AO1199</f>
        <v>0</v>
      </c>
      <c r="BI1199" s="14">
        <f>G1199*AP1199</f>
        <v>0</v>
      </c>
      <c r="BJ1199" s="14">
        <f>G1199*H1199</f>
        <v>0</v>
      </c>
      <c r="BK1199" s="14"/>
      <c r="BL1199" s="14">
        <v>722</v>
      </c>
      <c r="BW1199" s="14" t="str">
        <f>I1199</f>
        <v>21</v>
      </c>
    </row>
    <row r="1200" spans="1:75" ht="15" customHeight="1">
      <c r="A1200" s="32"/>
      <c r="D1200" s="3" t="s">
        <v>11</v>
      </c>
      <c r="E1200" s="28" t="s">
        <v>1683</v>
      </c>
      <c r="G1200" s="27">
        <v>165</v>
      </c>
      <c r="P1200" s="33"/>
    </row>
    <row r="1201" spans="1:75" ht="13.5" customHeight="1">
      <c r="A1201" s="21" t="s">
        <v>2488</v>
      </c>
      <c r="B1201" s="37" t="s">
        <v>750</v>
      </c>
      <c r="C1201" s="37" t="s">
        <v>888</v>
      </c>
      <c r="D1201" s="578" t="s">
        <v>1845</v>
      </c>
      <c r="E1201" s="579"/>
      <c r="F1201" s="37" t="s">
        <v>2019</v>
      </c>
      <c r="G1201" s="14">
        <v>20</v>
      </c>
      <c r="H1201" s="569"/>
      <c r="I1201" s="55" t="s">
        <v>1720</v>
      </c>
      <c r="J1201" s="14">
        <f>G1201*AO1201</f>
        <v>0</v>
      </c>
      <c r="K1201" s="14">
        <f>G1201*AP1201</f>
        <v>0</v>
      </c>
      <c r="L1201" s="14">
        <f>G1201*H1201</f>
        <v>0</v>
      </c>
      <c r="M1201" s="14">
        <f>L1201*(1+BW1201/100)</f>
        <v>0</v>
      </c>
      <c r="N1201" s="14">
        <v>5.4099999999999999E-3</v>
      </c>
      <c r="O1201" s="14">
        <f>G1201*N1201</f>
        <v>0.10819999999999999</v>
      </c>
      <c r="P1201" s="72" t="s">
        <v>1664</v>
      </c>
      <c r="Z1201" s="14">
        <f>IF(AQ1201="5",BJ1201,0)</f>
        <v>0</v>
      </c>
      <c r="AB1201" s="14">
        <f>IF(AQ1201="1",BH1201,0)</f>
        <v>0</v>
      </c>
      <c r="AC1201" s="14">
        <f>IF(AQ1201="1",BI1201,0)</f>
        <v>0</v>
      </c>
      <c r="AD1201" s="14">
        <f>IF(AQ1201="7",BH1201,0)</f>
        <v>0</v>
      </c>
      <c r="AE1201" s="14">
        <f>IF(AQ1201="7",BI1201,0)</f>
        <v>0</v>
      </c>
      <c r="AF1201" s="14">
        <f>IF(AQ1201="2",BH1201,0)</f>
        <v>0</v>
      </c>
      <c r="AG1201" s="14">
        <f>IF(AQ1201="2",BI1201,0)</f>
        <v>0</v>
      </c>
      <c r="AH1201" s="14">
        <f>IF(AQ1201="0",BJ1201,0)</f>
        <v>0</v>
      </c>
      <c r="AI1201" s="15" t="s">
        <v>750</v>
      </c>
      <c r="AJ1201" s="14">
        <f>IF(AN1201=0,L1201,0)</f>
        <v>0</v>
      </c>
      <c r="AK1201" s="14">
        <f>IF(AN1201=15,L1201,0)</f>
        <v>0</v>
      </c>
      <c r="AL1201" s="14">
        <f>IF(AN1201=21,L1201,0)</f>
        <v>0</v>
      </c>
      <c r="AN1201" s="14">
        <v>21</v>
      </c>
      <c r="AO1201" s="92">
        <f>H1201*0.416098744245144</f>
        <v>0</v>
      </c>
      <c r="AP1201" s="92">
        <f>H1201*(1-0.416098744245144)</f>
        <v>0</v>
      </c>
      <c r="AQ1201" s="55" t="s">
        <v>2435</v>
      </c>
      <c r="AV1201" s="14">
        <f>AW1201+AX1201</f>
        <v>0</v>
      </c>
      <c r="AW1201" s="14">
        <f>G1201*AO1201</f>
        <v>0</v>
      </c>
      <c r="AX1201" s="14">
        <f>G1201*AP1201</f>
        <v>0</v>
      </c>
      <c r="AY1201" s="55" t="s">
        <v>1543</v>
      </c>
      <c r="AZ1201" s="55" t="s">
        <v>1212</v>
      </c>
      <c r="BA1201" s="15" t="s">
        <v>1027</v>
      </c>
      <c r="BC1201" s="14">
        <f>AW1201+AX1201</f>
        <v>0</v>
      </c>
      <c r="BD1201" s="14">
        <f>H1201/(100-BE1201)*100</f>
        <v>0</v>
      </c>
      <c r="BE1201" s="14">
        <v>0</v>
      </c>
      <c r="BF1201" s="14">
        <f>O1201</f>
        <v>0.10819999999999999</v>
      </c>
      <c r="BH1201" s="14">
        <f>G1201*AO1201</f>
        <v>0</v>
      </c>
      <c r="BI1201" s="14">
        <f>G1201*AP1201</f>
        <v>0</v>
      </c>
      <c r="BJ1201" s="14">
        <f>G1201*H1201</f>
        <v>0</v>
      </c>
      <c r="BK1201" s="14"/>
      <c r="BL1201" s="14">
        <v>722</v>
      </c>
      <c r="BW1201" s="14" t="str">
        <f>I1201</f>
        <v>21</v>
      </c>
    </row>
    <row r="1202" spans="1:75" ht="15" customHeight="1">
      <c r="A1202" s="32"/>
      <c r="D1202" s="3" t="s">
        <v>118</v>
      </c>
      <c r="E1202" s="28" t="s">
        <v>1683</v>
      </c>
      <c r="G1202" s="27">
        <v>20</v>
      </c>
      <c r="P1202" s="33"/>
    </row>
    <row r="1203" spans="1:75" ht="13.5" customHeight="1">
      <c r="A1203" s="21" t="s">
        <v>1187</v>
      </c>
      <c r="B1203" s="37" t="s">
        <v>750</v>
      </c>
      <c r="C1203" s="37" t="s">
        <v>2451</v>
      </c>
      <c r="D1203" s="578" t="s">
        <v>431</v>
      </c>
      <c r="E1203" s="579"/>
      <c r="F1203" s="37" t="s">
        <v>2019</v>
      </c>
      <c r="G1203" s="14">
        <v>2</v>
      </c>
      <c r="H1203" s="569"/>
      <c r="I1203" s="55" t="s">
        <v>1720</v>
      </c>
      <c r="J1203" s="14">
        <f>G1203*AO1203</f>
        <v>0</v>
      </c>
      <c r="K1203" s="14">
        <f>G1203*AP1203</f>
        <v>0</v>
      </c>
      <c r="L1203" s="14">
        <f>G1203*H1203</f>
        <v>0</v>
      </c>
      <c r="M1203" s="14">
        <f>L1203*(1+BW1203/100)</f>
        <v>0</v>
      </c>
      <c r="N1203" s="14">
        <v>5.7299999999999999E-3</v>
      </c>
      <c r="O1203" s="14">
        <f>G1203*N1203</f>
        <v>1.146E-2</v>
      </c>
      <c r="P1203" s="72" t="s">
        <v>1664</v>
      </c>
      <c r="Z1203" s="14">
        <f>IF(AQ1203="5",BJ1203,0)</f>
        <v>0</v>
      </c>
      <c r="AB1203" s="14">
        <f>IF(AQ1203="1",BH1203,0)</f>
        <v>0</v>
      </c>
      <c r="AC1203" s="14">
        <f>IF(AQ1203="1",BI1203,0)</f>
        <v>0</v>
      </c>
      <c r="AD1203" s="14">
        <f>IF(AQ1203="7",BH1203,0)</f>
        <v>0</v>
      </c>
      <c r="AE1203" s="14">
        <f>IF(AQ1203="7",BI1203,0)</f>
        <v>0</v>
      </c>
      <c r="AF1203" s="14">
        <f>IF(AQ1203="2",BH1203,0)</f>
        <v>0</v>
      </c>
      <c r="AG1203" s="14">
        <f>IF(AQ1203="2",BI1203,0)</f>
        <v>0</v>
      </c>
      <c r="AH1203" s="14">
        <f>IF(AQ1203="0",BJ1203,0)</f>
        <v>0</v>
      </c>
      <c r="AI1203" s="15" t="s">
        <v>750</v>
      </c>
      <c r="AJ1203" s="14">
        <f>IF(AN1203=0,L1203,0)</f>
        <v>0</v>
      </c>
      <c r="AK1203" s="14">
        <f>IF(AN1203=15,L1203,0)</f>
        <v>0</v>
      </c>
      <c r="AL1203" s="14">
        <f>IF(AN1203=21,L1203,0)</f>
        <v>0</v>
      </c>
      <c r="AN1203" s="14">
        <v>21</v>
      </c>
      <c r="AO1203" s="92">
        <f>H1203*0.537450523864959</f>
        <v>0</v>
      </c>
      <c r="AP1203" s="92">
        <f>H1203*(1-0.537450523864959)</f>
        <v>0</v>
      </c>
      <c r="AQ1203" s="55" t="s">
        <v>2435</v>
      </c>
      <c r="AV1203" s="14">
        <f>AW1203+AX1203</f>
        <v>0</v>
      </c>
      <c r="AW1203" s="14">
        <f>G1203*AO1203</f>
        <v>0</v>
      </c>
      <c r="AX1203" s="14">
        <f>G1203*AP1203</f>
        <v>0</v>
      </c>
      <c r="AY1203" s="55" t="s">
        <v>1543</v>
      </c>
      <c r="AZ1203" s="55" t="s">
        <v>1212</v>
      </c>
      <c r="BA1203" s="15" t="s">
        <v>1027</v>
      </c>
      <c r="BC1203" s="14">
        <f>AW1203+AX1203</f>
        <v>0</v>
      </c>
      <c r="BD1203" s="14">
        <f>H1203/(100-BE1203)*100</f>
        <v>0</v>
      </c>
      <c r="BE1203" s="14">
        <v>0</v>
      </c>
      <c r="BF1203" s="14">
        <f>O1203</f>
        <v>1.146E-2</v>
      </c>
      <c r="BH1203" s="14">
        <f>G1203*AO1203</f>
        <v>0</v>
      </c>
      <c r="BI1203" s="14">
        <f>G1203*AP1203</f>
        <v>0</v>
      </c>
      <c r="BJ1203" s="14">
        <f>G1203*H1203</f>
        <v>0</v>
      </c>
      <c r="BK1203" s="14"/>
      <c r="BL1203" s="14">
        <v>722</v>
      </c>
      <c r="BW1203" s="14" t="str">
        <f>I1203</f>
        <v>21</v>
      </c>
    </row>
    <row r="1204" spans="1:75" ht="15" customHeight="1">
      <c r="A1204" s="32"/>
      <c r="D1204" s="3" t="s">
        <v>1676</v>
      </c>
      <c r="E1204" s="28" t="s">
        <v>1683</v>
      </c>
      <c r="G1204" s="27">
        <v>2</v>
      </c>
      <c r="P1204" s="33"/>
    </row>
    <row r="1205" spans="1:75" ht="27" customHeight="1">
      <c r="A1205" s="21" t="s">
        <v>2788</v>
      </c>
      <c r="B1205" s="37" t="s">
        <v>750</v>
      </c>
      <c r="C1205" s="37" t="s">
        <v>492</v>
      </c>
      <c r="D1205" s="578" t="s">
        <v>1480</v>
      </c>
      <c r="E1205" s="579"/>
      <c r="F1205" s="37" t="s">
        <v>2019</v>
      </c>
      <c r="G1205" s="14">
        <v>70</v>
      </c>
      <c r="H1205" s="569"/>
      <c r="I1205" s="55" t="s">
        <v>1720</v>
      </c>
      <c r="J1205" s="14">
        <f>G1205*AO1205</f>
        <v>0</v>
      </c>
      <c r="K1205" s="14">
        <f>G1205*AP1205</f>
        <v>0</v>
      </c>
      <c r="L1205" s="14">
        <f>G1205*H1205</f>
        <v>0</v>
      </c>
      <c r="M1205" s="14">
        <f>L1205*(1+BW1205/100)</f>
        <v>0</v>
      </c>
      <c r="N1205" s="14">
        <v>2.0000000000000002E-5</v>
      </c>
      <c r="O1205" s="14">
        <f>G1205*N1205</f>
        <v>1.4000000000000002E-3</v>
      </c>
      <c r="P1205" s="72" t="s">
        <v>1664</v>
      </c>
      <c r="Z1205" s="14">
        <f>IF(AQ1205="5",BJ1205,0)</f>
        <v>0</v>
      </c>
      <c r="AB1205" s="14">
        <f>IF(AQ1205="1",BH1205,0)</f>
        <v>0</v>
      </c>
      <c r="AC1205" s="14">
        <f>IF(AQ1205="1",BI1205,0)</f>
        <v>0</v>
      </c>
      <c r="AD1205" s="14">
        <f>IF(AQ1205="7",BH1205,0)</f>
        <v>0</v>
      </c>
      <c r="AE1205" s="14">
        <f>IF(AQ1205="7",BI1205,0)</f>
        <v>0</v>
      </c>
      <c r="AF1205" s="14">
        <f>IF(AQ1205="2",BH1205,0)</f>
        <v>0</v>
      </c>
      <c r="AG1205" s="14">
        <f>IF(AQ1205="2",BI1205,0)</f>
        <v>0</v>
      </c>
      <c r="AH1205" s="14">
        <f>IF(AQ1205="0",BJ1205,0)</f>
        <v>0</v>
      </c>
      <c r="AI1205" s="15" t="s">
        <v>750</v>
      </c>
      <c r="AJ1205" s="14">
        <f>IF(AN1205=0,L1205,0)</f>
        <v>0</v>
      </c>
      <c r="AK1205" s="14">
        <f>IF(AN1205=15,L1205,0)</f>
        <v>0</v>
      </c>
      <c r="AL1205" s="14">
        <f>IF(AN1205=21,L1205,0)</f>
        <v>0</v>
      </c>
      <c r="AN1205" s="14">
        <v>21</v>
      </c>
      <c r="AO1205" s="92">
        <f>H1205*0.18894472361809</f>
        <v>0</v>
      </c>
      <c r="AP1205" s="92">
        <f>H1205*(1-0.18894472361809)</f>
        <v>0</v>
      </c>
      <c r="AQ1205" s="55" t="s">
        <v>2435</v>
      </c>
      <c r="AV1205" s="14">
        <f>AW1205+AX1205</f>
        <v>0</v>
      </c>
      <c r="AW1205" s="14">
        <f>G1205*AO1205</f>
        <v>0</v>
      </c>
      <c r="AX1205" s="14">
        <f>G1205*AP1205</f>
        <v>0</v>
      </c>
      <c r="AY1205" s="55" t="s">
        <v>1543</v>
      </c>
      <c r="AZ1205" s="55" t="s">
        <v>1212</v>
      </c>
      <c r="BA1205" s="15" t="s">
        <v>1027</v>
      </c>
      <c r="BC1205" s="14">
        <f>AW1205+AX1205</f>
        <v>0</v>
      </c>
      <c r="BD1205" s="14">
        <f>H1205/(100-BE1205)*100</f>
        <v>0</v>
      </c>
      <c r="BE1205" s="14">
        <v>0</v>
      </c>
      <c r="BF1205" s="14">
        <f>O1205</f>
        <v>1.4000000000000002E-3</v>
      </c>
      <c r="BH1205" s="14">
        <f>G1205*AO1205</f>
        <v>0</v>
      </c>
      <c r="BI1205" s="14">
        <f>G1205*AP1205</f>
        <v>0</v>
      </c>
      <c r="BJ1205" s="14">
        <f>G1205*H1205</f>
        <v>0</v>
      </c>
      <c r="BK1205" s="14"/>
      <c r="BL1205" s="14">
        <v>722</v>
      </c>
      <c r="BW1205" s="14" t="str">
        <f>I1205</f>
        <v>21</v>
      </c>
    </row>
    <row r="1206" spans="1:75" ht="15" customHeight="1">
      <c r="A1206" s="32"/>
      <c r="D1206" s="3" t="s">
        <v>1919</v>
      </c>
      <c r="E1206" s="28" t="s">
        <v>1683</v>
      </c>
      <c r="G1206" s="27">
        <v>70</v>
      </c>
      <c r="P1206" s="33"/>
    </row>
    <row r="1207" spans="1:75" ht="27" customHeight="1">
      <c r="A1207" s="21" t="s">
        <v>2432</v>
      </c>
      <c r="B1207" s="37" t="s">
        <v>750</v>
      </c>
      <c r="C1207" s="37" t="s">
        <v>2274</v>
      </c>
      <c r="D1207" s="578" t="s">
        <v>2347</v>
      </c>
      <c r="E1207" s="579"/>
      <c r="F1207" s="37" t="s">
        <v>2019</v>
      </c>
      <c r="G1207" s="14">
        <v>18</v>
      </c>
      <c r="H1207" s="569"/>
      <c r="I1207" s="55" t="s">
        <v>1720</v>
      </c>
      <c r="J1207" s="14">
        <f>G1207*AO1207</f>
        <v>0</v>
      </c>
      <c r="K1207" s="14">
        <f>G1207*AP1207</f>
        <v>0</v>
      </c>
      <c r="L1207" s="14">
        <f>G1207*H1207</f>
        <v>0</v>
      </c>
      <c r="M1207" s="14">
        <f>L1207*(1+BW1207/100)</f>
        <v>0</v>
      </c>
      <c r="N1207" s="14">
        <v>5.0000000000000002E-5</v>
      </c>
      <c r="O1207" s="14">
        <f>G1207*N1207</f>
        <v>9.0000000000000008E-4</v>
      </c>
      <c r="P1207" s="72" t="s">
        <v>1664</v>
      </c>
      <c r="Z1207" s="14">
        <f>IF(AQ1207="5",BJ1207,0)</f>
        <v>0</v>
      </c>
      <c r="AB1207" s="14">
        <f>IF(AQ1207="1",BH1207,0)</f>
        <v>0</v>
      </c>
      <c r="AC1207" s="14">
        <f>IF(AQ1207="1",BI1207,0)</f>
        <v>0</v>
      </c>
      <c r="AD1207" s="14">
        <f>IF(AQ1207="7",BH1207,0)</f>
        <v>0</v>
      </c>
      <c r="AE1207" s="14">
        <f>IF(AQ1207="7",BI1207,0)</f>
        <v>0</v>
      </c>
      <c r="AF1207" s="14">
        <f>IF(AQ1207="2",BH1207,0)</f>
        <v>0</v>
      </c>
      <c r="AG1207" s="14">
        <f>IF(AQ1207="2",BI1207,0)</f>
        <v>0</v>
      </c>
      <c r="AH1207" s="14">
        <f>IF(AQ1207="0",BJ1207,0)</f>
        <v>0</v>
      </c>
      <c r="AI1207" s="15" t="s">
        <v>750</v>
      </c>
      <c r="AJ1207" s="14">
        <f>IF(AN1207=0,L1207,0)</f>
        <v>0</v>
      </c>
      <c r="AK1207" s="14">
        <f>IF(AN1207=15,L1207,0)</f>
        <v>0</v>
      </c>
      <c r="AL1207" s="14">
        <f>IF(AN1207=21,L1207,0)</f>
        <v>0</v>
      </c>
      <c r="AN1207" s="14">
        <v>21</v>
      </c>
      <c r="AO1207" s="92">
        <f>H1207*0.218151815181518</f>
        <v>0</v>
      </c>
      <c r="AP1207" s="92">
        <f>H1207*(1-0.218151815181518)</f>
        <v>0</v>
      </c>
      <c r="AQ1207" s="55" t="s">
        <v>2435</v>
      </c>
      <c r="AV1207" s="14">
        <f>AW1207+AX1207</f>
        <v>0</v>
      </c>
      <c r="AW1207" s="14">
        <f>G1207*AO1207</f>
        <v>0</v>
      </c>
      <c r="AX1207" s="14">
        <f>G1207*AP1207</f>
        <v>0</v>
      </c>
      <c r="AY1207" s="55" t="s">
        <v>1543</v>
      </c>
      <c r="AZ1207" s="55" t="s">
        <v>1212</v>
      </c>
      <c r="BA1207" s="15" t="s">
        <v>1027</v>
      </c>
      <c r="BC1207" s="14">
        <f>AW1207+AX1207</f>
        <v>0</v>
      </c>
      <c r="BD1207" s="14">
        <f>H1207/(100-BE1207)*100</f>
        <v>0</v>
      </c>
      <c r="BE1207" s="14">
        <v>0</v>
      </c>
      <c r="BF1207" s="14">
        <f>O1207</f>
        <v>9.0000000000000008E-4</v>
      </c>
      <c r="BH1207" s="14">
        <f>G1207*AO1207</f>
        <v>0</v>
      </c>
      <c r="BI1207" s="14">
        <f>G1207*AP1207</f>
        <v>0</v>
      </c>
      <c r="BJ1207" s="14">
        <f>G1207*H1207</f>
        <v>0</v>
      </c>
      <c r="BK1207" s="14"/>
      <c r="BL1207" s="14">
        <v>722</v>
      </c>
      <c r="BW1207" s="14" t="str">
        <f>I1207</f>
        <v>21</v>
      </c>
    </row>
    <row r="1208" spans="1:75" ht="15" customHeight="1">
      <c r="A1208" s="32"/>
      <c r="D1208" s="3" t="s">
        <v>1940</v>
      </c>
      <c r="E1208" s="28" t="s">
        <v>1683</v>
      </c>
      <c r="G1208" s="27">
        <v>18</v>
      </c>
      <c r="P1208" s="33"/>
    </row>
    <row r="1209" spans="1:75" ht="27" customHeight="1">
      <c r="A1209" s="21" t="s">
        <v>29</v>
      </c>
      <c r="B1209" s="37" t="s">
        <v>750</v>
      </c>
      <c r="C1209" s="37" t="s">
        <v>1207</v>
      </c>
      <c r="D1209" s="578" t="s">
        <v>204</v>
      </c>
      <c r="E1209" s="579"/>
      <c r="F1209" s="37" t="s">
        <v>2019</v>
      </c>
      <c r="G1209" s="14">
        <v>130</v>
      </c>
      <c r="H1209" s="569"/>
      <c r="I1209" s="55" t="s">
        <v>1720</v>
      </c>
      <c r="J1209" s="14">
        <f>G1209*AO1209</f>
        <v>0</v>
      </c>
      <c r="K1209" s="14">
        <f>G1209*AP1209</f>
        <v>0</v>
      </c>
      <c r="L1209" s="14">
        <f>G1209*H1209</f>
        <v>0</v>
      </c>
      <c r="M1209" s="14">
        <f>L1209*(1+BW1209/100)</f>
        <v>0</v>
      </c>
      <c r="N1209" s="14">
        <v>6.0000000000000002E-5</v>
      </c>
      <c r="O1209" s="14">
        <f>G1209*N1209</f>
        <v>7.8000000000000005E-3</v>
      </c>
      <c r="P1209" s="72" t="s">
        <v>1664</v>
      </c>
      <c r="Z1209" s="14">
        <f>IF(AQ1209="5",BJ1209,0)</f>
        <v>0</v>
      </c>
      <c r="AB1209" s="14">
        <f>IF(AQ1209="1",BH1209,0)</f>
        <v>0</v>
      </c>
      <c r="AC1209" s="14">
        <f>IF(AQ1209="1",BI1209,0)</f>
        <v>0</v>
      </c>
      <c r="AD1209" s="14">
        <f>IF(AQ1209="7",BH1209,0)</f>
        <v>0</v>
      </c>
      <c r="AE1209" s="14">
        <f>IF(AQ1209="7",BI1209,0)</f>
        <v>0</v>
      </c>
      <c r="AF1209" s="14">
        <f>IF(AQ1209="2",BH1209,0)</f>
        <v>0</v>
      </c>
      <c r="AG1209" s="14">
        <f>IF(AQ1209="2",BI1209,0)</f>
        <v>0</v>
      </c>
      <c r="AH1209" s="14">
        <f>IF(AQ1209="0",BJ1209,0)</f>
        <v>0</v>
      </c>
      <c r="AI1209" s="15" t="s">
        <v>750</v>
      </c>
      <c r="AJ1209" s="14">
        <f>IF(AN1209=0,L1209,0)</f>
        <v>0</v>
      </c>
      <c r="AK1209" s="14">
        <f>IF(AN1209=15,L1209,0)</f>
        <v>0</v>
      </c>
      <c r="AL1209" s="14">
        <f>IF(AN1209=21,L1209,0)</f>
        <v>0</v>
      </c>
      <c r="AN1209" s="14">
        <v>21</v>
      </c>
      <c r="AO1209" s="92">
        <f>H1209*0.212698412698413</f>
        <v>0</v>
      </c>
      <c r="AP1209" s="92">
        <f>H1209*(1-0.212698412698413)</f>
        <v>0</v>
      </c>
      <c r="AQ1209" s="55" t="s">
        <v>2435</v>
      </c>
      <c r="AV1209" s="14">
        <f>AW1209+AX1209</f>
        <v>0</v>
      </c>
      <c r="AW1209" s="14">
        <f>G1209*AO1209</f>
        <v>0</v>
      </c>
      <c r="AX1209" s="14">
        <f>G1209*AP1209</f>
        <v>0</v>
      </c>
      <c r="AY1209" s="55" t="s">
        <v>1543</v>
      </c>
      <c r="AZ1209" s="55" t="s">
        <v>1212</v>
      </c>
      <c r="BA1209" s="15" t="s">
        <v>1027</v>
      </c>
      <c r="BC1209" s="14">
        <f>AW1209+AX1209</f>
        <v>0</v>
      </c>
      <c r="BD1209" s="14">
        <f>H1209/(100-BE1209)*100</f>
        <v>0</v>
      </c>
      <c r="BE1209" s="14">
        <v>0</v>
      </c>
      <c r="BF1209" s="14">
        <f>O1209</f>
        <v>7.8000000000000005E-3</v>
      </c>
      <c r="BH1209" s="14">
        <f>G1209*AO1209</f>
        <v>0</v>
      </c>
      <c r="BI1209" s="14">
        <f>G1209*AP1209</f>
        <v>0</v>
      </c>
      <c r="BJ1209" s="14">
        <f>G1209*H1209</f>
        <v>0</v>
      </c>
      <c r="BK1209" s="14"/>
      <c r="BL1209" s="14">
        <v>722</v>
      </c>
      <c r="BW1209" s="14" t="str">
        <f>I1209</f>
        <v>21</v>
      </c>
    </row>
    <row r="1210" spans="1:75" ht="15" customHeight="1">
      <c r="A1210" s="32"/>
      <c r="D1210" s="3" t="s">
        <v>648</v>
      </c>
      <c r="E1210" s="28" t="s">
        <v>1683</v>
      </c>
      <c r="G1210" s="27">
        <v>130</v>
      </c>
      <c r="P1210" s="33"/>
    </row>
    <row r="1211" spans="1:75" ht="27" customHeight="1">
      <c r="A1211" s="21" t="s">
        <v>2705</v>
      </c>
      <c r="B1211" s="37" t="s">
        <v>750</v>
      </c>
      <c r="C1211" s="37" t="s">
        <v>2591</v>
      </c>
      <c r="D1211" s="578" t="s">
        <v>2786</v>
      </c>
      <c r="E1211" s="579"/>
      <c r="F1211" s="37" t="s">
        <v>2019</v>
      </c>
      <c r="G1211" s="14">
        <v>16</v>
      </c>
      <c r="H1211" s="569"/>
      <c r="I1211" s="55" t="s">
        <v>1720</v>
      </c>
      <c r="J1211" s="14">
        <f>G1211*AO1211</f>
        <v>0</v>
      </c>
      <c r="K1211" s="14">
        <f>G1211*AP1211</f>
        <v>0</v>
      </c>
      <c r="L1211" s="14">
        <f>G1211*H1211</f>
        <v>0</v>
      </c>
      <c r="M1211" s="14">
        <f>L1211*(1+BW1211/100)</f>
        <v>0</v>
      </c>
      <c r="N1211" s="14">
        <v>6.0000000000000002E-5</v>
      </c>
      <c r="O1211" s="14">
        <f>G1211*N1211</f>
        <v>9.6000000000000002E-4</v>
      </c>
      <c r="P1211" s="72" t="s">
        <v>1664</v>
      </c>
      <c r="Z1211" s="14">
        <f>IF(AQ1211="5",BJ1211,0)</f>
        <v>0</v>
      </c>
      <c r="AB1211" s="14">
        <f>IF(AQ1211="1",BH1211,0)</f>
        <v>0</v>
      </c>
      <c r="AC1211" s="14">
        <f>IF(AQ1211="1",BI1211,0)</f>
        <v>0</v>
      </c>
      <c r="AD1211" s="14">
        <f>IF(AQ1211="7",BH1211,0)</f>
        <v>0</v>
      </c>
      <c r="AE1211" s="14">
        <f>IF(AQ1211="7",BI1211,0)</f>
        <v>0</v>
      </c>
      <c r="AF1211" s="14">
        <f>IF(AQ1211="2",BH1211,0)</f>
        <v>0</v>
      </c>
      <c r="AG1211" s="14">
        <f>IF(AQ1211="2",BI1211,0)</f>
        <v>0</v>
      </c>
      <c r="AH1211" s="14">
        <f>IF(AQ1211="0",BJ1211,0)</f>
        <v>0</v>
      </c>
      <c r="AI1211" s="15" t="s">
        <v>750</v>
      </c>
      <c r="AJ1211" s="14">
        <f>IF(AN1211=0,L1211,0)</f>
        <v>0</v>
      </c>
      <c r="AK1211" s="14">
        <f>IF(AN1211=15,L1211,0)</f>
        <v>0</v>
      </c>
      <c r="AL1211" s="14">
        <f>IF(AN1211=21,L1211,0)</f>
        <v>0</v>
      </c>
      <c r="AN1211" s="14">
        <v>21</v>
      </c>
      <c r="AO1211" s="92">
        <f>H1211*0.276880733944954</f>
        <v>0</v>
      </c>
      <c r="AP1211" s="92">
        <f>H1211*(1-0.276880733944954)</f>
        <v>0</v>
      </c>
      <c r="AQ1211" s="55" t="s">
        <v>2435</v>
      </c>
      <c r="AV1211" s="14">
        <f>AW1211+AX1211</f>
        <v>0</v>
      </c>
      <c r="AW1211" s="14">
        <f>G1211*AO1211</f>
        <v>0</v>
      </c>
      <c r="AX1211" s="14">
        <f>G1211*AP1211</f>
        <v>0</v>
      </c>
      <c r="AY1211" s="55" t="s">
        <v>1543</v>
      </c>
      <c r="AZ1211" s="55" t="s">
        <v>1212</v>
      </c>
      <c r="BA1211" s="15" t="s">
        <v>1027</v>
      </c>
      <c r="BC1211" s="14">
        <f>AW1211+AX1211</f>
        <v>0</v>
      </c>
      <c r="BD1211" s="14">
        <f>H1211/(100-BE1211)*100</f>
        <v>0</v>
      </c>
      <c r="BE1211" s="14">
        <v>0</v>
      </c>
      <c r="BF1211" s="14">
        <f>O1211</f>
        <v>9.6000000000000002E-4</v>
      </c>
      <c r="BH1211" s="14">
        <f>G1211*AO1211</f>
        <v>0</v>
      </c>
      <c r="BI1211" s="14">
        <f>G1211*AP1211</f>
        <v>0</v>
      </c>
      <c r="BJ1211" s="14">
        <f>G1211*H1211</f>
        <v>0</v>
      </c>
      <c r="BK1211" s="14"/>
      <c r="BL1211" s="14">
        <v>722</v>
      </c>
      <c r="BW1211" s="14" t="str">
        <f>I1211</f>
        <v>21</v>
      </c>
    </row>
    <row r="1212" spans="1:75" ht="15" customHeight="1">
      <c r="A1212" s="32"/>
      <c r="D1212" s="3" t="s">
        <v>226</v>
      </c>
      <c r="E1212" s="28" t="s">
        <v>1683</v>
      </c>
      <c r="G1212" s="27">
        <v>16</v>
      </c>
      <c r="P1212" s="33"/>
    </row>
    <row r="1213" spans="1:75" ht="27" customHeight="1">
      <c r="A1213" s="21" t="s">
        <v>1693</v>
      </c>
      <c r="B1213" s="37" t="s">
        <v>750</v>
      </c>
      <c r="C1213" s="37" t="s">
        <v>2591</v>
      </c>
      <c r="D1213" s="578" t="s">
        <v>1615</v>
      </c>
      <c r="E1213" s="579"/>
      <c r="F1213" s="37" t="s">
        <v>2019</v>
      </c>
      <c r="G1213" s="14">
        <v>25</v>
      </c>
      <c r="H1213" s="569"/>
      <c r="I1213" s="55" t="s">
        <v>1720</v>
      </c>
      <c r="J1213" s="14">
        <f>G1213*AO1213</f>
        <v>0</v>
      </c>
      <c r="K1213" s="14">
        <f>G1213*AP1213</f>
        <v>0</v>
      </c>
      <c r="L1213" s="14">
        <f>G1213*H1213</f>
        <v>0</v>
      </c>
      <c r="M1213" s="14">
        <f>L1213*(1+BW1213/100)</f>
        <v>0</v>
      </c>
      <c r="N1213" s="14">
        <v>6.0000000000000002E-5</v>
      </c>
      <c r="O1213" s="14">
        <f>G1213*N1213</f>
        <v>1.5E-3</v>
      </c>
      <c r="P1213" s="72" t="s">
        <v>1664</v>
      </c>
      <c r="Z1213" s="14">
        <f>IF(AQ1213="5",BJ1213,0)</f>
        <v>0</v>
      </c>
      <c r="AB1213" s="14">
        <f>IF(AQ1213="1",BH1213,0)</f>
        <v>0</v>
      </c>
      <c r="AC1213" s="14">
        <f>IF(AQ1213="1",BI1213,0)</f>
        <v>0</v>
      </c>
      <c r="AD1213" s="14">
        <f>IF(AQ1213="7",BH1213,0)</f>
        <v>0</v>
      </c>
      <c r="AE1213" s="14">
        <f>IF(AQ1213="7",BI1213,0)</f>
        <v>0</v>
      </c>
      <c r="AF1213" s="14">
        <f>IF(AQ1213="2",BH1213,0)</f>
        <v>0</v>
      </c>
      <c r="AG1213" s="14">
        <f>IF(AQ1213="2",BI1213,0)</f>
        <v>0</v>
      </c>
      <c r="AH1213" s="14">
        <f>IF(AQ1213="0",BJ1213,0)</f>
        <v>0</v>
      </c>
      <c r="AI1213" s="15" t="s">
        <v>750</v>
      </c>
      <c r="AJ1213" s="14">
        <f>IF(AN1213=0,L1213,0)</f>
        <v>0</v>
      </c>
      <c r="AK1213" s="14">
        <f>IF(AN1213=15,L1213,0)</f>
        <v>0</v>
      </c>
      <c r="AL1213" s="14">
        <f>IF(AN1213=21,L1213,0)</f>
        <v>0</v>
      </c>
      <c r="AN1213" s="14">
        <v>21</v>
      </c>
      <c r="AO1213" s="92">
        <f>H1213*0.276880733944954</f>
        <v>0</v>
      </c>
      <c r="AP1213" s="92">
        <f>H1213*(1-0.276880733944954)</f>
        <v>0</v>
      </c>
      <c r="AQ1213" s="55" t="s">
        <v>2435</v>
      </c>
      <c r="AV1213" s="14">
        <f>AW1213+AX1213</f>
        <v>0</v>
      </c>
      <c r="AW1213" s="14">
        <f>G1213*AO1213</f>
        <v>0</v>
      </c>
      <c r="AX1213" s="14">
        <f>G1213*AP1213</f>
        <v>0</v>
      </c>
      <c r="AY1213" s="55" t="s">
        <v>1543</v>
      </c>
      <c r="AZ1213" s="55" t="s">
        <v>1212</v>
      </c>
      <c r="BA1213" s="15" t="s">
        <v>1027</v>
      </c>
      <c r="BC1213" s="14">
        <f>AW1213+AX1213</f>
        <v>0</v>
      </c>
      <c r="BD1213" s="14">
        <f>H1213/(100-BE1213)*100</f>
        <v>0</v>
      </c>
      <c r="BE1213" s="14">
        <v>0</v>
      </c>
      <c r="BF1213" s="14">
        <f>O1213</f>
        <v>1.5E-3</v>
      </c>
      <c r="BH1213" s="14">
        <f>G1213*AO1213</f>
        <v>0</v>
      </c>
      <c r="BI1213" s="14">
        <f>G1213*AP1213</f>
        <v>0</v>
      </c>
      <c r="BJ1213" s="14">
        <f>G1213*H1213</f>
        <v>0</v>
      </c>
      <c r="BK1213" s="14"/>
      <c r="BL1213" s="14">
        <v>722</v>
      </c>
      <c r="BW1213" s="14" t="str">
        <f>I1213</f>
        <v>21</v>
      </c>
    </row>
    <row r="1214" spans="1:75" ht="15" customHeight="1">
      <c r="A1214" s="32"/>
      <c r="D1214" s="3" t="s">
        <v>593</v>
      </c>
      <c r="E1214" s="28" t="s">
        <v>1683</v>
      </c>
      <c r="G1214" s="27">
        <v>25.000000000000004</v>
      </c>
      <c r="P1214" s="33"/>
    </row>
    <row r="1215" spans="1:75" ht="27" customHeight="1">
      <c r="A1215" s="21" t="s">
        <v>2476</v>
      </c>
      <c r="B1215" s="37" t="s">
        <v>750</v>
      </c>
      <c r="C1215" s="37" t="s">
        <v>645</v>
      </c>
      <c r="D1215" s="578" t="s">
        <v>640</v>
      </c>
      <c r="E1215" s="579"/>
      <c r="F1215" s="37" t="s">
        <v>2019</v>
      </c>
      <c r="G1215" s="14">
        <v>13</v>
      </c>
      <c r="H1215" s="569"/>
      <c r="I1215" s="55" t="s">
        <v>1720</v>
      </c>
      <c r="J1215" s="14">
        <f>G1215*AO1215</f>
        <v>0</v>
      </c>
      <c r="K1215" s="14">
        <f>G1215*AP1215</f>
        <v>0</v>
      </c>
      <c r="L1215" s="14">
        <f>G1215*H1215</f>
        <v>0</v>
      </c>
      <c r="M1215" s="14">
        <f>L1215*(1+BW1215/100)</f>
        <v>0</v>
      </c>
      <c r="N1215" s="14">
        <v>5.0000000000000002E-5</v>
      </c>
      <c r="O1215" s="14">
        <f>G1215*N1215</f>
        <v>6.5000000000000008E-4</v>
      </c>
      <c r="P1215" s="72" t="s">
        <v>1664</v>
      </c>
      <c r="Z1215" s="14">
        <f>IF(AQ1215="5",BJ1215,0)</f>
        <v>0</v>
      </c>
      <c r="AB1215" s="14">
        <f>IF(AQ1215="1",BH1215,0)</f>
        <v>0</v>
      </c>
      <c r="AC1215" s="14">
        <f>IF(AQ1215="1",BI1215,0)</f>
        <v>0</v>
      </c>
      <c r="AD1215" s="14">
        <f>IF(AQ1215="7",BH1215,0)</f>
        <v>0</v>
      </c>
      <c r="AE1215" s="14">
        <f>IF(AQ1215="7",BI1215,0)</f>
        <v>0</v>
      </c>
      <c r="AF1215" s="14">
        <f>IF(AQ1215="2",BH1215,0)</f>
        <v>0</v>
      </c>
      <c r="AG1215" s="14">
        <f>IF(AQ1215="2",BI1215,0)</f>
        <v>0</v>
      </c>
      <c r="AH1215" s="14">
        <f>IF(AQ1215="0",BJ1215,0)</f>
        <v>0</v>
      </c>
      <c r="AI1215" s="15" t="s">
        <v>750</v>
      </c>
      <c r="AJ1215" s="14">
        <f>IF(AN1215=0,L1215,0)</f>
        <v>0</v>
      </c>
      <c r="AK1215" s="14">
        <f>IF(AN1215=15,L1215,0)</f>
        <v>0</v>
      </c>
      <c r="AL1215" s="14">
        <f>IF(AN1215=21,L1215,0)</f>
        <v>0</v>
      </c>
      <c r="AN1215" s="14">
        <v>21</v>
      </c>
      <c r="AO1215" s="92">
        <f>H1215*0.408532110091743</f>
        <v>0</v>
      </c>
      <c r="AP1215" s="92">
        <f>H1215*(1-0.408532110091743)</f>
        <v>0</v>
      </c>
      <c r="AQ1215" s="55" t="s">
        <v>2435</v>
      </c>
      <c r="AV1215" s="14">
        <f>AW1215+AX1215</f>
        <v>0</v>
      </c>
      <c r="AW1215" s="14">
        <f>G1215*AO1215</f>
        <v>0</v>
      </c>
      <c r="AX1215" s="14">
        <f>G1215*AP1215</f>
        <v>0</v>
      </c>
      <c r="AY1215" s="55" t="s">
        <v>1543</v>
      </c>
      <c r="AZ1215" s="55" t="s">
        <v>1212</v>
      </c>
      <c r="BA1215" s="15" t="s">
        <v>1027</v>
      </c>
      <c r="BC1215" s="14">
        <f>AW1215+AX1215</f>
        <v>0</v>
      </c>
      <c r="BD1215" s="14">
        <f>H1215/(100-BE1215)*100</f>
        <v>0</v>
      </c>
      <c r="BE1215" s="14">
        <v>0</v>
      </c>
      <c r="BF1215" s="14">
        <f>O1215</f>
        <v>6.5000000000000008E-4</v>
      </c>
      <c r="BH1215" s="14">
        <f>G1215*AO1215</f>
        <v>0</v>
      </c>
      <c r="BI1215" s="14">
        <f>G1215*AP1215</f>
        <v>0</v>
      </c>
      <c r="BJ1215" s="14">
        <f>G1215*H1215</f>
        <v>0</v>
      </c>
      <c r="BK1215" s="14"/>
      <c r="BL1215" s="14">
        <v>722</v>
      </c>
      <c r="BW1215" s="14" t="str">
        <f>I1215</f>
        <v>21</v>
      </c>
    </row>
    <row r="1216" spans="1:75" ht="15" customHeight="1">
      <c r="A1216" s="32"/>
      <c r="D1216" s="3" t="s">
        <v>705</v>
      </c>
      <c r="E1216" s="28" t="s">
        <v>1683</v>
      </c>
      <c r="G1216" s="27">
        <v>13.000000000000002</v>
      </c>
      <c r="P1216" s="33"/>
    </row>
    <row r="1217" spans="1:75" ht="27" customHeight="1">
      <c r="A1217" s="21" t="s">
        <v>2069</v>
      </c>
      <c r="B1217" s="37" t="s">
        <v>750</v>
      </c>
      <c r="C1217" s="37" t="s">
        <v>1013</v>
      </c>
      <c r="D1217" s="578" t="s">
        <v>1834</v>
      </c>
      <c r="E1217" s="579"/>
      <c r="F1217" s="37" t="s">
        <v>2019</v>
      </c>
      <c r="G1217" s="14">
        <v>165</v>
      </c>
      <c r="H1217" s="569"/>
      <c r="I1217" s="55" t="s">
        <v>1720</v>
      </c>
      <c r="J1217" s="14">
        <f>G1217*AO1217</f>
        <v>0</v>
      </c>
      <c r="K1217" s="14">
        <f>G1217*AP1217</f>
        <v>0</v>
      </c>
      <c r="L1217" s="14">
        <f>G1217*H1217</f>
        <v>0</v>
      </c>
      <c r="M1217" s="14">
        <f>L1217*(1+BW1217/100)</f>
        <v>0</v>
      </c>
      <c r="N1217" s="14">
        <v>6.9999999999999994E-5</v>
      </c>
      <c r="O1217" s="14">
        <f>G1217*N1217</f>
        <v>1.155E-2</v>
      </c>
      <c r="P1217" s="72" t="s">
        <v>1664</v>
      </c>
      <c r="Z1217" s="14">
        <f>IF(AQ1217="5",BJ1217,0)</f>
        <v>0</v>
      </c>
      <c r="AB1217" s="14">
        <f>IF(AQ1217="1",BH1217,0)</f>
        <v>0</v>
      </c>
      <c r="AC1217" s="14">
        <f>IF(AQ1217="1",BI1217,0)</f>
        <v>0</v>
      </c>
      <c r="AD1217" s="14">
        <f>IF(AQ1217="7",BH1217,0)</f>
        <v>0</v>
      </c>
      <c r="AE1217" s="14">
        <f>IF(AQ1217="7",BI1217,0)</f>
        <v>0</v>
      </c>
      <c r="AF1217" s="14">
        <f>IF(AQ1217="2",BH1217,0)</f>
        <v>0</v>
      </c>
      <c r="AG1217" s="14">
        <f>IF(AQ1217="2",BI1217,0)</f>
        <v>0</v>
      </c>
      <c r="AH1217" s="14">
        <f>IF(AQ1217="0",BJ1217,0)</f>
        <v>0</v>
      </c>
      <c r="AI1217" s="15" t="s">
        <v>750</v>
      </c>
      <c r="AJ1217" s="14">
        <f>IF(AN1217=0,L1217,0)</f>
        <v>0</v>
      </c>
      <c r="AK1217" s="14">
        <f>IF(AN1217=15,L1217,0)</f>
        <v>0</v>
      </c>
      <c r="AL1217" s="14">
        <f>IF(AN1217=21,L1217,0)</f>
        <v>0</v>
      </c>
      <c r="AN1217" s="14">
        <v>21</v>
      </c>
      <c r="AO1217" s="92">
        <f>H1217*0.436943231441048</f>
        <v>0</v>
      </c>
      <c r="AP1217" s="92">
        <f>H1217*(1-0.436943231441048)</f>
        <v>0</v>
      </c>
      <c r="AQ1217" s="55" t="s">
        <v>2435</v>
      </c>
      <c r="AV1217" s="14">
        <f>AW1217+AX1217</f>
        <v>0</v>
      </c>
      <c r="AW1217" s="14">
        <f>G1217*AO1217</f>
        <v>0</v>
      </c>
      <c r="AX1217" s="14">
        <f>G1217*AP1217</f>
        <v>0</v>
      </c>
      <c r="AY1217" s="55" t="s">
        <v>1543</v>
      </c>
      <c r="AZ1217" s="55" t="s">
        <v>1212</v>
      </c>
      <c r="BA1217" s="15" t="s">
        <v>1027</v>
      </c>
      <c r="BC1217" s="14">
        <f>AW1217+AX1217</f>
        <v>0</v>
      </c>
      <c r="BD1217" s="14">
        <f>H1217/(100-BE1217)*100</f>
        <v>0</v>
      </c>
      <c r="BE1217" s="14">
        <v>0</v>
      </c>
      <c r="BF1217" s="14">
        <f>O1217</f>
        <v>1.155E-2</v>
      </c>
      <c r="BH1217" s="14">
        <f>G1217*AO1217</f>
        <v>0</v>
      </c>
      <c r="BI1217" s="14">
        <f>G1217*AP1217</f>
        <v>0</v>
      </c>
      <c r="BJ1217" s="14">
        <f>G1217*H1217</f>
        <v>0</v>
      </c>
      <c r="BK1217" s="14"/>
      <c r="BL1217" s="14">
        <v>722</v>
      </c>
      <c r="BW1217" s="14" t="str">
        <f>I1217</f>
        <v>21</v>
      </c>
    </row>
    <row r="1218" spans="1:75" ht="15" customHeight="1">
      <c r="A1218" s="32"/>
      <c r="D1218" s="3" t="s">
        <v>11</v>
      </c>
      <c r="E1218" s="28" t="s">
        <v>1683</v>
      </c>
      <c r="G1218" s="27">
        <v>165</v>
      </c>
      <c r="P1218" s="33"/>
    </row>
    <row r="1219" spans="1:75" ht="27" customHeight="1">
      <c r="A1219" s="21" t="s">
        <v>2632</v>
      </c>
      <c r="B1219" s="37" t="s">
        <v>750</v>
      </c>
      <c r="C1219" s="37" t="s">
        <v>26</v>
      </c>
      <c r="D1219" s="578" t="s">
        <v>1045</v>
      </c>
      <c r="E1219" s="579"/>
      <c r="F1219" s="37" t="s">
        <v>2019</v>
      </c>
      <c r="G1219" s="14">
        <v>20</v>
      </c>
      <c r="H1219" s="569"/>
      <c r="I1219" s="55" t="s">
        <v>1720</v>
      </c>
      <c r="J1219" s="14">
        <f>G1219*AO1219</f>
        <v>0</v>
      </c>
      <c r="K1219" s="14">
        <f>G1219*AP1219</f>
        <v>0</v>
      </c>
      <c r="L1219" s="14">
        <f>G1219*H1219</f>
        <v>0</v>
      </c>
      <c r="M1219" s="14">
        <f>L1219*(1+BW1219/100)</f>
        <v>0</v>
      </c>
      <c r="N1219" s="14">
        <v>6.9999999999999994E-5</v>
      </c>
      <c r="O1219" s="14">
        <f>G1219*N1219</f>
        <v>1.3999999999999998E-3</v>
      </c>
      <c r="P1219" s="72" t="s">
        <v>1664</v>
      </c>
      <c r="Z1219" s="14">
        <f>IF(AQ1219="5",BJ1219,0)</f>
        <v>0</v>
      </c>
      <c r="AB1219" s="14">
        <f>IF(AQ1219="1",BH1219,0)</f>
        <v>0</v>
      </c>
      <c r="AC1219" s="14">
        <f>IF(AQ1219="1",BI1219,0)</f>
        <v>0</v>
      </c>
      <c r="AD1219" s="14">
        <f>IF(AQ1219="7",BH1219,0)</f>
        <v>0</v>
      </c>
      <c r="AE1219" s="14">
        <f>IF(AQ1219="7",BI1219,0)</f>
        <v>0</v>
      </c>
      <c r="AF1219" s="14">
        <f>IF(AQ1219="2",BH1219,0)</f>
        <v>0</v>
      </c>
      <c r="AG1219" s="14">
        <f>IF(AQ1219="2",BI1219,0)</f>
        <v>0</v>
      </c>
      <c r="AH1219" s="14">
        <f>IF(AQ1219="0",BJ1219,0)</f>
        <v>0</v>
      </c>
      <c r="AI1219" s="15" t="s">
        <v>750</v>
      </c>
      <c r="AJ1219" s="14">
        <f>IF(AN1219=0,L1219,0)</f>
        <v>0</v>
      </c>
      <c r="AK1219" s="14">
        <f>IF(AN1219=15,L1219,0)</f>
        <v>0</v>
      </c>
      <c r="AL1219" s="14">
        <f>IF(AN1219=21,L1219,0)</f>
        <v>0</v>
      </c>
      <c r="AN1219" s="14">
        <v>21</v>
      </c>
      <c r="AO1219" s="92">
        <f>H1219*0.443294117647059</f>
        <v>0</v>
      </c>
      <c r="AP1219" s="92">
        <f>H1219*(1-0.443294117647059)</f>
        <v>0</v>
      </c>
      <c r="AQ1219" s="55" t="s">
        <v>2435</v>
      </c>
      <c r="AV1219" s="14">
        <f>AW1219+AX1219</f>
        <v>0</v>
      </c>
      <c r="AW1219" s="14">
        <f>G1219*AO1219</f>
        <v>0</v>
      </c>
      <c r="AX1219" s="14">
        <f>G1219*AP1219</f>
        <v>0</v>
      </c>
      <c r="AY1219" s="55" t="s">
        <v>1543</v>
      </c>
      <c r="AZ1219" s="55" t="s">
        <v>1212</v>
      </c>
      <c r="BA1219" s="15" t="s">
        <v>1027</v>
      </c>
      <c r="BC1219" s="14">
        <f>AW1219+AX1219</f>
        <v>0</v>
      </c>
      <c r="BD1219" s="14">
        <f>H1219/(100-BE1219)*100</f>
        <v>0</v>
      </c>
      <c r="BE1219" s="14">
        <v>0</v>
      </c>
      <c r="BF1219" s="14">
        <f>O1219</f>
        <v>1.3999999999999998E-3</v>
      </c>
      <c r="BH1219" s="14">
        <f>G1219*AO1219</f>
        <v>0</v>
      </c>
      <c r="BI1219" s="14">
        <f>G1219*AP1219</f>
        <v>0</v>
      </c>
      <c r="BJ1219" s="14">
        <f>G1219*H1219</f>
        <v>0</v>
      </c>
      <c r="BK1219" s="14"/>
      <c r="BL1219" s="14">
        <v>722</v>
      </c>
      <c r="BW1219" s="14" t="str">
        <f>I1219</f>
        <v>21</v>
      </c>
    </row>
    <row r="1220" spans="1:75" ht="15" customHeight="1">
      <c r="A1220" s="32"/>
      <c r="D1220" s="3" t="s">
        <v>118</v>
      </c>
      <c r="E1220" s="28" t="s">
        <v>1683</v>
      </c>
      <c r="G1220" s="27">
        <v>20</v>
      </c>
      <c r="P1220" s="33"/>
    </row>
    <row r="1221" spans="1:75" ht="27" customHeight="1">
      <c r="A1221" s="21" t="s">
        <v>1051</v>
      </c>
      <c r="B1221" s="37" t="s">
        <v>750</v>
      </c>
      <c r="C1221" s="37" t="s">
        <v>1343</v>
      </c>
      <c r="D1221" s="578" t="s">
        <v>2269</v>
      </c>
      <c r="E1221" s="579"/>
      <c r="F1221" s="37" t="s">
        <v>2019</v>
      </c>
      <c r="G1221" s="14">
        <v>2</v>
      </c>
      <c r="H1221" s="569"/>
      <c r="I1221" s="55" t="s">
        <v>1720</v>
      </c>
      <c r="J1221" s="14">
        <f>G1221*AO1221</f>
        <v>0</v>
      </c>
      <c r="K1221" s="14">
        <f>G1221*AP1221</f>
        <v>0</v>
      </c>
      <c r="L1221" s="14">
        <f>G1221*H1221</f>
        <v>0</v>
      </c>
      <c r="M1221" s="14">
        <f>L1221*(1+BW1221/100)</f>
        <v>0</v>
      </c>
      <c r="N1221" s="14">
        <v>1.2E-4</v>
      </c>
      <c r="O1221" s="14">
        <f>G1221*N1221</f>
        <v>2.4000000000000001E-4</v>
      </c>
      <c r="P1221" s="72" t="s">
        <v>1664</v>
      </c>
      <c r="Z1221" s="14">
        <f>IF(AQ1221="5",BJ1221,0)</f>
        <v>0</v>
      </c>
      <c r="AB1221" s="14">
        <f>IF(AQ1221="1",BH1221,0)</f>
        <v>0</v>
      </c>
      <c r="AC1221" s="14">
        <f>IF(AQ1221="1",BI1221,0)</f>
        <v>0</v>
      </c>
      <c r="AD1221" s="14">
        <f>IF(AQ1221="7",BH1221,0)</f>
        <v>0</v>
      </c>
      <c r="AE1221" s="14">
        <f>IF(AQ1221="7",BI1221,0)</f>
        <v>0</v>
      </c>
      <c r="AF1221" s="14">
        <f>IF(AQ1221="2",BH1221,0)</f>
        <v>0</v>
      </c>
      <c r="AG1221" s="14">
        <f>IF(AQ1221="2",BI1221,0)</f>
        <v>0</v>
      </c>
      <c r="AH1221" s="14">
        <f>IF(AQ1221="0",BJ1221,0)</f>
        <v>0</v>
      </c>
      <c r="AI1221" s="15" t="s">
        <v>750</v>
      </c>
      <c r="AJ1221" s="14">
        <f>IF(AN1221=0,L1221,0)</f>
        <v>0</v>
      </c>
      <c r="AK1221" s="14">
        <f>IF(AN1221=15,L1221,0)</f>
        <v>0</v>
      </c>
      <c r="AL1221" s="14">
        <f>IF(AN1221=21,L1221,0)</f>
        <v>0</v>
      </c>
      <c r="AN1221" s="14">
        <v>21</v>
      </c>
      <c r="AO1221" s="92">
        <f>H1221*0.447394366197183</f>
        <v>0</v>
      </c>
      <c r="AP1221" s="92">
        <f>H1221*(1-0.447394366197183)</f>
        <v>0</v>
      </c>
      <c r="AQ1221" s="55" t="s">
        <v>2435</v>
      </c>
      <c r="AV1221" s="14">
        <f>AW1221+AX1221</f>
        <v>0</v>
      </c>
      <c r="AW1221" s="14">
        <f>G1221*AO1221</f>
        <v>0</v>
      </c>
      <c r="AX1221" s="14">
        <f>G1221*AP1221</f>
        <v>0</v>
      </c>
      <c r="AY1221" s="55" t="s">
        <v>1543</v>
      </c>
      <c r="AZ1221" s="55" t="s">
        <v>1212</v>
      </c>
      <c r="BA1221" s="15" t="s">
        <v>1027</v>
      </c>
      <c r="BC1221" s="14">
        <f>AW1221+AX1221</f>
        <v>0</v>
      </c>
      <c r="BD1221" s="14">
        <f>H1221/(100-BE1221)*100</f>
        <v>0</v>
      </c>
      <c r="BE1221" s="14">
        <v>0</v>
      </c>
      <c r="BF1221" s="14">
        <f>O1221</f>
        <v>2.4000000000000001E-4</v>
      </c>
      <c r="BH1221" s="14">
        <f>G1221*AO1221</f>
        <v>0</v>
      </c>
      <c r="BI1221" s="14">
        <f>G1221*AP1221</f>
        <v>0</v>
      </c>
      <c r="BJ1221" s="14">
        <f>G1221*H1221</f>
        <v>0</v>
      </c>
      <c r="BK1221" s="14"/>
      <c r="BL1221" s="14">
        <v>722</v>
      </c>
      <c r="BW1221" s="14" t="str">
        <f>I1221</f>
        <v>21</v>
      </c>
    </row>
    <row r="1222" spans="1:75" ht="15" customHeight="1">
      <c r="A1222" s="32"/>
      <c r="D1222" s="3" t="s">
        <v>1676</v>
      </c>
      <c r="E1222" s="28" t="s">
        <v>1683</v>
      </c>
      <c r="G1222" s="27">
        <v>2</v>
      </c>
      <c r="P1222" s="33"/>
    </row>
    <row r="1223" spans="1:75" ht="13.5" customHeight="1">
      <c r="A1223" s="21" t="s">
        <v>1154</v>
      </c>
      <c r="B1223" s="37" t="s">
        <v>750</v>
      </c>
      <c r="C1223" s="37" t="s">
        <v>1642</v>
      </c>
      <c r="D1223" s="578" t="s">
        <v>364</v>
      </c>
      <c r="E1223" s="579"/>
      <c r="F1223" s="37" t="s">
        <v>595</v>
      </c>
      <c r="G1223" s="14">
        <v>6</v>
      </c>
      <c r="H1223" s="569"/>
      <c r="I1223" s="55" t="s">
        <v>1720</v>
      </c>
      <c r="J1223" s="14">
        <f>G1223*AO1223</f>
        <v>0</v>
      </c>
      <c r="K1223" s="14">
        <f>G1223*AP1223</f>
        <v>0</v>
      </c>
      <c r="L1223" s="14">
        <f>G1223*H1223</f>
        <v>0</v>
      </c>
      <c r="M1223" s="14">
        <f>L1223*(1+BW1223/100)</f>
        <v>0</v>
      </c>
      <c r="N1223" s="14">
        <v>0</v>
      </c>
      <c r="O1223" s="14">
        <f>G1223*N1223</f>
        <v>0</v>
      </c>
      <c r="P1223" s="72" t="s">
        <v>1664</v>
      </c>
      <c r="Z1223" s="14">
        <f>IF(AQ1223="5",BJ1223,0)</f>
        <v>0</v>
      </c>
      <c r="AB1223" s="14">
        <f>IF(AQ1223="1",BH1223,0)</f>
        <v>0</v>
      </c>
      <c r="AC1223" s="14">
        <f>IF(AQ1223="1",BI1223,0)</f>
        <v>0</v>
      </c>
      <c r="AD1223" s="14">
        <f>IF(AQ1223="7",BH1223,0)</f>
        <v>0</v>
      </c>
      <c r="AE1223" s="14">
        <f>IF(AQ1223="7",BI1223,0)</f>
        <v>0</v>
      </c>
      <c r="AF1223" s="14">
        <f>IF(AQ1223="2",BH1223,0)</f>
        <v>0</v>
      </c>
      <c r="AG1223" s="14">
        <f>IF(AQ1223="2",BI1223,0)</f>
        <v>0</v>
      </c>
      <c r="AH1223" s="14">
        <f>IF(AQ1223="0",BJ1223,0)</f>
        <v>0</v>
      </c>
      <c r="AI1223" s="15" t="s">
        <v>750</v>
      </c>
      <c r="AJ1223" s="14">
        <f>IF(AN1223=0,L1223,0)</f>
        <v>0</v>
      </c>
      <c r="AK1223" s="14">
        <f>IF(AN1223=15,L1223,0)</f>
        <v>0</v>
      </c>
      <c r="AL1223" s="14">
        <f>IF(AN1223=21,L1223,0)</f>
        <v>0</v>
      </c>
      <c r="AN1223" s="14">
        <v>21</v>
      </c>
      <c r="AO1223" s="92">
        <f>H1223*0</f>
        <v>0</v>
      </c>
      <c r="AP1223" s="92">
        <f>H1223*(1-0)</f>
        <v>0</v>
      </c>
      <c r="AQ1223" s="55" t="s">
        <v>2435</v>
      </c>
      <c r="AV1223" s="14">
        <f>AW1223+AX1223</f>
        <v>0</v>
      </c>
      <c r="AW1223" s="14">
        <f>G1223*AO1223</f>
        <v>0</v>
      </c>
      <c r="AX1223" s="14">
        <f>G1223*AP1223</f>
        <v>0</v>
      </c>
      <c r="AY1223" s="55" t="s">
        <v>1543</v>
      </c>
      <c r="AZ1223" s="55" t="s">
        <v>1212</v>
      </c>
      <c r="BA1223" s="15" t="s">
        <v>1027</v>
      </c>
      <c r="BC1223" s="14">
        <f>AW1223+AX1223</f>
        <v>0</v>
      </c>
      <c r="BD1223" s="14">
        <f>H1223/(100-BE1223)*100</f>
        <v>0</v>
      </c>
      <c r="BE1223" s="14">
        <v>0</v>
      </c>
      <c r="BF1223" s="14">
        <f>O1223</f>
        <v>0</v>
      </c>
      <c r="BH1223" s="14">
        <f>G1223*AO1223</f>
        <v>0</v>
      </c>
      <c r="BI1223" s="14">
        <f>G1223*AP1223</f>
        <v>0</v>
      </c>
      <c r="BJ1223" s="14">
        <f>G1223*H1223</f>
        <v>0</v>
      </c>
      <c r="BK1223" s="14"/>
      <c r="BL1223" s="14">
        <v>722</v>
      </c>
      <c r="BW1223" s="14" t="str">
        <f>I1223</f>
        <v>21</v>
      </c>
    </row>
    <row r="1224" spans="1:75" ht="15" customHeight="1">
      <c r="A1224" s="32"/>
      <c r="D1224" s="3" t="s">
        <v>408</v>
      </c>
      <c r="E1224" s="28" t="s">
        <v>1683</v>
      </c>
      <c r="G1224" s="27">
        <v>6.0000000000000009</v>
      </c>
      <c r="P1224" s="33"/>
    </row>
    <row r="1225" spans="1:75" ht="13.5" customHeight="1">
      <c r="A1225" s="21" t="s">
        <v>2434</v>
      </c>
      <c r="B1225" s="37" t="s">
        <v>750</v>
      </c>
      <c r="C1225" s="37" t="s">
        <v>1153</v>
      </c>
      <c r="D1225" s="578" t="s">
        <v>1486</v>
      </c>
      <c r="E1225" s="579"/>
      <c r="F1225" s="37" t="s">
        <v>595</v>
      </c>
      <c r="G1225" s="14">
        <v>5</v>
      </c>
      <c r="H1225" s="569"/>
      <c r="I1225" s="55" t="s">
        <v>1720</v>
      </c>
      <c r="J1225" s="14">
        <f>G1225*AO1225</f>
        <v>0</v>
      </c>
      <c r="K1225" s="14">
        <f>G1225*AP1225</f>
        <v>0</v>
      </c>
      <c r="L1225" s="14">
        <f>G1225*H1225</f>
        <v>0</v>
      </c>
      <c r="M1225" s="14">
        <f>L1225*(1+BW1225/100)</f>
        <v>0</v>
      </c>
      <c r="N1225" s="14">
        <v>8.8999999999999995E-4</v>
      </c>
      <c r="O1225" s="14">
        <f>G1225*N1225</f>
        <v>4.45E-3</v>
      </c>
      <c r="P1225" s="72" t="s">
        <v>1664</v>
      </c>
      <c r="Z1225" s="14">
        <f>IF(AQ1225="5",BJ1225,0)</f>
        <v>0</v>
      </c>
      <c r="AB1225" s="14">
        <f>IF(AQ1225="1",BH1225,0)</f>
        <v>0</v>
      </c>
      <c r="AC1225" s="14">
        <f>IF(AQ1225="1",BI1225,0)</f>
        <v>0</v>
      </c>
      <c r="AD1225" s="14">
        <f>IF(AQ1225="7",BH1225,0)</f>
        <v>0</v>
      </c>
      <c r="AE1225" s="14">
        <f>IF(AQ1225="7",BI1225,0)</f>
        <v>0</v>
      </c>
      <c r="AF1225" s="14">
        <f>IF(AQ1225="2",BH1225,0)</f>
        <v>0</v>
      </c>
      <c r="AG1225" s="14">
        <f>IF(AQ1225="2",BI1225,0)</f>
        <v>0</v>
      </c>
      <c r="AH1225" s="14">
        <f>IF(AQ1225="0",BJ1225,0)</f>
        <v>0</v>
      </c>
      <c r="AI1225" s="15" t="s">
        <v>750</v>
      </c>
      <c r="AJ1225" s="14">
        <f>IF(AN1225=0,L1225,0)</f>
        <v>0</v>
      </c>
      <c r="AK1225" s="14">
        <f>IF(AN1225=15,L1225,0)</f>
        <v>0</v>
      </c>
      <c r="AL1225" s="14">
        <f>IF(AN1225=21,L1225,0)</f>
        <v>0</v>
      </c>
      <c r="AN1225" s="14">
        <v>21</v>
      </c>
      <c r="AO1225" s="92">
        <f>H1225*0.863030869971936</f>
        <v>0</v>
      </c>
      <c r="AP1225" s="92">
        <f>H1225*(1-0.863030869971936)</f>
        <v>0</v>
      </c>
      <c r="AQ1225" s="55" t="s">
        <v>2435</v>
      </c>
      <c r="AV1225" s="14">
        <f>AW1225+AX1225</f>
        <v>0</v>
      </c>
      <c r="AW1225" s="14">
        <f>G1225*AO1225</f>
        <v>0</v>
      </c>
      <c r="AX1225" s="14">
        <f>G1225*AP1225</f>
        <v>0</v>
      </c>
      <c r="AY1225" s="55" t="s">
        <v>1543</v>
      </c>
      <c r="AZ1225" s="55" t="s">
        <v>1212</v>
      </c>
      <c r="BA1225" s="15" t="s">
        <v>1027</v>
      </c>
      <c r="BC1225" s="14">
        <f>AW1225+AX1225</f>
        <v>0</v>
      </c>
      <c r="BD1225" s="14">
        <f>H1225/(100-BE1225)*100</f>
        <v>0</v>
      </c>
      <c r="BE1225" s="14">
        <v>0</v>
      </c>
      <c r="BF1225" s="14">
        <f>O1225</f>
        <v>4.45E-3</v>
      </c>
      <c r="BH1225" s="14">
        <f>G1225*AO1225</f>
        <v>0</v>
      </c>
      <c r="BI1225" s="14">
        <f>G1225*AP1225</f>
        <v>0</v>
      </c>
      <c r="BJ1225" s="14">
        <f>G1225*H1225</f>
        <v>0</v>
      </c>
      <c r="BK1225" s="14"/>
      <c r="BL1225" s="14">
        <v>722</v>
      </c>
      <c r="BW1225" s="14" t="str">
        <f>I1225</f>
        <v>21</v>
      </c>
    </row>
    <row r="1226" spans="1:75" ht="15" customHeight="1">
      <c r="A1226" s="32"/>
      <c r="D1226" s="3" t="s">
        <v>1287</v>
      </c>
      <c r="E1226" s="28" t="s">
        <v>1683</v>
      </c>
      <c r="G1226" s="27">
        <v>5</v>
      </c>
      <c r="P1226" s="33"/>
    </row>
    <row r="1227" spans="1:75" ht="13.5" customHeight="1">
      <c r="A1227" s="21" t="s">
        <v>2762</v>
      </c>
      <c r="B1227" s="37" t="s">
        <v>750</v>
      </c>
      <c r="C1227" s="37" t="s">
        <v>36</v>
      </c>
      <c r="D1227" s="578" t="s">
        <v>1352</v>
      </c>
      <c r="E1227" s="579"/>
      <c r="F1227" s="37" t="s">
        <v>595</v>
      </c>
      <c r="G1227" s="14">
        <v>2</v>
      </c>
      <c r="H1227" s="569"/>
      <c r="I1227" s="55" t="s">
        <v>1720</v>
      </c>
      <c r="J1227" s="14">
        <f>G1227*AO1227</f>
        <v>0</v>
      </c>
      <c r="K1227" s="14">
        <f>G1227*AP1227</f>
        <v>0</v>
      </c>
      <c r="L1227" s="14">
        <f>G1227*H1227</f>
        <v>0</v>
      </c>
      <c r="M1227" s="14">
        <f>L1227*(1+BW1227/100)</f>
        <v>0</v>
      </c>
      <c r="N1227" s="14">
        <v>4.8000000000000001E-4</v>
      </c>
      <c r="O1227" s="14">
        <f>G1227*N1227</f>
        <v>9.6000000000000002E-4</v>
      </c>
      <c r="P1227" s="72" t="s">
        <v>1664</v>
      </c>
      <c r="Z1227" s="14">
        <f>IF(AQ1227="5",BJ1227,0)</f>
        <v>0</v>
      </c>
      <c r="AB1227" s="14">
        <f>IF(AQ1227="1",BH1227,0)</f>
        <v>0</v>
      </c>
      <c r="AC1227" s="14">
        <f>IF(AQ1227="1",BI1227,0)</f>
        <v>0</v>
      </c>
      <c r="AD1227" s="14">
        <f>IF(AQ1227="7",BH1227,0)</f>
        <v>0</v>
      </c>
      <c r="AE1227" s="14">
        <f>IF(AQ1227="7",BI1227,0)</f>
        <v>0</v>
      </c>
      <c r="AF1227" s="14">
        <f>IF(AQ1227="2",BH1227,0)</f>
        <v>0</v>
      </c>
      <c r="AG1227" s="14">
        <f>IF(AQ1227="2",BI1227,0)</f>
        <v>0</v>
      </c>
      <c r="AH1227" s="14">
        <f>IF(AQ1227="0",BJ1227,0)</f>
        <v>0</v>
      </c>
      <c r="AI1227" s="15" t="s">
        <v>750</v>
      </c>
      <c r="AJ1227" s="14">
        <f>IF(AN1227=0,L1227,0)</f>
        <v>0</v>
      </c>
      <c r="AK1227" s="14">
        <f>IF(AN1227=15,L1227,0)</f>
        <v>0</v>
      </c>
      <c r="AL1227" s="14">
        <f>IF(AN1227=21,L1227,0)</f>
        <v>0</v>
      </c>
      <c r="AN1227" s="14">
        <v>21</v>
      </c>
      <c r="AO1227" s="92">
        <f>H1227*0.823218884120172</f>
        <v>0</v>
      </c>
      <c r="AP1227" s="92">
        <f>H1227*(1-0.823218884120172)</f>
        <v>0</v>
      </c>
      <c r="AQ1227" s="55" t="s">
        <v>2435</v>
      </c>
      <c r="AV1227" s="14">
        <f>AW1227+AX1227</f>
        <v>0</v>
      </c>
      <c r="AW1227" s="14">
        <f>G1227*AO1227</f>
        <v>0</v>
      </c>
      <c r="AX1227" s="14">
        <f>G1227*AP1227</f>
        <v>0</v>
      </c>
      <c r="AY1227" s="55" t="s">
        <v>1543</v>
      </c>
      <c r="AZ1227" s="55" t="s">
        <v>1212</v>
      </c>
      <c r="BA1227" s="15" t="s">
        <v>1027</v>
      </c>
      <c r="BC1227" s="14">
        <f>AW1227+AX1227</f>
        <v>0</v>
      </c>
      <c r="BD1227" s="14">
        <f>H1227/(100-BE1227)*100</f>
        <v>0</v>
      </c>
      <c r="BE1227" s="14">
        <v>0</v>
      </c>
      <c r="BF1227" s="14">
        <f>O1227</f>
        <v>9.6000000000000002E-4</v>
      </c>
      <c r="BH1227" s="14">
        <f>G1227*AO1227</f>
        <v>0</v>
      </c>
      <c r="BI1227" s="14">
        <f>G1227*AP1227</f>
        <v>0</v>
      </c>
      <c r="BJ1227" s="14">
        <f>G1227*H1227</f>
        <v>0</v>
      </c>
      <c r="BK1227" s="14"/>
      <c r="BL1227" s="14">
        <v>722</v>
      </c>
      <c r="BW1227" s="14" t="str">
        <f>I1227</f>
        <v>21</v>
      </c>
    </row>
    <row r="1228" spans="1:75" ht="15" customHeight="1">
      <c r="A1228" s="32"/>
      <c r="D1228" s="3" t="s">
        <v>1676</v>
      </c>
      <c r="E1228" s="28" t="s">
        <v>1683</v>
      </c>
      <c r="G1228" s="27">
        <v>2</v>
      </c>
      <c r="P1228" s="33"/>
    </row>
    <row r="1229" spans="1:75" ht="13.5" customHeight="1">
      <c r="A1229" s="21" t="s">
        <v>2348</v>
      </c>
      <c r="B1229" s="37" t="s">
        <v>750</v>
      </c>
      <c r="C1229" s="37" t="s">
        <v>1221</v>
      </c>
      <c r="D1229" s="578" t="s">
        <v>2187</v>
      </c>
      <c r="E1229" s="579"/>
      <c r="F1229" s="37" t="s">
        <v>595</v>
      </c>
      <c r="G1229" s="14">
        <v>2</v>
      </c>
      <c r="H1229" s="569"/>
      <c r="I1229" s="55" t="s">
        <v>1720</v>
      </c>
      <c r="J1229" s="14">
        <f>G1229*AO1229</f>
        <v>0</v>
      </c>
      <c r="K1229" s="14">
        <f>G1229*AP1229</f>
        <v>0</v>
      </c>
      <c r="L1229" s="14">
        <f>G1229*H1229</f>
        <v>0</v>
      </c>
      <c r="M1229" s="14">
        <f>L1229*(1+BW1229/100)</f>
        <v>0</v>
      </c>
      <c r="N1229" s="14">
        <v>1.0399999999999999E-3</v>
      </c>
      <c r="O1229" s="14">
        <f>G1229*N1229</f>
        <v>2.0799999999999998E-3</v>
      </c>
      <c r="P1229" s="72" t="s">
        <v>1664</v>
      </c>
      <c r="Z1229" s="14">
        <f>IF(AQ1229="5",BJ1229,0)</f>
        <v>0</v>
      </c>
      <c r="AB1229" s="14">
        <f>IF(AQ1229="1",BH1229,0)</f>
        <v>0</v>
      </c>
      <c r="AC1229" s="14">
        <f>IF(AQ1229="1",BI1229,0)</f>
        <v>0</v>
      </c>
      <c r="AD1229" s="14">
        <f>IF(AQ1229="7",BH1229,0)</f>
        <v>0</v>
      </c>
      <c r="AE1229" s="14">
        <f>IF(AQ1229="7",BI1229,0)</f>
        <v>0</v>
      </c>
      <c r="AF1229" s="14">
        <f>IF(AQ1229="2",BH1229,0)</f>
        <v>0</v>
      </c>
      <c r="AG1229" s="14">
        <f>IF(AQ1229="2",BI1229,0)</f>
        <v>0</v>
      </c>
      <c r="AH1229" s="14">
        <f>IF(AQ1229="0",BJ1229,0)</f>
        <v>0</v>
      </c>
      <c r="AI1229" s="15" t="s">
        <v>750</v>
      </c>
      <c r="AJ1229" s="14">
        <f>IF(AN1229=0,L1229,0)</f>
        <v>0</v>
      </c>
      <c r="AK1229" s="14">
        <f>IF(AN1229=15,L1229,0)</f>
        <v>0</v>
      </c>
      <c r="AL1229" s="14">
        <f>IF(AN1229=21,L1229,0)</f>
        <v>0</v>
      </c>
      <c r="AN1229" s="14">
        <v>21</v>
      </c>
      <c r="AO1229" s="92">
        <f>H1229*0.863326180257511</f>
        <v>0</v>
      </c>
      <c r="AP1229" s="92">
        <f>H1229*(1-0.863326180257511)</f>
        <v>0</v>
      </c>
      <c r="AQ1229" s="55" t="s">
        <v>2435</v>
      </c>
      <c r="AV1229" s="14">
        <f>AW1229+AX1229</f>
        <v>0</v>
      </c>
      <c r="AW1229" s="14">
        <f>G1229*AO1229</f>
        <v>0</v>
      </c>
      <c r="AX1229" s="14">
        <f>G1229*AP1229</f>
        <v>0</v>
      </c>
      <c r="AY1229" s="55" t="s">
        <v>1543</v>
      </c>
      <c r="AZ1229" s="55" t="s">
        <v>1212</v>
      </c>
      <c r="BA1229" s="15" t="s">
        <v>1027</v>
      </c>
      <c r="BC1229" s="14">
        <f>AW1229+AX1229</f>
        <v>0</v>
      </c>
      <c r="BD1229" s="14">
        <f>H1229/(100-BE1229)*100</f>
        <v>0</v>
      </c>
      <c r="BE1229" s="14">
        <v>0</v>
      </c>
      <c r="BF1229" s="14">
        <f>O1229</f>
        <v>2.0799999999999998E-3</v>
      </c>
      <c r="BH1229" s="14">
        <f>G1229*AO1229</f>
        <v>0</v>
      </c>
      <c r="BI1229" s="14">
        <f>G1229*AP1229</f>
        <v>0</v>
      </c>
      <c r="BJ1229" s="14">
        <f>G1229*H1229</f>
        <v>0</v>
      </c>
      <c r="BK1229" s="14"/>
      <c r="BL1229" s="14">
        <v>722</v>
      </c>
      <c r="BW1229" s="14" t="str">
        <f>I1229</f>
        <v>21</v>
      </c>
    </row>
    <row r="1230" spans="1:75" ht="15" customHeight="1">
      <c r="A1230" s="32"/>
      <c r="D1230" s="3" t="s">
        <v>1676</v>
      </c>
      <c r="E1230" s="28" t="s">
        <v>1683</v>
      </c>
      <c r="G1230" s="27">
        <v>2</v>
      </c>
      <c r="P1230" s="33"/>
    </row>
    <row r="1231" spans="1:75" ht="13.5" customHeight="1">
      <c r="A1231" s="21" t="s">
        <v>1575</v>
      </c>
      <c r="B1231" s="37" t="s">
        <v>750</v>
      </c>
      <c r="C1231" s="37" t="s">
        <v>1810</v>
      </c>
      <c r="D1231" s="578" t="s">
        <v>1392</v>
      </c>
      <c r="E1231" s="579"/>
      <c r="F1231" s="37" t="s">
        <v>595</v>
      </c>
      <c r="G1231" s="14">
        <v>1</v>
      </c>
      <c r="H1231" s="569"/>
      <c r="I1231" s="55" t="s">
        <v>1720</v>
      </c>
      <c r="J1231" s="14">
        <f>G1231*AO1231</f>
        <v>0</v>
      </c>
      <c r="K1231" s="14">
        <f>G1231*AP1231</f>
        <v>0</v>
      </c>
      <c r="L1231" s="14">
        <f>G1231*H1231</f>
        <v>0</v>
      </c>
      <c r="M1231" s="14">
        <f>L1231*(1+BW1231/100)</f>
        <v>0</v>
      </c>
      <c r="N1231" s="14">
        <v>2.0000000000000001E-4</v>
      </c>
      <c r="O1231" s="14">
        <f>G1231*N1231</f>
        <v>2.0000000000000001E-4</v>
      </c>
      <c r="P1231" s="72" t="s">
        <v>1664</v>
      </c>
      <c r="Z1231" s="14">
        <f>IF(AQ1231="5",BJ1231,0)</f>
        <v>0</v>
      </c>
      <c r="AB1231" s="14">
        <f>IF(AQ1231="1",BH1231,0)</f>
        <v>0</v>
      </c>
      <c r="AC1231" s="14">
        <f>IF(AQ1231="1",BI1231,0)</f>
        <v>0</v>
      </c>
      <c r="AD1231" s="14">
        <f>IF(AQ1231="7",BH1231,0)</f>
        <v>0</v>
      </c>
      <c r="AE1231" s="14">
        <f>IF(AQ1231="7",BI1231,0)</f>
        <v>0</v>
      </c>
      <c r="AF1231" s="14">
        <f>IF(AQ1231="2",BH1231,0)</f>
        <v>0</v>
      </c>
      <c r="AG1231" s="14">
        <f>IF(AQ1231="2",BI1231,0)</f>
        <v>0</v>
      </c>
      <c r="AH1231" s="14">
        <f>IF(AQ1231="0",BJ1231,0)</f>
        <v>0</v>
      </c>
      <c r="AI1231" s="15" t="s">
        <v>750</v>
      </c>
      <c r="AJ1231" s="14">
        <f>IF(AN1231=0,L1231,0)</f>
        <v>0</v>
      </c>
      <c r="AK1231" s="14">
        <f>IF(AN1231=15,L1231,0)</f>
        <v>0</v>
      </c>
      <c r="AL1231" s="14">
        <f>IF(AN1231=21,L1231,0)</f>
        <v>0</v>
      </c>
      <c r="AN1231" s="14">
        <v>21</v>
      </c>
      <c r="AO1231" s="92">
        <f>H1231*0.937873303167421</f>
        <v>0</v>
      </c>
      <c r="AP1231" s="92">
        <f>H1231*(1-0.937873303167421)</f>
        <v>0</v>
      </c>
      <c r="AQ1231" s="55" t="s">
        <v>2435</v>
      </c>
      <c r="AV1231" s="14">
        <f>AW1231+AX1231</f>
        <v>0</v>
      </c>
      <c r="AW1231" s="14">
        <f>G1231*AO1231</f>
        <v>0</v>
      </c>
      <c r="AX1231" s="14">
        <f>G1231*AP1231</f>
        <v>0</v>
      </c>
      <c r="AY1231" s="55" t="s">
        <v>1543</v>
      </c>
      <c r="AZ1231" s="55" t="s">
        <v>1212</v>
      </c>
      <c r="BA1231" s="15" t="s">
        <v>1027</v>
      </c>
      <c r="BC1231" s="14">
        <f>AW1231+AX1231</f>
        <v>0</v>
      </c>
      <c r="BD1231" s="14">
        <f>H1231/(100-BE1231)*100</f>
        <v>0</v>
      </c>
      <c r="BE1231" s="14">
        <v>0</v>
      </c>
      <c r="BF1231" s="14">
        <f>O1231</f>
        <v>2.0000000000000001E-4</v>
      </c>
      <c r="BH1231" s="14">
        <f>G1231*AO1231</f>
        <v>0</v>
      </c>
      <c r="BI1231" s="14">
        <f>G1231*AP1231</f>
        <v>0</v>
      </c>
      <c r="BJ1231" s="14">
        <f>G1231*H1231</f>
        <v>0</v>
      </c>
      <c r="BK1231" s="14"/>
      <c r="BL1231" s="14">
        <v>722</v>
      </c>
      <c r="BW1231" s="14" t="str">
        <f>I1231</f>
        <v>21</v>
      </c>
    </row>
    <row r="1232" spans="1:75" ht="15" customHeight="1">
      <c r="A1232" s="32"/>
      <c r="D1232" s="3" t="s">
        <v>2422</v>
      </c>
      <c r="E1232" s="28" t="s">
        <v>1683</v>
      </c>
      <c r="G1232" s="27">
        <v>1</v>
      </c>
      <c r="P1232" s="33"/>
    </row>
    <row r="1233" spans="1:75" ht="13.5" customHeight="1">
      <c r="A1233" s="21" t="s">
        <v>2731</v>
      </c>
      <c r="B1233" s="37" t="s">
        <v>750</v>
      </c>
      <c r="C1233" s="37" t="s">
        <v>1409</v>
      </c>
      <c r="D1233" s="578" t="s">
        <v>2227</v>
      </c>
      <c r="E1233" s="579"/>
      <c r="F1233" s="37" t="s">
        <v>595</v>
      </c>
      <c r="G1233" s="14">
        <v>1</v>
      </c>
      <c r="H1233" s="569"/>
      <c r="I1233" s="55" t="s">
        <v>1720</v>
      </c>
      <c r="J1233" s="14">
        <f>G1233*AO1233</f>
        <v>0</v>
      </c>
      <c r="K1233" s="14">
        <f>G1233*AP1233</f>
        <v>0</v>
      </c>
      <c r="L1233" s="14">
        <f>G1233*H1233</f>
        <v>0</v>
      </c>
      <c r="M1233" s="14">
        <f>L1233*(1+BW1233/100)</f>
        <v>0</v>
      </c>
      <c r="N1233" s="14">
        <v>6.8000000000000005E-4</v>
      </c>
      <c r="O1233" s="14">
        <f>G1233*N1233</f>
        <v>6.8000000000000005E-4</v>
      </c>
      <c r="P1233" s="72" t="s">
        <v>1664</v>
      </c>
      <c r="Z1233" s="14">
        <f>IF(AQ1233="5",BJ1233,0)</f>
        <v>0</v>
      </c>
      <c r="AB1233" s="14">
        <f>IF(AQ1233="1",BH1233,0)</f>
        <v>0</v>
      </c>
      <c r="AC1233" s="14">
        <f>IF(AQ1233="1",BI1233,0)</f>
        <v>0</v>
      </c>
      <c r="AD1233" s="14">
        <f>IF(AQ1233="7",BH1233,0)</f>
        <v>0</v>
      </c>
      <c r="AE1233" s="14">
        <f>IF(AQ1233="7",BI1233,0)</f>
        <v>0</v>
      </c>
      <c r="AF1233" s="14">
        <f>IF(AQ1233="2",BH1233,0)</f>
        <v>0</v>
      </c>
      <c r="AG1233" s="14">
        <f>IF(AQ1233="2",BI1233,0)</f>
        <v>0</v>
      </c>
      <c r="AH1233" s="14">
        <f>IF(AQ1233="0",BJ1233,0)</f>
        <v>0</v>
      </c>
      <c r="AI1233" s="15" t="s">
        <v>750</v>
      </c>
      <c r="AJ1233" s="14">
        <f>IF(AN1233=0,L1233,0)</f>
        <v>0</v>
      </c>
      <c r="AK1233" s="14">
        <f>IF(AN1233=15,L1233,0)</f>
        <v>0</v>
      </c>
      <c r="AL1233" s="14">
        <f>IF(AN1233=21,L1233,0)</f>
        <v>0</v>
      </c>
      <c r="AN1233" s="14">
        <v>21</v>
      </c>
      <c r="AO1233" s="92">
        <f>H1233*0.864681303116147</f>
        <v>0</v>
      </c>
      <c r="AP1233" s="92">
        <f>H1233*(1-0.864681303116147)</f>
        <v>0</v>
      </c>
      <c r="AQ1233" s="55" t="s">
        <v>2435</v>
      </c>
      <c r="AV1233" s="14">
        <f>AW1233+AX1233</f>
        <v>0</v>
      </c>
      <c r="AW1233" s="14">
        <f>G1233*AO1233</f>
        <v>0</v>
      </c>
      <c r="AX1233" s="14">
        <f>G1233*AP1233</f>
        <v>0</v>
      </c>
      <c r="AY1233" s="55" t="s">
        <v>1543</v>
      </c>
      <c r="AZ1233" s="55" t="s">
        <v>1212</v>
      </c>
      <c r="BA1233" s="15" t="s">
        <v>1027</v>
      </c>
      <c r="BC1233" s="14">
        <f>AW1233+AX1233</f>
        <v>0</v>
      </c>
      <c r="BD1233" s="14">
        <f>H1233/(100-BE1233)*100</f>
        <v>0</v>
      </c>
      <c r="BE1233" s="14">
        <v>0</v>
      </c>
      <c r="BF1233" s="14">
        <f>O1233</f>
        <v>6.8000000000000005E-4</v>
      </c>
      <c r="BH1233" s="14">
        <f>G1233*AO1233</f>
        <v>0</v>
      </c>
      <c r="BI1233" s="14">
        <f>G1233*AP1233</f>
        <v>0</v>
      </c>
      <c r="BJ1233" s="14">
        <f>G1233*H1233</f>
        <v>0</v>
      </c>
      <c r="BK1233" s="14"/>
      <c r="BL1233" s="14">
        <v>722</v>
      </c>
      <c r="BW1233" s="14" t="str">
        <f>I1233</f>
        <v>21</v>
      </c>
    </row>
    <row r="1234" spans="1:75" ht="15" customHeight="1">
      <c r="A1234" s="32"/>
      <c r="D1234" s="3" t="s">
        <v>2422</v>
      </c>
      <c r="E1234" s="28" t="s">
        <v>1683</v>
      </c>
      <c r="G1234" s="27">
        <v>1</v>
      </c>
      <c r="P1234" s="33"/>
    </row>
    <row r="1235" spans="1:75" ht="13.5" customHeight="1">
      <c r="A1235" s="21" t="s">
        <v>2082</v>
      </c>
      <c r="B1235" s="37" t="s">
        <v>750</v>
      </c>
      <c r="C1235" s="37" t="s">
        <v>75</v>
      </c>
      <c r="D1235" s="578" t="s">
        <v>526</v>
      </c>
      <c r="E1235" s="579"/>
      <c r="F1235" s="37" t="s">
        <v>595</v>
      </c>
      <c r="G1235" s="14">
        <v>1</v>
      </c>
      <c r="H1235" s="569"/>
      <c r="I1235" s="55" t="s">
        <v>1720</v>
      </c>
      <c r="J1235" s="14">
        <f>G1235*AO1235</f>
        <v>0</v>
      </c>
      <c r="K1235" s="14">
        <f>G1235*AP1235</f>
        <v>0</v>
      </c>
      <c r="L1235" s="14">
        <f>G1235*H1235</f>
        <v>0</v>
      </c>
      <c r="M1235" s="14">
        <f>L1235*(1+BW1235/100)</f>
        <v>0</v>
      </c>
      <c r="N1235" s="14">
        <v>5.6999999999999998E-4</v>
      </c>
      <c r="O1235" s="14">
        <f>G1235*N1235</f>
        <v>5.6999999999999998E-4</v>
      </c>
      <c r="P1235" s="72" t="s">
        <v>1664</v>
      </c>
      <c r="Z1235" s="14">
        <f>IF(AQ1235="5",BJ1235,0)</f>
        <v>0</v>
      </c>
      <c r="AB1235" s="14">
        <f>IF(AQ1235="1",BH1235,0)</f>
        <v>0</v>
      </c>
      <c r="AC1235" s="14">
        <f>IF(AQ1235="1",BI1235,0)</f>
        <v>0</v>
      </c>
      <c r="AD1235" s="14">
        <f>IF(AQ1235="7",BH1235,0)</f>
        <v>0</v>
      </c>
      <c r="AE1235" s="14">
        <f>IF(AQ1235="7",BI1235,0)</f>
        <v>0</v>
      </c>
      <c r="AF1235" s="14">
        <f>IF(AQ1235="2",BH1235,0)</f>
        <v>0</v>
      </c>
      <c r="AG1235" s="14">
        <f>IF(AQ1235="2",BI1235,0)</f>
        <v>0</v>
      </c>
      <c r="AH1235" s="14">
        <f>IF(AQ1235="0",BJ1235,0)</f>
        <v>0</v>
      </c>
      <c r="AI1235" s="15" t="s">
        <v>750</v>
      </c>
      <c r="AJ1235" s="14">
        <f>IF(AN1235=0,L1235,0)</f>
        <v>0</v>
      </c>
      <c r="AK1235" s="14">
        <f>IF(AN1235=15,L1235,0)</f>
        <v>0</v>
      </c>
      <c r="AL1235" s="14">
        <f>IF(AN1235=21,L1235,0)</f>
        <v>0</v>
      </c>
      <c r="AN1235" s="14">
        <v>21</v>
      </c>
      <c r="AO1235" s="92">
        <f>H1235*0.857309468822171</f>
        <v>0</v>
      </c>
      <c r="AP1235" s="92">
        <f>H1235*(1-0.857309468822171)</f>
        <v>0</v>
      </c>
      <c r="AQ1235" s="55" t="s">
        <v>2435</v>
      </c>
      <c r="AV1235" s="14">
        <f>AW1235+AX1235</f>
        <v>0</v>
      </c>
      <c r="AW1235" s="14">
        <f>G1235*AO1235</f>
        <v>0</v>
      </c>
      <c r="AX1235" s="14">
        <f>G1235*AP1235</f>
        <v>0</v>
      </c>
      <c r="AY1235" s="55" t="s">
        <v>1543</v>
      </c>
      <c r="AZ1235" s="55" t="s">
        <v>1212</v>
      </c>
      <c r="BA1235" s="15" t="s">
        <v>1027</v>
      </c>
      <c r="BC1235" s="14">
        <f>AW1235+AX1235</f>
        <v>0</v>
      </c>
      <c r="BD1235" s="14">
        <f>H1235/(100-BE1235)*100</f>
        <v>0</v>
      </c>
      <c r="BE1235" s="14">
        <v>0</v>
      </c>
      <c r="BF1235" s="14">
        <f>O1235</f>
        <v>5.6999999999999998E-4</v>
      </c>
      <c r="BH1235" s="14">
        <f>G1235*AO1235</f>
        <v>0</v>
      </c>
      <c r="BI1235" s="14">
        <f>G1235*AP1235</f>
        <v>0</v>
      </c>
      <c r="BJ1235" s="14">
        <f>G1235*H1235</f>
        <v>0</v>
      </c>
      <c r="BK1235" s="14"/>
      <c r="BL1235" s="14">
        <v>722</v>
      </c>
      <c r="BW1235" s="14" t="str">
        <f>I1235</f>
        <v>21</v>
      </c>
    </row>
    <row r="1236" spans="1:75" ht="15" customHeight="1">
      <c r="A1236" s="32"/>
      <c r="D1236" s="3" t="s">
        <v>2422</v>
      </c>
      <c r="E1236" s="28" t="s">
        <v>1683</v>
      </c>
      <c r="G1236" s="27">
        <v>1</v>
      </c>
      <c r="P1236" s="33"/>
    </row>
    <row r="1237" spans="1:75" ht="13.5" customHeight="1">
      <c r="A1237" s="21" t="s">
        <v>2687</v>
      </c>
      <c r="B1237" s="37" t="s">
        <v>750</v>
      </c>
      <c r="C1237" s="37" t="s">
        <v>1631</v>
      </c>
      <c r="D1237" s="578" t="s">
        <v>1301</v>
      </c>
      <c r="E1237" s="579"/>
      <c r="F1237" s="37" t="s">
        <v>595</v>
      </c>
      <c r="G1237" s="14">
        <v>1</v>
      </c>
      <c r="H1237" s="569"/>
      <c r="I1237" s="55" t="s">
        <v>1720</v>
      </c>
      <c r="J1237" s="14">
        <f>G1237*AO1237</f>
        <v>0</v>
      </c>
      <c r="K1237" s="14">
        <f>G1237*AP1237</f>
        <v>0</v>
      </c>
      <c r="L1237" s="14">
        <f>G1237*H1237</f>
        <v>0</v>
      </c>
      <c r="M1237" s="14">
        <f>L1237*(1+BW1237/100)</f>
        <v>0</v>
      </c>
      <c r="N1237" s="14">
        <v>8.0000000000000004E-4</v>
      </c>
      <c r="O1237" s="14">
        <f>G1237*N1237</f>
        <v>8.0000000000000004E-4</v>
      </c>
      <c r="P1237" s="72" t="s">
        <v>1664</v>
      </c>
      <c r="Z1237" s="14">
        <f>IF(AQ1237="5",BJ1237,0)</f>
        <v>0</v>
      </c>
      <c r="AB1237" s="14">
        <f>IF(AQ1237="1",BH1237,0)</f>
        <v>0</v>
      </c>
      <c r="AC1237" s="14">
        <f>IF(AQ1237="1",BI1237,0)</f>
        <v>0</v>
      </c>
      <c r="AD1237" s="14">
        <f>IF(AQ1237="7",BH1237,0)</f>
        <v>0</v>
      </c>
      <c r="AE1237" s="14">
        <f>IF(AQ1237="7",BI1237,0)</f>
        <v>0</v>
      </c>
      <c r="AF1237" s="14">
        <f>IF(AQ1237="2",BH1237,0)</f>
        <v>0</v>
      </c>
      <c r="AG1237" s="14">
        <f>IF(AQ1237="2",BI1237,0)</f>
        <v>0</v>
      </c>
      <c r="AH1237" s="14">
        <f>IF(AQ1237="0",BJ1237,0)</f>
        <v>0</v>
      </c>
      <c r="AI1237" s="15" t="s">
        <v>750</v>
      </c>
      <c r="AJ1237" s="14">
        <f>IF(AN1237=0,L1237,0)</f>
        <v>0</v>
      </c>
      <c r="AK1237" s="14">
        <f>IF(AN1237=15,L1237,0)</f>
        <v>0</v>
      </c>
      <c r="AL1237" s="14">
        <f>IF(AN1237=21,L1237,0)</f>
        <v>0</v>
      </c>
      <c r="AN1237" s="14">
        <v>21</v>
      </c>
      <c r="AO1237" s="92">
        <f>H1237*0.876750841750842</f>
        <v>0</v>
      </c>
      <c r="AP1237" s="92">
        <f>H1237*(1-0.876750841750842)</f>
        <v>0</v>
      </c>
      <c r="AQ1237" s="55" t="s">
        <v>2435</v>
      </c>
      <c r="AV1237" s="14">
        <f>AW1237+AX1237</f>
        <v>0</v>
      </c>
      <c r="AW1237" s="14">
        <f>G1237*AO1237</f>
        <v>0</v>
      </c>
      <c r="AX1237" s="14">
        <f>G1237*AP1237</f>
        <v>0</v>
      </c>
      <c r="AY1237" s="55" t="s">
        <v>1543</v>
      </c>
      <c r="AZ1237" s="55" t="s">
        <v>1212</v>
      </c>
      <c r="BA1237" s="15" t="s">
        <v>1027</v>
      </c>
      <c r="BC1237" s="14">
        <f>AW1237+AX1237</f>
        <v>0</v>
      </c>
      <c r="BD1237" s="14">
        <f>H1237/(100-BE1237)*100</f>
        <v>0</v>
      </c>
      <c r="BE1237" s="14">
        <v>0</v>
      </c>
      <c r="BF1237" s="14">
        <f>O1237</f>
        <v>8.0000000000000004E-4</v>
      </c>
      <c r="BH1237" s="14">
        <f>G1237*AO1237</f>
        <v>0</v>
      </c>
      <c r="BI1237" s="14">
        <f>G1237*AP1237</f>
        <v>0</v>
      </c>
      <c r="BJ1237" s="14">
        <f>G1237*H1237</f>
        <v>0</v>
      </c>
      <c r="BK1237" s="14"/>
      <c r="BL1237" s="14">
        <v>722</v>
      </c>
      <c r="BW1237" s="14" t="str">
        <f>I1237</f>
        <v>21</v>
      </c>
    </row>
    <row r="1238" spans="1:75" ht="15" customHeight="1">
      <c r="A1238" s="32"/>
      <c r="D1238" s="3" t="s">
        <v>2422</v>
      </c>
      <c r="E1238" s="28" t="s">
        <v>1683</v>
      </c>
      <c r="G1238" s="27">
        <v>1</v>
      </c>
      <c r="P1238" s="33"/>
    </row>
    <row r="1239" spans="1:75" ht="13.5" customHeight="1">
      <c r="A1239" s="21" t="s">
        <v>1957</v>
      </c>
      <c r="B1239" s="37" t="s">
        <v>750</v>
      </c>
      <c r="C1239" s="37" t="s">
        <v>2131</v>
      </c>
      <c r="D1239" s="578" t="s">
        <v>1795</v>
      </c>
      <c r="E1239" s="579"/>
      <c r="F1239" s="37" t="s">
        <v>595</v>
      </c>
      <c r="G1239" s="14">
        <v>2</v>
      </c>
      <c r="H1239" s="569"/>
      <c r="I1239" s="55" t="s">
        <v>1720</v>
      </c>
      <c r="J1239" s="14">
        <f>G1239*AO1239</f>
        <v>0</v>
      </c>
      <c r="K1239" s="14">
        <f>G1239*AP1239</f>
        <v>0</v>
      </c>
      <c r="L1239" s="14">
        <f>G1239*H1239</f>
        <v>0</v>
      </c>
      <c r="M1239" s="14">
        <f>L1239*(1+BW1239/100)</f>
        <v>0</v>
      </c>
      <c r="N1239" s="14">
        <v>1.8000000000000001E-4</v>
      </c>
      <c r="O1239" s="14">
        <f>G1239*N1239</f>
        <v>3.6000000000000002E-4</v>
      </c>
      <c r="P1239" s="72" t="s">
        <v>1664</v>
      </c>
      <c r="Z1239" s="14">
        <f>IF(AQ1239="5",BJ1239,0)</f>
        <v>0</v>
      </c>
      <c r="AB1239" s="14">
        <f>IF(AQ1239="1",BH1239,0)</f>
        <v>0</v>
      </c>
      <c r="AC1239" s="14">
        <f>IF(AQ1239="1",BI1239,0)</f>
        <v>0</v>
      </c>
      <c r="AD1239" s="14">
        <f>IF(AQ1239="7",BH1239,0)</f>
        <v>0</v>
      </c>
      <c r="AE1239" s="14">
        <f>IF(AQ1239="7",BI1239,0)</f>
        <v>0</v>
      </c>
      <c r="AF1239" s="14">
        <f>IF(AQ1239="2",BH1239,0)</f>
        <v>0</v>
      </c>
      <c r="AG1239" s="14">
        <f>IF(AQ1239="2",BI1239,0)</f>
        <v>0</v>
      </c>
      <c r="AH1239" s="14">
        <f>IF(AQ1239="0",BJ1239,0)</f>
        <v>0</v>
      </c>
      <c r="AI1239" s="15" t="s">
        <v>750</v>
      </c>
      <c r="AJ1239" s="14">
        <f>IF(AN1239=0,L1239,0)</f>
        <v>0</v>
      </c>
      <c r="AK1239" s="14">
        <f>IF(AN1239=15,L1239,0)</f>
        <v>0</v>
      </c>
      <c r="AL1239" s="14">
        <f>IF(AN1239=21,L1239,0)</f>
        <v>0</v>
      </c>
      <c r="AN1239" s="14">
        <v>21</v>
      </c>
      <c r="AO1239" s="92">
        <f>H1239*0.493246268656716</f>
        <v>0</v>
      </c>
      <c r="AP1239" s="92">
        <f>H1239*(1-0.493246268656716)</f>
        <v>0</v>
      </c>
      <c r="AQ1239" s="55" t="s">
        <v>2435</v>
      </c>
      <c r="AV1239" s="14">
        <f>AW1239+AX1239</f>
        <v>0</v>
      </c>
      <c r="AW1239" s="14">
        <f>G1239*AO1239</f>
        <v>0</v>
      </c>
      <c r="AX1239" s="14">
        <f>G1239*AP1239</f>
        <v>0</v>
      </c>
      <c r="AY1239" s="55" t="s">
        <v>1543</v>
      </c>
      <c r="AZ1239" s="55" t="s">
        <v>1212</v>
      </c>
      <c r="BA1239" s="15" t="s">
        <v>1027</v>
      </c>
      <c r="BC1239" s="14">
        <f>AW1239+AX1239</f>
        <v>0</v>
      </c>
      <c r="BD1239" s="14">
        <f>H1239/(100-BE1239)*100</f>
        <v>0</v>
      </c>
      <c r="BE1239" s="14">
        <v>0</v>
      </c>
      <c r="BF1239" s="14">
        <f>O1239</f>
        <v>3.6000000000000002E-4</v>
      </c>
      <c r="BH1239" s="14">
        <f>G1239*AO1239</f>
        <v>0</v>
      </c>
      <c r="BI1239" s="14">
        <f>G1239*AP1239</f>
        <v>0</v>
      </c>
      <c r="BJ1239" s="14">
        <f>G1239*H1239</f>
        <v>0</v>
      </c>
      <c r="BK1239" s="14"/>
      <c r="BL1239" s="14">
        <v>722</v>
      </c>
      <c r="BW1239" s="14" t="str">
        <f>I1239</f>
        <v>21</v>
      </c>
    </row>
    <row r="1240" spans="1:75" ht="15" customHeight="1">
      <c r="A1240" s="32"/>
      <c r="D1240" s="3" t="s">
        <v>1676</v>
      </c>
      <c r="E1240" s="28" t="s">
        <v>1683</v>
      </c>
      <c r="G1240" s="27">
        <v>2</v>
      </c>
      <c r="P1240" s="33"/>
    </row>
    <row r="1241" spans="1:75" ht="13.5" customHeight="1">
      <c r="A1241" s="21" t="s">
        <v>1258</v>
      </c>
      <c r="B1241" s="37" t="s">
        <v>750</v>
      </c>
      <c r="C1241" s="37" t="s">
        <v>1179</v>
      </c>
      <c r="D1241" s="578" t="s">
        <v>1159</v>
      </c>
      <c r="E1241" s="579"/>
      <c r="F1241" s="37" t="s">
        <v>87</v>
      </c>
      <c r="G1241" s="14">
        <v>4</v>
      </c>
      <c r="H1241" s="569"/>
      <c r="I1241" s="55" t="s">
        <v>1720</v>
      </c>
      <c r="J1241" s="14">
        <f>G1241*AO1241</f>
        <v>0</v>
      </c>
      <c r="K1241" s="14">
        <f>G1241*AP1241</f>
        <v>0</v>
      </c>
      <c r="L1241" s="14">
        <f>G1241*H1241</f>
        <v>0</v>
      </c>
      <c r="M1241" s="14">
        <f>L1241*(1+BW1241/100)</f>
        <v>0</v>
      </c>
      <c r="N1241" s="14">
        <v>1.48E-3</v>
      </c>
      <c r="O1241" s="14">
        <f>G1241*N1241</f>
        <v>5.9199999999999999E-3</v>
      </c>
      <c r="P1241" s="72" t="s">
        <v>1664</v>
      </c>
      <c r="Z1241" s="14">
        <f>IF(AQ1241="5",BJ1241,0)</f>
        <v>0</v>
      </c>
      <c r="AB1241" s="14">
        <f>IF(AQ1241="1",BH1241,0)</f>
        <v>0</v>
      </c>
      <c r="AC1241" s="14">
        <f>IF(AQ1241="1",BI1241,0)</f>
        <v>0</v>
      </c>
      <c r="AD1241" s="14">
        <f>IF(AQ1241="7",BH1241,0)</f>
        <v>0</v>
      </c>
      <c r="AE1241" s="14">
        <f>IF(AQ1241="7",BI1241,0)</f>
        <v>0</v>
      </c>
      <c r="AF1241" s="14">
        <f>IF(AQ1241="2",BH1241,0)</f>
        <v>0</v>
      </c>
      <c r="AG1241" s="14">
        <f>IF(AQ1241="2",BI1241,0)</f>
        <v>0</v>
      </c>
      <c r="AH1241" s="14">
        <f>IF(AQ1241="0",BJ1241,0)</f>
        <v>0</v>
      </c>
      <c r="AI1241" s="15" t="s">
        <v>750</v>
      </c>
      <c r="AJ1241" s="14">
        <f>IF(AN1241=0,L1241,0)</f>
        <v>0</v>
      </c>
      <c r="AK1241" s="14">
        <f>IF(AN1241=15,L1241,0)</f>
        <v>0</v>
      </c>
      <c r="AL1241" s="14">
        <f>IF(AN1241=21,L1241,0)</f>
        <v>0</v>
      </c>
      <c r="AN1241" s="14">
        <v>21</v>
      </c>
      <c r="AO1241" s="92">
        <f>H1241*0.50875705670411</f>
        <v>0</v>
      </c>
      <c r="AP1241" s="92">
        <f>H1241*(1-0.50875705670411)</f>
        <v>0</v>
      </c>
      <c r="AQ1241" s="55" t="s">
        <v>2435</v>
      </c>
      <c r="AV1241" s="14">
        <f>AW1241+AX1241</f>
        <v>0</v>
      </c>
      <c r="AW1241" s="14">
        <f>G1241*AO1241</f>
        <v>0</v>
      </c>
      <c r="AX1241" s="14">
        <f>G1241*AP1241</f>
        <v>0</v>
      </c>
      <c r="AY1241" s="55" t="s">
        <v>1543</v>
      </c>
      <c r="AZ1241" s="55" t="s">
        <v>1212</v>
      </c>
      <c r="BA1241" s="15" t="s">
        <v>1027</v>
      </c>
      <c r="BC1241" s="14">
        <f>AW1241+AX1241</f>
        <v>0</v>
      </c>
      <c r="BD1241" s="14">
        <f>H1241/(100-BE1241)*100</f>
        <v>0</v>
      </c>
      <c r="BE1241" s="14">
        <v>0</v>
      </c>
      <c r="BF1241" s="14">
        <f>O1241</f>
        <v>5.9199999999999999E-3</v>
      </c>
      <c r="BH1241" s="14">
        <f>G1241*AO1241</f>
        <v>0</v>
      </c>
      <c r="BI1241" s="14">
        <f>G1241*AP1241</f>
        <v>0</v>
      </c>
      <c r="BJ1241" s="14">
        <f>G1241*H1241</f>
        <v>0</v>
      </c>
      <c r="BK1241" s="14"/>
      <c r="BL1241" s="14">
        <v>722</v>
      </c>
      <c r="BW1241" s="14" t="str">
        <f>I1241</f>
        <v>21</v>
      </c>
    </row>
    <row r="1242" spans="1:75" ht="15" customHeight="1">
      <c r="A1242" s="32"/>
      <c r="D1242" s="3" t="s">
        <v>272</v>
      </c>
      <c r="E1242" s="28" t="s">
        <v>1683</v>
      </c>
      <c r="G1242" s="27">
        <v>4</v>
      </c>
      <c r="P1242" s="33"/>
    </row>
    <row r="1243" spans="1:75" ht="13.5" customHeight="1">
      <c r="A1243" s="21" t="s">
        <v>1620</v>
      </c>
      <c r="B1243" s="37" t="s">
        <v>750</v>
      </c>
      <c r="C1243" s="37" t="s">
        <v>32</v>
      </c>
      <c r="D1243" s="578" t="s">
        <v>13</v>
      </c>
      <c r="E1243" s="579"/>
      <c r="F1243" s="37" t="s">
        <v>595</v>
      </c>
      <c r="G1243" s="14">
        <v>2</v>
      </c>
      <c r="H1243" s="569"/>
      <c r="I1243" s="55" t="s">
        <v>1720</v>
      </c>
      <c r="J1243" s="14">
        <f>G1243*AO1243</f>
        <v>0</v>
      </c>
      <c r="K1243" s="14">
        <f>G1243*AP1243</f>
        <v>0</v>
      </c>
      <c r="L1243" s="14">
        <f>G1243*H1243</f>
        <v>0</v>
      </c>
      <c r="M1243" s="14">
        <f>L1243*(1+BW1243/100)</f>
        <v>0</v>
      </c>
      <c r="N1243" s="14">
        <v>6.3000000000000003E-4</v>
      </c>
      <c r="O1243" s="14">
        <f>G1243*N1243</f>
        <v>1.2600000000000001E-3</v>
      </c>
      <c r="P1243" s="72" t="s">
        <v>1664</v>
      </c>
      <c r="Z1243" s="14">
        <f>IF(AQ1243="5",BJ1243,0)</f>
        <v>0</v>
      </c>
      <c r="AB1243" s="14">
        <f>IF(AQ1243="1",BH1243,0)</f>
        <v>0</v>
      </c>
      <c r="AC1243" s="14">
        <f>IF(AQ1243="1",BI1243,0)</f>
        <v>0</v>
      </c>
      <c r="AD1243" s="14">
        <f>IF(AQ1243="7",BH1243,0)</f>
        <v>0</v>
      </c>
      <c r="AE1243" s="14">
        <f>IF(AQ1243="7",BI1243,0)</f>
        <v>0</v>
      </c>
      <c r="AF1243" s="14">
        <f>IF(AQ1243="2",BH1243,0)</f>
        <v>0</v>
      </c>
      <c r="AG1243" s="14">
        <f>IF(AQ1243="2",BI1243,0)</f>
        <v>0</v>
      </c>
      <c r="AH1243" s="14">
        <f>IF(AQ1243="0",BJ1243,0)</f>
        <v>0</v>
      </c>
      <c r="AI1243" s="15" t="s">
        <v>750</v>
      </c>
      <c r="AJ1243" s="14">
        <f>IF(AN1243=0,L1243,0)</f>
        <v>0</v>
      </c>
      <c r="AK1243" s="14">
        <f>IF(AN1243=15,L1243,0)</f>
        <v>0</v>
      </c>
      <c r="AL1243" s="14">
        <f>IF(AN1243=21,L1243,0)</f>
        <v>0</v>
      </c>
      <c r="AN1243" s="14">
        <v>21</v>
      </c>
      <c r="AO1243" s="92">
        <f>H1243*0.501359223300971</f>
        <v>0</v>
      </c>
      <c r="AP1243" s="92">
        <f>H1243*(1-0.501359223300971)</f>
        <v>0</v>
      </c>
      <c r="AQ1243" s="55" t="s">
        <v>2435</v>
      </c>
      <c r="AV1243" s="14">
        <f>AW1243+AX1243</f>
        <v>0</v>
      </c>
      <c r="AW1243" s="14">
        <f>G1243*AO1243</f>
        <v>0</v>
      </c>
      <c r="AX1243" s="14">
        <f>G1243*AP1243</f>
        <v>0</v>
      </c>
      <c r="AY1243" s="55" t="s">
        <v>1543</v>
      </c>
      <c r="AZ1243" s="55" t="s">
        <v>1212</v>
      </c>
      <c r="BA1243" s="15" t="s">
        <v>1027</v>
      </c>
      <c r="BC1243" s="14">
        <f>AW1243+AX1243</f>
        <v>0</v>
      </c>
      <c r="BD1243" s="14">
        <f>H1243/(100-BE1243)*100</f>
        <v>0</v>
      </c>
      <c r="BE1243" s="14">
        <v>0</v>
      </c>
      <c r="BF1243" s="14">
        <f>O1243</f>
        <v>1.2600000000000001E-3</v>
      </c>
      <c r="BH1243" s="14">
        <f>G1243*AO1243</f>
        <v>0</v>
      </c>
      <c r="BI1243" s="14">
        <f>G1243*AP1243</f>
        <v>0</v>
      </c>
      <c r="BJ1243" s="14">
        <f>G1243*H1243</f>
        <v>0</v>
      </c>
      <c r="BK1243" s="14"/>
      <c r="BL1243" s="14">
        <v>722</v>
      </c>
      <c r="BW1243" s="14" t="str">
        <f>I1243</f>
        <v>21</v>
      </c>
    </row>
    <row r="1244" spans="1:75" ht="15" customHeight="1">
      <c r="A1244" s="32"/>
      <c r="D1244" s="3" t="s">
        <v>1676</v>
      </c>
      <c r="E1244" s="28" t="s">
        <v>1683</v>
      </c>
      <c r="G1244" s="27">
        <v>2</v>
      </c>
      <c r="P1244" s="33"/>
    </row>
    <row r="1245" spans="1:75" ht="13.5" customHeight="1">
      <c r="A1245" s="21" t="s">
        <v>976</v>
      </c>
      <c r="B1245" s="37" t="s">
        <v>750</v>
      </c>
      <c r="C1245" s="37" t="s">
        <v>2563</v>
      </c>
      <c r="D1245" s="578" t="s">
        <v>2760</v>
      </c>
      <c r="E1245" s="579"/>
      <c r="F1245" s="37" t="s">
        <v>595</v>
      </c>
      <c r="G1245" s="14">
        <v>0</v>
      </c>
      <c r="H1245" s="569"/>
      <c r="I1245" s="55" t="s">
        <v>1720</v>
      </c>
      <c r="J1245" s="14">
        <f>G1245*AO1245</f>
        <v>0</v>
      </c>
      <c r="K1245" s="14">
        <f>G1245*AP1245</f>
        <v>0</v>
      </c>
      <c r="L1245" s="14">
        <f>G1245*H1245</f>
        <v>0</v>
      </c>
      <c r="M1245" s="14">
        <f>L1245*(1+BW1245/100)</f>
        <v>0</v>
      </c>
      <c r="N1245" s="14">
        <v>0</v>
      </c>
      <c r="O1245" s="14">
        <f>G1245*N1245</f>
        <v>0</v>
      </c>
      <c r="P1245" s="72" t="s">
        <v>1664</v>
      </c>
      <c r="Z1245" s="14">
        <f>IF(AQ1245="5",BJ1245,0)</f>
        <v>0</v>
      </c>
      <c r="AB1245" s="14">
        <f>IF(AQ1245="1",BH1245,0)</f>
        <v>0</v>
      </c>
      <c r="AC1245" s="14">
        <f>IF(AQ1245="1",BI1245,0)</f>
        <v>0</v>
      </c>
      <c r="AD1245" s="14">
        <f>IF(AQ1245="7",BH1245,0)</f>
        <v>0</v>
      </c>
      <c r="AE1245" s="14">
        <f>IF(AQ1245="7",BI1245,0)</f>
        <v>0</v>
      </c>
      <c r="AF1245" s="14">
        <f>IF(AQ1245="2",BH1245,0)</f>
        <v>0</v>
      </c>
      <c r="AG1245" s="14">
        <f>IF(AQ1245="2",BI1245,0)</f>
        <v>0</v>
      </c>
      <c r="AH1245" s="14">
        <f>IF(AQ1245="0",BJ1245,0)</f>
        <v>0</v>
      </c>
      <c r="AI1245" s="15" t="s">
        <v>750</v>
      </c>
      <c r="AJ1245" s="14">
        <f>IF(AN1245=0,L1245,0)</f>
        <v>0</v>
      </c>
      <c r="AK1245" s="14">
        <f>IF(AN1245=15,L1245,0)</f>
        <v>0</v>
      </c>
      <c r="AL1245" s="14">
        <f>IF(AN1245=21,L1245,0)</f>
        <v>0</v>
      </c>
      <c r="AN1245" s="14">
        <v>21</v>
      </c>
      <c r="AO1245" s="92">
        <f>H1245*0</f>
        <v>0</v>
      </c>
      <c r="AP1245" s="92">
        <f>H1245*(1-0)</f>
        <v>0</v>
      </c>
      <c r="AQ1245" s="55" t="s">
        <v>2435</v>
      </c>
      <c r="AV1245" s="14">
        <f>AW1245+AX1245</f>
        <v>0</v>
      </c>
      <c r="AW1245" s="14">
        <f>G1245*AO1245</f>
        <v>0</v>
      </c>
      <c r="AX1245" s="14">
        <f>G1245*AP1245</f>
        <v>0</v>
      </c>
      <c r="AY1245" s="55" t="s">
        <v>1543</v>
      </c>
      <c r="AZ1245" s="55" t="s">
        <v>1212</v>
      </c>
      <c r="BA1245" s="15" t="s">
        <v>1027</v>
      </c>
      <c r="BC1245" s="14">
        <f>AW1245+AX1245</f>
        <v>0</v>
      </c>
      <c r="BD1245" s="14">
        <f>H1245/(100-BE1245)*100</f>
        <v>0</v>
      </c>
      <c r="BE1245" s="14">
        <v>0</v>
      </c>
      <c r="BF1245" s="14">
        <f>O1245</f>
        <v>0</v>
      </c>
      <c r="BH1245" s="14">
        <f>G1245*AO1245</f>
        <v>0</v>
      </c>
      <c r="BI1245" s="14">
        <f>G1245*AP1245</f>
        <v>0</v>
      </c>
      <c r="BJ1245" s="14">
        <f>G1245*H1245</f>
        <v>0</v>
      </c>
      <c r="BK1245" s="14"/>
      <c r="BL1245" s="14">
        <v>722</v>
      </c>
      <c r="BW1245" s="14" t="str">
        <f>I1245</f>
        <v>21</v>
      </c>
    </row>
    <row r="1246" spans="1:75" ht="13.5" customHeight="1">
      <c r="A1246" s="20" t="s">
        <v>2064</v>
      </c>
      <c r="B1246" s="84" t="s">
        <v>750</v>
      </c>
      <c r="C1246" s="84" t="s">
        <v>2609</v>
      </c>
      <c r="D1246" s="653" t="s">
        <v>1215</v>
      </c>
      <c r="E1246" s="654"/>
      <c r="F1246" s="84" t="s">
        <v>595</v>
      </c>
      <c r="G1246" s="6">
        <v>5</v>
      </c>
      <c r="H1246" s="570"/>
      <c r="I1246" s="18" t="s">
        <v>1720</v>
      </c>
      <c r="J1246" s="6">
        <f>G1246*AO1246</f>
        <v>0</v>
      </c>
      <c r="K1246" s="6">
        <f>G1246*AP1246</f>
        <v>0</v>
      </c>
      <c r="L1246" s="6">
        <f>G1246*H1246</f>
        <v>0</v>
      </c>
      <c r="M1246" s="6">
        <f>L1246*(1+BW1246/100)</f>
        <v>0</v>
      </c>
      <c r="N1246" s="6">
        <v>5.9000000000000003E-4</v>
      </c>
      <c r="O1246" s="6">
        <f>G1246*N1246</f>
        <v>2.9500000000000004E-3</v>
      </c>
      <c r="P1246" s="109" t="s">
        <v>1664</v>
      </c>
      <c r="Z1246" s="14">
        <f>IF(AQ1246="5",BJ1246,0)</f>
        <v>0</v>
      </c>
      <c r="AB1246" s="14">
        <f>IF(AQ1246="1",BH1246,0)</f>
        <v>0</v>
      </c>
      <c r="AC1246" s="14">
        <f>IF(AQ1246="1",BI1246,0)</f>
        <v>0</v>
      </c>
      <c r="AD1246" s="14">
        <f>IF(AQ1246="7",BH1246,0)</f>
        <v>0</v>
      </c>
      <c r="AE1246" s="14">
        <f>IF(AQ1246="7",BI1246,0)</f>
        <v>0</v>
      </c>
      <c r="AF1246" s="14">
        <f>IF(AQ1246="2",BH1246,0)</f>
        <v>0</v>
      </c>
      <c r="AG1246" s="14">
        <f>IF(AQ1246="2",BI1246,0)</f>
        <v>0</v>
      </c>
      <c r="AH1246" s="14">
        <f>IF(AQ1246="0",BJ1246,0)</f>
        <v>0</v>
      </c>
      <c r="AI1246" s="15" t="s">
        <v>750</v>
      </c>
      <c r="AJ1246" s="6">
        <f>IF(AN1246=0,L1246,0)</f>
        <v>0</v>
      </c>
      <c r="AK1246" s="6">
        <f>IF(AN1246=15,L1246,0)</f>
        <v>0</v>
      </c>
      <c r="AL1246" s="6">
        <f>IF(AN1246=21,L1246,0)</f>
        <v>0</v>
      </c>
      <c r="AN1246" s="14">
        <v>21</v>
      </c>
      <c r="AO1246" s="92">
        <f>H1246*1</f>
        <v>0</v>
      </c>
      <c r="AP1246" s="92">
        <f>H1246*(1-1)</f>
        <v>0</v>
      </c>
      <c r="AQ1246" s="18" t="s">
        <v>2435</v>
      </c>
      <c r="AV1246" s="14">
        <f>AW1246+AX1246</f>
        <v>0</v>
      </c>
      <c r="AW1246" s="14">
        <f>G1246*AO1246</f>
        <v>0</v>
      </c>
      <c r="AX1246" s="14">
        <f>G1246*AP1246</f>
        <v>0</v>
      </c>
      <c r="AY1246" s="55" t="s">
        <v>1543</v>
      </c>
      <c r="AZ1246" s="55" t="s">
        <v>1212</v>
      </c>
      <c r="BA1246" s="15" t="s">
        <v>1027</v>
      </c>
      <c r="BC1246" s="14">
        <f>AW1246+AX1246</f>
        <v>0</v>
      </c>
      <c r="BD1246" s="14">
        <f>H1246/(100-BE1246)*100</f>
        <v>0</v>
      </c>
      <c r="BE1246" s="14">
        <v>0</v>
      </c>
      <c r="BF1246" s="14">
        <f>O1246</f>
        <v>2.9500000000000004E-3</v>
      </c>
      <c r="BH1246" s="6">
        <f>G1246*AO1246</f>
        <v>0</v>
      </c>
      <c r="BI1246" s="6">
        <f>G1246*AP1246</f>
        <v>0</v>
      </c>
      <c r="BJ1246" s="6">
        <f>G1246*H1246</f>
        <v>0</v>
      </c>
      <c r="BK1246" s="6"/>
      <c r="BL1246" s="14">
        <v>722</v>
      </c>
      <c r="BW1246" s="14" t="str">
        <f>I1246</f>
        <v>21</v>
      </c>
    </row>
    <row r="1247" spans="1:75" ht="15" customHeight="1">
      <c r="A1247" s="32"/>
      <c r="D1247" s="3" t="s">
        <v>1287</v>
      </c>
      <c r="E1247" s="28" t="s">
        <v>1683</v>
      </c>
      <c r="G1247" s="27">
        <v>5</v>
      </c>
      <c r="P1247" s="33"/>
    </row>
    <row r="1248" spans="1:75" ht="27" customHeight="1">
      <c r="A1248" s="21" t="s">
        <v>891</v>
      </c>
      <c r="B1248" s="37" t="s">
        <v>750</v>
      </c>
      <c r="C1248" s="37" t="s">
        <v>1409</v>
      </c>
      <c r="D1248" s="578" t="s">
        <v>387</v>
      </c>
      <c r="E1248" s="579"/>
      <c r="F1248" s="37" t="s">
        <v>595</v>
      </c>
      <c r="G1248" s="14">
        <v>2</v>
      </c>
      <c r="H1248" s="569"/>
      <c r="I1248" s="55" t="s">
        <v>1720</v>
      </c>
      <c r="J1248" s="14">
        <f>G1248*AO1248</f>
        <v>0</v>
      </c>
      <c r="K1248" s="14">
        <f>G1248*AP1248</f>
        <v>0</v>
      </c>
      <c r="L1248" s="14">
        <f>G1248*H1248</f>
        <v>0</v>
      </c>
      <c r="M1248" s="14">
        <f>L1248*(1+BW1248/100)</f>
        <v>0</v>
      </c>
      <c r="N1248" s="14">
        <v>6.8000000000000005E-4</v>
      </c>
      <c r="O1248" s="14">
        <f>G1248*N1248</f>
        <v>1.3600000000000001E-3</v>
      </c>
      <c r="P1248" s="72" t="s">
        <v>921</v>
      </c>
      <c r="Z1248" s="14">
        <f>IF(AQ1248="5",BJ1248,0)</f>
        <v>0</v>
      </c>
      <c r="AB1248" s="14">
        <f>IF(AQ1248="1",BH1248,0)</f>
        <v>0</v>
      </c>
      <c r="AC1248" s="14">
        <f>IF(AQ1248="1",BI1248,0)</f>
        <v>0</v>
      </c>
      <c r="AD1248" s="14">
        <f>IF(AQ1248="7",BH1248,0)</f>
        <v>0</v>
      </c>
      <c r="AE1248" s="14">
        <f>IF(AQ1248="7",BI1248,0)</f>
        <v>0</v>
      </c>
      <c r="AF1248" s="14">
        <f>IF(AQ1248="2",BH1248,0)</f>
        <v>0</v>
      </c>
      <c r="AG1248" s="14">
        <f>IF(AQ1248="2",BI1248,0)</f>
        <v>0</v>
      </c>
      <c r="AH1248" s="14">
        <f>IF(AQ1248="0",BJ1248,0)</f>
        <v>0</v>
      </c>
      <c r="AI1248" s="15" t="s">
        <v>750</v>
      </c>
      <c r="AJ1248" s="14">
        <f>IF(AN1248=0,L1248,0)</f>
        <v>0</v>
      </c>
      <c r="AK1248" s="14">
        <f>IF(AN1248=15,L1248,0)</f>
        <v>0</v>
      </c>
      <c r="AL1248" s="14">
        <f>IF(AN1248=21,L1248,0)</f>
        <v>0</v>
      </c>
      <c r="AN1248" s="14">
        <v>21</v>
      </c>
      <c r="AO1248" s="92">
        <f>H1248*0.988007118304616</f>
        <v>0</v>
      </c>
      <c r="AP1248" s="92">
        <f>H1248*(1-0.988007118304616)</f>
        <v>0</v>
      </c>
      <c r="AQ1248" s="55" t="s">
        <v>2435</v>
      </c>
      <c r="AV1248" s="14">
        <f>AW1248+AX1248</f>
        <v>0</v>
      </c>
      <c r="AW1248" s="14">
        <f>G1248*AO1248</f>
        <v>0</v>
      </c>
      <c r="AX1248" s="14">
        <f>G1248*AP1248</f>
        <v>0</v>
      </c>
      <c r="AY1248" s="55" t="s">
        <v>1543</v>
      </c>
      <c r="AZ1248" s="55" t="s">
        <v>1212</v>
      </c>
      <c r="BA1248" s="15" t="s">
        <v>1027</v>
      </c>
      <c r="BC1248" s="14">
        <f>AW1248+AX1248</f>
        <v>0</v>
      </c>
      <c r="BD1248" s="14">
        <f>H1248/(100-BE1248)*100</f>
        <v>0</v>
      </c>
      <c r="BE1248" s="14">
        <v>0</v>
      </c>
      <c r="BF1248" s="14">
        <f>O1248</f>
        <v>1.3600000000000001E-3</v>
      </c>
      <c r="BH1248" s="14">
        <f>G1248*AO1248</f>
        <v>0</v>
      </c>
      <c r="BI1248" s="14">
        <f>G1248*AP1248</f>
        <v>0</v>
      </c>
      <c r="BJ1248" s="14">
        <f>G1248*H1248</f>
        <v>0</v>
      </c>
      <c r="BK1248" s="14"/>
      <c r="BL1248" s="14">
        <v>722</v>
      </c>
      <c r="BW1248" s="14" t="str">
        <f>I1248</f>
        <v>21</v>
      </c>
    </row>
    <row r="1249" spans="1:75" ht="15" customHeight="1">
      <c r="A1249" s="32"/>
      <c r="D1249" s="3" t="s">
        <v>2422</v>
      </c>
      <c r="E1249" s="28" t="s">
        <v>2758</v>
      </c>
      <c r="G1249" s="27">
        <v>1</v>
      </c>
      <c r="P1249" s="33"/>
    </row>
    <row r="1250" spans="1:75" ht="15" customHeight="1">
      <c r="A1250" s="32"/>
      <c r="D1250" s="3" t="s">
        <v>2422</v>
      </c>
      <c r="E1250" s="28" t="s">
        <v>353</v>
      </c>
      <c r="G1250" s="27">
        <v>1</v>
      </c>
      <c r="P1250" s="33"/>
    </row>
    <row r="1251" spans="1:75" ht="27" customHeight="1">
      <c r="A1251" s="21" t="s">
        <v>788</v>
      </c>
      <c r="B1251" s="37" t="s">
        <v>750</v>
      </c>
      <c r="C1251" s="37" t="s">
        <v>965</v>
      </c>
      <c r="D1251" s="578" t="s">
        <v>179</v>
      </c>
      <c r="E1251" s="579"/>
      <c r="F1251" s="37" t="s">
        <v>595</v>
      </c>
      <c r="G1251" s="14">
        <v>1</v>
      </c>
      <c r="H1251" s="569"/>
      <c r="I1251" s="55" t="s">
        <v>1720</v>
      </c>
      <c r="J1251" s="14">
        <f>G1251*AO1251</f>
        <v>0</v>
      </c>
      <c r="K1251" s="14">
        <f>G1251*AP1251</f>
        <v>0</v>
      </c>
      <c r="L1251" s="14">
        <f>G1251*H1251</f>
        <v>0</v>
      </c>
      <c r="M1251" s="14">
        <f>L1251*(1+BW1251/100)</f>
        <v>0</v>
      </c>
      <c r="N1251" s="14">
        <v>0.03</v>
      </c>
      <c r="O1251" s="14">
        <f>G1251*N1251</f>
        <v>0.03</v>
      </c>
      <c r="P1251" s="72" t="s">
        <v>1664</v>
      </c>
      <c r="Z1251" s="14">
        <f>IF(AQ1251="5",BJ1251,0)</f>
        <v>0</v>
      </c>
      <c r="AB1251" s="14">
        <f>IF(AQ1251="1",BH1251,0)</f>
        <v>0</v>
      </c>
      <c r="AC1251" s="14">
        <f>IF(AQ1251="1",BI1251,0)</f>
        <v>0</v>
      </c>
      <c r="AD1251" s="14">
        <f>IF(AQ1251="7",BH1251,0)</f>
        <v>0</v>
      </c>
      <c r="AE1251" s="14">
        <f>IF(AQ1251="7",BI1251,0)</f>
        <v>0</v>
      </c>
      <c r="AF1251" s="14">
        <f>IF(AQ1251="2",BH1251,0)</f>
        <v>0</v>
      </c>
      <c r="AG1251" s="14">
        <f>IF(AQ1251="2",BI1251,0)</f>
        <v>0</v>
      </c>
      <c r="AH1251" s="14">
        <f>IF(AQ1251="0",BJ1251,0)</f>
        <v>0</v>
      </c>
      <c r="AI1251" s="15" t="s">
        <v>750</v>
      </c>
      <c r="AJ1251" s="14">
        <f>IF(AN1251=0,L1251,0)</f>
        <v>0</v>
      </c>
      <c r="AK1251" s="14">
        <f>IF(AN1251=15,L1251,0)</f>
        <v>0</v>
      </c>
      <c r="AL1251" s="14">
        <f>IF(AN1251=21,L1251,0)</f>
        <v>0</v>
      </c>
      <c r="AN1251" s="14">
        <v>21</v>
      </c>
      <c r="AO1251" s="92">
        <f>H1251*0.909977284680793</f>
        <v>0</v>
      </c>
      <c r="AP1251" s="92">
        <f>H1251*(1-0.909977284680793)</f>
        <v>0</v>
      </c>
      <c r="AQ1251" s="55" t="s">
        <v>2435</v>
      </c>
      <c r="AV1251" s="14">
        <f>AW1251+AX1251</f>
        <v>0</v>
      </c>
      <c r="AW1251" s="14">
        <f>G1251*AO1251</f>
        <v>0</v>
      </c>
      <c r="AX1251" s="14">
        <f>G1251*AP1251</f>
        <v>0</v>
      </c>
      <c r="AY1251" s="55" t="s">
        <v>1543</v>
      </c>
      <c r="AZ1251" s="55" t="s">
        <v>1212</v>
      </c>
      <c r="BA1251" s="15" t="s">
        <v>1027</v>
      </c>
      <c r="BC1251" s="14">
        <f>AW1251+AX1251</f>
        <v>0</v>
      </c>
      <c r="BD1251" s="14">
        <f>H1251/(100-BE1251)*100</f>
        <v>0</v>
      </c>
      <c r="BE1251" s="14">
        <v>0</v>
      </c>
      <c r="BF1251" s="14">
        <f>O1251</f>
        <v>0.03</v>
      </c>
      <c r="BH1251" s="14">
        <f>G1251*AO1251</f>
        <v>0</v>
      </c>
      <c r="BI1251" s="14">
        <f>G1251*AP1251</f>
        <v>0</v>
      </c>
      <c r="BJ1251" s="14">
        <f>G1251*H1251</f>
        <v>0</v>
      </c>
      <c r="BK1251" s="14"/>
      <c r="BL1251" s="14">
        <v>722</v>
      </c>
      <c r="BW1251" s="14" t="str">
        <f>I1251</f>
        <v>21</v>
      </c>
    </row>
    <row r="1252" spans="1:75" ht="15" customHeight="1">
      <c r="A1252" s="32"/>
      <c r="D1252" s="3" t="s">
        <v>2422</v>
      </c>
      <c r="E1252" s="28" t="s">
        <v>1683</v>
      </c>
      <c r="G1252" s="27">
        <v>1</v>
      </c>
      <c r="P1252" s="33"/>
    </row>
    <row r="1253" spans="1:75" ht="27" customHeight="1">
      <c r="A1253" s="21" t="s">
        <v>2150</v>
      </c>
      <c r="B1253" s="37" t="s">
        <v>750</v>
      </c>
      <c r="C1253" s="37" t="s">
        <v>2706</v>
      </c>
      <c r="D1253" s="578" t="s">
        <v>305</v>
      </c>
      <c r="E1253" s="579"/>
      <c r="F1253" s="37" t="s">
        <v>595</v>
      </c>
      <c r="G1253" s="14">
        <v>1</v>
      </c>
      <c r="H1253" s="569"/>
      <c r="I1253" s="55" t="s">
        <v>1720</v>
      </c>
      <c r="J1253" s="14">
        <f>G1253*AO1253</f>
        <v>0</v>
      </c>
      <c r="K1253" s="14">
        <f>G1253*AP1253</f>
        <v>0</v>
      </c>
      <c r="L1253" s="14">
        <f>G1253*H1253</f>
        <v>0</v>
      </c>
      <c r="M1253" s="14">
        <f>L1253*(1+BW1253/100)</f>
        <v>0</v>
      </c>
      <c r="N1253" s="14">
        <v>1.2999999999999999E-3</v>
      </c>
      <c r="O1253" s="14">
        <f>G1253*N1253</f>
        <v>1.2999999999999999E-3</v>
      </c>
      <c r="P1253" s="72" t="s">
        <v>921</v>
      </c>
      <c r="Z1253" s="14">
        <f>IF(AQ1253="5",BJ1253,0)</f>
        <v>0</v>
      </c>
      <c r="AB1253" s="14">
        <f>IF(AQ1253="1",BH1253,0)</f>
        <v>0</v>
      </c>
      <c r="AC1253" s="14">
        <f>IF(AQ1253="1",BI1253,0)</f>
        <v>0</v>
      </c>
      <c r="AD1253" s="14">
        <f>IF(AQ1253="7",BH1253,0)</f>
        <v>0</v>
      </c>
      <c r="AE1253" s="14">
        <f>IF(AQ1253="7",BI1253,0)</f>
        <v>0</v>
      </c>
      <c r="AF1253" s="14">
        <f>IF(AQ1253="2",BH1253,0)</f>
        <v>0</v>
      </c>
      <c r="AG1253" s="14">
        <f>IF(AQ1253="2",BI1253,0)</f>
        <v>0</v>
      </c>
      <c r="AH1253" s="14">
        <f>IF(AQ1253="0",BJ1253,0)</f>
        <v>0</v>
      </c>
      <c r="AI1253" s="15" t="s">
        <v>750</v>
      </c>
      <c r="AJ1253" s="14">
        <f>IF(AN1253=0,L1253,0)</f>
        <v>0</v>
      </c>
      <c r="AK1253" s="14">
        <f>IF(AN1253=15,L1253,0)</f>
        <v>0</v>
      </c>
      <c r="AL1253" s="14">
        <f>IF(AN1253=21,L1253,0)</f>
        <v>0</v>
      </c>
      <c r="AN1253" s="14">
        <v>21</v>
      </c>
      <c r="AO1253" s="92">
        <f>H1253*0.978541667402913</f>
        <v>0</v>
      </c>
      <c r="AP1253" s="92">
        <f>H1253*(1-0.978541667402913)</f>
        <v>0</v>
      </c>
      <c r="AQ1253" s="55" t="s">
        <v>2435</v>
      </c>
      <c r="AV1253" s="14">
        <f>AW1253+AX1253</f>
        <v>0</v>
      </c>
      <c r="AW1253" s="14">
        <f>G1253*AO1253</f>
        <v>0</v>
      </c>
      <c r="AX1253" s="14">
        <f>G1253*AP1253</f>
        <v>0</v>
      </c>
      <c r="AY1253" s="55" t="s">
        <v>1543</v>
      </c>
      <c r="AZ1253" s="55" t="s">
        <v>1212</v>
      </c>
      <c r="BA1253" s="15" t="s">
        <v>1027</v>
      </c>
      <c r="BC1253" s="14">
        <f>AW1253+AX1253</f>
        <v>0</v>
      </c>
      <c r="BD1253" s="14">
        <f>H1253/(100-BE1253)*100</f>
        <v>0</v>
      </c>
      <c r="BE1253" s="14">
        <v>0</v>
      </c>
      <c r="BF1253" s="14">
        <f>O1253</f>
        <v>1.2999999999999999E-3</v>
      </c>
      <c r="BH1253" s="14">
        <f>G1253*AO1253</f>
        <v>0</v>
      </c>
      <c r="BI1253" s="14">
        <f>G1253*AP1253</f>
        <v>0</v>
      </c>
      <c r="BJ1253" s="14">
        <f>G1253*H1253</f>
        <v>0</v>
      </c>
      <c r="BK1253" s="14"/>
      <c r="BL1253" s="14">
        <v>722</v>
      </c>
      <c r="BW1253" s="14" t="str">
        <f>I1253</f>
        <v>21</v>
      </c>
    </row>
    <row r="1254" spans="1:75" ht="15" customHeight="1">
      <c r="A1254" s="32"/>
      <c r="D1254" s="3" t="s">
        <v>2422</v>
      </c>
      <c r="E1254" s="28" t="s">
        <v>1683</v>
      </c>
      <c r="G1254" s="27">
        <v>1</v>
      </c>
      <c r="P1254" s="33"/>
    </row>
    <row r="1255" spans="1:75" ht="27" customHeight="1">
      <c r="A1255" s="21" t="s">
        <v>1254</v>
      </c>
      <c r="B1255" s="37" t="s">
        <v>750</v>
      </c>
      <c r="C1255" s="37" t="s">
        <v>324</v>
      </c>
      <c r="D1255" s="578" t="s">
        <v>1084</v>
      </c>
      <c r="E1255" s="579"/>
      <c r="F1255" s="37" t="s">
        <v>595</v>
      </c>
      <c r="G1255" s="14">
        <v>6</v>
      </c>
      <c r="H1255" s="569"/>
      <c r="I1255" s="55" t="s">
        <v>1720</v>
      </c>
      <c r="J1255" s="14">
        <f>G1255*AO1255</f>
        <v>0</v>
      </c>
      <c r="K1255" s="14">
        <f>G1255*AP1255</f>
        <v>0</v>
      </c>
      <c r="L1255" s="14">
        <f>G1255*H1255</f>
        <v>0</v>
      </c>
      <c r="M1255" s="14">
        <f>L1255*(1+BW1255/100)</f>
        <v>0</v>
      </c>
      <c r="N1255" s="14">
        <v>2.15E-3</v>
      </c>
      <c r="O1255" s="14">
        <f>G1255*N1255</f>
        <v>1.29E-2</v>
      </c>
      <c r="P1255" s="72" t="s">
        <v>921</v>
      </c>
      <c r="Z1255" s="14">
        <f>IF(AQ1255="5",BJ1255,0)</f>
        <v>0</v>
      </c>
      <c r="AB1255" s="14">
        <f>IF(AQ1255="1",BH1255,0)</f>
        <v>0</v>
      </c>
      <c r="AC1255" s="14">
        <f>IF(AQ1255="1",BI1255,0)</f>
        <v>0</v>
      </c>
      <c r="AD1255" s="14">
        <f>IF(AQ1255="7",BH1255,0)</f>
        <v>0</v>
      </c>
      <c r="AE1255" s="14">
        <f>IF(AQ1255="7",BI1255,0)</f>
        <v>0</v>
      </c>
      <c r="AF1255" s="14">
        <f>IF(AQ1255="2",BH1255,0)</f>
        <v>0</v>
      </c>
      <c r="AG1255" s="14">
        <f>IF(AQ1255="2",BI1255,0)</f>
        <v>0</v>
      </c>
      <c r="AH1255" s="14">
        <f>IF(AQ1255="0",BJ1255,0)</f>
        <v>0</v>
      </c>
      <c r="AI1255" s="15" t="s">
        <v>750</v>
      </c>
      <c r="AJ1255" s="14">
        <f>IF(AN1255=0,L1255,0)</f>
        <v>0</v>
      </c>
      <c r="AK1255" s="14">
        <f>IF(AN1255=15,L1255,0)</f>
        <v>0</v>
      </c>
      <c r="AL1255" s="14">
        <f>IF(AN1255=21,L1255,0)</f>
        <v>0</v>
      </c>
      <c r="AN1255" s="14">
        <v>21</v>
      </c>
      <c r="AO1255" s="92">
        <f>H1255*0.949503140195814</f>
        <v>0</v>
      </c>
      <c r="AP1255" s="92">
        <f>H1255*(1-0.949503140195814)</f>
        <v>0</v>
      </c>
      <c r="AQ1255" s="55" t="s">
        <v>2435</v>
      </c>
      <c r="AV1255" s="14">
        <f>AW1255+AX1255</f>
        <v>0</v>
      </c>
      <c r="AW1255" s="14">
        <f>G1255*AO1255</f>
        <v>0</v>
      </c>
      <c r="AX1255" s="14">
        <f>G1255*AP1255</f>
        <v>0</v>
      </c>
      <c r="AY1255" s="55" t="s">
        <v>1543</v>
      </c>
      <c r="AZ1255" s="55" t="s">
        <v>1212</v>
      </c>
      <c r="BA1255" s="15" t="s">
        <v>1027</v>
      </c>
      <c r="BC1255" s="14">
        <f>AW1255+AX1255</f>
        <v>0</v>
      </c>
      <c r="BD1255" s="14">
        <f>H1255/(100-BE1255)*100</f>
        <v>0</v>
      </c>
      <c r="BE1255" s="14">
        <v>0</v>
      </c>
      <c r="BF1255" s="14">
        <f>O1255</f>
        <v>1.29E-2</v>
      </c>
      <c r="BH1255" s="14">
        <f>G1255*AO1255</f>
        <v>0</v>
      </c>
      <c r="BI1255" s="14">
        <f>G1255*AP1255</f>
        <v>0</v>
      </c>
      <c r="BJ1255" s="14">
        <f>G1255*H1255</f>
        <v>0</v>
      </c>
      <c r="BK1255" s="14"/>
      <c r="BL1255" s="14">
        <v>722</v>
      </c>
      <c r="BW1255" s="14" t="str">
        <f>I1255</f>
        <v>21</v>
      </c>
    </row>
    <row r="1256" spans="1:75" ht="15" customHeight="1">
      <c r="A1256" s="32"/>
      <c r="D1256" s="3" t="s">
        <v>408</v>
      </c>
      <c r="E1256" s="28" t="s">
        <v>1683</v>
      </c>
      <c r="G1256" s="27">
        <v>6.0000000000000009</v>
      </c>
      <c r="P1256" s="33"/>
    </row>
    <row r="1257" spans="1:75" ht="27" customHeight="1">
      <c r="A1257" s="21" t="s">
        <v>2236</v>
      </c>
      <c r="B1257" s="37" t="s">
        <v>750</v>
      </c>
      <c r="C1257" s="37" t="s">
        <v>2545</v>
      </c>
      <c r="D1257" s="578" t="s">
        <v>1403</v>
      </c>
      <c r="E1257" s="579"/>
      <c r="F1257" s="37" t="s">
        <v>595</v>
      </c>
      <c r="G1257" s="14">
        <v>2</v>
      </c>
      <c r="H1257" s="569"/>
      <c r="I1257" s="55" t="s">
        <v>1720</v>
      </c>
      <c r="J1257" s="14">
        <f>G1257*AO1257</f>
        <v>0</v>
      </c>
      <c r="K1257" s="14">
        <f>G1257*AP1257</f>
        <v>0</v>
      </c>
      <c r="L1257" s="14">
        <f>G1257*H1257</f>
        <v>0</v>
      </c>
      <c r="M1257" s="14">
        <f>L1257*(1+BW1257/100)</f>
        <v>0</v>
      </c>
      <c r="N1257" s="14">
        <v>2.47E-3</v>
      </c>
      <c r="O1257" s="14">
        <f>G1257*N1257</f>
        <v>4.9399999999999999E-3</v>
      </c>
      <c r="P1257" s="72" t="s">
        <v>1664</v>
      </c>
      <c r="Z1257" s="14">
        <f>IF(AQ1257="5",BJ1257,0)</f>
        <v>0</v>
      </c>
      <c r="AB1257" s="14">
        <f>IF(AQ1257="1",BH1257,0)</f>
        <v>0</v>
      </c>
      <c r="AC1257" s="14">
        <f>IF(AQ1257="1",BI1257,0)</f>
        <v>0</v>
      </c>
      <c r="AD1257" s="14">
        <f>IF(AQ1257="7",BH1257,0)</f>
        <v>0</v>
      </c>
      <c r="AE1257" s="14">
        <f>IF(AQ1257="7",BI1257,0)</f>
        <v>0</v>
      </c>
      <c r="AF1257" s="14">
        <f>IF(AQ1257="2",BH1257,0)</f>
        <v>0</v>
      </c>
      <c r="AG1257" s="14">
        <f>IF(AQ1257="2",BI1257,0)</f>
        <v>0</v>
      </c>
      <c r="AH1257" s="14">
        <f>IF(AQ1257="0",BJ1257,0)</f>
        <v>0</v>
      </c>
      <c r="AI1257" s="15" t="s">
        <v>750</v>
      </c>
      <c r="AJ1257" s="14">
        <f>IF(AN1257=0,L1257,0)</f>
        <v>0</v>
      </c>
      <c r="AK1257" s="14">
        <f>IF(AN1257=15,L1257,0)</f>
        <v>0</v>
      </c>
      <c r="AL1257" s="14">
        <f>IF(AN1257=21,L1257,0)</f>
        <v>0</v>
      </c>
      <c r="AN1257" s="14">
        <v>21</v>
      </c>
      <c r="AO1257" s="92">
        <f>H1257*0.783692783692784</f>
        <v>0</v>
      </c>
      <c r="AP1257" s="92">
        <f>H1257*(1-0.783692783692784)</f>
        <v>0</v>
      </c>
      <c r="AQ1257" s="55" t="s">
        <v>2435</v>
      </c>
      <c r="AV1257" s="14">
        <f>AW1257+AX1257</f>
        <v>0</v>
      </c>
      <c r="AW1257" s="14">
        <f>G1257*AO1257</f>
        <v>0</v>
      </c>
      <c r="AX1257" s="14">
        <f>G1257*AP1257</f>
        <v>0</v>
      </c>
      <c r="AY1257" s="55" t="s">
        <v>1543</v>
      </c>
      <c r="AZ1257" s="55" t="s">
        <v>1212</v>
      </c>
      <c r="BA1257" s="15" t="s">
        <v>1027</v>
      </c>
      <c r="BC1257" s="14">
        <f>AW1257+AX1257</f>
        <v>0</v>
      </c>
      <c r="BD1257" s="14">
        <f>H1257/(100-BE1257)*100</f>
        <v>0</v>
      </c>
      <c r="BE1257" s="14">
        <v>0</v>
      </c>
      <c r="BF1257" s="14">
        <f>O1257</f>
        <v>4.9399999999999999E-3</v>
      </c>
      <c r="BH1257" s="14">
        <f>G1257*AO1257</f>
        <v>0</v>
      </c>
      <c r="BI1257" s="14">
        <f>G1257*AP1257</f>
        <v>0</v>
      </c>
      <c r="BJ1257" s="14">
        <f>G1257*H1257</f>
        <v>0</v>
      </c>
      <c r="BK1257" s="14"/>
      <c r="BL1257" s="14">
        <v>722</v>
      </c>
      <c r="BW1257" s="14" t="str">
        <f>I1257</f>
        <v>21</v>
      </c>
    </row>
    <row r="1258" spans="1:75" ht="15" customHeight="1">
      <c r="A1258" s="32"/>
      <c r="D1258" s="3" t="s">
        <v>1676</v>
      </c>
      <c r="E1258" s="28" t="s">
        <v>1683</v>
      </c>
      <c r="G1258" s="27">
        <v>2</v>
      </c>
      <c r="P1258" s="33"/>
    </row>
    <row r="1259" spans="1:75" ht="13.5" customHeight="1">
      <c r="A1259" s="21" t="s">
        <v>724</v>
      </c>
      <c r="B1259" s="37" t="s">
        <v>750</v>
      </c>
      <c r="C1259" s="37" t="s">
        <v>1496</v>
      </c>
      <c r="D1259" s="578" t="s">
        <v>1146</v>
      </c>
      <c r="E1259" s="579"/>
      <c r="F1259" s="37" t="s">
        <v>2019</v>
      </c>
      <c r="G1259" s="14">
        <v>274</v>
      </c>
      <c r="H1259" s="569"/>
      <c r="I1259" s="55" t="s">
        <v>1720</v>
      </c>
      <c r="J1259" s="14">
        <f>G1259*AO1259</f>
        <v>0</v>
      </c>
      <c r="K1259" s="14">
        <f>G1259*AP1259</f>
        <v>0</v>
      </c>
      <c r="L1259" s="14">
        <f>G1259*H1259</f>
        <v>0</v>
      </c>
      <c r="M1259" s="14">
        <f>L1259*(1+BW1259/100)</f>
        <v>0</v>
      </c>
      <c r="N1259" s="14">
        <v>1.8000000000000001E-4</v>
      </c>
      <c r="O1259" s="14">
        <f>G1259*N1259</f>
        <v>4.9320000000000003E-2</v>
      </c>
      <c r="P1259" s="72" t="s">
        <v>1664</v>
      </c>
      <c r="Z1259" s="14">
        <f>IF(AQ1259="5",BJ1259,0)</f>
        <v>0</v>
      </c>
      <c r="AB1259" s="14">
        <f>IF(AQ1259="1",BH1259,0)</f>
        <v>0</v>
      </c>
      <c r="AC1259" s="14">
        <f>IF(AQ1259="1",BI1259,0)</f>
        <v>0</v>
      </c>
      <c r="AD1259" s="14">
        <f>IF(AQ1259="7",BH1259,0)</f>
        <v>0</v>
      </c>
      <c r="AE1259" s="14">
        <f>IF(AQ1259="7",BI1259,0)</f>
        <v>0</v>
      </c>
      <c r="AF1259" s="14">
        <f>IF(AQ1259="2",BH1259,0)</f>
        <v>0</v>
      </c>
      <c r="AG1259" s="14">
        <f>IF(AQ1259="2",BI1259,0)</f>
        <v>0</v>
      </c>
      <c r="AH1259" s="14">
        <f>IF(AQ1259="0",BJ1259,0)</f>
        <v>0</v>
      </c>
      <c r="AI1259" s="15" t="s">
        <v>750</v>
      </c>
      <c r="AJ1259" s="14">
        <f>IF(AN1259=0,L1259,0)</f>
        <v>0</v>
      </c>
      <c r="AK1259" s="14">
        <f>IF(AN1259=15,L1259,0)</f>
        <v>0</v>
      </c>
      <c r="AL1259" s="14">
        <f>IF(AN1259=21,L1259,0)</f>
        <v>0</v>
      </c>
      <c r="AN1259" s="14">
        <v>21</v>
      </c>
      <c r="AO1259" s="92">
        <f>H1259*0.260491493383743</f>
        <v>0</v>
      </c>
      <c r="AP1259" s="92">
        <f>H1259*(1-0.260491493383743)</f>
        <v>0</v>
      </c>
      <c r="AQ1259" s="55" t="s">
        <v>2435</v>
      </c>
      <c r="AV1259" s="14">
        <f>AW1259+AX1259</f>
        <v>0</v>
      </c>
      <c r="AW1259" s="14">
        <f>G1259*AO1259</f>
        <v>0</v>
      </c>
      <c r="AX1259" s="14">
        <f>G1259*AP1259</f>
        <v>0</v>
      </c>
      <c r="AY1259" s="55" t="s">
        <v>1543</v>
      </c>
      <c r="AZ1259" s="55" t="s">
        <v>1212</v>
      </c>
      <c r="BA1259" s="15" t="s">
        <v>1027</v>
      </c>
      <c r="BC1259" s="14">
        <f>AW1259+AX1259</f>
        <v>0</v>
      </c>
      <c r="BD1259" s="14">
        <f>H1259/(100-BE1259)*100</f>
        <v>0</v>
      </c>
      <c r="BE1259" s="14">
        <v>0</v>
      </c>
      <c r="BF1259" s="14">
        <f>O1259</f>
        <v>4.9320000000000003E-2</v>
      </c>
      <c r="BH1259" s="14">
        <f>G1259*AO1259</f>
        <v>0</v>
      </c>
      <c r="BI1259" s="14">
        <f>G1259*AP1259</f>
        <v>0</v>
      </c>
      <c r="BJ1259" s="14">
        <f>G1259*H1259</f>
        <v>0</v>
      </c>
      <c r="BK1259" s="14"/>
      <c r="BL1259" s="14">
        <v>722</v>
      </c>
      <c r="BW1259" s="14" t="str">
        <f>I1259</f>
        <v>21</v>
      </c>
    </row>
    <row r="1260" spans="1:75" ht="15" customHeight="1">
      <c r="A1260" s="32"/>
      <c r="D1260" s="3" t="s">
        <v>2215</v>
      </c>
      <c r="E1260" s="28" t="s">
        <v>1683</v>
      </c>
      <c r="G1260" s="27">
        <v>274</v>
      </c>
      <c r="P1260" s="33"/>
    </row>
    <row r="1261" spans="1:75" ht="13.5" customHeight="1">
      <c r="A1261" s="21" t="s">
        <v>190</v>
      </c>
      <c r="B1261" s="37" t="s">
        <v>750</v>
      </c>
      <c r="C1261" s="37" t="s">
        <v>396</v>
      </c>
      <c r="D1261" s="578" t="s">
        <v>1985</v>
      </c>
      <c r="E1261" s="579"/>
      <c r="F1261" s="37" t="s">
        <v>2019</v>
      </c>
      <c r="G1261" s="14">
        <v>274</v>
      </c>
      <c r="H1261" s="569"/>
      <c r="I1261" s="55" t="s">
        <v>1720</v>
      </c>
      <c r="J1261" s="14">
        <f>G1261*AO1261</f>
        <v>0</v>
      </c>
      <c r="K1261" s="14">
        <f>G1261*AP1261</f>
        <v>0</v>
      </c>
      <c r="L1261" s="14">
        <f>G1261*H1261</f>
        <v>0</v>
      </c>
      <c r="M1261" s="14">
        <f>L1261*(1+BW1261/100)</f>
        <v>0</v>
      </c>
      <c r="N1261" s="14">
        <v>1.0000000000000001E-5</v>
      </c>
      <c r="O1261" s="14">
        <f>G1261*N1261</f>
        <v>2.7400000000000002E-3</v>
      </c>
      <c r="P1261" s="72" t="s">
        <v>1664</v>
      </c>
      <c r="Z1261" s="14">
        <f>IF(AQ1261="5",BJ1261,0)</f>
        <v>0</v>
      </c>
      <c r="AB1261" s="14">
        <f>IF(AQ1261="1",BH1261,0)</f>
        <v>0</v>
      </c>
      <c r="AC1261" s="14">
        <f>IF(AQ1261="1",BI1261,0)</f>
        <v>0</v>
      </c>
      <c r="AD1261" s="14">
        <f>IF(AQ1261="7",BH1261,0)</f>
        <v>0</v>
      </c>
      <c r="AE1261" s="14">
        <f>IF(AQ1261="7",BI1261,0)</f>
        <v>0</v>
      </c>
      <c r="AF1261" s="14">
        <f>IF(AQ1261="2",BH1261,0)</f>
        <v>0</v>
      </c>
      <c r="AG1261" s="14">
        <f>IF(AQ1261="2",BI1261,0)</f>
        <v>0</v>
      </c>
      <c r="AH1261" s="14">
        <f>IF(AQ1261="0",BJ1261,0)</f>
        <v>0</v>
      </c>
      <c r="AI1261" s="15" t="s">
        <v>750</v>
      </c>
      <c r="AJ1261" s="14">
        <f>IF(AN1261=0,L1261,0)</f>
        <v>0</v>
      </c>
      <c r="AK1261" s="14">
        <f>IF(AN1261=15,L1261,0)</f>
        <v>0</v>
      </c>
      <c r="AL1261" s="14">
        <f>IF(AN1261=21,L1261,0)</f>
        <v>0</v>
      </c>
      <c r="AN1261" s="14">
        <v>21</v>
      </c>
      <c r="AO1261" s="92">
        <f>H1261*0.0523809523809524</f>
        <v>0</v>
      </c>
      <c r="AP1261" s="92">
        <f>H1261*(1-0.0523809523809524)</f>
        <v>0</v>
      </c>
      <c r="AQ1261" s="55" t="s">
        <v>2435</v>
      </c>
      <c r="AV1261" s="14">
        <f>AW1261+AX1261</f>
        <v>0</v>
      </c>
      <c r="AW1261" s="14">
        <f>G1261*AO1261</f>
        <v>0</v>
      </c>
      <c r="AX1261" s="14">
        <f>G1261*AP1261</f>
        <v>0</v>
      </c>
      <c r="AY1261" s="55" t="s">
        <v>1543</v>
      </c>
      <c r="AZ1261" s="55" t="s">
        <v>1212</v>
      </c>
      <c r="BA1261" s="15" t="s">
        <v>1027</v>
      </c>
      <c r="BC1261" s="14">
        <f>AW1261+AX1261</f>
        <v>0</v>
      </c>
      <c r="BD1261" s="14">
        <f>H1261/(100-BE1261)*100</f>
        <v>0</v>
      </c>
      <c r="BE1261" s="14">
        <v>0</v>
      </c>
      <c r="BF1261" s="14">
        <f>O1261</f>
        <v>2.7400000000000002E-3</v>
      </c>
      <c r="BH1261" s="14">
        <f>G1261*AO1261</f>
        <v>0</v>
      </c>
      <c r="BI1261" s="14">
        <f>G1261*AP1261</f>
        <v>0</v>
      </c>
      <c r="BJ1261" s="14">
        <f>G1261*H1261</f>
        <v>0</v>
      </c>
      <c r="BK1261" s="14"/>
      <c r="BL1261" s="14">
        <v>722</v>
      </c>
      <c r="BW1261" s="14" t="str">
        <f>I1261</f>
        <v>21</v>
      </c>
    </row>
    <row r="1262" spans="1:75" ht="15" customHeight="1">
      <c r="A1262" s="32"/>
      <c r="D1262" s="3" t="s">
        <v>2215</v>
      </c>
      <c r="E1262" s="28" t="s">
        <v>1683</v>
      </c>
      <c r="G1262" s="27">
        <v>274</v>
      </c>
      <c r="P1262" s="33"/>
    </row>
    <row r="1263" spans="1:75" ht="13.5" customHeight="1">
      <c r="A1263" s="21" t="s">
        <v>1875</v>
      </c>
      <c r="B1263" s="37" t="s">
        <v>750</v>
      </c>
      <c r="C1263" s="37" t="s">
        <v>805</v>
      </c>
      <c r="D1263" s="578" t="s">
        <v>2122</v>
      </c>
      <c r="E1263" s="579"/>
      <c r="F1263" s="37" t="s">
        <v>595</v>
      </c>
      <c r="G1263" s="14">
        <v>11</v>
      </c>
      <c r="H1263" s="569"/>
      <c r="I1263" s="55" t="s">
        <v>1720</v>
      </c>
      <c r="J1263" s="14">
        <f>G1263*AO1263</f>
        <v>0</v>
      </c>
      <c r="K1263" s="14">
        <f>G1263*AP1263</f>
        <v>0</v>
      </c>
      <c r="L1263" s="14">
        <f>G1263*H1263</f>
        <v>0</v>
      </c>
      <c r="M1263" s="14">
        <f>L1263*(1+BW1263/100)</f>
        <v>0</v>
      </c>
      <c r="N1263" s="14">
        <v>3.2000000000000002E-3</v>
      </c>
      <c r="O1263" s="14">
        <f>G1263*N1263</f>
        <v>3.5200000000000002E-2</v>
      </c>
      <c r="P1263" s="72" t="s">
        <v>1664</v>
      </c>
      <c r="Z1263" s="14">
        <f>IF(AQ1263="5",BJ1263,0)</f>
        <v>0</v>
      </c>
      <c r="AB1263" s="14">
        <f>IF(AQ1263="1",BH1263,0)</f>
        <v>0</v>
      </c>
      <c r="AC1263" s="14">
        <f>IF(AQ1263="1",BI1263,0)</f>
        <v>0</v>
      </c>
      <c r="AD1263" s="14">
        <f>IF(AQ1263="7",BH1263,0)</f>
        <v>0</v>
      </c>
      <c r="AE1263" s="14">
        <f>IF(AQ1263="7",BI1263,0)</f>
        <v>0</v>
      </c>
      <c r="AF1263" s="14">
        <f>IF(AQ1263="2",BH1263,0)</f>
        <v>0</v>
      </c>
      <c r="AG1263" s="14">
        <f>IF(AQ1263="2",BI1263,0)</f>
        <v>0</v>
      </c>
      <c r="AH1263" s="14">
        <f>IF(AQ1263="0",BJ1263,0)</f>
        <v>0</v>
      </c>
      <c r="AI1263" s="15" t="s">
        <v>750</v>
      </c>
      <c r="AJ1263" s="14">
        <f>IF(AN1263=0,L1263,0)</f>
        <v>0</v>
      </c>
      <c r="AK1263" s="14">
        <f>IF(AN1263=15,L1263,0)</f>
        <v>0</v>
      </c>
      <c r="AL1263" s="14">
        <f>IF(AN1263=21,L1263,0)</f>
        <v>0</v>
      </c>
      <c r="AN1263" s="14">
        <v>21</v>
      </c>
      <c r="AO1263" s="92">
        <f>H1263*0.959316017316017</f>
        <v>0</v>
      </c>
      <c r="AP1263" s="92">
        <f>H1263*(1-0.959316017316017)</f>
        <v>0</v>
      </c>
      <c r="AQ1263" s="55" t="s">
        <v>2435</v>
      </c>
      <c r="AV1263" s="14">
        <f>AW1263+AX1263</f>
        <v>0</v>
      </c>
      <c r="AW1263" s="14">
        <f>G1263*AO1263</f>
        <v>0</v>
      </c>
      <c r="AX1263" s="14">
        <f>G1263*AP1263</f>
        <v>0</v>
      </c>
      <c r="AY1263" s="55" t="s">
        <v>1543</v>
      </c>
      <c r="AZ1263" s="55" t="s">
        <v>1212</v>
      </c>
      <c r="BA1263" s="15" t="s">
        <v>1027</v>
      </c>
      <c r="BC1263" s="14">
        <f>AW1263+AX1263</f>
        <v>0</v>
      </c>
      <c r="BD1263" s="14">
        <f>H1263/(100-BE1263)*100</f>
        <v>0</v>
      </c>
      <c r="BE1263" s="14">
        <v>0</v>
      </c>
      <c r="BF1263" s="14">
        <f>O1263</f>
        <v>3.5200000000000002E-2</v>
      </c>
      <c r="BH1263" s="14">
        <f>G1263*AO1263</f>
        <v>0</v>
      </c>
      <c r="BI1263" s="14">
        <f>G1263*AP1263</f>
        <v>0</v>
      </c>
      <c r="BJ1263" s="14">
        <f>G1263*H1263</f>
        <v>0</v>
      </c>
      <c r="BK1263" s="14"/>
      <c r="BL1263" s="14">
        <v>722</v>
      </c>
      <c r="BW1263" s="14" t="str">
        <f>I1263</f>
        <v>21</v>
      </c>
    </row>
    <row r="1264" spans="1:75" ht="15" customHeight="1">
      <c r="A1264" s="32"/>
      <c r="D1264" s="3" t="s">
        <v>2625</v>
      </c>
      <c r="E1264" s="28" t="s">
        <v>747</v>
      </c>
      <c r="G1264" s="27">
        <v>11.000000000000002</v>
      </c>
      <c r="P1264" s="33"/>
    </row>
    <row r="1265" spans="1:75" ht="15" customHeight="1">
      <c r="A1265" s="65" t="s">
        <v>1683</v>
      </c>
      <c r="B1265" s="26" t="s">
        <v>750</v>
      </c>
      <c r="C1265" s="26" t="s">
        <v>1755</v>
      </c>
      <c r="D1265" s="649" t="s">
        <v>1176</v>
      </c>
      <c r="E1265" s="650"/>
      <c r="F1265" s="74" t="s">
        <v>2262</v>
      </c>
      <c r="G1265" s="74" t="s">
        <v>2262</v>
      </c>
      <c r="H1265" s="74" t="s">
        <v>2262</v>
      </c>
      <c r="I1265" s="74" t="s">
        <v>2262</v>
      </c>
      <c r="J1265" s="2">
        <f>SUM(J1266:J1268)</f>
        <v>0</v>
      </c>
      <c r="K1265" s="2">
        <f>SUM(K1266:K1268)</f>
        <v>0</v>
      </c>
      <c r="L1265" s="2">
        <f>SUM(L1266:L1268)</f>
        <v>0</v>
      </c>
      <c r="M1265" s="2">
        <f>SUM(M1266:M1268)</f>
        <v>0</v>
      </c>
      <c r="N1265" s="15" t="s">
        <v>1683</v>
      </c>
      <c r="O1265" s="2">
        <f>SUM(O1266:O1268)</f>
        <v>2.341E-2</v>
      </c>
      <c r="P1265" s="47" t="s">
        <v>1683</v>
      </c>
      <c r="AI1265" s="15" t="s">
        <v>750</v>
      </c>
      <c r="AS1265" s="2">
        <f>SUM(AJ1266:AJ1268)</f>
        <v>0</v>
      </c>
      <c r="AT1265" s="2">
        <f>SUM(AK1266:AK1268)</f>
        <v>0</v>
      </c>
      <c r="AU1265" s="2">
        <f>SUM(AL1266:AL1268)</f>
        <v>0</v>
      </c>
    </row>
    <row r="1266" spans="1:75" ht="13.5" customHeight="1">
      <c r="A1266" s="21" t="s">
        <v>2489</v>
      </c>
      <c r="B1266" s="37" t="s">
        <v>750</v>
      </c>
      <c r="C1266" s="37" t="s">
        <v>2582</v>
      </c>
      <c r="D1266" s="578" t="s">
        <v>2642</v>
      </c>
      <c r="E1266" s="579"/>
      <c r="F1266" s="37" t="s">
        <v>856</v>
      </c>
      <c r="G1266" s="14">
        <v>1</v>
      </c>
      <c r="H1266" s="569"/>
      <c r="I1266" s="55" t="s">
        <v>1720</v>
      </c>
      <c r="J1266" s="14">
        <f>G1266*AO1266</f>
        <v>0</v>
      </c>
      <c r="K1266" s="14">
        <f>G1266*AP1266</f>
        <v>0</v>
      </c>
      <c r="L1266" s="14">
        <f>G1266*H1266</f>
        <v>0</v>
      </c>
      <c r="M1266" s="14">
        <f>L1266*(1+BW1266/100)</f>
        <v>0</v>
      </c>
      <c r="N1266" s="14">
        <v>1.341E-2</v>
      </c>
      <c r="O1266" s="14">
        <f>G1266*N1266</f>
        <v>1.341E-2</v>
      </c>
      <c r="P1266" s="72" t="s">
        <v>1664</v>
      </c>
      <c r="Z1266" s="14">
        <f>IF(AQ1266="5",BJ1266,0)</f>
        <v>0</v>
      </c>
      <c r="AB1266" s="14">
        <f>IF(AQ1266="1",BH1266,0)</f>
        <v>0</v>
      </c>
      <c r="AC1266" s="14">
        <f>IF(AQ1266="1",BI1266,0)</f>
        <v>0</v>
      </c>
      <c r="AD1266" s="14">
        <f>IF(AQ1266="7",BH1266,0)</f>
        <v>0</v>
      </c>
      <c r="AE1266" s="14">
        <f>IF(AQ1266="7",BI1266,0)</f>
        <v>0</v>
      </c>
      <c r="AF1266" s="14">
        <f>IF(AQ1266="2",BH1266,0)</f>
        <v>0</v>
      </c>
      <c r="AG1266" s="14">
        <f>IF(AQ1266="2",BI1266,0)</f>
        <v>0</v>
      </c>
      <c r="AH1266" s="14">
        <f>IF(AQ1266="0",BJ1266,0)</f>
        <v>0</v>
      </c>
      <c r="AI1266" s="15" t="s">
        <v>750</v>
      </c>
      <c r="AJ1266" s="14">
        <f>IF(AN1266=0,L1266,0)</f>
        <v>0</v>
      </c>
      <c r="AK1266" s="14">
        <f>IF(AN1266=15,L1266,0)</f>
        <v>0</v>
      </c>
      <c r="AL1266" s="14">
        <f>IF(AN1266=21,L1266,0)</f>
        <v>0</v>
      </c>
      <c r="AN1266" s="14">
        <v>21</v>
      </c>
      <c r="AO1266" s="92">
        <f>H1266*0.859201004655057</f>
        <v>0</v>
      </c>
      <c r="AP1266" s="92">
        <f>H1266*(1-0.859201004655057)</f>
        <v>0</v>
      </c>
      <c r="AQ1266" s="55" t="s">
        <v>2435</v>
      </c>
      <c r="AV1266" s="14">
        <f>AW1266+AX1266</f>
        <v>0</v>
      </c>
      <c r="AW1266" s="14">
        <f>G1266*AO1266</f>
        <v>0</v>
      </c>
      <c r="AX1266" s="14">
        <f>G1266*AP1266</f>
        <v>0</v>
      </c>
      <c r="AY1266" s="55" t="s">
        <v>1143</v>
      </c>
      <c r="AZ1266" s="55" t="s">
        <v>1212</v>
      </c>
      <c r="BA1266" s="15" t="s">
        <v>1027</v>
      </c>
      <c r="BC1266" s="14">
        <f>AW1266+AX1266</f>
        <v>0</v>
      </c>
      <c r="BD1266" s="14">
        <f>H1266/(100-BE1266)*100</f>
        <v>0</v>
      </c>
      <c r="BE1266" s="14">
        <v>0</v>
      </c>
      <c r="BF1266" s="14">
        <f>O1266</f>
        <v>1.341E-2</v>
      </c>
      <c r="BH1266" s="14">
        <f>G1266*AO1266</f>
        <v>0</v>
      </c>
      <c r="BI1266" s="14">
        <f>G1266*AP1266</f>
        <v>0</v>
      </c>
      <c r="BJ1266" s="14">
        <f>G1266*H1266</f>
        <v>0</v>
      </c>
      <c r="BK1266" s="14"/>
      <c r="BL1266" s="14">
        <v>723</v>
      </c>
      <c r="BW1266" s="14" t="str">
        <f>I1266</f>
        <v>21</v>
      </c>
    </row>
    <row r="1267" spans="1:75" ht="15" customHeight="1">
      <c r="A1267" s="32"/>
      <c r="D1267" s="3" t="s">
        <v>2422</v>
      </c>
      <c r="E1267" s="28" t="s">
        <v>1683</v>
      </c>
      <c r="G1267" s="27">
        <v>1</v>
      </c>
      <c r="P1267" s="33"/>
    </row>
    <row r="1268" spans="1:75" ht="13.5" customHeight="1">
      <c r="A1268" s="20" t="s">
        <v>9</v>
      </c>
      <c r="B1268" s="84" t="s">
        <v>750</v>
      </c>
      <c r="C1268" s="84" t="s">
        <v>1370</v>
      </c>
      <c r="D1268" s="653" t="s">
        <v>443</v>
      </c>
      <c r="E1268" s="654"/>
      <c r="F1268" s="84" t="s">
        <v>595</v>
      </c>
      <c r="G1268" s="6">
        <v>1</v>
      </c>
      <c r="H1268" s="570"/>
      <c r="I1268" s="18" t="s">
        <v>1720</v>
      </c>
      <c r="J1268" s="6">
        <f>G1268*AO1268</f>
        <v>0</v>
      </c>
      <c r="K1268" s="6">
        <f>G1268*AP1268</f>
        <v>0</v>
      </c>
      <c r="L1268" s="6">
        <f>G1268*H1268</f>
        <v>0</v>
      </c>
      <c r="M1268" s="6">
        <f>L1268*(1+BW1268/100)</f>
        <v>0</v>
      </c>
      <c r="N1268" s="6">
        <v>0.01</v>
      </c>
      <c r="O1268" s="6">
        <f>G1268*N1268</f>
        <v>0.01</v>
      </c>
      <c r="P1268" s="109" t="s">
        <v>1664</v>
      </c>
      <c r="Z1268" s="14">
        <f>IF(AQ1268="5",BJ1268,0)</f>
        <v>0</v>
      </c>
      <c r="AB1268" s="14">
        <f>IF(AQ1268="1",BH1268,0)</f>
        <v>0</v>
      </c>
      <c r="AC1268" s="14">
        <f>IF(AQ1268="1",BI1268,0)</f>
        <v>0</v>
      </c>
      <c r="AD1268" s="14">
        <f>IF(AQ1268="7",BH1268,0)</f>
        <v>0</v>
      </c>
      <c r="AE1268" s="14">
        <f>IF(AQ1268="7",BI1268,0)</f>
        <v>0</v>
      </c>
      <c r="AF1268" s="14">
        <f>IF(AQ1268="2",BH1268,0)</f>
        <v>0</v>
      </c>
      <c r="AG1268" s="14">
        <f>IF(AQ1268="2",BI1268,0)</f>
        <v>0</v>
      </c>
      <c r="AH1268" s="14">
        <f>IF(AQ1268="0",BJ1268,0)</f>
        <v>0</v>
      </c>
      <c r="AI1268" s="15" t="s">
        <v>750</v>
      </c>
      <c r="AJ1268" s="6">
        <f>IF(AN1268=0,L1268,0)</f>
        <v>0</v>
      </c>
      <c r="AK1268" s="6">
        <f>IF(AN1268=15,L1268,0)</f>
        <v>0</v>
      </c>
      <c r="AL1268" s="6">
        <f>IF(AN1268=21,L1268,0)</f>
        <v>0</v>
      </c>
      <c r="AN1268" s="14">
        <v>21</v>
      </c>
      <c r="AO1268" s="92">
        <f>H1268*1</f>
        <v>0</v>
      </c>
      <c r="AP1268" s="92">
        <f>H1268*(1-1)</f>
        <v>0</v>
      </c>
      <c r="AQ1268" s="18" t="s">
        <v>2435</v>
      </c>
      <c r="AV1268" s="14">
        <f>AW1268+AX1268</f>
        <v>0</v>
      </c>
      <c r="AW1268" s="14">
        <f>G1268*AO1268</f>
        <v>0</v>
      </c>
      <c r="AX1268" s="14">
        <f>G1268*AP1268</f>
        <v>0</v>
      </c>
      <c r="AY1268" s="55" t="s">
        <v>1143</v>
      </c>
      <c r="AZ1268" s="55" t="s">
        <v>1212</v>
      </c>
      <c r="BA1268" s="15" t="s">
        <v>1027</v>
      </c>
      <c r="BC1268" s="14">
        <f>AW1268+AX1268</f>
        <v>0</v>
      </c>
      <c r="BD1268" s="14">
        <f>H1268/(100-BE1268)*100</f>
        <v>0</v>
      </c>
      <c r="BE1268" s="14">
        <v>0</v>
      </c>
      <c r="BF1268" s="14">
        <f>O1268</f>
        <v>0.01</v>
      </c>
      <c r="BH1268" s="6">
        <f>G1268*AO1268</f>
        <v>0</v>
      </c>
      <c r="BI1268" s="6">
        <f>G1268*AP1268</f>
        <v>0</v>
      </c>
      <c r="BJ1268" s="6">
        <f>G1268*H1268</f>
        <v>0</v>
      </c>
      <c r="BK1268" s="6"/>
      <c r="BL1268" s="14">
        <v>723</v>
      </c>
      <c r="BW1268" s="14" t="str">
        <f>I1268</f>
        <v>21</v>
      </c>
    </row>
    <row r="1269" spans="1:75" ht="15" customHeight="1">
      <c r="A1269" s="32"/>
      <c r="D1269" s="3" t="s">
        <v>2422</v>
      </c>
      <c r="E1269" s="28" t="s">
        <v>1683</v>
      </c>
      <c r="G1269" s="27">
        <v>1</v>
      </c>
      <c r="P1269" s="33"/>
    </row>
    <row r="1270" spans="1:75" ht="15" customHeight="1">
      <c r="A1270" s="65" t="s">
        <v>1683</v>
      </c>
      <c r="B1270" s="26" t="s">
        <v>750</v>
      </c>
      <c r="C1270" s="26" t="s">
        <v>1064</v>
      </c>
      <c r="D1270" s="649" t="s">
        <v>2224</v>
      </c>
      <c r="E1270" s="650"/>
      <c r="F1270" s="74" t="s">
        <v>2262</v>
      </c>
      <c r="G1270" s="74" t="s">
        <v>2262</v>
      </c>
      <c r="H1270" s="74" t="s">
        <v>2262</v>
      </c>
      <c r="I1270" s="74" t="s">
        <v>2262</v>
      </c>
      <c r="J1270" s="2">
        <f>SUM(J1271:J1271)</f>
        <v>0</v>
      </c>
      <c r="K1270" s="2">
        <f>SUM(K1271:K1271)</f>
        <v>0</v>
      </c>
      <c r="L1270" s="2">
        <f>SUM(L1271:L1271)</f>
        <v>0</v>
      </c>
      <c r="M1270" s="2">
        <f>SUM(M1271:M1271)</f>
        <v>0</v>
      </c>
      <c r="N1270" s="15" t="s">
        <v>1683</v>
      </c>
      <c r="O1270" s="2">
        <f>SUM(O1271:O1271)</f>
        <v>6.4949999999999994E-2</v>
      </c>
      <c r="P1270" s="47" t="s">
        <v>1683</v>
      </c>
      <c r="AI1270" s="15" t="s">
        <v>750</v>
      </c>
      <c r="AS1270" s="2">
        <f>SUM(AJ1271:AJ1271)</f>
        <v>0</v>
      </c>
      <c r="AT1270" s="2">
        <f>SUM(AK1271:AK1271)</f>
        <v>0</v>
      </c>
      <c r="AU1270" s="2">
        <f>SUM(AL1271:AL1271)</f>
        <v>0</v>
      </c>
    </row>
    <row r="1271" spans="1:75" ht="13.5" customHeight="1">
      <c r="A1271" s="21" t="s">
        <v>1112</v>
      </c>
      <c r="B1271" s="37" t="s">
        <v>750</v>
      </c>
      <c r="C1271" s="37" t="s">
        <v>1918</v>
      </c>
      <c r="D1271" s="578" t="s">
        <v>1862</v>
      </c>
      <c r="E1271" s="579"/>
      <c r="F1271" s="37" t="s">
        <v>856</v>
      </c>
      <c r="G1271" s="14">
        <v>1</v>
      </c>
      <c r="H1271" s="569"/>
      <c r="I1271" s="55" t="s">
        <v>1720</v>
      </c>
      <c r="J1271" s="14">
        <f>G1271*AO1271</f>
        <v>0</v>
      </c>
      <c r="K1271" s="14">
        <f>G1271*AP1271</f>
        <v>0</v>
      </c>
      <c r="L1271" s="14">
        <f>G1271*H1271</f>
        <v>0</v>
      </c>
      <c r="M1271" s="14">
        <f>L1271*(1+BW1271/100)</f>
        <v>0</v>
      </c>
      <c r="N1271" s="14">
        <v>6.4949999999999994E-2</v>
      </c>
      <c r="O1271" s="14">
        <f>G1271*N1271</f>
        <v>6.4949999999999994E-2</v>
      </c>
      <c r="P1271" s="72" t="s">
        <v>1664</v>
      </c>
      <c r="Z1271" s="14">
        <f>IF(AQ1271="5",BJ1271,0)</f>
        <v>0</v>
      </c>
      <c r="AB1271" s="14">
        <f>IF(AQ1271="1",BH1271,0)</f>
        <v>0</v>
      </c>
      <c r="AC1271" s="14">
        <f>IF(AQ1271="1",BI1271,0)</f>
        <v>0</v>
      </c>
      <c r="AD1271" s="14">
        <f>IF(AQ1271="7",BH1271,0)</f>
        <v>0</v>
      </c>
      <c r="AE1271" s="14">
        <f>IF(AQ1271="7",BI1271,0)</f>
        <v>0</v>
      </c>
      <c r="AF1271" s="14">
        <f>IF(AQ1271="2",BH1271,0)</f>
        <v>0</v>
      </c>
      <c r="AG1271" s="14">
        <f>IF(AQ1271="2",BI1271,0)</f>
        <v>0</v>
      </c>
      <c r="AH1271" s="14">
        <f>IF(AQ1271="0",BJ1271,0)</f>
        <v>0</v>
      </c>
      <c r="AI1271" s="15" t="s">
        <v>750</v>
      </c>
      <c r="AJ1271" s="14">
        <f>IF(AN1271=0,L1271,0)</f>
        <v>0</v>
      </c>
      <c r="AK1271" s="14">
        <f>IF(AN1271=15,L1271,0)</f>
        <v>0</v>
      </c>
      <c r="AL1271" s="14">
        <f>IF(AN1271=21,L1271,0)</f>
        <v>0</v>
      </c>
      <c r="AN1271" s="14">
        <v>21</v>
      </c>
      <c r="AO1271" s="92">
        <f>H1271*0.888793491864831</f>
        <v>0</v>
      </c>
      <c r="AP1271" s="92">
        <f>H1271*(1-0.888793491864831)</f>
        <v>0</v>
      </c>
      <c r="AQ1271" s="55" t="s">
        <v>2435</v>
      </c>
      <c r="AV1271" s="14">
        <f>AW1271+AX1271</f>
        <v>0</v>
      </c>
      <c r="AW1271" s="14">
        <f>G1271*AO1271</f>
        <v>0</v>
      </c>
      <c r="AX1271" s="14">
        <f>G1271*AP1271</f>
        <v>0</v>
      </c>
      <c r="AY1271" s="55" t="s">
        <v>1794</v>
      </c>
      <c r="AZ1271" s="55" t="s">
        <v>1212</v>
      </c>
      <c r="BA1271" s="15" t="s">
        <v>1027</v>
      </c>
      <c r="BC1271" s="14">
        <f>AW1271+AX1271</f>
        <v>0</v>
      </c>
      <c r="BD1271" s="14">
        <f>H1271/(100-BE1271)*100</f>
        <v>0</v>
      </c>
      <c r="BE1271" s="14">
        <v>0</v>
      </c>
      <c r="BF1271" s="14">
        <f>O1271</f>
        <v>6.4949999999999994E-2</v>
      </c>
      <c r="BH1271" s="14">
        <f>G1271*AO1271</f>
        <v>0</v>
      </c>
      <c r="BI1271" s="14">
        <f>G1271*AP1271</f>
        <v>0</v>
      </c>
      <c r="BJ1271" s="14">
        <f>G1271*H1271</f>
        <v>0</v>
      </c>
      <c r="BK1271" s="14"/>
      <c r="BL1271" s="14">
        <v>724</v>
      </c>
      <c r="BW1271" s="14" t="str">
        <f>I1271</f>
        <v>21</v>
      </c>
    </row>
    <row r="1272" spans="1:75" ht="15" customHeight="1">
      <c r="A1272" s="32"/>
      <c r="D1272" s="3" t="s">
        <v>2422</v>
      </c>
      <c r="E1272" s="28" t="s">
        <v>1683</v>
      </c>
      <c r="G1272" s="27">
        <v>1</v>
      </c>
      <c r="P1272" s="33"/>
    </row>
    <row r="1273" spans="1:75" ht="15" customHeight="1">
      <c r="A1273" s="65" t="s">
        <v>1683</v>
      </c>
      <c r="B1273" s="26" t="s">
        <v>750</v>
      </c>
      <c r="C1273" s="26" t="s">
        <v>2360</v>
      </c>
      <c r="D1273" s="649" t="s">
        <v>1450</v>
      </c>
      <c r="E1273" s="650"/>
      <c r="F1273" s="74" t="s">
        <v>2262</v>
      </c>
      <c r="G1273" s="74" t="s">
        <v>2262</v>
      </c>
      <c r="H1273" s="74" t="s">
        <v>2262</v>
      </c>
      <c r="I1273" s="74" t="s">
        <v>2262</v>
      </c>
      <c r="J1273" s="2">
        <f>SUM(J1274:J1340)</f>
        <v>0</v>
      </c>
      <c r="K1273" s="2">
        <f>SUM(K1274:K1340)</f>
        <v>0</v>
      </c>
      <c r="L1273" s="2">
        <f>SUM(L1274:L1340)</f>
        <v>0</v>
      </c>
      <c r="M1273" s="2">
        <f>SUM(M1274:M1340)</f>
        <v>0</v>
      </c>
      <c r="N1273" s="15" t="s">
        <v>1683</v>
      </c>
      <c r="O1273" s="2">
        <f>SUM(O1274:O1340)</f>
        <v>0.94712000000000029</v>
      </c>
      <c r="P1273" s="47" t="s">
        <v>1683</v>
      </c>
      <c r="AI1273" s="15" t="s">
        <v>750</v>
      </c>
      <c r="AS1273" s="2">
        <f>SUM(AJ1274:AJ1340)</f>
        <v>0</v>
      </c>
      <c r="AT1273" s="2">
        <f>SUM(AK1274:AK1340)</f>
        <v>0</v>
      </c>
      <c r="AU1273" s="2">
        <f>SUM(AL1274:AL1340)</f>
        <v>0</v>
      </c>
    </row>
    <row r="1274" spans="1:75" ht="13.5" customHeight="1">
      <c r="A1274" s="20" t="s">
        <v>2030</v>
      </c>
      <c r="B1274" s="84" t="s">
        <v>750</v>
      </c>
      <c r="C1274" s="84" t="s">
        <v>929</v>
      </c>
      <c r="D1274" s="653" t="s">
        <v>327</v>
      </c>
      <c r="E1274" s="654"/>
      <c r="F1274" s="84" t="s">
        <v>595</v>
      </c>
      <c r="G1274" s="6">
        <v>1</v>
      </c>
      <c r="H1274" s="570"/>
      <c r="I1274" s="18" t="s">
        <v>1720</v>
      </c>
      <c r="J1274" s="6">
        <f>G1274*AO1274</f>
        <v>0</v>
      </c>
      <c r="K1274" s="6">
        <f>G1274*AP1274</f>
        <v>0</v>
      </c>
      <c r="L1274" s="6">
        <f>G1274*H1274</f>
        <v>0</v>
      </c>
      <c r="M1274" s="6">
        <f>L1274*(1+BW1274/100)</f>
        <v>0</v>
      </c>
      <c r="N1274" s="6">
        <v>6.0999999999999999E-2</v>
      </c>
      <c r="O1274" s="6">
        <f>G1274*N1274</f>
        <v>6.0999999999999999E-2</v>
      </c>
      <c r="P1274" s="109" t="s">
        <v>1664</v>
      </c>
      <c r="Z1274" s="14">
        <f>IF(AQ1274="5",BJ1274,0)</f>
        <v>0</v>
      </c>
      <c r="AB1274" s="14">
        <f>IF(AQ1274="1",BH1274,0)</f>
        <v>0</v>
      </c>
      <c r="AC1274" s="14">
        <f>IF(AQ1274="1",BI1274,0)</f>
        <v>0</v>
      </c>
      <c r="AD1274" s="14">
        <f>IF(AQ1274="7",BH1274,0)</f>
        <v>0</v>
      </c>
      <c r="AE1274" s="14">
        <f>IF(AQ1274="7",BI1274,0)</f>
        <v>0</v>
      </c>
      <c r="AF1274" s="14">
        <f>IF(AQ1274="2",BH1274,0)</f>
        <v>0</v>
      </c>
      <c r="AG1274" s="14">
        <f>IF(AQ1274="2",BI1274,0)</f>
        <v>0</v>
      </c>
      <c r="AH1274" s="14">
        <f>IF(AQ1274="0",BJ1274,0)</f>
        <v>0</v>
      </c>
      <c r="AI1274" s="15" t="s">
        <v>750</v>
      </c>
      <c r="AJ1274" s="6">
        <f>IF(AN1274=0,L1274,0)</f>
        <v>0</v>
      </c>
      <c r="AK1274" s="6">
        <f>IF(AN1274=15,L1274,0)</f>
        <v>0</v>
      </c>
      <c r="AL1274" s="6">
        <f>IF(AN1274=21,L1274,0)</f>
        <v>0</v>
      </c>
      <c r="AN1274" s="14">
        <v>21</v>
      </c>
      <c r="AO1274" s="92">
        <f>H1274*1</f>
        <v>0</v>
      </c>
      <c r="AP1274" s="92">
        <f>H1274*(1-1)</f>
        <v>0</v>
      </c>
      <c r="AQ1274" s="18" t="s">
        <v>2435</v>
      </c>
      <c r="AV1274" s="14">
        <f>AW1274+AX1274</f>
        <v>0</v>
      </c>
      <c r="AW1274" s="14">
        <f>G1274*AO1274</f>
        <v>0</v>
      </c>
      <c r="AX1274" s="14">
        <f>G1274*AP1274</f>
        <v>0</v>
      </c>
      <c r="AY1274" s="55" t="s">
        <v>1091</v>
      </c>
      <c r="AZ1274" s="55" t="s">
        <v>1212</v>
      </c>
      <c r="BA1274" s="15" t="s">
        <v>1027</v>
      </c>
      <c r="BC1274" s="14">
        <f>AW1274+AX1274</f>
        <v>0</v>
      </c>
      <c r="BD1274" s="14">
        <f>H1274/(100-BE1274)*100</f>
        <v>0</v>
      </c>
      <c r="BE1274" s="14">
        <v>0</v>
      </c>
      <c r="BF1274" s="14">
        <f>O1274</f>
        <v>6.0999999999999999E-2</v>
      </c>
      <c r="BH1274" s="6">
        <f>G1274*AO1274</f>
        <v>0</v>
      </c>
      <c r="BI1274" s="6">
        <f>G1274*AP1274</f>
        <v>0</v>
      </c>
      <c r="BJ1274" s="6">
        <f>G1274*H1274</f>
        <v>0</v>
      </c>
      <c r="BK1274" s="6"/>
      <c r="BL1274" s="14">
        <v>725</v>
      </c>
      <c r="BW1274" s="14" t="str">
        <f>I1274</f>
        <v>21</v>
      </c>
    </row>
    <row r="1275" spans="1:75" ht="15" customHeight="1">
      <c r="A1275" s="32"/>
      <c r="D1275" s="3" t="s">
        <v>2422</v>
      </c>
      <c r="E1275" s="28" t="s">
        <v>1283</v>
      </c>
      <c r="G1275" s="27">
        <v>1</v>
      </c>
      <c r="P1275" s="33"/>
    </row>
    <row r="1276" spans="1:75" ht="13.5" customHeight="1">
      <c r="A1276" s="21" t="s">
        <v>2690</v>
      </c>
      <c r="B1276" s="37" t="s">
        <v>750</v>
      </c>
      <c r="C1276" s="37" t="s">
        <v>1434</v>
      </c>
      <c r="D1276" s="578" t="s">
        <v>1476</v>
      </c>
      <c r="E1276" s="579"/>
      <c r="F1276" s="37" t="s">
        <v>856</v>
      </c>
      <c r="G1276" s="14">
        <v>40</v>
      </c>
      <c r="H1276" s="569"/>
      <c r="I1276" s="55" t="s">
        <v>1720</v>
      </c>
      <c r="J1276" s="14">
        <f>G1276*AO1276</f>
        <v>0</v>
      </c>
      <c r="K1276" s="14">
        <f>G1276*AP1276</f>
        <v>0</v>
      </c>
      <c r="L1276" s="14">
        <f>G1276*H1276</f>
        <v>0</v>
      </c>
      <c r="M1276" s="14">
        <f>L1276*(1+BW1276/100)</f>
        <v>0</v>
      </c>
      <c r="N1276" s="14">
        <v>2.4000000000000001E-4</v>
      </c>
      <c r="O1276" s="14">
        <f>G1276*N1276</f>
        <v>9.6000000000000009E-3</v>
      </c>
      <c r="P1276" s="72" t="s">
        <v>1664</v>
      </c>
      <c r="Z1276" s="14">
        <f>IF(AQ1276="5",BJ1276,0)</f>
        <v>0</v>
      </c>
      <c r="AB1276" s="14">
        <f>IF(AQ1276="1",BH1276,0)</f>
        <v>0</v>
      </c>
      <c r="AC1276" s="14">
        <f>IF(AQ1276="1",BI1276,0)</f>
        <v>0</v>
      </c>
      <c r="AD1276" s="14">
        <f>IF(AQ1276="7",BH1276,0)</f>
        <v>0</v>
      </c>
      <c r="AE1276" s="14">
        <f>IF(AQ1276="7",BI1276,0)</f>
        <v>0</v>
      </c>
      <c r="AF1276" s="14">
        <f>IF(AQ1276="2",BH1276,0)</f>
        <v>0</v>
      </c>
      <c r="AG1276" s="14">
        <f>IF(AQ1276="2",BI1276,0)</f>
        <v>0</v>
      </c>
      <c r="AH1276" s="14">
        <f>IF(AQ1276="0",BJ1276,0)</f>
        <v>0</v>
      </c>
      <c r="AI1276" s="15" t="s">
        <v>750</v>
      </c>
      <c r="AJ1276" s="14">
        <f>IF(AN1276=0,L1276,0)</f>
        <v>0</v>
      </c>
      <c r="AK1276" s="14">
        <f>IF(AN1276=15,L1276,0)</f>
        <v>0</v>
      </c>
      <c r="AL1276" s="14">
        <f>IF(AN1276=21,L1276,0)</f>
        <v>0</v>
      </c>
      <c r="AN1276" s="14">
        <v>21</v>
      </c>
      <c r="AO1276" s="92">
        <f>H1276*0.826254826254826</f>
        <v>0</v>
      </c>
      <c r="AP1276" s="92">
        <f>H1276*(1-0.826254826254826)</f>
        <v>0</v>
      </c>
      <c r="AQ1276" s="55" t="s">
        <v>2435</v>
      </c>
      <c r="AV1276" s="14">
        <f>AW1276+AX1276</f>
        <v>0</v>
      </c>
      <c r="AW1276" s="14">
        <f>G1276*AO1276</f>
        <v>0</v>
      </c>
      <c r="AX1276" s="14">
        <f>G1276*AP1276</f>
        <v>0</v>
      </c>
      <c r="AY1276" s="55" t="s">
        <v>1091</v>
      </c>
      <c r="AZ1276" s="55" t="s">
        <v>1212</v>
      </c>
      <c r="BA1276" s="15" t="s">
        <v>1027</v>
      </c>
      <c r="BC1276" s="14">
        <f>AW1276+AX1276</f>
        <v>0</v>
      </c>
      <c r="BD1276" s="14">
        <f>H1276/(100-BE1276)*100</f>
        <v>0</v>
      </c>
      <c r="BE1276" s="14">
        <v>0</v>
      </c>
      <c r="BF1276" s="14">
        <f>O1276</f>
        <v>9.6000000000000009E-3</v>
      </c>
      <c r="BH1276" s="14">
        <f>G1276*AO1276</f>
        <v>0</v>
      </c>
      <c r="BI1276" s="14">
        <f>G1276*AP1276</f>
        <v>0</v>
      </c>
      <c r="BJ1276" s="14">
        <f>G1276*H1276</f>
        <v>0</v>
      </c>
      <c r="BK1276" s="14"/>
      <c r="BL1276" s="14">
        <v>725</v>
      </c>
      <c r="BW1276" s="14" t="str">
        <f>I1276</f>
        <v>21</v>
      </c>
    </row>
    <row r="1277" spans="1:75" ht="15" customHeight="1">
      <c r="A1277" s="32"/>
      <c r="D1277" s="3" t="s">
        <v>867</v>
      </c>
      <c r="E1277" s="28" t="s">
        <v>1683</v>
      </c>
      <c r="G1277" s="27">
        <v>40</v>
      </c>
      <c r="P1277" s="33"/>
    </row>
    <row r="1278" spans="1:75" ht="13.5" customHeight="1">
      <c r="A1278" s="21" t="s">
        <v>1838</v>
      </c>
      <c r="B1278" s="37" t="s">
        <v>750</v>
      </c>
      <c r="C1278" s="37" t="s">
        <v>2618</v>
      </c>
      <c r="D1278" s="578" t="s">
        <v>1047</v>
      </c>
      <c r="E1278" s="579"/>
      <c r="F1278" s="37" t="s">
        <v>856</v>
      </c>
      <c r="G1278" s="14">
        <v>6</v>
      </c>
      <c r="H1278" s="569"/>
      <c r="I1278" s="55" t="s">
        <v>1720</v>
      </c>
      <c r="J1278" s="14">
        <f>G1278*AO1278</f>
        <v>0</v>
      </c>
      <c r="K1278" s="14">
        <f>G1278*AP1278</f>
        <v>0</v>
      </c>
      <c r="L1278" s="14">
        <f>G1278*H1278</f>
        <v>0</v>
      </c>
      <c r="M1278" s="14">
        <f>L1278*(1+BW1278/100)</f>
        <v>0</v>
      </c>
      <c r="N1278" s="14">
        <v>1.7000000000000001E-4</v>
      </c>
      <c r="O1278" s="14">
        <f>G1278*N1278</f>
        <v>1.0200000000000001E-3</v>
      </c>
      <c r="P1278" s="72" t="s">
        <v>1664</v>
      </c>
      <c r="Z1278" s="14">
        <f>IF(AQ1278="5",BJ1278,0)</f>
        <v>0</v>
      </c>
      <c r="AB1278" s="14">
        <f>IF(AQ1278="1",BH1278,0)</f>
        <v>0</v>
      </c>
      <c r="AC1278" s="14">
        <f>IF(AQ1278="1",BI1278,0)</f>
        <v>0</v>
      </c>
      <c r="AD1278" s="14">
        <f>IF(AQ1278="7",BH1278,0)</f>
        <v>0</v>
      </c>
      <c r="AE1278" s="14">
        <f>IF(AQ1278="7",BI1278,0)</f>
        <v>0</v>
      </c>
      <c r="AF1278" s="14">
        <f>IF(AQ1278="2",BH1278,0)</f>
        <v>0</v>
      </c>
      <c r="AG1278" s="14">
        <f>IF(AQ1278="2",BI1278,0)</f>
        <v>0</v>
      </c>
      <c r="AH1278" s="14">
        <f>IF(AQ1278="0",BJ1278,0)</f>
        <v>0</v>
      </c>
      <c r="AI1278" s="15" t="s">
        <v>750</v>
      </c>
      <c r="AJ1278" s="14">
        <f>IF(AN1278=0,L1278,0)</f>
        <v>0</v>
      </c>
      <c r="AK1278" s="14">
        <f>IF(AN1278=15,L1278,0)</f>
        <v>0</v>
      </c>
      <c r="AL1278" s="14">
        <f>IF(AN1278=21,L1278,0)</f>
        <v>0</v>
      </c>
      <c r="AN1278" s="14">
        <v>21</v>
      </c>
      <c r="AO1278" s="92">
        <f>H1278*0.527456978967495</f>
        <v>0</v>
      </c>
      <c r="AP1278" s="92">
        <f>H1278*(1-0.527456978967495)</f>
        <v>0</v>
      </c>
      <c r="AQ1278" s="55" t="s">
        <v>2435</v>
      </c>
      <c r="AV1278" s="14">
        <f>AW1278+AX1278</f>
        <v>0</v>
      </c>
      <c r="AW1278" s="14">
        <f>G1278*AO1278</f>
        <v>0</v>
      </c>
      <c r="AX1278" s="14">
        <f>G1278*AP1278</f>
        <v>0</v>
      </c>
      <c r="AY1278" s="55" t="s">
        <v>1091</v>
      </c>
      <c r="AZ1278" s="55" t="s">
        <v>1212</v>
      </c>
      <c r="BA1278" s="15" t="s">
        <v>1027</v>
      </c>
      <c r="BC1278" s="14">
        <f>AW1278+AX1278</f>
        <v>0</v>
      </c>
      <c r="BD1278" s="14">
        <f>H1278/(100-BE1278)*100</f>
        <v>0</v>
      </c>
      <c r="BE1278" s="14">
        <v>0</v>
      </c>
      <c r="BF1278" s="14">
        <f>O1278</f>
        <v>1.0200000000000001E-3</v>
      </c>
      <c r="BH1278" s="14">
        <f>G1278*AO1278</f>
        <v>0</v>
      </c>
      <c r="BI1278" s="14">
        <f>G1278*AP1278</f>
        <v>0</v>
      </c>
      <c r="BJ1278" s="14">
        <f>G1278*H1278</f>
        <v>0</v>
      </c>
      <c r="BK1278" s="14"/>
      <c r="BL1278" s="14">
        <v>725</v>
      </c>
      <c r="BW1278" s="14" t="str">
        <f>I1278</f>
        <v>21</v>
      </c>
    </row>
    <row r="1279" spans="1:75" ht="15" customHeight="1">
      <c r="A1279" s="32"/>
      <c r="D1279" s="3" t="s">
        <v>408</v>
      </c>
      <c r="E1279" s="28" t="s">
        <v>1683</v>
      </c>
      <c r="G1279" s="27">
        <v>6.0000000000000009</v>
      </c>
      <c r="P1279" s="33"/>
    </row>
    <row r="1280" spans="1:75" ht="13.5" customHeight="1">
      <c r="A1280" s="21" t="s">
        <v>1825</v>
      </c>
      <c r="B1280" s="37" t="s">
        <v>750</v>
      </c>
      <c r="C1280" s="37" t="s">
        <v>1294</v>
      </c>
      <c r="D1280" s="578" t="s">
        <v>252</v>
      </c>
      <c r="E1280" s="579"/>
      <c r="F1280" s="37" t="s">
        <v>856</v>
      </c>
      <c r="G1280" s="14">
        <v>1</v>
      </c>
      <c r="H1280" s="569"/>
      <c r="I1280" s="55" t="s">
        <v>1720</v>
      </c>
      <c r="J1280" s="14">
        <f>G1280*AO1280</f>
        <v>0</v>
      </c>
      <c r="K1280" s="14">
        <f>G1280*AP1280</f>
        <v>0</v>
      </c>
      <c r="L1280" s="14">
        <f>G1280*H1280</f>
        <v>0</v>
      </c>
      <c r="M1280" s="14">
        <f>L1280*(1+BW1280/100)</f>
        <v>0</v>
      </c>
      <c r="N1280" s="14">
        <v>2.4000000000000001E-4</v>
      </c>
      <c r="O1280" s="14">
        <f>G1280*N1280</f>
        <v>2.4000000000000001E-4</v>
      </c>
      <c r="P1280" s="72" t="s">
        <v>1664</v>
      </c>
      <c r="Z1280" s="14">
        <f>IF(AQ1280="5",BJ1280,0)</f>
        <v>0</v>
      </c>
      <c r="AB1280" s="14">
        <f>IF(AQ1280="1",BH1280,0)</f>
        <v>0</v>
      </c>
      <c r="AC1280" s="14">
        <f>IF(AQ1280="1",BI1280,0)</f>
        <v>0</v>
      </c>
      <c r="AD1280" s="14">
        <f>IF(AQ1280="7",BH1280,0)</f>
        <v>0</v>
      </c>
      <c r="AE1280" s="14">
        <f>IF(AQ1280="7",BI1280,0)</f>
        <v>0</v>
      </c>
      <c r="AF1280" s="14">
        <f>IF(AQ1280="2",BH1280,0)</f>
        <v>0</v>
      </c>
      <c r="AG1280" s="14">
        <f>IF(AQ1280="2",BI1280,0)</f>
        <v>0</v>
      </c>
      <c r="AH1280" s="14">
        <f>IF(AQ1280="0",BJ1280,0)</f>
        <v>0</v>
      </c>
      <c r="AI1280" s="15" t="s">
        <v>750</v>
      </c>
      <c r="AJ1280" s="14">
        <f>IF(AN1280=0,L1280,0)</f>
        <v>0</v>
      </c>
      <c r="AK1280" s="14">
        <f>IF(AN1280=15,L1280,0)</f>
        <v>0</v>
      </c>
      <c r="AL1280" s="14">
        <f>IF(AN1280=21,L1280,0)</f>
        <v>0</v>
      </c>
      <c r="AN1280" s="14">
        <v>21</v>
      </c>
      <c r="AO1280" s="92">
        <f>H1280*0.81145251396648</f>
        <v>0</v>
      </c>
      <c r="AP1280" s="92">
        <f>H1280*(1-0.81145251396648)</f>
        <v>0</v>
      </c>
      <c r="AQ1280" s="55" t="s">
        <v>2435</v>
      </c>
      <c r="AV1280" s="14">
        <f>AW1280+AX1280</f>
        <v>0</v>
      </c>
      <c r="AW1280" s="14">
        <f>G1280*AO1280</f>
        <v>0</v>
      </c>
      <c r="AX1280" s="14">
        <f>G1280*AP1280</f>
        <v>0</v>
      </c>
      <c r="AY1280" s="55" t="s">
        <v>1091</v>
      </c>
      <c r="AZ1280" s="55" t="s">
        <v>1212</v>
      </c>
      <c r="BA1280" s="15" t="s">
        <v>1027</v>
      </c>
      <c r="BC1280" s="14">
        <f>AW1280+AX1280</f>
        <v>0</v>
      </c>
      <c r="BD1280" s="14">
        <f>H1280/(100-BE1280)*100</f>
        <v>0</v>
      </c>
      <c r="BE1280" s="14">
        <v>0</v>
      </c>
      <c r="BF1280" s="14">
        <f>O1280</f>
        <v>2.4000000000000001E-4</v>
      </c>
      <c r="BH1280" s="14">
        <f>G1280*AO1280</f>
        <v>0</v>
      </c>
      <c r="BI1280" s="14">
        <f>G1280*AP1280</f>
        <v>0</v>
      </c>
      <c r="BJ1280" s="14">
        <f>G1280*H1280</f>
        <v>0</v>
      </c>
      <c r="BK1280" s="14"/>
      <c r="BL1280" s="14">
        <v>725</v>
      </c>
      <c r="BW1280" s="14" t="str">
        <f>I1280</f>
        <v>21</v>
      </c>
    </row>
    <row r="1281" spans="1:75" ht="15" customHeight="1">
      <c r="A1281" s="32"/>
      <c r="D1281" s="3" t="s">
        <v>2422</v>
      </c>
      <c r="E1281" s="28" t="s">
        <v>1683</v>
      </c>
      <c r="G1281" s="27">
        <v>1</v>
      </c>
      <c r="P1281" s="33"/>
    </row>
    <row r="1282" spans="1:75" ht="13.5" customHeight="1">
      <c r="A1282" s="21" t="s">
        <v>1827</v>
      </c>
      <c r="B1282" s="37" t="s">
        <v>750</v>
      </c>
      <c r="C1282" s="37" t="s">
        <v>1407</v>
      </c>
      <c r="D1282" s="578" t="s">
        <v>816</v>
      </c>
      <c r="E1282" s="579"/>
      <c r="F1282" s="37" t="s">
        <v>856</v>
      </c>
      <c r="G1282" s="14">
        <v>11</v>
      </c>
      <c r="H1282" s="569"/>
      <c r="I1282" s="55" t="s">
        <v>1720</v>
      </c>
      <c r="J1282" s="14">
        <f>G1282*AO1282</f>
        <v>0</v>
      </c>
      <c r="K1282" s="14">
        <f>G1282*AP1282</f>
        <v>0</v>
      </c>
      <c r="L1282" s="14">
        <f>G1282*H1282</f>
        <v>0</v>
      </c>
      <c r="M1282" s="14">
        <f>L1282*(1+BW1282/100)</f>
        <v>0</v>
      </c>
      <c r="N1282" s="14">
        <v>1.8870000000000001E-2</v>
      </c>
      <c r="O1282" s="14">
        <f>G1282*N1282</f>
        <v>0.20757</v>
      </c>
      <c r="P1282" s="72" t="s">
        <v>1664</v>
      </c>
      <c r="Z1282" s="14">
        <f>IF(AQ1282="5",BJ1282,0)</f>
        <v>0</v>
      </c>
      <c r="AB1282" s="14">
        <f>IF(AQ1282="1",BH1282,0)</f>
        <v>0</v>
      </c>
      <c r="AC1282" s="14">
        <f>IF(AQ1282="1",BI1282,0)</f>
        <v>0</v>
      </c>
      <c r="AD1282" s="14">
        <f>IF(AQ1282="7",BH1282,0)</f>
        <v>0</v>
      </c>
      <c r="AE1282" s="14">
        <f>IF(AQ1282="7",BI1282,0)</f>
        <v>0</v>
      </c>
      <c r="AF1282" s="14">
        <f>IF(AQ1282="2",BH1282,0)</f>
        <v>0</v>
      </c>
      <c r="AG1282" s="14">
        <f>IF(AQ1282="2",BI1282,0)</f>
        <v>0</v>
      </c>
      <c r="AH1282" s="14">
        <f>IF(AQ1282="0",BJ1282,0)</f>
        <v>0</v>
      </c>
      <c r="AI1282" s="15" t="s">
        <v>750</v>
      </c>
      <c r="AJ1282" s="14">
        <f>IF(AN1282=0,L1282,0)</f>
        <v>0</v>
      </c>
      <c r="AK1282" s="14">
        <f>IF(AN1282=15,L1282,0)</f>
        <v>0</v>
      </c>
      <c r="AL1282" s="14">
        <f>IF(AN1282=21,L1282,0)</f>
        <v>0</v>
      </c>
      <c r="AN1282" s="14">
        <v>21</v>
      </c>
      <c r="AO1282" s="92">
        <f>H1282*0.863101553166069</f>
        <v>0</v>
      </c>
      <c r="AP1282" s="92">
        <f>H1282*(1-0.863101553166069)</f>
        <v>0</v>
      </c>
      <c r="AQ1282" s="55" t="s">
        <v>2435</v>
      </c>
      <c r="AV1282" s="14">
        <f>AW1282+AX1282</f>
        <v>0</v>
      </c>
      <c r="AW1282" s="14">
        <f>G1282*AO1282</f>
        <v>0</v>
      </c>
      <c r="AX1282" s="14">
        <f>G1282*AP1282</f>
        <v>0</v>
      </c>
      <c r="AY1282" s="55" t="s">
        <v>1091</v>
      </c>
      <c r="AZ1282" s="55" t="s">
        <v>1212</v>
      </c>
      <c r="BA1282" s="15" t="s">
        <v>1027</v>
      </c>
      <c r="BC1282" s="14">
        <f>AW1282+AX1282</f>
        <v>0</v>
      </c>
      <c r="BD1282" s="14">
        <f>H1282/(100-BE1282)*100</f>
        <v>0</v>
      </c>
      <c r="BE1282" s="14">
        <v>0</v>
      </c>
      <c r="BF1282" s="14">
        <f>O1282</f>
        <v>0.20757</v>
      </c>
      <c r="BH1282" s="14">
        <f>G1282*AO1282</f>
        <v>0</v>
      </c>
      <c r="BI1282" s="14">
        <f>G1282*AP1282</f>
        <v>0</v>
      </c>
      <c r="BJ1282" s="14">
        <f>G1282*H1282</f>
        <v>0</v>
      </c>
      <c r="BK1282" s="14"/>
      <c r="BL1282" s="14">
        <v>725</v>
      </c>
      <c r="BW1282" s="14" t="str">
        <f>I1282</f>
        <v>21</v>
      </c>
    </row>
    <row r="1283" spans="1:75" ht="15" customHeight="1">
      <c r="A1283" s="32"/>
      <c r="D1283" s="3" t="s">
        <v>2037</v>
      </c>
      <c r="E1283" s="28" t="s">
        <v>1683</v>
      </c>
      <c r="G1283" s="27">
        <v>11.000000000000002</v>
      </c>
      <c r="P1283" s="33"/>
    </row>
    <row r="1284" spans="1:75" ht="13.5" customHeight="1">
      <c r="A1284" s="20" t="s">
        <v>717</v>
      </c>
      <c r="B1284" s="84" t="s">
        <v>750</v>
      </c>
      <c r="C1284" s="84" t="s">
        <v>1714</v>
      </c>
      <c r="D1284" s="653" t="s">
        <v>2195</v>
      </c>
      <c r="E1284" s="654"/>
      <c r="F1284" s="84" t="s">
        <v>595</v>
      </c>
      <c r="G1284" s="6">
        <v>12</v>
      </c>
      <c r="H1284" s="570"/>
      <c r="I1284" s="18" t="s">
        <v>1720</v>
      </c>
      <c r="J1284" s="6">
        <f>G1284*AO1284</f>
        <v>0</v>
      </c>
      <c r="K1284" s="6">
        <f>G1284*AP1284</f>
        <v>0</v>
      </c>
      <c r="L1284" s="6">
        <f>G1284*H1284</f>
        <v>0</v>
      </c>
      <c r="M1284" s="6">
        <f>L1284*(1+BW1284/100)</f>
        <v>0</v>
      </c>
      <c r="N1284" s="6">
        <v>1.8E-3</v>
      </c>
      <c r="O1284" s="6">
        <f>G1284*N1284</f>
        <v>2.1600000000000001E-2</v>
      </c>
      <c r="P1284" s="109" t="s">
        <v>1664</v>
      </c>
      <c r="Z1284" s="14">
        <f>IF(AQ1284="5",BJ1284,0)</f>
        <v>0</v>
      </c>
      <c r="AB1284" s="14">
        <f>IF(AQ1284="1",BH1284,0)</f>
        <v>0</v>
      </c>
      <c r="AC1284" s="14">
        <f>IF(AQ1284="1",BI1284,0)</f>
        <v>0</v>
      </c>
      <c r="AD1284" s="14">
        <f>IF(AQ1284="7",BH1284,0)</f>
        <v>0</v>
      </c>
      <c r="AE1284" s="14">
        <f>IF(AQ1284="7",BI1284,0)</f>
        <v>0</v>
      </c>
      <c r="AF1284" s="14">
        <f>IF(AQ1284="2",BH1284,0)</f>
        <v>0</v>
      </c>
      <c r="AG1284" s="14">
        <f>IF(AQ1284="2",BI1284,0)</f>
        <v>0</v>
      </c>
      <c r="AH1284" s="14">
        <f>IF(AQ1284="0",BJ1284,0)</f>
        <v>0</v>
      </c>
      <c r="AI1284" s="15" t="s">
        <v>750</v>
      </c>
      <c r="AJ1284" s="6">
        <f>IF(AN1284=0,L1284,0)</f>
        <v>0</v>
      </c>
      <c r="AK1284" s="6">
        <f>IF(AN1284=15,L1284,0)</f>
        <v>0</v>
      </c>
      <c r="AL1284" s="6">
        <f>IF(AN1284=21,L1284,0)</f>
        <v>0</v>
      </c>
      <c r="AN1284" s="14">
        <v>21</v>
      </c>
      <c r="AO1284" s="92">
        <f>H1284*1</f>
        <v>0</v>
      </c>
      <c r="AP1284" s="92">
        <f>H1284*(1-1)</f>
        <v>0</v>
      </c>
      <c r="AQ1284" s="18" t="s">
        <v>2435</v>
      </c>
      <c r="AV1284" s="14">
        <f>AW1284+AX1284</f>
        <v>0</v>
      </c>
      <c r="AW1284" s="14">
        <f>G1284*AO1284</f>
        <v>0</v>
      </c>
      <c r="AX1284" s="14">
        <f>G1284*AP1284</f>
        <v>0</v>
      </c>
      <c r="AY1284" s="55" t="s">
        <v>1091</v>
      </c>
      <c r="AZ1284" s="55" t="s">
        <v>1212</v>
      </c>
      <c r="BA1284" s="15" t="s">
        <v>1027</v>
      </c>
      <c r="BC1284" s="14">
        <f>AW1284+AX1284</f>
        <v>0</v>
      </c>
      <c r="BD1284" s="14">
        <f>H1284/(100-BE1284)*100</f>
        <v>0</v>
      </c>
      <c r="BE1284" s="14">
        <v>0</v>
      </c>
      <c r="BF1284" s="14">
        <f>O1284</f>
        <v>2.1600000000000001E-2</v>
      </c>
      <c r="BH1284" s="6">
        <f>G1284*AO1284</f>
        <v>0</v>
      </c>
      <c r="BI1284" s="6">
        <f>G1284*AP1284</f>
        <v>0</v>
      </c>
      <c r="BJ1284" s="6">
        <f>G1284*H1284</f>
        <v>0</v>
      </c>
      <c r="BK1284" s="6"/>
      <c r="BL1284" s="14">
        <v>725</v>
      </c>
      <c r="BW1284" s="14" t="str">
        <f>I1284</f>
        <v>21</v>
      </c>
    </row>
    <row r="1285" spans="1:75" ht="15" customHeight="1">
      <c r="A1285" s="32"/>
      <c r="D1285" s="3" t="s">
        <v>2208</v>
      </c>
      <c r="E1285" s="28" t="s">
        <v>1683</v>
      </c>
      <c r="G1285" s="27">
        <v>12.000000000000002</v>
      </c>
      <c r="P1285" s="33"/>
    </row>
    <row r="1286" spans="1:75" ht="13.5" customHeight="1">
      <c r="A1286" s="20" t="s">
        <v>955</v>
      </c>
      <c r="B1286" s="84" t="s">
        <v>750</v>
      </c>
      <c r="C1286" s="84" t="s">
        <v>2499</v>
      </c>
      <c r="D1286" s="653" t="s">
        <v>2661</v>
      </c>
      <c r="E1286" s="654"/>
      <c r="F1286" s="84" t="s">
        <v>595</v>
      </c>
      <c r="G1286" s="6">
        <v>12</v>
      </c>
      <c r="H1286" s="570"/>
      <c r="I1286" s="18" t="s">
        <v>1720</v>
      </c>
      <c r="J1286" s="6">
        <f>G1286*AO1286</f>
        <v>0</v>
      </c>
      <c r="K1286" s="6">
        <f>G1286*AP1286</f>
        <v>0</v>
      </c>
      <c r="L1286" s="6">
        <f>G1286*H1286</f>
        <v>0</v>
      </c>
      <c r="M1286" s="6">
        <f>L1286*(1+BW1286/100)</f>
        <v>0</v>
      </c>
      <c r="N1286" s="6">
        <v>8.8999999999999999E-3</v>
      </c>
      <c r="O1286" s="6">
        <f>G1286*N1286</f>
        <v>0.10680000000000001</v>
      </c>
      <c r="P1286" s="109" t="s">
        <v>1664</v>
      </c>
      <c r="Z1286" s="14">
        <f>IF(AQ1286="5",BJ1286,0)</f>
        <v>0</v>
      </c>
      <c r="AB1286" s="14">
        <f>IF(AQ1286="1",BH1286,0)</f>
        <v>0</v>
      </c>
      <c r="AC1286" s="14">
        <f>IF(AQ1286="1",BI1286,0)</f>
        <v>0</v>
      </c>
      <c r="AD1286" s="14">
        <f>IF(AQ1286="7",BH1286,0)</f>
        <v>0</v>
      </c>
      <c r="AE1286" s="14">
        <f>IF(AQ1286="7",BI1286,0)</f>
        <v>0</v>
      </c>
      <c r="AF1286" s="14">
        <f>IF(AQ1286="2",BH1286,0)</f>
        <v>0</v>
      </c>
      <c r="AG1286" s="14">
        <f>IF(AQ1286="2",BI1286,0)</f>
        <v>0</v>
      </c>
      <c r="AH1286" s="14">
        <f>IF(AQ1286="0",BJ1286,0)</f>
        <v>0</v>
      </c>
      <c r="AI1286" s="15" t="s">
        <v>750</v>
      </c>
      <c r="AJ1286" s="6">
        <f>IF(AN1286=0,L1286,0)</f>
        <v>0</v>
      </c>
      <c r="AK1286" s="6">
        <f>IF(AN1286=15,L1286,0)</f>
        <v>0</v>
      </c>
      <c r="AL1286" s="6">
        <f>IF(AN1286=21,L1286,0)</f>
        <v>0</v>
      </c>
      <c r="AN1286" s="14">
        <v>21</v>
      </c>
      <c r="AO1286" s="92">
        <f>H1286*1</f>
        <v>0</v>
      </c>
      <c r="AP1286" s="92">
        <f>H1286*(1-1)</f>
        <v>0</v>
      </c>
      <c r="AQ1286" s="18" t="s">
        <v>2435</v>
      </c>
      <c r="AV1286" s="14">
        <f>AW1286+AX1286</f>
        <v>0</v>
      </c>
      <c r="AW1286" s="14">
        <f>G1286*AO1286</f>
        <v>0</v>
      </c>
      <c r="AX1286" s="14">
        <f>G1286*AP1286</f>
        <v>0</v>
      </c>
      <c r="AY1286" s="55" t="s">
        <v>1091</v>
      </c>
      <c r="AZ1286" s="55" t="s">
        <v>1212</v>
      </c>
      <c r="BA1286" s="15" t="s">
        <v>1027</v>
      </c>
      <c r="BC1286" s="14">
        <f>AW1286+AX1286</f>
        <v>0</v>
      </c>
      <c r="BD1286" s="14">
        <f>H1286/(100-BE1286)*100</f>
        <v>0</v>
      </c>
      <c r="BE1286" s="14">
        <v>0</v>
      </c>
      <c r="BF1286" s="14">
        <f>O1286</f>
        <v>0.10680000000000001</v>
      </c>
      <c r="BH1286" s="6">
        <f>G1286*AO1286</f>
        <v>0</v>
      </c>
      <c r="BI1286" s="6">
        <f>G1286*AP1286</f>
        <v>0</v>
      </c>
      <c r="BJ1286" s="6">
        <f>G1286*H1286</f>
        <v>0</v>
      </c>
      <c r="BK1286" s="6"/>
      <c r="BL1286" s="14">
        <v>725</v>
      </c>
      <c r="BW1286" s="14" t="str">
        <f>I1286</f>
        <v>21</v>
      </c>
    </row>
    <row r="1287" spans="1:75" ht="15" customHeight="1">
      <c r="A1287" s="32"/>
      <c r="D1287" s="3" t="s">
        <v>1790</v>
      </c>
      <c r="E1287" s="28" t="s">
        <v>1683</v>
      </c>
      <c r="G1287" s="27">
        <v>12.000000000000002</v>
      </c>
      <c r="P1287" s="33"/>
    </row>
    <row r="1288" spans="1:75" ht="13.5" customHeight="1">
      <c r="A1288" s="21" t="s">
        <v>1582</v>
      </c>
      <c r="B1288" s="37" t="s">
        <v>750</v>
      </c>
      <c r="C1288" s="37" t="s">
        <v>2535</v>
      </c>
      <c r="D1288" s="578" t="s">
        <v>1617</v>
      </c>
      <c r="E1288" s="579"/>
      <c r="F1288" s="37" t="s">
        <v>856</v>
      </c>
      <c r="G1288" s="14">
        <v>1</v>
      </c>
      <c r="H1288" s="569"/>
      <c r="I1288" s="55" t="s">
        <v>1720</v>
      </c>
      <c r="J1288" s="14">
        <f>G1288*AO1288</f>
        <v>0</v>
      </c>
      <c r="K1288" s="14">
        <f>G1288*AP1288</f>
        <v>0</v>
      </c>
      <c r="L1288" s="14">
        <f>G1288*H1288</f>
        <v>0</v>
      </c>
      <c r="M1288" s="14">
        <f>L1288*(1+BW1288/100)</f>
        <v>0</v>
      </c>
      <c r="N1288" s="14">
        <v>1.0880000000000001E-2</v>
      </c>
      <c r="O1288" s="14">
        <f>G1288*N1288</f>
        <v>1.0880000000000001E-2</v>
      </c>
      <c r="P1288" s="72" t="s">
        <v>1664</v>
      </c>
      <c r="Z1288" s="14">
        <f>IF(AQ1288="5",BJ1288,0)</f>
        <v>0</v>
      </c>
      <c r="AB1288" s="14">
        <f>IF(AQ1288="1",BH1288,0)</f>
        <v>0</v>
      </c>
      <c r="AC1288" s="14">
        <f>IF(AQ1288="1",BI1288,0)</f>
        <v>0</v>
      </c>
      <c r="AD1288" s="14">
        <f>IF(AQ1288="7",BH1288,0)</f>
        <v>0</v>
      </c>
      <c r="AE1288" s="14">
        <f>IF(AQ1288="7",BI1288,0)</f>
        <v>0</v>
      </c>
      <c r="AF1288" s="14">
        <f>IF(AQ1288="2",BH1288,0)</f>
        <v>0</v>
      </c>
      <c r="AG1288" s="14">
        <f>IF(AQ1288="2",BI1288,0)</f>
        <v>0</v>
      </c>
      <c r="AH1288" s="14">
        <f>IF(AQ1288="0",BJ1288,0)</f>
        <v>0</v>
      </c>
      <c r="AI1288" s="15" t="s">
        <v>750</v>
      </c>
      <c r="AJ1288" s="14">
        <f>IF(AN1288=0,L1288,0)</f>
        <v>0</v>
      </c>
      <c r="AK1288" s="14">
        <f>IF(AN1288=15,L1288,0)</f>
        <v>0</v>
      </c>
      <c r="AL1288" s="14">
        <f>IF(AN1288=21,L1288,0)</f>
        <v>0</v>
      </c>
      <c r="AN1288" s="14">
        <v>21</v>
      </c>
      <c r="AO1288" s="92">
        <f>H1288*0.892473181114947</f>
        <v>0</v>
      </c>
      <c r="AP1288" s="92">
        <f>H1288*(1-0.892473181114947)</f>
        <v>0</v>
      </c>
      <c r="AQ1288" s="55" t="s">
        <v>2435</v>
      </c>
      <c r="AV1288" s="14">
        <f>AW1288+AX1288</f>
        <v>0</v>
      </c>
      <c r="AW1288" s="14">
        <f>G1288*AO1288</f>
        <v>0</v>
      </c>
      <c r="AX1288" s="14">
        <f>G1288*AP1288</f>
        <v>0</v>
      </c>
      <c r="AY1288" s="55" t="s">
        <v>1091</v>
      </c>
      <c r="AZ1288" s="55" t="s">
        <v>1212</v>
      </c>
      <c r="BA1288" s="15" t="s">
        <v>1027</v>
      </c>
      <c r="BC1288" s="14">
        <f>AW1288+AX1288</f>
        <v>0</v>
      </c>
      <c r="BD1288" s="14">
        <f>H1288/(100-BE1288)*100</f>
        <v>0</v>
      </c>
      <c r="BE1288" s="14">
        <v>0</v>
      </c>
      <c r="BF1288" s="14">
        <f>O1288</f>
        <v>1.0880000000000001E-2</v>
      </c>
      <c r="BH1288" s="14">
        <f>G1288*AO1288</f>
        <v>0</v>
      </c>
      <c r="BI1288" s="14">
        <f>G1288*AP1288</f>
        <v>0</v>
      </c>
      <c r="BJ1288" s="14">
        <f>G1288*H1288</f>
        <v>0</v>
      </c>
      <c r="BK1288" s="14"/>
      <c r="BL1288" s="14">
        <v>725</v>
      </c>
      <c r="BW1288" s="14" t="str">
        <f>I1288</f>
        <v>21</v>
      </c>
    </row>
    <row r="1289" spans="1:75" ht="15" customHeight="1">
      <c r="A1289" s="32"/>
      <c r="D1289" s="3" t="s">
        <v>2422</v>
      </c>
      <c r="E1289" s="28" t="s">
        <v>1683</v>
      </c>
      <c r="G1289" s="27">
        <v>1</v>
      </c>
      <c r="P1289" s="33"/>
    </row>
    <row r="1290" spans="1:75" ht="13.5" customHeight="1">
      <c r="A1290" s="21" t="s">
        <v>1453</v>
      </c>
      <c r="B1290" s="37" t="s">
        <v>750</v>
      </c>
      <c r="C1290" s="37" t="s">
        <v>56</v>
      </c>
      <c r="D1290" s="578" t="s">
        <v>1216</v>
      </c>
      <c r="E1290" s="579"/>
      <c r="F1290" s="37" t="s">
        <v>856</v>
      </c>
      <c r="G1290" s="14">
        <v>1</v>
      </c>
      <c r="H1290" s="569"/>
      <c r="I1290" s="55" t="s">
        <v>1720</v>
      </c>
      <c r="J1290" s="14">
        <f>G1290*AO1290</f>
        <v>0</v>
      </c>
      <c r="K1290" s="14">
        <f>G1290*AP1290</f>
        <v>0</v>
      </c>
      <c r="L1290" s="14">
        <f>G1290*H1290</f>
        <v>0</v>
      </c>
      <c r="M1290" s="14">
        <f>L1290*(1+BW1290/100)</f>
        <v>0</v>
      </c>
      <c r="N1290" s="14">
        <v>2.8199999999999999E-2</v>
      </c>
      <c r="O1290" s="14">
        <f>G1290*N1290</f>
        <v>2.8199999999999999E-2</v>
      </c>
      <c r="P1290" s="72" t="s">
        <v>1664</v>
      </c>
      <c r="Z1290" s="14">
        <f>IF(AQ1290="5",BJ1290,0)</f>
        <v>0</v>
      </c>
      <c r="AB1290" s="14">
        <f>IF(AQ1290="1",BH1290,0)</f>
        <v>0</v>
      </c>
      <c r="AC1290" s="14">
        <f>IF(AQ1290="1",BI1290,0)</f>
        <v>0</v>
      </c>
      <c r="AD1290" s="14">
        <f>IF(AQ1290="7",BH1290,0)</f>
        <v>0</v>
      </c>
      <c r="AE1290" s="14">
        <f>IF(AQ1290="7",BI1290,0)</f>
        <v>0</v>
      </c>
      <c r="AF1290" s="14">
        <f>IF(AQ1290="2",BH1290,0)</f>
        <v>0</v>
      </c>
      <c r="AG1290" s="14">
        <f>IF(AQ1290="2",BI1290,0)</f>
        <v>0</v>
      </c>
      <c r="AH1290" s="14">
        <f>IF(AQ1290="0",BJ1290,0)</f>
        <v>0</v>
      </c>
      <c r="AI1290" s="15" t="s">
        <v>750</v>
      </c>
      <c r="AJ1290" s="14">
        <f>IF(AN1290=0,L1290,0)</f>
        <v>0</v>
      </c>
      <c r="AK1290" s="14">
        <f>IF(AN1290=15,L1290,0)</f>
        <v>0</v>
      </c>
      <c r="AL1290" s="14">
        <f>IF(AN1290=21,L1290,0)</f>
        <v>0</v>
      </c>
      <c r="AN1290" s="14">
        <v>21</v>
      </c>
      <c r="AO1290" s="92">
        <f>H1290*0.916122507122507</f>
        <v>0</v>
      </c>
      <c r="AP1290" s="92">
        <f>H1290*(1-0.916122507122507)</f>
        <v>0</v>
      </c>
      <c r="AQ1290" s="55" t="s">
        <v>2435</v>
      </c>
      <c r="AV1290" s="14">
        <f>AW1290+AX1290</f>
        <v>0</v>
      </c>
      <c r="AW1290" s="14">
        <f>G1290*AO1290</f>
        <v>0</v>
      </c>
      <c r="AX1290" s="14">
        <f>G1290*AP1290</f>
        <v>0</v>
      </c>
      <c r="AY1290" s="55" t="s">
        <v>1091</v>
      </c>
      <c r="AZ1290" s="55" t="s">
        <v>1212</v>
      </c>
      <c r="BA1290" s="15" t="s">
        <v>1027</v>
      </c>
      <c r="BC1290" s="14">
        <f>AW1290+AX1290</f>
        <v>0</v>
      </c>
      <c r="BD1290" s="14">
        <f>H1290/(100-BE1290)*100</f>
        <v>0</v>
      </c>
      <c r="BE1290" s="14">
        <v>0</v>
      </c>
      <c r="BF1290" s="14">
        <f>O1290</f>
        <v>2.8199999999999999E-2</v>
      </c>
      <c r="BH1290" s="14">
        <f>G1290*AO1290</f>
        <v>0</v>
      </c>
      <c r="BI1290" s="14">
        <f>G1290*AP1290</f>
        <v>0</v>
      </c>
      <c r="BJ1290" s="14">
        <f>G1290*H1290</f>
        <v>0</v>
      </c>
      <c r="BK1290" s="14"/>
      <c r="BL1290" s="14">
        <v>725</v>
      </c>
      <c r="BW1290" s="14" t="str">
        <f>I1290</f>
        <v>21</v>
      </c>
    </row>
    <row r="1291" spans="1:75" ht="15" customHeight="1">
      <c r="A1291" s="32"/>
      <c r="D1291" s="3" t="s">
        <v>2422</v>
      </c>
      <c r="E1291" s="28" t="s">
        <v>1683</v>
      </c>
      <c r="G1291" s="27">
        <v>1</v>
      </c>
      <c r="P1291" s="33"/>
    </row>
    <row r="1292" spans="1:75" ht="27" customHeight="1">
      <c r="A1292" s="21" t="s">
        <v>1746</v>
      </c>
      <c r="B1292" s="37" t="s">
        <v>750</v>
      </c>
      <c r="C1292" s="37" t="s">
        <v>1797</v>
      </c>
      <c r="D1292" s="578" t="s">
        <v>2498</v>
      </c>
      <c r="E1292" s="579"/>
      <c r="F1292" s="37" t="s">
        <v>856</v>
      </c>
      <c r="G1292" s="14">
        <v>4</v>
      </c>
      <c r="H1292" s="569"/>
      <c r="I1292" s="55" t="s">
        <v>1720</v>
      </c>
      <c r="J1292" s="14">
        <f>G1292*AO1292</f>
        <v>0</v>
      </c>
      <c r="K1292" s="14">
        <f>G1292*AP1292</f>
        <v>0</v>
      </c>
      <c r="L1292" s="14">
        <f>G1292*H1292</f>
        <v>0</v>
      </c>
      <c r="M1292" s="14">
        <f>L1292*(1+BW1292/100)</f>
        <v>0</v>
      </c>
      <c r="N1292" s="14">
        <v>3.9199999999999999E-3</v>
      </c>
      <c r="O1292" s="14">
        <f>G1292*N1292</f>
        <v>1.5679999999999999E-2</v>
      </c>
      <c r="P1292" s="72" t="s">
        <v>1664</v>
      </c>
      <c r="Z1292" s="14">
        <f>IF(AQ1292="5",BJ1292,0)</f>
        <v>0</v>
      </c>
      <c r="AB1292" s="14">
        <f>IF(AQ1292="1",BH1292,0)</f>
        <v>0</v>
      </c>
      <c r="AC1292" s="14">
        <f>IF(AQ1292="1",BI1292,0)</f>
        <v>0</v>
      </c>
      <c r="AD1292" s="14">
        <f>IF(AQ1292="7",BH1292,0)</f>
        <v>0</v>
      </c>
      <c r="AE1292" s="14">
        <f>IF(AQ1292="7",BI1292,0)</f>
        <v>0</v>
      </c>
      <c r="AF1292" s="14">
        <f>IF(AQ1292="2",BH1292,0)</f>
        <v>0</v>
      </c>
      <c r="AG1292" s="14">
        <f>IF(AQ1292="2",BI1292,0)</f>
        <v>0</v>
      </c>
      <c r="AH1292" s="14">
        <f>IF(AQ1292="0",BJ1292,0)</f>
        <v>0</v>
      </c>
      <c r="AI1292" s="15" t="s">
        <v>750</v>
      </c>
      <c r="AJ1292" s="14">
        <f>IF(AN1292=0,L1292,0)</f>
        <v>0</v>
      </c>
      <c r="AK1292" s="14">
        <f>IF(AN1292=15,L1292,0)</f>
        <v>0</v>
      </c>
      <c r="AL1292" s="14">
        <f>IF(AN1292=21,L1292,0)</f>
        <v>0</v>
      </c>
      <c r="AN1292" s="14">
        <v>21</v>
      </c>
      <c r="AO1292" s="92">
        <f>H1292*0.489988868274583</f>
        <v>0</v>
      </c>
      <c r="AP1292" s="92">
        <f>H1292*(1-0.489988868274583)</f>
        <v>0</v>
      </c>
      <c r="AQ1292" s="55" t="s">
        <v>2435</v>
      </c>
      <c r="AV1292" s="14">
        <f>AW1292+AX1292</f>
        <v>0</v>
      </c>
      <c r="AW1292" s="14">
        <f>G1292*AO1292</f>
        <v>0</v>
      </c>
      <c r="AX1292" s="14">
        <f>G1292*AP1292</f>
        <v>0</v>
      </c>
      <c r="AY1292" s="55" t="s">
        <v>1091</v>
      </c>
      <c r="AZ1292" s="55" t="s">
        <v>1212</v>
      </c>
      <c r="BA1292" s="15" t="s">
        <v>1027</v>
      </c>
      <c r="BC1292" s="14">
        <f>AW1292+AX1292</f>
        <v>0</v>
      </c>
      <c r="BD1292" s="14">
        <f>H1292/(100-BE1292)*100</f>
        <v>0</v>
      </c>
      <c r="BE1292" s="14">
        <v>0</v>
      </c>
      <c r="BF1292" s="14">
        <f>O1292</f>
        <v>1.5679999999999999E-2</v>
      </c>
      <c r="BH1292" s="14">
        <f>G1292*AO1292</f>
        <v>0</v>
      </c>
      <c r="BI1292" s="14">
        <f>G1292*AP1292</f>
        <v>0</v>
      </c>
      <c r="BJ1292" s="14">
        <f>G1292*H1292</f>
        <v>0</v>
      </c>
      <c r="BK1292" s="14"/>
      <c r="BL1292" s="14">
        <v>725</v>
      </c>
      <c r="BW1292" s="14" t="str">
        <f>I1292</f>
        <v>21</v>
      </c>
    </row>
    <row r="1293" spans="1:75" ht="15" customHeight="1">
      <c r="A1293" s="32"/>
      <c r="D1293" s="3" t="s">
        <v>272</v>
      </c>
      <c r="E1293" s="28" t="s">
        <v>1683</v>
      </c>
      <c r="G1293" s="27">
        <v>4</v>
      </c>
      <c r="P1293" s="33"/>
    </row>
    <row r="1294" spans="1:75" ht="27" customHeight="1">
      <c r="A1294" s="21" t="s">
        <v>1007</v>
      </c>
      <c r="B1294" s="37" t="s">
        <v>750</v>
      </c>
      <c r="C1294" s="37" t="s">
        <v>1742</v>
      </c>
      <c r="D1294" s="578" t="s">
        <v>1408</v>
      </c>
      <c r="E1294" s="579"/>
      <c r="F1294" s="37" t="s">
        <v>856</v>
      </c>
      <c r="G1294" s="14">
        <v>3</v>
      </c>
      <c r="H1294" s="569"/>
      <c r="I1294" s="55" t="s">
        <v>1720</v>
      </c>
      <c r="J1294" s="14">
        <f>G1294*AO1294</f>
        <v>0</v>
      </c>
      <c r="K1294" s="14">
        <f>G1294*AP1294</f>
        <v>0</v>
      </c>
      <c r="L1294" s="14">
        <f>G1294*H1294</f>
        <v>0</v>
      </c>
      <c r="M1294" s="14">
        <f>L1294*(1+BW1294/100)</f>
        <v>0</v>
      </c>
      <c r="N1294" s="14">
        <v>6.0000000000000001E-3</v>
      </c>
      <c r="O1294" s="14">
        <f>G1294*N1294</f>
        <v>1.8000000000000002E-2</v>
      </c>
      <c r="P1294" s="72" t="s">
        <v>1664</v>
      </c>
      <c r="Z1294" s="14">
        <f>IF(AQ1294="5",BJ1294,0)</f>
        <v>0</v>
      </c>
      <c r="AB1294" s="14">
        <f>IF(AQ1294="1",BH1294,0)</f>
        <v>0</v>
      </c>
      <c r="AC1294" s="14">
        <f>IF(AQ1294="1",BI1294,0)</f>
        <v>0</v>
      </c>
      <c r="AD1294" s="14">
        <f>IF(AQ1294="7",BH1294,0)</f>
        <v>0</v>
      </c>
      <c r="AE1294" s="14">
        <f>IF(AQ1294="7",BI1294,0)</f>
        <v>0</v>
      </c>
      <c r="AF1294" s="14">
        <f>IF(AQ1294="2",BH1294,0)</f>
        <v>0</v>
      </c>
      <c r="AG1294" s="14">
        <f>IF(AQ1294="2",BI1294,0)</f>
        <v>0</v>
      </c>
      <c r="AH1294" s="14">
        <f>IF(AQ1294="0",BJ1294,0)</f>
        <v>0</v>
      </c>
      <c r="AI1294" s="15" t="s">
        <v>750</v>
      </c>
      <c r="AJ1294" s="14">
        <f>IF(AN1294=0,L1294,0)</f>
        <v>0</v>
      </c>
      <c r="AK1294" s="14">
        <f>IF(AN1294=15,L1294,0)</f>
        <v>0</v>
      </c>
      <c r="AL1294" s="14">
        <f>IF(AN1294=21,L1294,0)</f>
        <v>0</v>
      </c>
      <c r="AN1294" s="14">
        <v>21</v>
      </c>
      <c r="AO1294" s="92">
        <f>H1294*0.716399168399168</f>
        <v>0</v>
      </c>
      <c r="AP1294" s="92">
        <f>H1294*(1-0.716399168399168)</f>
        <v>0</v>
      </c>
      <c r="AQ1294" s="55" t="s">
        <v>2435</v>
      </c>
      <c r="AV1294" s="14">
        <f>AW1294+AX1294</f>
        <v>0</v>
      </c>
      <c r="AW1294" s="14">
        <f>G1294*AO1294</f>
        <v>0</v>
      </c>
      <c r="AX1294" s="14">
        <f>G1294*AP1294</f>
        <v>0</v>
      </c>
      <c r="AY1294" s="55" t="s">
        <v>1091</v>
      </c>
      <c r="AZ1294" s="55" t="s">
        <v>1212</v>
      </c>
      <c r="BA1294" s="15" t="s">
        <v>1027</v>
      </c>
      <c r="BC1294" s="14">
        <f>AW1294+AX1294</f>
        <v>0</v>
      </c>
      <c r="BD1294" s="14">
        <f>H1294/(100-BE1294)*100</f>
        <v>0</v>
      </c>
      <c r="BE1294" s="14">
        <v>0</v>
      </c>
      <c r="BF1294" s="14">
        <f>O1294</f>
        <v>1.8000000000000002E-2</v>
      </c>
      <c r="BH1294" s="14">
        <f>G1294*AO1294</f>
        <v>0</v>
      </c>
      <c r="BI1294" s="14">
        <f>G1294*AP1294</f>
        <v>0</v>
      </c>
      <c r="BJ1294" s="14">
        <f>G1294*H1294</f>
        <v>0</v>
      </c>
      <c r="BK1294" s="14"/>
      <c r="BL1294" s="14">
        <v>725</v>
      </c>
      <c r="BW1294" s="14" t="str">
        <f>I1294</f>
        <v>21</v>
      </c>
    </row>
    <row r="1295" spans="1:75" ht="15" customHeight="1">
      <c r="A1295" s="32"/>
      <c r="D1295" s="3" t="s">
        <v>2111</v>
      </c>
      <c r="E1295" s="28" t="s">
        <v>1683</v>
      </c>
      <c r="G1295" s="27">
        <v>3.0000000000000004</v>
      </c>
      <c r="P1295" s="33"/>
    </row>
    <row r="1296" spans="1:75" ht="13.5" customHeight="1">
      <c r="A1296" s="21" t="s">
        <v>2331</v>
      </c>
      <c r="B1296" s="37" t="s">
        <v>750</v>
      </c>
      <c r="C1296" s="37" t="s">
        <v>24</v>
      </c>
      <c r="D1296" s="578" t="s">
        <v>2408</v>
      </c>
      <c r="E1296" s="579"/>
      <c r="F1296" s="37" t="s">
        <v>856</v>
      </c>
      <c r="G1296" s="14">
        <v>9</v>
      </c>
      <c r="H1296" s="569"/>
      <c r="I1296" s="55" t="s">
        <v>1720</v>
      </c>
      <c r="J1296" s="14">
        <f>G1296*AO1296</f>
        <v>0</v>
      </c>
      <c r="K1296" s="14">
        <f>G1296*AP1296</f>
        <v>0</v>
      </c>
      <c r="L1296" s="14">
        <f>G1296*H1296</f>
        <v>0</v>
      </c>
      <c r="M1296" s="14">
        <f>L1296*(1+BW1296/100)</f>
        <v>0</v>
      </c>
      <c r="N1296" s="14">
        <v>1.41E-3</v>
      </c>
      <c r="O1296" s="14">
        <f>G1296*N1296</f>
        <v>1.269E-2</v>
      </c>
      <c r="P1296" s="72" t="s">
        <v>1664</v>
      </c>
      <c r="Z1296" s="14">
        <f>IF(AQ1296="5",BJ1296,0)</f>
        <v>0</v>
      </c>
      <c r="AB1296" s="14">
        <f>IF(AQ1296="1",BH1296,0)</f>
        <v>0</v>
      </c>
      <c r="AC1296" s="14">
        <f>IF(AQ1296="1",BI1296,0)</f>
        <v>0</v>
      </c>
      <c r="AD1296" s="14">
        <f>IF(AQ1296="7",BH1296,0)</f>
        <v>0</v>
      </c>
      <c r="AE1296" s="14">
        <f>IF(AQ1296="7",BI1296,0)</f>
        <v>0</v>
      </c>
      <c r="AF1296" s="14">
        <f>IF(AQ1296="2",BH1296,0)</f>
        <v>0</v>
      </c>
      <c r="AG1296" s="14">
        <f>IF(AQ1296="2",BI1296,0)</f>
        <v>0</v>
      </c>
      <c r="AH1296" s="14">
        <f>IF(AQ1296="0",BJ1296,0)</f>
        <v>0</v>
      </c>
      <c r="AI1296" s="15" t="s">
        <v>750</v>
      </c>
      <c r="AJ1296" s="14">
        <f>IF(AN1296=0,L1296,0)</f>
        <v>0</v>
      </c>
      <c r="AK1296" s="14">
        <f>IF(AN1296=15,L1296,0)</f>
        <v>0</v>
      </c>
      <c r="AL1296" s="14">
        <f>IF(AN1296=21,L1296,0)</f>
        <v>0</v>
      </c>
      <c r="AN1296" s="14">
        <v>21</v>
      </c>
      <c r="AO1296" s="92">
        <f>H1296*0.151437435367115</f>
        <v>0</v>
      </c>
      <c r="AP1296" s="92">
        <f>H1296*(1-0.151437435367115)</f>
        <v>0</v>
      </c>
      <c r="AQ1296" s="55" t="s">
        <v>2435</v>
      </c>
      <c r="AV1296" s="14">
        <f>AW1296+AX1296</f>
        <v>0</v>
      </c>
      <c r="AW1296" s="14">
        <f>G1296*AO1296</f>
        <v>0</v>
      </c>
      <c r="AX1296" s="14">
        <f>G1296*AP1296</f>
        <v>0</v>
      </c>
      <c r="AY1296" s="55" t="s">
        <v>1091</v>
      </c>
      <c r="AZ1296" s="55" t="s">
        <v>1212</v>
      </c>
      <c r="BA1296" s="15" t="s">
        <v>1027</v>
      </c>
      <c r="BC1296" s="14">
        <f>AW1296+AX1296</f>
        <v>0</v>
      </c>
      <c r="BD1296" s="14">
        <f>H1296/(100-BE1296)*100</f>
        <v>0</v>
      </c>
      <c r="BE1296" s="14">
        <v>0</v>
      </c>
      <c r="BF1296" s="14">
        <f>O1296</f>
        <v>1.269E-2</v>
      </c>
      <c r="BH1296" s="14">
        <f>G1296*AO1296</f>
        <v>0</v>
      </c>
      <c r="BI1296" s="14">
        <f>G1296*AP1296</f>
        <v>0</v>
      </c>
      <c r="BJ1296" s="14">
        <f>G1296*H1296</f>
        <v>0</v>
      </c>
      <c r="BK1296" s="14"/>
      <c r="BL1296" s="14">
        <v>725</v>
      </c>
      <c r="BW1296" s="14" t="str">
        <f>I1296</f>
        <v>21</v>
      </c>
    </row>
    <row r="1297" spans="1:75" ht="15" customHeight="1">
      <c r="A1297" s="32"/>
      <c r="D1297" s="3" t="s">
        <v>922</v>
      </c>
      <c r="E1297" s="28" t="s">
        <v>1683</v>
      </c>
      <c r="G1297" s="27">
        <v>9</v>
      </c>
      <c r="P1297" s="33"/>
    </row>
    <row r="1298" spans="1:75" ht="13.5" customHeight="1">
      <c r="A1298" s="20" t="s">
        <v>1901</v>
      </c>
      <c r="B1298" s="84" t="s">
        <v>750</v>
      </c>
      <c r="C1298" s="84" t="s">
        <v>1503</v>
      </c>
      <c r="D1298" s="653" t="s">
        <v>2539</v>
      </c>
      <c r="E1298" s="654"/>
      <c r="F1298" s="84" t="s">
        <v>595</v>
      </c>
      <c r="G1298" s="6">
        <v>9</v>
      </c>
      <c r="H1298" s="570"/>
      <c r="I1298" s="18" t="s">
        <v>1720</v>
      </c>
      <c r="J1298" s="6">
        <f>G1298*AO1298</f>
        <v>0</v>
      </c>
      <c r="K1298" s="6">
        <f>G1298*AP1298</f>
        <v>0</v>
      </c>
      <c r="L1298" s="6">
        <f>G1298*H1298</f>
        <v>0</v>
      </c>
      <c r="M1298" s="6">
        <f>L1298*(1+BW1298/100)</f>
        <v>0</v>
      </c>
      <c r="N1298" s="6">
        <v>1.55E-2</v>
      </c>
      <c r="O1298" s="6">
        <f>G1298*N1298</f>
        <v>0.13950000000000001</v>
      </c>
      <c r="P1298" s="109" t="s">
        <v>1664</v>
      </c>
      <c r="Z1298" s="14">
        <f>IF(AQ1298="5",BJ1298,0)</f>
        <v>0</v>
      </c>
      <c r="AB1298" s="14">
        <f>IF(AQ1298="1",BH1298,0)</f>
        <v>0</v>
      </c>
      <c r="AC1298" s="14">
        <f>IF(AQ1298="1",BI1298,0)</f>
        <v>0</v>
      </c>
      <c r="AD1298" s="14">
        <f>IF(AQ1298="7",BH1298,0)</f>
        <v>0</v>
      </c>
      <c r="AE1298" s="14">
        <f>IF(AQ1298="7",BI1298,0)</f>
        <v>0</v>
      </c>
      <c r="AF1298" s="14">
        <f>IF(AQ1298="2",BH1298,0)</f>
        <v>0</v>
      </c>
      <c r="AG1298" s="14">
        <f>IF(AQ1298="2",BI1298,0)</f>
        <v>0</v>
      </c>
      <c r="AH1298" s="14">
        <f>IF(AQ1298="0",BJ1298,0)</f>
        <v>0</v>
      </c>
      <c r="AI1298" s="15" t="s">
        <v>750</v>
      </c>
      <c r="AJ1298" s="6">
        <f>IF(AN1298=0,L1298,0)</f>
        <v>0</v>
      </c>
      <c r="AK1298" s="6">
        <f>IF(AN1298=15,L1298,0)</f>
        <v>0</v>
      </c>
      <c r="AL1298" s="6">
        <f>IF(AN1298=21,L1298,0)</f>
        <v>0</v>
      </c>
      <c r="AN1298" s="14">
        <v>21</v>
      </c>
      <c r="AO1298" s="92">
        <f>H1298*1</f>
        <v>0</v>
      </c>
      <c r="AP1298" s="92">
        <f>H1298*(1-1)</f>
        <v>0</v>
      </c>
      <c r="AQ1298" s="18" t="s">
        <v>2435</v>
      </c>
      <c r="AV1298" s="14">
        <f>AW1298+AX1298</f>
        <v>0</v>
      </c>
      <c r="AW1298" s="14">
        <f>G1298*AO1298</f>
        <v>0</v>
      </c>
      <c r="AX1298" s="14">
        <f>G1298*AP1298</f>
        <v>0</v>
      </c>
      <c r="AY1298" s="55" t="s">
        <v>1091</v>
      </c>
      <c r="AZ1298" s="55" t="s">
        <v>1212</v>
      </c>
      <c r="BA1298" s="15" t="s">
        <v>1027</v>
      </c>
      <c r="BC1298" s="14">
        <f>AW1298+AX1298</f>
        <v>0</v>
      </c>
      <c r="BD1298" s="14">
        <f>H1298/(100-BE1298)*100</f>
        <v>0</v>
      </c>
      <c r="BE1298" s="14">
        <v>0</v>
      </c>
      <c r="BF1298" s="14">
        <f>O1298</f>
        <v>0.13950000000000001</v>
      </c>
      <c r="BH1298" s="6">
        <f>G1298*AO1298</f>
        <v>0</v>
      </c>
      <c r="BI1298" s="6">
        <f>G1298*AP1298</f>
        <v>0</v>
      </c>
      <c r="BJ1298" s="6">
        <f>G1298*H1298</f>
        <v>0</v>
      </c>
      <c r="BK1298" s="6"/>
      <c r="BL1298" s="14">
        <v>725</v>
      </c>
      <c r="BW1298" s="14" t="str">
        <f>I1298</f>
        <v>21</v>
      </c>
    </row>
    <row r="1299" spans="1:75" ht="15" customHeight="1">
      <c r="A1299" s="32"/>
      <c r="D1299" s="3" t="s">
        <v>922</v>
      </c>
      <c r="E1299" s="28" t="s">
        <v>1683</v>
      </c>
      <c r="G1299" s="27">
        <v>9</v>
      </c>
      <c r="P1299" s="33"/>
    </row>
    <row r="1300" spans="1:75" ht="13.5" customHeight="1">
      <c r="A1300" s="21" t="s">
        <v>415</v>
      </c>
      <c r="B1300" s="37" t="s">
        <v>750</v>
      </c>
      <c r="C1300" s="37" t="s">
        <v>2057</v>
      </c>
      <c r="D1300" s="578" t="s">
        <v>274</v>
      </c>
      <c r="E1300" s="579"/>
      <c r="F1300" s="37" t="s">
        <v>856</v>
      </c>
      <c r="G1300" s="14">
        <v>2</v>
      </c>
      <c r="H1300" s="569"/>
      <c r="I1300" s="55" t="s">
        <v>1720</v>
      </c>
      <c r="J1300" s="14">
        <f>G1300*AO1300</f>
        <v>0</v>
      </c>
      <c r="K1300" s="14">
        <f>G1300*AP1300</f>
        <v>0</v>
      </c>
      <c r="L1300" s="14">
        <f>G1300*H1300</f>
        <v>0</v>
      </c>
      <c r="M1300" s="14">
        <f>L1300*(1+BW1300/100)</f>
        <v>0</v>
      </c>
      <c r="N1300" s="14">
        <v>1.8E-3</v>
      </c>
      <c r="O1300" s="14">
        <f>G1300*N1300</f>
        <v>3.5999999999999999E-3</v>
      </c>
      <c r="P1300" s="72" t="s">
        <v>1664</v>
      </c>
      <c r="Z1300" s="14">
        <f>IF(AQ1300="5",BJ1300,0)</f>
        <v>0</v>
      </c>
      <c r="AB1300" s="14">
        <f>IF(AQ1300="1",BH1300,0)</f>
        <v>0</v>
      </c>
      <c r="AC1300" s="14">
        <f>IF(AQ1300="1",BI1300,0)</f>
        <v>0</v>
      </c>
      <c r="AD1300" s="14">
        <f>IF(AQ1300="7",BH1300,0)</f>
        <v>0</v>
      </c>
      <c r="AE1300" s="14">
        <f>IF(AQ1300="7",BI1300,0)</f>
        <v>0</v>
      </c>
      <c r="AF1300" s="14">
        <f>IF(AQ1300="2",BH1300,0)</f>
        <v>0</v>
      </c>
      <c r="AG1300" s="14">
        <f>IF(AQ1300="2",BI1300,0)</f>
        <v>0</v>
      </c>
      <c r="AH1300" s="14">
        <f>IF(AQ1300="0",BJ1300,0)</f>
        <v>0</v>
      </c>
      <c r="AI1300" s="15" t="s">
        <v>750</v>
      </c>
      <c r="AJ1300" s="14">
        <f>IF(AN1300=0,L1300,0)</f>
        <v>0</v>
      </c>
      <c r="AK1300" s="14">
        <f>IF(AN1300=15,L1300,0)</f>
        <v>0</v>
      </c>
      <c r="AL1300" s="14">
        <f>IF(AN1300=21,L1300,0)</f>
        <v>0</v>
      </c>
      <c r="AN1300" s="14">
        <v>21</v>
      </c>
      <c r="AO1300" s="92">
        <f>H1300*0.879317386231039</f>
        <v>0</v>
      </c>
      <c r="AP1300" s="92">
        <f>H1300*(1-0.879317386231039)</f>
        <v>0</v>
      </c>
      <c r="AQ1300" s="55" t="s">
        <v>2435</v>
      </c>
      <c r="AV1300" s="14">
        <f>AW1300+AX1300</f>
        <v>0</v>
      </c>
      <c r="AW1300" s="14">
        <f>G1300*AO1300</f>
        <v>0</v>
      </c>
      <c r="AX1300" s="14">
        <f>G1300*AP1300</f>
        <v>0</v>
      </c>
      <c r="AY1300" s="55" t="s">
        <v>1091</v>
      </c>
      <c r="AZ1300" s="55" t="s">
        <v>1212</v>
      </c>
      <c r="BA1300" s="15" t="s">
        <v>1027</v>
      </c>
      <c r="BC1300" s="14">
        <f>AW1300+AX1300</f>
        <v>0</v>
      </c>
      <c r="BD1300" s="14">
        <f>H1300/(100-BE1300)*100</f>
        <v>0</v>
      </c>
      <c r="BE1300" s="14">
        <v>0</v>
      </c>
      <c r="BF1300" s="14">
        <f>O1300</f>
        <v>3.5999999999999999E-3</v>
      </c>
      <c r="BH1300" s="14">
        <f>G1300*AO1300</f>
        <v>0</v>
      </c>
      <c r="BI1300" s="14">
        <f>G1300*AP1300</f>
        <v>0</v>
      </c>
      <c r="BJ1300" s="14">
        <f>G1300*H1300</f>
        <v>0</v>
      </c>
      <c r="BK1300" s="14"/>
      <c r="BL1300" s="14">
        <v>725</v>
      </c>
      <c r="BW1300" s="14" t="str">
        <f>I1300</f>
        <v>21</v>
      </c>
    </row>
    <row r="1301" spans="1:75" ht="15" customHeight="1">
      <c r="A1301" s="32"/>
      <c r="D1301" s="3" t="s">
        <v>1676</v>
      </c>
      <c r="E1301" s="28" t="s">
        <v>1683</v>
      </c>
      <c r="G1301" s="27">
        <v>2</v>
      </c>
      <c r="P1301" s="33"/>
    </row>
    <row r="1302" spans="1:75" ht="13.5" customHeight="1">
      <c r="A1302" s="21" t="s">
        <v>754</v>
      </c>
      <c r="B1302" s="37" t="s">
        <v>750</v>
      </c>
      <c r="C1302" s="37" t="s">
        <v>2070</v>
      </c>
      <c r="D1302" s="578" t="s">
        <v>2335</v>
      </c>
      <c r="E1302" s="579"/>
      <c r="F1302" s="37" t="s">
        <v>595</v>
      </c>
      <c r="G1302" s="14">
        <v>1</v>
      </c>
      <c r="H1302" s="569"/>
      <c r="I1302" s="55" t="s">
        <v>1720</v>
      </c>
      <c r="J1302" s="14">
        <f>G1302*AO1302</f>
        <v>0</v>
      </c>
      <c r="K1302" s="14">
        <f>G1302*AP1302</f>
        <v>0</v>
      </c>
      <c r="L1302" s="14">
        <f>G1302*H1302</f>
        <v>0</v>
      </c>
      <c r="M1302" s="14">
        <f>L1302*(1+BW1302/100)</f>
        <v>0</v>
      </c>
      <c r="N1302" s="14">
        <v>6.4999999999999997E-4</v>
      </c>
      <c r="O1302" s="14">
        <f>G1302*N1302</f>
        <v>6.4999999999999997E-4</v>
      </c>
      <c r="P1302" s="72" t="s">
        <v>921</v>
      </c>
      <c r="Z1302" s="14">
        <f>IF(AQ1302="5",BJ1302,0)</f>
        <v>0</v>
      </c>
      <c r="AB1302" s="14">
        <f>IF(AQ1302="1",BH1302,0)</f>
        <v>0</v>
      </c>
      <c r="AC1302" s="14">
        <f>IF(AQ1302="1",BI1302,0)</f>
        <v>0</v>
      </c>
      <c r="AD1302" s="14">
        <f>IF(AQ1302="7",BH1302,0)</f>
        <v>0</v>
      </c>
      <c r="AE1302" s="14">
        <f>IF(AQ1302="7",BI1302,0)</f>
        <v>0</v>
      </c>
      <c r="AF1302" s="14">
        <f>IF(AQ1302="2",BH1302,0)</f>
        <v>0</v>
      </c>
      <c r="AG1302" s="14">
        <f>IF(AQ1302="2",BI1302,0)</f>
        <v>0</v>
      </c>
      <c r="AH1302" s="14">
        <f>IF(AQ1302="0",BJ1302,0)</f>
        <v>0</v>
      </c>
      <c r="AI1302" s="15" t="s">
        <v>750</v>
      </c>
      <c r="AJ1302" s="14">
        <f>IF(AN1302=0,L1302,0)</f>
        <v>0</v>
      </c>
      <c r="AK1302" s="14">
        <f>IF(AN1302=15,L1302,0)</f>
        <v>0</v>
      </c>
      <c r="AL1302" s="14">
        <f>IF(AN1302=21,L1302,0)</f>
        <v>0</v>
      </c>
      <c r="AN1302" s="14">
        <v>21</v>
      </c>
      <c r="AO1302" s="92">
        <f>H1302*0.149209157127992</f>
        <v>0</v>
      </c>
      <c r="AP1302" s="92">
        <f>H1302*(1-0.149209157127992)</f>
        <v>0</v>
      </c>
      <c r="AQ1302" s="55" t="s">
        <v>2435</v>
      </c>
      <c r="AV1302" s="14">
        <f>AW1302+AX1302</f>
        <v>0</v>
      </c>
      <c r="AW1302" s="14">
        <f>G1302*AO1302</f>
        <v>0</v>
      </c>
      <c r="AX1302" s="14">
        <f>G1302*AP1302</f>
        <v>0</v>
      </c>
      <c r="AY1302" s="55" t="s">
        <v>1091</v>
      </c>
      <c r="AZ1302" s="55" t="s">
        <v>1212</v>
      </c>
      <c r="BA1302" s="15" t="s">
        <v>1027</v>
      </c>
      <c r="BC1302" s="14">
        <f>AW1302+AX1302</f>
        <v>0</v>
      </c>
      <c r="BD1302" s="14">
        <f>H1302/(100-BE1302)*100</f>
        <v>0</v>
      </c>
      <c r="BE1302" s="14">
        <v>0</v>
      </c>
      <c r="BF1302" s="14">
        <f>O1302</f>
        <v>6.4999999999999997E-4</v>
      </c>
      <c r="BH1302" s="14">
        <f>G1302*AO1302</f>
        <v>0</v>
      </c>
      <c r="BI1302" s="14">
        <f>G1302*AP1302</f>
        <v>0</v>
      </c>
      <c r="BJ1302" s="14">
        <f>G1302*H1302</f>
        <v>0</v>
      </c>
      <c r="BK1302" s="14"/>
      <c r="BL1302" s="14">
        <v>725</v>
      </c>
      <c r="BW1302" s="14" t="str">
        <f>I1302</f>
        <v>21</v>
      </c>
    </row>
    <row r="1303" spans="1:75" ht="15" customHeight="1">
      <c r="A1303" s="32"/>
      <c r="D1303" s="3" t="s">
        <v>2422</v>
      </c>
      <c r="E1303" s="28" t="s">
        <v>1683</v>
      </c>
      <c r="G1303" s="27">
        <v>1</v>
      </c>
      <c r="P1303" s="33"/>
    </row>
    <row r="1304" spans="1:75" ht="13.5" customHeight="1">
      <c r="A1304" s="20" t="s">
        <v>589</v>
      </c>
      <c r="B1304" s="84" t="s">
        <v>750</v>
      </c>
      <c r="C1304" s="84" t="s">
        <v>2402</v>
      </c>
      <c r="D1304" s="653" t="s">
        <v>838</v>
      </c>
      <c r="E1304" s="654"/>
      <c r="F1304" s="84" t="s">
        <v>595</v>
      </c>
      <c r="G1304" s="6">
        <v>1</v>
      </c>
      <c r="H1304" s="570"/>
      <c r="I1304" s="18" t="s">
        <v>1720</v>
      </c>
      <c r="J1304" s="6">
        <f>G1304*AO1304</f>
        <v>0</v>
      </c>
      <c r="K1304" s="6">
        <f>G1304*AP1304</f>
        <v>0</v>
      </c>
      <c r="L1304" s="6">
        <f>G1304*H1304</f>
        <v>0</v>
      </c>
      <c r="M1304" s="6">
        <f>L1304*(1+BW1304/100)</f>
        <v>0</v>
      </c>
      <c r="N1304" s="6">
        <v>1.2999999999999999E-2</v>
      </c>
      <c r="O1304" s="6">
        <f>G1304*N1304</f>
        <v>1.2999999999999999E-2</v>
      </c>
      <c r="P1304" s="109" t="s">
        <v>1664</v>
      </c>
      <c r="Z1304" s="14">
        <f>IF(AQ1304="5",BJ1304,0)</f>
        <v>0</v>
      </c>
      <c r="AB1304" s="14">
        <f>IF(AQ1304="1",BH1304,0)</f>
        <v>0</v>
      </c>
      <c r="AC1304" s="14">
        <f>IF(AQ1304="1",BI1304,0)</f>
        <v>0</v>
      </c>
      <c r="AD1304" s="14">
        <f>IF(AQ1304="7",BH1304,0)</f>
        <v>0</v>
      </c>
      <c r="AE1304" s="14">
        <f>IF(AQ1304="7",BI1304,0)</f>
        <v>0</v>
      </c>
      <c r="AF1304" s="14">
        <f>IF(AQ1304="2",BH1304,0)</f>
        <v>0</v>
      </c>
      <c r="AG1304" s="14">
        <f>IF(AQ1304="2",BI1304,0)</f>
        <v>0</v>
      </c>
      <c r="AH1304" s="14">
        <f>IF(AQ1304="0",BJ1304,0)</f>
        <v>0</v>
      </c>
      <c r="AI1304" s="15" t="s">
        <v>750</v>
      </c>
      <c r="AJ1304" s="6">
        <f>IF(AN1304=0,L1304,0)</f>
        <v>0</v>
      </c>
      <c r="AK1304" s="6">
        <f>IF(AN1304=15,L1304,0)</f>
        <v>0</v>
      </c>
      <c r="AL1304" s="6">
        <f>IF(AN1304=21,L1304,0)</f>
        <v>0</v>
      </c>
      <c r="AN1304" s="14">
        <v>21</v>
      </c>
      <c r="AO1304" s="92">
        <f>H1304*1</f>
        <v>0</v>
      </c>
      <c r="AP1304" s="92">
        <f>H1304*(1-1)</f>
        <v>0</v>
      </c>
      <c r="AQ1304" s="18" t="s">
        <v>2435</v>
      </c>
      <c r="AV1304" s="14">
        <f>AW1304+AX1304</f>
        <v>0</v>
      </c>
      <c r="AW1304" s="14">
        <f>G1304*AO1304</f>
        <v>0</v>
      </c>
      <c r="AX1304" s="14">
        <f>G1304*AP1304</f>
        <v>0</v>
      </c>
      <c r="AY1304" s="55" t="s">
        <v>1091</v>
      </c>
      <c r="AZ1304" s="55" t="s">
        <v>1212</v>
      </c>
      <c r="BA1304" s="15" t="s">
        <v>1027</v>
      </c>
      <c r="BC1304" s="14">
        <f>AW1304+AX1304</f>
        <v>0</v>
      </c>
      <c r="BD1304" s="14">
        <f>H1304/(100-BE1304)*100</f>
        <v>0</v>
      </c>
      <c r="BE1304" s="14">
        <v>0</v>
      </c>
      <c r="BF1304" s="14">
        <f>O1304</f>
        <v>1.2999999999999999E-2</v>
      </c>
      <c r="BH1304" s="6">
        <f>G1304*AO1304</f>
        <v>0</v>
      </c>
      <c r="BI1304" s="6">
        <f>G1304*AP1304</f>
        <v>0</v>
      </c>
      <c r="BJ1304" s="6">
        <f>G1304*H1304</f>
        <v>0</v>
      </c>
      <c r="BK1304" s="6"/>
      <c r="BL1304" s="14">
        <v>725</v>
      </c>
      <c r="BW1304" s="14" t="str">
        <f>I1304</f>
        <v>21</v>
      </c>
    </row>
    <row r="1305" spans="1:75" ht="15" customHeight="1">
      <c r="A1305" s="32"/>
      <c r="D1305" s="3" t="s">
        <v>2422</v>
      </c>
      <c r="E1305" s="28" t="s">
        <v>1683</v>
      </c>
      <c r="G1305" s="27">
        <v>1</v>
      </c>
      <c r="P1305" s="33"/>
    </row>
    <row r="1306" spans="1:75" ht="13.5" customHeight="1">
      <c r="A1306" s="21" t="s">
        <v>1947</v>
      </c>
      <c r="B1306" s="37" t="s">
        <v>750</v>
      </c>
      <c r="C1306" s="37" t="s">
        <v>2070</v>
      </c>
      <c r="D1306" s="578" t="s">
        <v>2335</v>
      </c>
      <c r="E1306" s="579"/>
      <c r="F1306" s="37" t="s">
        <v>595</v>
      </c>
      <c r="G1306" s="14">
        <v>1</v>
      </c>
      <c r="H1306" s="569"/>
      <c r="I1306" s="55" t="s">
        <v>1720</v>
      </c>
      <c r="J1306" s="14">
        <f>G1306*AO1306</f>
        <v>0</v>
      </c>
      <c r="K1306" s="14">
        <f>G1306*AP1306</f>
        <v>0</v>
      </c>
      <c r="L1306" s="14">
        <f>G1306*H1306</f>
        <v>0</v>
      </c>
      <c r="M1306" s="14">
        <f>L1306*(1+BW1306/100)</f>
        <v>0</v>
      </c>
      <c r="N1306" s="14">
        <v>6.4999999999999997E-4</v>
      </c>
      <c r="O1306" s="14">
        <f>G1306*N1306</f>
        <v>6.4999999999999997E-4</v>
      </c>
      <c r="P1306" s="72" t="s">
        <v>921</v>
      </c>
      <c r="Z1306" s="14">
        <f>IF(AQ1306="5",BJ1306,0)</f>
        <v>0</v>
      </c>
      <c r="AB1306" s="14">
        <f>IF(AQ1306="1",BH1306,0)</f>
        <v>0</v>
      </c>
      <c r="AC1306" s="14">
        <f>IF(AQ1306="1",BI1306,0)</f>
        <v>0</v>
      </c>
      <c r="AD1306" s="14">
        <f>IF(AQ1306="7",BH1306,0)</f>
        <v>0</v>
      </c>
      <c r="AE1306" s="14">
        <f>IF(AQ1306="7",BI1306,0)</f>
        <v>0</v>
      </c>
      <c r="AF1306" s="14">
        <f>IF(AQ1306="2",BH1306,0)</f>
        <v>0</v>
      </c>
      <c r="AG1306" s="14">
        <f>IF(AQ1306="2",BI1306,0)</f>
        <v>0</v>
      </c>
      <c r="AH1306" s="14">
        <f>IF(AQ1306="0",BJ1306,0)</f>
        <v>0</v>
      </c>
      <c r="AI1306" s="15" t="s">
        <v>750</v>
      </c>
      <c r="AJ1306" s="14">
        <f>IF(AN1306=0,L1306,0)</f>
        <v>0</v>
      </c>
      <c r="AK1306" s="14">
        <f>IF(AN1306=15,L1306,0)</f>
        <v>0</v>
      </c>
      <c r="AL1306" s="14">
        <f>IF(AN1306=21,L1306,0)</f>
        <v>0</v>
      </c>
      <c r="AN1306" s="14">
        <v>21</v>
      </c>
      <c r="AO1306" s="92">
        <f>H1306*0.149209157127992</f>
        <v>0</v>
      </c>
      <c r="AP1306" s="92">
        <f>H1306*(1-0.149209157127992)</f>
        <v>0</v>
      </c>
      <c r="AQ1306" s="55" t="s">
        <v>2435</v>
      </c>
      <c r="AV1306" s="14">
        <f>AW1306+AX1306</f>
        <v>0</v>
      </c>
      <c r="AW1306" s="14">
        <f>G1306*AO1306</f>
        <v>0</v>
      </c>
      <c r="AX1306" s="14">
        <f>G1306*AP1306</f>
        <v>0</v>
      </c>
      <c r="AY1306" s="55" t="s">
        <v>1091</v>
      </c>
      <c r="AZ1306" s="55" t="s">
        <v>1212</v>
      </c>
      <c r="BA1306" s="15" t="s">
        <v>1027</v>
      </c>
      <c r="BC1306" s="14">
        <f>AW1306+AX1306</f>
        <v>0</v>
      </c>
      <c r="BD1306" s="14">
        <f>H1306/(100-BE1306)*100</f>
        <v>0</v>
      </c>
      <c r="BE1306" s="14">
        <v>0</v>
      </c>
      <c r="BF1306" s="14">
        <f>O1306</f>
        <v>6.4999999999999997E-4</v>
      </c>
      <c r="BH1306" s="14">
        <f>G1306*AO1306</f>
        <v>0</v>
      </c>
      <c r="BI1306" s="14">
        <f>G1306*AP1306</f>
        <v>0</v>
      </c>
      <c r="BJ1306" s="14">
        <f>G1306*H1306</f>
        <v>0</v>
      </c>
      <c r="BK1306" s="14"/>
      <c r="BL1306" s="14">
        <v>725</v>
      </c>
      <c r="BW1306" s="14" t="str">
        <f>I1306</f>
        <v>21</v>
      </c>
    </row>
    <row r="1307" spans="1:75" ht="15" customHeight="1">
      <c r="A1307" s="32"/>
      <c r="D1307" s="3" t="s">
        <v>2422</v>
      </c>
      <c r="E1307" s="28" t="s">
        <v>2255</v>
      </c>
      <c r="G1307" s="27">
        <v>1</v>
      </c>
      <c r="P1307" s="33"/>
    </row>
    <row r="1308" spans="1:75" ht="13.5" customHeight="1">
      <c r="A1308" s="20" t="s">
        <v>1663</v>
      </c>
      <c r="B1308" s="84" t="s">
        <v>750</v>
      </c>
      <c r="C1308" s="84" t="s">
        <v>2021</v>
      </c>
      <c r="D1308" s="653" t="s">
        <v>2140</v>
      </c>
      <c r="E1308" s="654"/>
      <c r="F1308" s="84" t="s">
        <v>595</v>
      </c>
      <c r="G1308" s="6">
        <v>1</v>
      </c>
      <c r="H1308" s="570"/>
      <c r="I1308" s="18" t="s">
        <v>1720</v>
      </c>
      <c r="J1308" s="6">
        <f>G1308*AO1308</f>
        <v>0</v>
      </c>
      <c r="K1308" s="6">
        <f>G1308*AP1308</f>
        <v>0</v>
      </c>
      <c r="L1308" s="6">
        <f>G1308*H1308</f>
        <v>0</v>
      </c>
      <c r="M1308" s="6">
        <f>L1308*(1+BW1308/100)</f>
        <v>0</v>
      </c>
      <c r="N1308" s="6">
        <v>0.01</v>
      </c>
      <c r="O1308" s="6">
        <f>G1308*N1308</f>
        <v>0.01</v>
      </c>
      <c r="P1308" s="109" t="s">
        <v>1664</v>
      </c>
      <c r="Z1308" s="14">
        <f>IF(AQ1308="5",BJ1308,0)</f>
        <v>0</v>
      </c>
      <c r="AB1308" s="14">
        <f>IF(AQ1308="1",BH1308,0)</f>
        <v>0</v>
      </c>
      <c r="AC1308" s="14">
        <f>IF(AQ1308="1",BI1308,0)</f>
        <v>0</v>
      </c>
      <c r="AD1308" s="14">
        <f>IF(AQ1308="7",BH1308,0)</f>
        <v>0</v>
      </c>
      <c r="AE1308" s="14">
        <f>IF(AQ1308="7",BI1308,0)</f>
        <v>0</v>
      </c>
      <c r="AF1308" s="14">
        <f>IF(AQ1308="2",BH1308,0)</f>
        <v>0</v>
      </c>
      <c r="AG1308" s="14">
        <f>IF(AQ1308="2",BI1308,0)</f>
        <v>0</v>
      </c>
      <c r="AH1308" s="14">
        <f>IF(AQ1308="0",BJ1308,0)</f>
        <v>0</v>
      </c>
      <c r="AI1308" s="15" t="s">
        <v>750</v>
      </c>
      <c r="AJ1308" s="6">
        <f>IF(AN1308=0,L1308,0)</f>
        <v>0</v>
      </c>
      <c r="AK1308" s="6">
        <f>IF(AN1308=15,L1308,0)</f>
        <v>0</v>
      </c>
      <c r="AL1308" s="6">
        <f>IF(AN1308=21,L1308,0)</f>
        <v>0</v>
      </c>
      <c r="AN1308" s="14">
        <v>21</v>
      </c>
      <c r="AO1308" s="92">
        <f>H1308*1</f>
        <v>0</v>
      </c>
      <c r="AP1308" s="92">
        <f>H1308*(1-1)</f>
        <v>0</v>
      </c>
      <c r="AQ1308" s="18" t="s">
        <v>2435</v>
      </c>
      <c r="AV1308" s="14">
        <f>AW1308+AX1308</f>
        <v>0</v>
      </c>
      <c r="AW1308" s="14">
        <f>G1308*AO1308</f>
        <v>0</v>
      </c>
      <c r="AX1308" s="14">
        <f>G1308*AP1308</f>
        <v>0</v>
      </c>
      <c r="AY1308" s="55" t="s">
        <v>1091</v>
      </c>
      <c r="AZ1308" s="55" t="s">
        <v>1212</v>
      </c>
      <c r="BA1308" s="15" t="s">
        <v>1027</v>
      </c>
      <c r="BC1308" s="14">
        <f>AW1308+AX1308</f>
        <v>0</v>
      </c>
      <c r="BD1308" s="14">
        <f>H1308/(100-BE1308)*100</f>
        <v>0</v>
      </c>
      <c r="BE1308" s="14">
        <v>0</v>
      </c>
      <c r="BF1308" s="14">
        <f>O1308</f>
        <v>0.01</v>
      </c>
      <c r="BH1308" s="6">
        <f>G1308*AO1308</f>
        <v>0</v>
      </c>
      <c r="BI1308" s="6">
        <f>G1308*AP1308</f>
        <v>0</v>
      </c>
      <c r="BJ1308" s="6">
        <f>G1308*H1308</f>
        <v>0</v>
      </c>
      <c r="BK1308" s="6"/>
      <c r="BL1308" s="14">
        <v>725</v>
      </c>
      <c r="BW1308" s="14" t="str">
        <f>I1308</f>
        <v>21</v>
      </c>
    </row>
    <row r="1309" spans="1:75" ht="15" customHeight="1">
      <c r="A1309" s="32"/>
      <c r="D1309" s="3" t="s">
        <v>2422</v>
      </c>
      <c r="E1309" s="28" t="s">
        <v>1683</v>
      </c>
      <c r="G1309" s="27">
        <v>1</v>
      </c>
      <c r="P1309" s="33"/>
    </row>
    <row r="1310" spans="1:75" ht="13.5" customHeight="1">
      <c r="A1310" s="21" t="s">
        <v>1880</v>
      </c>
      <c r="B1310" s="37" t="s">
        <v>750</v>
      </c>
      <c r="C1310" s="37" t="s">
        <v>818</v>
      </c>
      <c r="D1310" s="578" t="s">
        <v>2287</v>
      </c>
      <c r="E1310" s="579"/>
      <c r="F1310" s="37" t="s">
        <v>856</v>
      </c>
      <c r="G1310" s="14">
        <v>3</v>
      </c>
      <c r="H1310" s="569"/>
      <c r="I1310" s="55" t="s">
        <v>1720</v>
      </c>
      <c r="J1310" s="14">
        <f>G1310*AO1310</f>
        <v>0</v>
      </c>
      <c r="K1310" s="14">
        <f>G1310*AP1310</f>
        <v>0</v>
      </c>
      <c r="L1310" s="14">
        <f>G1310*H1310</f>
        <v>0</v>
      </c>
      <c r="M1310" s="14">
        <f>L1310*(1+BW1310/100)</f>
        <v>0</v>
      </c>
      <c r="N1310" s="14">
        <v>6.2E-4</v>
      </c>
      <c r="O1310" s="14">
        <f>G1310*N1310</f>
        <v>1.8600000000000001E-3</v>
      </c>
      <c r="P1310" s="72" t="s">
        <v>1664</v>
      </c>
      <c r="Z1310" s="14">
        <f>IF(AQ1310="5",BJ1310,0)</f>
        <v>0</v>
      </c>
      <c r="AB1310" s="14">
        <f>IF(AQ1310="1",BH1310,0)</f>
        <v>0</v>
      </c>
      <c r="AC1310" s="14">
        <f>IF(AQ1310="1",BI1310,0)</f>
        <v>0</v>
      </c>
      <c r="AD1310" s="14">
        <f>IF(AQ1310="7",BH1310,0)</f>
        <v>0</v>
      </c>
      <c r="AE1310" s="14">
        <f>IF(AQ1310="7",BI1310,0)</f>
        <v>0</v>
      </c>
      <c r="AF1310" s="14">
        <f>IF(AQ1310="2",BH1310,0)</f>
        <v>0</v>
      </c>
      <c r="AG1310" s="14">
        <f>IF(AQ1310="2",BI1310,0)</f>
        <v>0</v>
      </c>
      <c r="AH1310" s="14">
        <f>IF(AQ1310="0",BJ1310,0)</f>
        <v>0</v>
      </c>
      <c r="AI1310" s="15" t="s">
        <v>750</v>
      </c>
      <c r="AJ1310" s="14">
        <f>IF(AN1310=0,L1310,0)</f>
        <v>0</v>
      </c>
      <c r="AK1310" s="14">
        <f>IF(AN1310=15,L1310,0)</f>
        <v>0</v>
      </c>
      <c r="AL1310" s="14">
        <f>IF(AN1310=21,L1310,0)</f>
        <v>0</v>
      </c>
      <c r="AN1310" s="14">
        <v>21</v>
      </c>
      <c r="AO1310" s="92">
        <f>H1310*0.333981176470588</f>
        <v>0</v>
      </c>
      <c r="AP1310" s="92">
        <f>H1310*(1-0.333981176470588)</f>
        <v>0</v>
      </c>
      <c r="AQ1310" s="55" t="s">
        <v>2435</v>
      </c>
      <c r="AV1310" s="14">
        <f>AW1310+AX1310</f>
        <v>0</v>
      </c>
      <c r="AW1310" s="14">
        <f>G1310*AO1310</f>
        <v>0</v>
      </c>
      <c r="AX1310" s="14">
        <f>G1310*AP1310</f>
        <v>0</v>
      </c>
      <c r="AY1310" s="55" t="s">
        <v>1091</v>
      </c>
      <c r="AZ1310" s="55" t="s">
        <v>1212</v>
      </c>
      <c r="BA1310" s="15" t="s">
        <v>1027</v>
      </c>
      <c r="BC1310" s="14">
        <f>AW1310+AX1310</f>
        <v>0</v>
      </c>
      <c r="BD1310" s="14">
        <f>H1310/(100-BE1310)*100</f>
        <v>0</v>
      </c>
      <c r="BE1310" s="14">
        <v>0</v>
      </c>
      <c r="BF1310" s="14">
        <f>O1310</f>
        <v>1.8600000000000001E-3</v>
      </c>
      <c r="BH1310" s="14">
        <f>G1310*AO1310</f>
        <v>0</v>
      </c>
      <c r="BI1310" s="14">
        <f>G1310*AP1310</f>
        <v>0</v>
      </c>
      <c r="BJ1310" s="14">
        <f>G1310*H1310</f>
        <v>0</v>
      </c>
      <c r="BK1310" s="14"/>
      <c r="BL1310" s="14">
        <v>725</v>
      </c>
      <c r="BW1310" s="14" t="str">
        <f>I1310</f>
        <v>21</v>
      </c>
    </row>
    <row r="1311" spans="1:75" ht="15" customHeight="1">
      <c r="A1311" s="32"/>
      <c r="D1311" s="3" t="s">
        <v>2111</v>
      </c>
      <c r="E1311" s="28" t="s">
        <v>1683</v>
      </c>
      <c r="G1311" s="27">
        <v>3.0000000000000004</v>
      </c>
      <c r="P1311" s="33"/>
    </row>
    <row r="1312" spans="1:75" ht="13.5" customHeight="1">
      <c r="A1312" s="20" t="s">
        <v>1760</v>
      </c>
      <c r="B1312" s="84" t="s">
        <v>750</v>
      </c>
      <c r="C1312" s="84" t="s">
        <v>762</v>
      </c>
      <c r="D1312" s="653" t="s">
        <v>43</v>
      </c>
      <c r="E1312" s="654"/>
      <c r="F1312" s="84" t="s">
        <v>595</v>
      </c>
      <c r="G1312" s="6">
        <v>3</v>
      </c>
      <c r="H1312" s="570"/>
      <c r="I1312" s="18" t="s">
        <v>1720</v>
      </c>
      <c r="J1312" s="6">
        <f>G1312*AO1312</f>
        <v>0</v>
      </c>
      <c r="K1312" s="6">
        <f>G1312*AP1312</f>
        <v>0</v>
      </c>
      <c r="L1312" s="6">
        <f>G1312*H1312</f>
        <v>0</v>
      </c>
      <c r="M1312" s="6">
        <f>L1312*(1+BW1312/100)</f>
        <v>0</v>
      </c>
      <c r="N1312" s="6">
        <v>1.4999999999999999E-2</v>
      </c>
      <c r="O1312" s="6">
        <f>G1312*N1312</f>
        <v>4.4999999999999998E-2</v>
      </c>
      <c r="P1312" s="109" t="s">
        <v>1664</v>
      </c>
      <c r="Z1312" s="14">
        <f>IF(AQ1312="5",BJ1312,0)</f>
        <v>0</v>
      </c>
      <c r="AB1312" s="14">
        <f>IF(AQ1312="1",BH1312,0)</f>
        <v>0</v>
      </c>
      <c r="AC1312" s="14">
        <f>IF(AQ1312="1",BI1312,0)</f>
        <v>0</v>
      </c>
      <c r="AD1312" s="14">
        <f>IF(AQ1312="7",BH1312,0)</f>
        <v>0</v>
      </c>
      <c r="AE1312" s="14">
        <f>IF(AQ1312="7",BI1312,0)</f>
        <v>0</v>
      </c>
      <c r="AF1312" s="14">
        <f>IF(AQ1312="2",BH1312,0)</f>
        <v>0</v>
      </c>
      <c r="AG1312" s="14">
        <f>IF(AQ1312="2",BI1312,0)</f>
        <v>0</v>
      </c>
      <c r="AH1312" s="14">
        <f>IF(AQ1312="0",BJ1312,0)</f>
        <v>0</v>
      </c>
      <c r="AI1312" s="15" t="s">
        <v>750</v>
      </c>
      <c r="AJ1312" s="6">
        <f>IF(AN1312=0,L1312,0)</f>
        <v>0</v>
      </c>
      <c r="AK1312" s="6">
        <f>IF(AN1312=15,L1312,0)</f>
        <v>0</v>
      </c>
      <c r="AL1312" s="6">
        <f>IF(AN1312=21,L1312,0)</f>
        <v>0</v>
      </c>
      <c r="AN1312" s="14">
        <v>21</v>
      </c>
      <c r="AO1312" s="92">
        <f>H1312*1</f>
        <v>0</v>
      </c>
      <c r="AP1312" s="92">
        <f>H1312*(1-1)</f>
        <v>0</v>
      </c>
      <c r="AQ1312" s="18" t="s">
        <v>2435</v>
      </c>
      <c r="AV1312" s="14">
        <f>AW1312+AX1312</f>
        <v>0</v>
      </c>
      <c r="AW1312" s="14">
        <f>G1312*AO1312</f>
        <v>0</v>
      </c>
      <c r="AX1312" s="14">
        <f>G1312*AP1312</f>
        <v>0</v>
      </c>
      <c r="AY1312" s="55" t="s">
        <v>1091</v>
      </c>
      <c r="AZ1312" s="55" t="s">
        <v>1212</v>
      </c>
      <c r="BA1312" s="15" t="s">
        <v>1027</v>
      </c>
      <c r="BC1312" s="14">
        <f>AW1312+AX1312</f>
        <v>0</v>
      </c>
      <c r="BD1312" s="14">
        <f>H1312/(100-BE1312)*100</f>
        <v>0</v>
      </c>
      <c r="BE1312" s="14">
        <v>0</v>
      </c>
      <c r="BF1312" s="14">
        <f>O1312</f>
        <v>4.4999999999999998E-2</v>
      </c>
      <c r="BH1312" s="6">
        <f>G1312*AO1312</f>
        <v>0</v>
      </c>
      <c r="BI1312" s="6">
        <f>G1312*AP1312</f>
        <v>0</v>
      </c>
      <c r="BJ1312" s="6">
        <f>G1312*H1312</f>
        <v>0</v>
      </c>
      <c r="BK1312" s="6"/>
      <c r="BL1312" s="14">
        <v>725</v>
      </c>
      <c r="BW1312" s="14" t="str">
        <f>I1312</f>
        <v>21</v>
      </c>
    </row>
    <row r="1313" spans="1:75" ht="15" customHeight="1">
      <c r="A1313" s="32"/>
      <c r="D1313" s="3" t="s">
        <v>2111</v>
      </c>
      <c r="E1313" s="28" t="s">
        <v>1683</v>
      </c>
      <c r="G1313" s="27">
        <v>3.0000000000000004</v>
      </c>
      <c r="P1313" s="33"/>
    </row>
    <row r="1314" spans="1:75" ht="13.5" customHeight="1">
      <c r="A1314" s="20" t="s">
        <v>1302</v>
      </c>
      <c r="B1314" s="84" t="s">
        <v>750</v>
      </c>
      <c r="C1314" s="84" t="s">
        <v>2093</v>
      </c>
      <c r="D1314" s="653" t="s">
        <v>507</v>
      </c>
      <c r="E1314" s="654"/>
      <c r="F1314" s="84" t="s">
        <v>595</v>
      </c>
      <c r="G1314" s="6">
        <v>3</v>
      </c>
      <c r="H1314" s="570"/>
      <c r="I1314" s="18" t="s">
        <v>1720</v>
      </c>
      <c r="J1314" s="6">
        <f>G1314*AO1314</f>
        <v>0</v>
      </c>
      <c r="K1314" s="6">
        <f>G1314*AP1314</f>
        <v>0</v>
      </c>
      <c r="L1314" s="6">
        <f>G1314*H1314</f>
        <v>0</v>
      </c>
      <c r="M1314" s="6">
        <f>L1314*(1+BW1314/100)</f>
        <v>0</v>
      </c>
      <c r="N1314" s="6">
        <v>5.1799999999999997E-3</v>
      </c>
      <c r="O1314" s="6">
        <f>G1314*N1314</f>
        <v>1.5539999999999998E-2</v>
      </c>
      <c r="P1314" s="109" t="s">
        <v>1664</v>
      </c>
      <c r="Z1314" s="14">
        <f>IF(AQ1314="5",BJ1314,0)</f>
        <v>0</v>
      </c>
      <c r="AB1314" s="14">
        <f>IF(AQ1314="1",BH1314,0)</f>
        <v>0</v>
      </c>
      <c r="AC1314" s="14">
        <f>IF(AQ1314="1",BI1314,0)</f>
        <v>0</v>
      </c>
      <c r="AD1314" s="14">
        <f>IF(AQ1314="7",BH1314,0)</f>
        <v>0</v>
      </c>
      <c r="AE1314" s="14">
        <f>IF(AQ1314="7",BI1314,0)</f>
        <v>0</v>
      </c>
      <c r="AF1314" s="14">
        <f>IF(AQ1314="2",BH1314,0)</f>
        <v>0</v>
      </c>
      <c r="AG1314" s="14">
        <f>IF(AQ1314="2",BI1314,0)</f>
        <v>0</v>
      </c>
      <c r="AH1314" s="14">
        <f>IF(AQ1314="0",BJ1314,0)</f>
        <v>0</v>
      </c>
      <c r="AI1314" s="15" t="s">
        <v>750</v>
      </c>
      <c r="AJ1314" s="6">
        <f>IF(AN1314=0,L1314,0)</f>
        <v>0</v>
      </c>
      <c r="AK1314" s="6">
        <f>IF(AN1314=15,L1314,0)</f>
        <v>0</v>
      </c>
      <c r="AL1314" s="6">
        <f>IF(AN1314=21,L1314,0)</f>
        <v>0</v>
      </c>
      <c r="AN1314" s="14">
        <v>21</v>
      </c>
      <c r="AO1314" s="92">
        <f>H1314*1</f>
        <v>0</v>
      </c>
      <c r="AP1314" s="92">
        <f>H1314*(1-1)</f>
        <v>0</v>
      </c>
      <c r="AQ1314" s="18" t="s">
        <v>2435</v>
      </c>
      <c r="AV1314" s="14">
        <f>AW1314+AX1314</f>
        <v>0</v>
      </c>
      <c r="AW1314" s="14">
        <f>G1314*AO1314</f>
        <v>0</v>
      </c>
      <c r="AX1314" s="14">
        <f>G1314*AP1314</f>
        <v>0</v>
      </c>
      <c r="AY1314" s="55" t="s">
        <v>1091</v>
      </c>
      <c r="AZ1314" s="55" t="s">
        <v>1212</v>
      </c>
      <c r="BA1314" s="15" t="s">
        <v>1027</v>
      </c>
      <c r="BC1314" s="14">
        <f>AW1314+AX1314</f>
        <v>0</v>
      </c>
      <c r="BD1314" s="14">
        <f>H1314/(100-BE1314)*100</f>
        <v>0</v>
      </c>
      <c r="BE1314" s="14">
        <v>0</v>
      </c>
      <c r="BF1314" s="14">
        <f>O1314</f>
        <v>1.5539999999999998E-2</v>
      </c>
      <c r="BH1314" s="6">
        <f>G1314*AO1314</f>
        <v>0</v>
      </c>
      <c r="BI1314" s="6">
        <f>G1314*AP1314</f>
        <v>0</v>
      </c>
      <c r="BJ1314" s="6">
        <f>G1314*H1314</f>
        <v>0</v>
      </c>
      <c r="BK1314" s="6"/>
      <c r="BL1314" s="14">
        <v>725</v>
      </c>
      <c r="BW1314" s="14" t="str">
        <f>I1314</f>
        <v>21</v>
      </c>
    </row>
    <row r="1315" spans="1:75" ht="15" customHeight="1">
      <c r="A1315" s="32"/>
      <c r="D1315" s="3" t="s">
        <v>2111</v>
      </c>
      <c r="E1315" s="28" t="s">
        <v>1683</v>
      </c>
      <c r="G1315" s="27">
        <v>3.0000000000000004</v>
      </c>
      <c r="P1315" s="33"/>
    </row>
    <row r="1316" spans="1:75" ht="13.5" customHeight="1">
      <c r="A1316" s="21" t="s">
        <v>1903</v>
      </c>
      <c r="B1316" s="37" t="s">
        <v>750</v>
      </c>
      <c r="C1316" s="37" t="s">
        <v>185</v>
      </c>
      <c r="D1316" s="578" t="s">
        <v>2570</v>
      </c>
      <c r="E1316" s="579"/>
      <c r="F1316" s="37" t="s">
        <v>856</v>
      </c>
      <c r="G1316" s="14">
        <v>1</v>
      </c>
      <c r="H1316" s="569"/>
      <c r="I1316" s="55" t="s">
        <v>1720</v>
      </c>
      <c r="J1316" s="14">
        <f>G1316*AO1316</f>
        <v>0</v>
      </c>
      <c r="K1316" s="14">
        <f>G1316*AP1316</f>
        <v>0</v>
      </c>
      <c r="L1316" s="14">
        <f>G1316*H1316</f>
        <v>0</v>
      </c>
      <c r="M1316" s="14">
        <f>L1316*(1+BW1316/100)</f>
        <v>0</v>
      </c>
      <c r="N1316" s="14">
        <v>7.2000000000000005E-4</v>
      </c>
      <c r="O1316" s="14">
        <f>G1316*N1316</f>
        <v>7.2000000000000005E-4</v>
      </c>
      <c r="P1316" s="72" t="s">
        <v>1664</v>
      </c>
      <c r="Z1316" s="14">
        <f>IF(AQ1316="5",BJ1316,0)</f>
        <v>0</v>
      </c>
      <c r="AB1316" s="14">
        <f>IF(AQ1316="1",BH1316,0)</f>
        <v>0</v>
      </c>
      <c r="AC1316" s="14">
        <f>IF(AQ1316="1",BI1316,0)</f>
        <v>0</v>
      </c>
      <c r="AD1316" s="14">
        <f>IF(AQ1316="7",BH1316,0)</f>
        <v>0</v>
      </c>
      <c r="AE1316" s="14">
        <f>IF(AQ1316="7",BI1316,0)</f>
        <v>0</v>
      </c>
      <c r="AF1316" s="14">
        <f>IF(AQ1316="2",BH1316,0)</f>
        <v>0</v>
      </c>
      <c r="AG1316" s="14">
        <f>IF(AQ1316="2",BI1316,0)</f>
        <v>0</v>
      </c>
      <c r="AH1316" s="14">
        <f>IF(AQ1316="0",BJ1316,0)</f>
        <v>0</v>
      </c>
      <c r="AI1316" s="15" t="s">
        <v>750</v>
      </c>
      <c r="AJ1316" s="14">
        <f>IF(AN1316=0,L1316,0)</f>
        <v>0</v>
      </c>
      <c r="AK1316" s="14">
        <f>IF(AN1316=15,L1316,0)</f>
        <v>0</v>
      </c>
      <c r="AL1316" s="14">
        <f>IF(AN1316=21,L1316,0)</f>
        <v>0</v>
      </c>
      <c r="AN1316" s="14">
        <v>21</v>
      </c>
      <c r="AO1316" s="92">
        <f>H1316*0.710378548895899</f>
        <v>0</v>
      </c>
      <c r="AP1316" s="92">
        <f>H1316*(1-0.710378548895899)</f>
        <v>0</v>
      </c>
      <c r="AQ1316" s="55" t="s">
        <v>2435</v>
      </c>
      <c r="AV1316" s="14">
        <f>AW1316+AX1316</f>
        <v>0</v>
      </c>
      <c r="AW1316" s="14">
        <f>G1316*AO1316</f>
        <v>0</v>
      </c>
      <c r="AX1316" s="14">
        <f>G1316*AP1316</f>
        <v>0</v>
      </c>
      <c r="AY1316" s="55" t="s">
        <v>1091</v>
      </c>
      <c r="AZ1316" s="55" t="s">
        <v>1212</v>
      </c>
      <c r="BA1316" s="15" t="s">
        <v>1027</v>
      </c>
      <c r="BC1316" s="14">
        <f>AW1316+AX1316</f>
        <v>0</v>
      </c>
      <c r="BD1316" s="14">
        <f>H1316/(100-BE1316)*100</f>
        <v>0</v>
      </c>
      <c r="BE1316" s="14">
        <v>0</v>
      </c>
      <c r="BF1316" s="14">
        <f>O1316</f>
        <v>7.2000000000000005E-4</v>
      </c>
      <c r="BH1316" s="14">
        <f>G1316*AO1316</f>
        <v>0</v>
      </c>
      <c r="BI1316" s="14">
        <f>G1316*AP1316</f>
        <v>0</v>
      </c>
      <c r="BJ1316" s="14">
        <f>G1316*H1316</f>
        <v>0</v>
      </c>
      <c r="BK1316" s="14"/>
      <c r="BL1316" s="14">
        <v>725</v>
      </c>
      <c r="BW1316" s="14" t="str">
        <f>I1316</f>
        <v>21</v>
      </c>
    </row>
    <row r="1317" spans="1:75" ht="15" customHeight="1">
      <c r="A1317" s="32"/>
      <c r="D1317" s="3" t="s">
        <v>2422</v>
      </c>
      <c r="E1317" s="28" t="s">
        <v>1683</v>
      </c>
      <c r="G1317" s="27">
        <v>1</v>
      </c>
      <c r="P1317" s="33"/>
    </row>
    <row r="1318" spans="1:75" ht="13.5" customHeight="1">
      <c r="A1318" s="20" t="s">
        <v>1162</v>
      </c>
      <c r="B1318" s="84" t="s">
        <v>750</v>
      </c>
      <c r="C1318" s="84" t="s">
        <v>141</v>
      </c>
      <c r="D1318" s="653" t="s">
        <v>2755</v>
      </c>
      <c r="E1318" s="654"/>
      <c r="F1318" s="84" t="s">
        <v>595</v>
      </c>
      <c r="G1318" s="6">
        <v>5</v>
      </c>
      <c r="H1318" s="570"/>
      <c r="I1318" s="18" t="s">
        <v>1720</v>
      </c>
      <c r="J1318" s="6">
        <f>G1318*AO1318</f>
        <v>0</v>
      </c>
      <c r="K1318" s="6">
        <f>G1318*AP1318</f>
        <v>0</v>
      </c>
      <c r="L1318" s="6">
        <f>G1318*H1318</f>
        <v>0</v>
      </c>
      <c r="M1318" s="6">
        <f>L1318*(1+BW1318/100)</f>
        <v>0</v>
      </c>
      <c r="N1318" s="6">
        <v>3.3000000000000002E-2</v>
      </c>
      <c r="O1318" s="6">
        <f>G1318*N1318</f>
        <v>0.16500000000000001</v>
      </c>
      <c r="P1318" s="109" t="s">
        <v>1664</v>
      </c>
      <c r="Z1318" s="14">
        <f>IF(AQ1318="5",BJ1318,0)</f>
        <v>0</v>
      </c>
      <c r="AB1318" s="14">
        <f>IF(AQ1318="1",BH1318,0)</f>
        <v>0</v>
      </c>
      <c r="AC1318" s="14">
        <f>IF(AQ1318="1",BI1318,0)</f>
        <v>0</v>
      </c>
      <c r="AD1318" s="14">
        <f>IF(AQ1318="7",BH1318,0)</f>
        <v>0</v>
      </c>
      <c r="AE1318" s="14">
        <f>IF(AQ1318="7",BI1318,0)</f>
        <v>0</v>
      </c>
      <c r="AF1318" s="14">
        <f>IF(AQ1318="2",BH1318,0)</f>
        <v>0</v>
      </c>
      <c r="AG1318" s="14">
        <f>IF(AQ1318="2",BI1318,0)</f>
        <v>0</v>
      </c>
      <c r="AH1318" s="14">
        <f>IF(AQ1318="0",BJ1318,0)</f>
        <v>0</v>
      </c>
      <c r="AI1318" s="15" t="s">
        <v>750</v>
      </c>
      <c r="AJ1318" s="6">
        <f>IF(AN1318=0,L1318,0)</f>
        <v>0</v>
      </c>
      <c r="AK1318" s="6">
        <f>IF(AN1318=15,L1318,0)</f>
        <v>0</v>
      </c>
      <c r="AL1318" s="6">
        <f>IF(AN1318=21,L1318,0)</f>
        <v>0</v>
      </c>
      <c r="AN1318" s="14">
        <v>21</v>
      </c>
      <c r="AO1318" s="92">
        <f>H1318*1</f>
        <v>0</v>
      </c>
      <c r="AP1318" s="92">
        <f>H1318*(1-1)</f>
        <v>0</v>
      </c>
      <c r="AQ1318" s="18" t="s">
        <v>2435</v>
      </c>
      <c r="AV1318" s="14">
        <f>AW1318+AX1318</f>
        <v>0</v>
      </c>
      <c r="AW1318" s="14">
        <f>G1318*AO1318</f>
        <v>0</v>
      </c>
      <c r="AX1318" s="14">
        <f>G1318*AP1318</f>
        <v>0</v>
      </c>
      <c r="AY1318" s="55" t="s">
        <v>1091</v>
      </c>
      <c r="AZ1318" s="55" t="s">
        <v>1212</v>
      </c>
      <c r="BA1318" s="15" t="s">
        <v>1027</v>
      </c>
      <c r="BC1318" s="14">
        <f>AW1318+AX1318</f>
        <v>0</v>
      </c>
      <c r="BD1318" s="14">
        <f>H1318/(100-BE1318)*100</f>
        <v>0</v>
      </c>
      <c r="BE1318" s="14">
        <v>0</v>
      </c>
      <c r="BF1318" s="14">
        <f>O1318</f>
        <v>0.16500000000000001</v>
      </c>
      <c r="BH1318" s="6">
        <f>G1318*AO1318</f>
        <v>0</v>
      </c>
      <c r="BI1318" s="6">
        <f>G1318*AP1318</f>
        <v>0</v>
      </c>
      <c r="BJ1318" s="6">
        <f>G1318*H1318</f>
        <v>0</v>
      </c>
      <c r="BK1318" s="6"/>
      <c r="BL1318" s="14">
        <v>725</v>
      </c>
      <c r="BW1318" s="14" t="str">
        <f>I1318</f>
        <v>21</v>
      </c>
    </row>
    <row r="1319" spans="1:75" ht="15" customHeight="1">
      <c r="A1319" s="32"/>
      <c r="D1319" s="3" t="s">
        <v>1287</v>
      </c>
      <c r="E1319" s="28" t="s">
        <v>1683</v>
      </c>
      <c r="G1319" s="27">
        <v>5</v>
      </c>
      <c r="P1319" s="33"/>
    </row>
    <row r="1320" spans="1:75" ht="27" customHeight="1">
      <c r="A1320" s="21" t="s">
        <v>1099</v>
      </c>
      <c r="B1320" s="37" t="s">
        <v>750</v>
      </c>
      <c r="C1320" s="37" t="s">
        <v>41</v>
      </c>
      <c r="D1320" s="578" t="s">
        <v>1199</v>
      </c>
      <c r="E1320" s="579"/>
      <c r="F1320" s="37" t="s">
        <v>595</v>
      </c>
      <c r="G1320" s="14">
        <v>5</v>
      </c>
      <c r="H1320" s="569"/>
      <c r="I1320" s="55" t="s">
        <v>1720</v>
      </c>
      <c r="J1320" s="14">
        <f>G1320*AO1320</f>
        <v>0</v>
      </c>
      <c r="K1320" s="14">
        <f>G1320*AP1320</f>
        <v>0</v>
      </c>
      <c r="L1320" s="14">
        <f>G1320*H1320</f>
        <v>0</v>
      </c>
      <c r="M1320" s="14">
        <f>L1320*(1+BW1320/100)</f>
        <v>0</v>
      </c>
      <c r="N1320" s="14">
        <v>1.2999999999999999E-3</v>
      </c>
      <c r="O1320" s="14">
        <f>G1320*N1320</f>
        <v>6.4999999999999997E-3</v>
      </c>
      <c r="P1320" s="72" t="s">
        <v>1664</v>
      </c>
      <c r="Z1320" s="14">
        <f>IF(AQ1320="5",BJ1320,0)</f>
        <v>0</v>
      </c>
      <c r="AB1320" s="14">
        <f>IF(AQ1320="1",BH1320,0)</f>
        <v>0</v>
      </c>
      <c r="AC1320" s="14">
        <f>IF(AQ1320="1",BI1320,0)</f>
        <v>0</v>
      </c>
      <c r="AD1320" s="14">
        <f>IF(AQ1320="7",BH1320,0)</f>
        <v>0</v>
      </c>
      <c r="AE1320" s="14">
        <f>IF(AQ1320="7",BI1320,0)</f>
        <v>0</v>
      </c>
      <c r="AF1320" s="14">
        <f>IF(AQ1320="2",BH1320,0)</f>
        <v>0</v>
      </c>
      <c r="AG1320" s="14">
        <f>IF(AQ1320="2",BI1320,0)</f>
        <v>0</v>
      </c>
      <c r="AH1320" s="14">
        <f>IF(AQ1320="0",BJ1320,0)</f>
        <v>0</v>
      </c>
      <c r="AI1320" s="15" t="s">
        <v>750</v>
      </c>
      <c r="AJ1320" s="14">
        <f>IF(AN1320=0,L1320,0)</f>
        <v>0</v>
      </c>
      <c r="AK1320" s="14">
        <f>IF(AN1320=15,L1320,0)</f>
        <v>0</v>
      </c>
      <c r="AL1320" s="14">
        <f>IF(AN1320=21,L1320,0)</f>
        <v>0</v>
      </c>
      <c r="AN1320" s="14">
        <v>21</v>
      </c>
      <c r="AO1320" s="92">
        <f>H1320*0.810063381750948</f>
        <v>0</v>
      </c>
      <c r="AP1320" s="92">
        <f>H1320*(1-0.810063381750948)</f>
        <v>0</v>
      </c>
      <c r="AQ1320" s="55" t="s">
        <v>2435</v>
      </c>
      <c r="AV1320" s="14">
        <f>AW1320+AX1320</f>
        <v>0</v>
      </c>
      <c r="AW1320" s="14">
        <f>G1320*AO1320</f>
        <v>0</v>
      </c>
      <c r="AX1320" s="14">
        <f>G1320*AP1320</f>
        <v>0</v>
      </c>
      <c r="AY1320" s="55" t="s">
        <v>1091</v>
      </c>
      <c r="AZ1320" s="55" t="s">
        <v>1212</v>
      </c>
      <c r="BA1320" s="15" t="s">
        <v>1027</v>
      </c>
      <c r="BC1320" s="14">
        <f>AW1320+AX1320</f>
        <v>0</v>
      </c>
      <c r="BD1320" s="14">
        <f>H1320/(100-BE1320)*100</f>
        <v>0</v>
      </c>
      <c r="BE1320" s="14">
        <v>0</v>
      </c>
      <c r="BF1320" s="14">
        <f>O1320</f>
        <v>6.4999999999999997E-3</v>
      </c>
      <c r="BH1320" s="14">
        <f>G1320*AO1320</f>
        <v>0</v>
      </c>
      <c r="BI1320" s="14">
        <f>G1320*AP1320</f>
        <v>0</v>
      </c>
      <c r="BJ1320" s="14">
        <f>G1320*H1320</f>
        <v>0</v>
      </c>
      <c r="BK1320" s="14"/>
      <c r="BL1320" s="14">
        <v>725</v>
      </c>
      <c r="BW1320" s="14" t="str">
        <f>I1320</f>
        <v>21</v>
      </c>
    </row>
    <row r="1321" spans="1:75" ht="15" customHeight="1">
      <c r="A1321" s="32"/>
      <c r="D1321" s="3" t="s">
        <v>1287</v>
      </c>
      <c r="E1321" s="28" t="s">
        <v>1683</v>
      </c>
      <c r="G1321" s="27">
        <v>5</v>
      </c>
      <c r="P1321" s="33"/>
    </row>
    <row r="1322" spans="1:75" ht="27" customHeight="1">
      <c r="A1322" s="21" t="s">
        <v>1886</v>
      </c>
      <c r="B1322" s="37" t="s">
        <v>750</v>
      </c>
      <c r="C1322" s="37" t="s">
        <v>2382</v>
      </c>
      <c r="D1322" s="578" t="s">
        <v>1802</v>
      </c>
      <c r="E1322" s="579"/>
      <c r="F1322" s="37" t="s">
        <v>595</v>
      </c>
      <c r="G1322" s="14">
        <v>11</v>
      </c>
      <c r="H1322" s="569"/>
      <c r="I1322" s="55" t="s">
        <v>1720</v>
      </c>
      <c r="J1322" s="14">
        <f>G1322*AO1322</f>
        <v>0</v>
      </c>
      <c r="K1322" s="14">
        <f>G1322*AP1322</f>
        <v>0</v>
      </c>
      <c r="L1322" s="14">
        <f>G1322*H1322</f>
        <v>0</v>
      </c>
      <c r="M1322" s="14">
        <f>L1322*(1+BW1322/100)</f>
        <v>0</v>
      </c>
      <c r="N1322" s="14">
        <v>8.4999999999999995E-4</v>
      </c>
      <c r="O1322" s="14">
        <f>G1322*N1322</f>
        <v>9.3499999999999989E-3</v>
      </c>
      <c r="P1322" s="72" t="s">
        <v>1664</v>
      </c>
      <c r="Z1322" s="14">
        <f>IF(AQ1322="5",BJ1322,0)</f>
        <v>0</v>
      </c>
      <c r="AB1322" s="14">
        <f>IF(AQ1322="1",BH1322,0)</f>
        <v>0</v>
      </c>
      <c r="AC1322" s="14">
        <f>IF(AQ1322="1",BI1322,0)</f>
        <v>0</v>
      </c>
      <c r="AD1322" s="14">
        <f>IF(AQ1322="7",BH1322,0)</f>
        <v>0</v>
      </c>
      <c r="AE1322" s="14">
        <f>IF(AQ1322="7",BI1322,0)</f>
        <v>0</v>
      </c>
      <c r="AF1322" s="14">
        <f>IF(AQ1322="2",BH1322,0)</f>
        <v>0</v>
      </c>
      <c r="AG1322" s="14">
        <f>IF(AQ1322="2",BI1322,0)</f>
        <v>0</v>
      </c>
      <c r="AH1322" s="14">
        <f>IF(AQ1322="0",BJ1322,0)</f>
        <v>0</v>
      </c>
      <c r="AI1322" s="15" t="s">
        <v>750</v>
      </c>
      <c r="AJ1322" s="14">
        <f>IF(AN1322=0,L1322,0)</f>
        <v>0</v>
      </c>
      <c r="AK1322" s="14">
        <f>IF(AN1322=15,L1322,0)</f>
        <v>0</v>
      </c>
      <c r="AL1322" s="14">
        <f>IF(AN1322=21,L1322,0)</f>
        <v>0</v>
      </c>
      <c r="AN1322" s="14">
        <v>21</v>
      </c>
      <c r="AO1322" s="92">
        <f>H1322*0.898652202119778</f>
        <v>0</v>
      </c>
      <c r="AP1322" s="92">
        <f>H1322*(1-0.898652202119778)</f>
        <v>0</v>
      </c>
      <c r="AQ1322" s="55" t="s">
        <v>2435</v>
      </c>
      <c r="AV1322" s="14">
        <f>AW1322+AX1322</f>
        <v>0</v>
      </c>
      <c r="AW1322" s="14">
        <f>G1322*AO1322</f>
        <v>0</v>
      </c>
      <c r="AX1322" s="14">
        <f>G1322*AP1322</f>
        <v>0</v>
      </c>
      <c r="AY1322" s="55" t="s">
        <v>1091</v>
      </c>
      <c r="AZ1322" s="55" t="s">
        <v>1212</v>
      </c>
      <c r="BA1322" s="15" t="s">
        <v>1027</v>
      </c>
      <c r="BC1322" s="14">
        <f>AW1322+AX1322</f>
        <v>0</v>
      </c>
      <c r="BD1322" s="14">
        <f>H1322/(100-BE1322)*100</f>
        <v>0</v>
      </c>
      <c r="BE1322" s="14">
        <v>0</v>
      </c>
      <c r="BF1322" s="14">
        <f>O1322</f>
        <v>9.3499999999999989E-3</v>
      </c>
      <c r="BH1322" s="14">
        <f>G1322*AO1322</f>
        <v>0</v>
      </c>
      <c r="BI1322" s="14">
        <f>G1322*AP1322</f>
        <v>0</v>
      </c>
      <c r="BJ1322" s="14">
        <f>G1322*H1322</f>
        <v>0</v>
      </c>
      <c r="BK1322" s="14"/>
      <c r="BL1322" s="14">
        <v>725</v>
      </c>
      <c r="BW1322" s="14" t="str">
        <f>I1322</f>
        <v>21</v>
      </c>
    </row>
    <row r="1323" spans="1:75" ht="15" customHeight="1">
      <c r="A1323" s="32"/>
      <c r="D1323" s="3" t="s">
        <v>2037</v>
      </c>
      <c r="E1323" s="28" t="s">
        <v>1683</v>
      </c>
      <c r="G1323" s="27">
        <v>11.000000000000002</v>
      </c>
      <c r="P1323" s="33"/>
    </row>
    <row r="1324" spans="1:75" ht="13.5" customHeight="1">
      <c r="A1324" s="21" t="s">
        <v>1010</v>
      </c>
      <c r="B1324" s="37" t="s">
        <v>750</v>
      </c>
      <c r="C1324" s="37" t="s">
        <v>2404</v>
      </c>
      <c r="D1324" s="578" t="s">
        <v>2271</v>
      </c>
      <c r="E1324" s="579"/>
      <c r="F1324" s="37" t="s">
        <v>595</v>
      </c>
      <c r="G1324" s="14">
        <v>1</v>
      </c>
      <c r="H1324" s="569"/>
      <c r="I1324" s="55" t="s">
        <v>1720</v>
      </c>
      <c r="J1324" s="14">
        <f>G1324*AO1324</f>
        <v>0</v>
      </c>
      <c r="K1324" s="14">
        <f>G1324*AP1324</f>
        <v>0</v>
      </c>
      <c r="L1324" s="14">
        <f>G1324*H1324</f>
        <v>0</v>
      </c>
      <c r="M1324" s="14">
        <f>L1324*(1+BW1324/100)</f>
        <v>0</v>
      </c>
      <c r="N1324" s="14">
        <v>1.72E-3</v>
      </c>
      <c r="O1324" s="14">
        <f>G1324*N1324</f>
        <v>1.72E-3</v>
      </c>
      <c r="P1324" s="72" t="s">
        <v>1664</v>
      </c>
      <c r="Z1324" s="14">
        <f>IF(AQ1324="5",BJ1324,0)</f>
        <v>0</v>
      </c>
      <c r="AB1324" s="14">
        <f>IF(AQ1324="1",BH1324,0)</f>
        <v>0</v>
      </c>
      <c r="AC1324" s="14">
        <f>IF(AQ1324="1",BI1324,0)</f>
        <v>0</v>
      </c>
      <c r="AD1324" s="14">
        <f>IF(AQ1324="7",BH1324,0)</f>
        <v>0</v>
      </c>
      <c r="AE1324" s="14">
        <f>IF(AQ1324="7",BI1324,0)</f>
        <v>0</v>
      </c>
      <c r="AF1324" s="14">
        <f>IF(AQ1324="2",BH1324,0)</f>
        <v>0</v>
      </c>
      <c r="AG1324" s="14">
        <f>IF(AQ1324="2",BI1324,0)</f>
        <v>0</v>
      </c>
      <c r="AH1324" s="14">
        <f>IF(AQ1324="0",BJ1324,0)</f>
        <v>0</v>
      </c>
      <c r="AI1324" s="15" t="s">
        <v>750</v>
      </c>
      <c r="AJ1324" s="14">
        <f>IF(AN1324=0,L1324,0)</f>
        <v>0</v>
      </c>
      <c r="AK1324" s="14">
        <f>IF(AN1324=15,L1324,0)</f>
        <v>0</v>
      </c>
      <c r="AL1324" s="14">
        <f>IF(AN1324=21,L1324,0)</f>
        <v>0</v>
      </c>
      <c r="AN1324" s="14">
        <v>21</v>
      </c>
      <c r="AO1324" s="92">
        <f>H1324*0.900727969348659</f>
        <v>0</v>
      </c>
      <c r="AP1324" s="92">
        <f>H1324*(1-0.900727969348659)</f>
        <v>0</v>
      </c>
      <c r="AQ1324" s="55" t="s">
        <v>2435</v>
      </c>
      <c r="AV1324" s="14">
        <f>AW1324+AX1324</f>
        <v>0</v>
      </c>
      <c r="AW1324" s="14">
        <f>G1324*AO1324</f>
        <v>0</v>
      </c>
      <c r="AX1324" s="14">
        <f>G1324*AP1324</f>
        <v>0</v>
      </c>
      <c r="AY1324" s="55" t="s">
        <v>1091</v>
      </c>
      <c r="AZ1324" s="55" t="s">
        <v>1212</v>
      </c>
      <c r="BA1324" s="15" t="s">
        <v>1027</v>
      </c>
      <c r="BC1324" s="14">
        <f>AW1324+AX1324</f>
        <v>0</v>
      </c>
      <c r="BD1324" s="14">
        <f>H1324/(100-BE1324)*100</f>
        <v>0</v>
      </c>
      <c r="BE1324" s="14">
        <v>0</v>
      </c>
      <c r="BF1324" s="14">
        <f>O1324</f>
        <v>1.72E-3</v>
      </c>
      <c r="BH1324" s="14">
        <f>G1324*AO1324</f>
        <v>0</v>
      </c>
      <c r="BI1324" s="14">
        <f>G1324*AP1324</f>
        <v>0</v>
      </c>
      <c r="BJ1324" s="14">
        <f>G1324*H1324</f>
        <v>0</v>
      </c>
      <c r="BK1324" s="14"/>
      <c r="BL1324" s="14">
        <v>725</v>
      </c>
      <c r="BW1324" s="14" t="str">
        <f>I1324</f>
        <v>21</v>
      </c>
    </row>
    <row r="1325" spans="1:75" ht="15" customHeight="1">
      <c r="A1325" s="32"/>
      <c r="D1325" s="3" t="s">
        <v>2422</v>
      </c>
      <c r="E1325" s="28" t="s">
        <v>1683</v>
      </c>
      <c r="G1325" s="27">
        <v>1</v>
      </c>
      <c r="P1325" s="33"/>
    </row>
    <row r="1326" spans="1:75" ht="13.5" customHeight="1">
      <c r="A1326" s="21" t="s">
        <v>2029</v>
      </c>
      <c r="B1326" s="37" t="s">
        <v>750</v>
      </c>
      <c r="C1326" s="37" t="s">
        <v>356</v>
      </c>
      <c r="D1326" s="578" t="s">
        <v>1974</v>
      </c>
      <c r="E1326" s="579"/>
      <c r="F1326" s="37" t="s">
        <v>856</v>
      </c>
      <c r="G1326" s="14">
        <v>3</v>
      </c>
      <c r="H1326" s="569"/>
      <c r="I1326" s="55" t="s">
        <v>1720</v>
      </c>
      <c r="J1326" s="14">
        <f>G1326*AO1326</f>
        <v>0</v>
      </c>
      <c r="K1326" s="14">
        <f>G1326*AP1326</f>
        <v>0</v>
      </c>
      <c r="L1326" s="14">
        <f>G1326*H1326</f>
        <v>0</v>
      </c>
      <c r="M1326" s="14">
        <f>L1326*(1+BW1326/100)</f>
        <v>0</v>
      </c>
      <c r="N1326" s="14">
        <v>3.32E-3</v>
      </c>
      <c r="O1326" s="14">
        <f>G1326*N1326</f>
        <v>9.9600000000000001E-3</v>
      </c>
      <c r="P1326" s="72" t="s">
        <v>1664</v>
      </c>
      <c r="Z1326" s="14">
        <f>IF(AQ1326="5",BJ1326,0)</f>
        <v>0</v>
      </c>
      <c r="AB1326" s="14">
        <f>IF(AQ1326="1",BH1326,0)</f>
        <v>0</v>
      </c>
      <c r="AC1326" s="14">
        <f>IF(AQ1326="1",BI1326,0)</f>
        <v>0</v>
      </c>
      <c r="AD1326" s="14">
        <f>IF(AQ1326="7",BH1326,0)</f>
        <v>0</v>
      </c>
      <c r="AE1326" s="14">
        <f>IF(AQ1326="7",BI1326,0)</f>
        <v>0</v>
      </c>
      <c r="AF1326" s="14">
        <f>IF(AQ1326="2",BH1326,0)</f>
        <v>0</v>
      </c>
      <c r="AG1326" s="14">
        <f>IF(AQ1326="2",BI1326,0)</f>
        <v>0</v>
      </c>
      <c r="AH1326" s="14">
        <f>IF(AQ1326="0",BJ1326,0)</f>
        <v>0</v>
      </c>
      <c r="AI1326" s="15" t="s">
        <v>750</v>
      </c>
      <c r="AJ1326" s="14">
        <f>IF(AN1326=0,L1326,0)</f>
        <v>0</v>
      </c>
      <c r="AK1326" s="14">
        <f>IF(AN1326=15,L1326,0)</f>
        <v>0</v>
      </c>
      <c r="AL1326" s="14">
        <f>IF(AN1326=21,L1326,0)</f>
        <v>0</v>
      </c>
      <c r="AN1326" s="14">
        <v>21</v>
      </c>
      <c r="AO1326" s="92">
        <f>H1326*0.956348360655738</f>
        <v>0</v>
      </c>
      <c r="AP1326" s="92">
        <f>H1326*(1-0.956348360655738)</f>
        <v>0</v>
      </c>
      <c r="AQ1326" s="55" t="s">
        <v>2435</v>
      </c>
      <c r="AV1326" s="14">
        <f>AW1326+AX1326</f>
        <v>0</v>
      </c>
      <c r="AW1326" s="14">
        <f>G1326*AO1326</f>
        <v>0</v>
      </c>
      <c r="AX1326" s="14">
        <f>G1326*AP1326</f>
        <v>0</v>
      </c>
      <c r="AY1326" s="55" t="s">
        <v>1091</v>
      </c>
      <c r="AZ1326" s="55" t="s">
        <v>1212</v>
      </c>
      <c r="BA1326" s="15" t="s">
        <v>1027</v>
      </c>
      <c r="BC1326" s="14">
        <f>AW1326+AX1326</f>
        <v>0</v>
      </c>
      <c r="BD1326" s="14">
        <f>H1326/(100-BE1326)*100</f>
        <v>0</v>
      </c>
      <c r="BE1326" s="14">
        <v>0</v>
      </c>
      <c r="BF1326" s="14">
        <f>O1326</f>
        <v>9.9600000000000001E-3</v>
      </c>
      <c r="BH1326" s="14">
        <f>G1326*AO1326</f>
        <v>0</v>
      </c>
      <c r="BI1326" s="14">
        <f>G1326*AP1326</f>
        <v>0</v>
      </c>
      <c r="BJ1326" s="14">
        <f>G1326*H1326</f>
        <v>0</v>
      </c>
      <c r="BK1326" s="14"/>
      <c r="BL1326" s="14">
        <v>725</v>
      </c>
      <c r="BW1326" s="14" t="str">
        <f>I1326</f>
        <v>21</v>
      </c>
    </row>
    <row r="1327" spans="1:75" ht="15" customHeight="1">
      <c r="A1327" s="32"/>
      <c r="D1327" s="3" t="s">
        <v>2111</v>
      </c>
      <c r="E1327" s="28" t="s">
        <v>1683</v>
      </c>
      <c r="G1327" s="27">
        <v>3.0000000000000004</v>
      </c>
      <c r="P1327" s="33"/>
    </row>
    <row r="1328" spans="1:75" ht="27" customHeight="1">
      <c r="A1328" s="21" t="s">
        <v>1705</v>
      </c>
      <c r="B1328" s="37" t="s">
        <v>750</v>
      </c>
      <c r="C1328" s="37" t="s">
        <v>1481</v>
      </c>
      <c r="D1328" s="578" t="s">
        <v>926</v>
      </c>
      <c r="E1328" s="579"/>
      <c r="F1328" s="37" t="s">
        <v>595</v>
      </c>
      <c r="G1328" s="14">
        <v>4</v>
      </c>
      <c r="H1328" s="569"/>
      <c r="I1328" s="55" t="s">
        <v>1720</v>
      </c>
      <c r="J1328" s="14">
        <f>G1328*AO1328</f>
        <v>0</v>
      </c>
      <c r="K1328" s="14">
        <f>G1328*AP1328</f>
        <v>0</v>
      </c>
      <c r="L1328" s="14">
        <f>G1328*H1328</f>
        <v>0</v>
      </c>
      <c r="M1328" s="14">
        <f>L1328*(1+BW1328/100)</f>
        <v>0</v>
      </c>
      <c r="N1328" s="14">
        <v>2.7E-4</v>
      </c>
      <c r="O1328" s="14">
        <f>G1328*N1328</f>
        <v>1.08E-3</v>
      </c>
      <c r="P1328" s="72" t="s">
        <v>1664</v>
      </c>
      <c r="Z1328" s="14">
        <f>IF(AQ1328="5",BJ1328,0)</f>
        <v>0</v>
      </c>
      <c r="AB1328" s="14">
        <f>IF(AQ1328="1",BH1328,0)</f>
        <v>0</v>
      </c>
      <c r="AC1328" s="14">
        <f>IF(AQ1328="1",BI1328,0)</f>
        <v>0</v>
      </c>
      <c r="AD1328" s="14">
        <f>IF(AQ1328="7",BH1328,0)</f>
        <v>0</v>
      </c>
      <c r="AE1328" s="14">
        <f>IF(AQ1328="7",BI1328,0)</f>
        <v>0</v>
      </c>
      <c r="AF1328" s="14">
        <f>IF(AQ1328="2",BH1328,0)</f>
        <v>0</v>
      </c>
      <c r="AG1328" s="14">
        <f>IF(AQ1328="2",BI1328,0)</f>
        <v>0</v>
      </c>
      <c r="AH1328" s="14">
        <f>IF(AQ1328="0",BJ1328,0)</f>
        <v>0</v>
      </c>
      <c r="AI1328" s="15" t="s">
        <v>750</v>
      </c>
      <c r="AJ1328" s="14">
        <f>IF(AN1328=0,L1328,0)</f>
        <v>0</v>
      </c>
      <c r="AK1328" s="14">
        <f>IF(AN1328=15,L1328,0)</f>
        <v>0</v>
      </c>
      <c r="AL1328" s="14">
        <f>IF(AN1328=21,L1328,0)</f>
        <v>0</v>
      </c>
      <c r="AN1328" s="14">
        <v>21</v>
      </c>
      <c r="AO1328" s="92">
        <f>H1328*0.844663573085847</f>
        <v>0</v>
      </c>
      <c r="AP1328" s="92">
        <f>H1328*(1-0.844663573085847)</f>
        <v>0</v>
      </c>
      <c r="AQ1328" s="55" t="s">
        <v>2435</v>
      </c>
      <c r="AV1328" s="14">
        <f>AW1328+AX1328</f>
        <v>0</v>
      </c>
      <c r="AW1328" s="14">
        <f>G1328*AO1328</f>
        <v>0</v>
      </c>
      <c r="AX1328" s="14">
        <f>G1328*AP1328</f>
        <v>0</v>
      </c>
      <c r="AY1328" s="55" t="s">
        <v>1091</v>
      </c>
      <c r="AZ1328" s="55" t="s">
        <v>1212</v>
      </c>
      <c r="BA1328" s="15" t="s">
        <v>1027</v>
      </c>
      <c r="BC1328" s="14">
        <f>AW1328+AX1328</f>
        <v>0</v>
      </c>
      <c r="BD1328" s="14">
        <f>H1328/(100-BE1328)*100</f>
        <v>0</v>
      </c>
      <c r="BE1328" s="14">
        <v>0</v>
      </c>
      <c r="BF1328" s="14">
        <f>O1328</f>
        <v>1.08E-3</v>
      </c>
      <c r="BH1328" s="14">
        <f>G1328*AO1328</f>
        <v>0</v>
      </c>
      <c r="BI1328" s="14">
        <f>G1328*AP1328</f>
        <v>0</v>
      </c>
      <c r="BJ1328" s="14">
        <f>G1328*H1328</f>
        <v>0</v>
      </c>
      <c r="BK1328" s="14"/>
      <c r="BL1328" s="14">
        <v>725</v>
      </c>
      <c r="BW1328" s="14" t="str">
        <f>I1328</f>
        <v>21</v>
      </c>
    </row>
    <row r="1329" spans="1:75" ht="15" customHeight="1">
      <c r="A1329" s="32"/>
      <c r="D1329" s="3" t="s">
        <v>272</v>
      </c>
      <c r="E1329" s="28" t="s">
        <v>1683</v>
      </c>
      <c r="G1329" s="27">
        <v>4</v>
      </c>
      <c r="P1329" s="33"/>
    </row>
    <row r="1330" spans="1:75" ht="13.5" customHeight="1">
      <c r="A1330" s="21" t="s">
        <v>956</v>
      </c>
      <c r="B1330" s="37" t="s">
        <v>750</v>
      </c>
      <c r="C1330" s="37" t="s">
        <v>960</v>
      </c>
      <c r="D1330" s="578" t="s">
        <v>308</v>
      </c>
      <c r="E1330" s="579"/>
      <c r="F1330" s="37" t="s">
        <v>595</v>
      </c>
      <c r="G1330" s="14">
        <v>5</v>
      </c>
      <c r="H1330" s="569"/>
      <c r="I1330" s="55" t="s">
        <v>1720</v>
      </c>
      <c r="J1330" s="14">
        <f>G1330*AO1330</f>
        <v>0</v>
      </c>
      <c r="K1330" s="14">
        <f>G1330*AP1330</f>
        <v>0</v>
      </c>
      <c r="L1330" s="14">
        <f>G1330*H1330</f>
        <v>0</v>
      </c>
      <c r="M1330" s="14">
        <f>L1330*(1+BW1330/100)</f>
        <v>0</v>
      </c>
      <c r="N1330" s="14">
        <v>1.2999999999999999E-4</v>
      </c>
      <c r="O1330" s="14">
        <f>G1330*N1330</f>
        <v>6.4999999999999997E-4</v>
      </c>
      <c r="P1330" s="72" t="s">
        <v>1664</v>
      </c>
      <c r="Z1330" s="14">
        <f>IF(AQ1330="5",BJ1330,0)</f>
        <v>0</v>
      </c>
      <c r="AB1330" s="14">
        <f>IF(AQ1330="1",BH1330,0)</f>
        <v>0</v>
      </c>
      <c r="AC1330" s="14">
        <f>IF(AQ1330="1",BI1330,0)</f>
        <v>0</v>
      </c>
      <c r="AD1330" s="14">
        <f>IF(AQ1330="7",BH1330,0)</f>
        <v>0</v>
      </c>
      <c r="AE1330" s="14">
        <f>IF(AQ1330="7",BI1330,0)</f>
        <v>0</v>
      </c>
      <c r="AF1330" s="14">
        <f>IF(AQ1330="2",BH1330,0)</f>
        <v>0</v>
      </c>
      <c r="AG1330" s="14">
        <f>IF(AQ1330="2",BI1330,0)</f>
        <v>0</v>
      </c>
      <c r="AH1330" s="14">
        <f>IF(AQ1330="0",BJ1330,0)</f>
        <v>0</v>
      </c>
      <c r="AI1330" s="15" t="s">
        <v>750</v>
      </c>
      <c r="AJ1330" s="14">
        <f>IF(AN1330=0,L1330,0)</f>
        <v>0</v>
      </c>
      <c r="AK1330" s="14">
        <f>IF(AN1330=15,L1330,0)</f>
        <v>0</v>
      </c>
      <c r="AL1330" s="14">
        <f>IF(AN1330=21,L1330,0)</f>
        <v>0</v>
      </c>
      <c r="AN1330" s="14">
        <v>21</v>
      </c>
      <c r="AO1330" s="92">
        <f>H1330*0.778639240506329</f>
        <v>0</v>
      </c>
      <c r="AP1330" s="92">
        <f>H1330*(1-0.778639240506329)</f>
        <v>0</v>
      </c>
      <c r="AQ1330" s="55" t="s">
        <v>2435</v>
      </c>
      <c r="AV1330" s="14">
        <f>AW1330+AX1330</f>
        <v>0</v>
      </c>
      <c r="AW1330" s="14">
        <f>G1330*AO1330</f>
        <v>0</v>
      </c>
      <c r="AX1330" s="14">
        <f>G1330*AP1330</f>
        <v>0</v>
      </c>
      <c r="AY1330" s="55" t="s">
        <v>1091</v>
      </c>
      <c r="AZ1330" s="55" t="s">
        <v>1212</v>
      </c>
      <c r="BA1330" s="15" t="s">
        <v>1027</v>
      </c>
      <c r="BC1330" s="14">
        <f>AW1330+AX1330</f>
        <v>0</v>
      </c>
      <c r="BD1330" s="14">
        <f>H1330/(100-BE1330)*100</f>
        <v>0</v>
      </c>
      <c r="BE1330" s="14">
        <v>0</v>
      </c>
      <c r="BF1330" s="14">
        <f>O1330</f>
        <v>6.4999999999999997E-4</v>
      </c>
      <c r="BH1330" s="14">
        <f>G1330*AO1330</f>
        <v>0</v>
      </c>
      <c r="BI1330" s="14">
        <f>G1330*AP1330</f>
        <v>0</v>
      </c>
      <c r="BJ1330" s="14">
        <f>G1330*H1330</f>
        <v>0</v>
      </c>
      <c r="BK1330" s="14"/>
      <c r="BL1330" s="14">
        <v>725</v>
      </c>
      <c r="BW1330" s="14" t="str">
        <f>I1330</f>
        <v>21</v>
      </c>
    </row>
    <row r="1331" spans="1:75" ht="15" customHeight="1">
      <c r="A1331" s="32"/>
      <c r="D1331" s="3" t="s">
        <v>1287</v>
      </c>
      <c r="E1331" s="28" t="s">
        <v>1683</v>
      </c>
      <c r="G1331" s="27">
        <v>5</v>
      </c>
      <c r="P1331" s="33"/>
    </row>
    <row r="1332" spans="1:75" ht="13.5" customHeight="1">
      <c r="A1332" s="21" t="s">
        <v>1106</v>
      </c>
      <c r="B1332" s="37" t="s">
        <v>750</v>
      </c>
      <c r="C1332" s="37" t="s">
        <v>1322</v>
      </c>
      <c r="D1332" s="578" t="s">
        <v>2392</v>
      </c>
      <c r="E1332" s="579"/>
      <c r="F1332" s="37" t="s">
        <v>595</v>
      </c>
      <c r="G1332" s="14">
        <v>16</v>
      </c>
      <c r="H1332" s="569"/>
      <c r="I1332" s="55" t="s">
        <v>1720</v>
      </c>
      <c r="J1332" s="14">
        <f>G1332*AO1332</f>
        <v>0</v>
      </c>
      <c r="K1332" s="14">
        <f>G1332*AP1332</f>
        <v>0</v>
      </c>
      <c r="L1332" s="14">
        <f>G1332*H1332</f>
        <v>0</v>
      </c>
      <c r="M1332" s="14">
        <f>L1332*(1+BW1332/100)</f>
        <v>0</v>
      </c>
      <c r="N1332" s="14">
        <v>2.2000000000000001E-4</v>
      </c>
      <c r="O1332" s="14">
        <f>G1332*N1332</f>
        <v>3.5200000000000001E-3</v>
      </c>
      <c r="P1332" s="72" t="s">
        <v>1664</v>
      </c>
      <c r="Z1332" s="14">
        <f>IF(AQ1332="5",BJ1332,0)</f>
        <v>0</v>
      </c>
      <c r="AB1332" s="14">
        <f>IF(AQ1332="1",BH1332,0)</f>
        <v>0</v>
      </c>
      <c r="AC1332" s="14">
        <f>IF(AQ1332="1",BI1332,0)</f>
        <v>0</v>
      </c>
      <c r="AD1332" s="14">
        <f>IF(AQ1332="7",BH1332,0)</f>
        <v>0</v>
      </c>
      <c r="AE1332" s="14">
        <f>IF(AQ1332="7",BI1332,0)</f>
        <v>0</v>
      </c>
      <c r="AF1332" s="14">
        <f>IF(AQ1332="2",BH1332,0)</f>
        <v>0</v>
      </c>
      <c r="AG1332" s="14">
        <f>IF(AQ1332="2",BI1332,0)</f>
        <v>0</v>
      </c>
      <c r="AH1332" s="14">
        <f>IF(AQ1332="0",BJ1332,0)</f>
        <v>0</v>
      </c>
      <c r="AI1332" s="15" t="s">
        <v>750</v>
      </c>
      <c r="AJ1332" s="14">
        <f>IF(AN1332=0,L1332,0)</f>
        <v>0</v>
      </c>
      <c r="AK1332" s="14">
        <f>IF(AN1332=15,L1332,0)</f>
        <v>0</v>
      </c>
      <c r="AL1332" s="14">
        <f>IF(AN1332=21,L1332,0)</f>
        <v>0</v>
      </c>
      <c r="AN1332" s="14">
        <v>21</v>
      </c>
      <c r="AO1332" s="92">
        <f>H1332*0.832661054979832</f>
        <v>0</v>
      </c>
      <c r="AP1332" s="92">
        <f>H1332*(1-0.832661054979832)</f>
        <v>0</v>
      </c>
      <c r="AQ1332" s="55" t="s">
        <v>2435</v>
      </c>
      <c r="AV1332" s="14">
        <f>AW1332+AX1332</f>
        <v>0</v>
      </c>
      <c r="AW1332" s="14">
        <f>G1332*AO1332</f>
        <v>0</v>
      </c>
      <c r="AX1332" s="14">
        <f>G1332*AP1332</f>
        <v>0</v>
      </c>
      <c r="AY1332" s="55" t="s">
        <v>1091</v>
      </c>
      <c r="AZ1332" s="55" t="s">
        <v>1212</v>
      </c>
      <c r="BA1332" s="15" t="s">
        <v>1027</v>
      </c>
      <c r="BC1332" s="14">
        <f>AW1332+AX1332</f>
        <v>0</v>
      </c>
      <c r="BD1332" s="14">
        <f>H1332/(100-BE1332)*100</f>
        <v>0</v>
      </c>
      <c r="BE1332" s="14">
        <v>0</v>
      </c>
      <c r="BF1332" s="14">
        <f>O1332</f>
        <v>3.5200000000000001E-3</v>
      </c>
      <c r="BH1332" s="14">
        <f>G1332*AO1332</f>
        <v>0</v>
      </c>
      <c r="BI1332" s="14">
        <f>G1332*AP1332</f>
        <v>0</v>
      </c>
      <c r="BJ1332" s="14">
        <f>G1332*H1332</f>
        <v>0</v>
      </c>
      <c r="BK1332" s="14"/>
      <c r="BL1332" s="14">
        <v>725</v>
      </c>
      <c r="BW1332" s="14" t="str">
        <f>I1332</f>
        <v>21</v>
      </c>
    </row>
    <row r="1333" spans="1:75" ht="15" customHeight="1">
      <c r="A1333" s="32"/>
      <c r="D1333" s="3" t="s">
        <v>1072</v>
      </c>
      <c r="E1333" s="28" t="s">
        <v>1683</v>
      </c>
      <c r="G1333" s="27">
        <v>16</v>
      </c>
      <c r="P1333" s="33"/>
    </row>
    <row r="1334" spans="1:75" ht="13.5" customHeight="1">
      <c r="A1334" s="21" t="s">
        <v>1305</v>
      </c>
      <c r="B1334" s="37" t="s">
        <v>750</v>
      </c>
      <c r="C1334" s="37" t="s">
        <v>2714</v>
      </c>
      <c r="D1334" s="578" t="s">
        <v>301</v>
      </c>
      <c r="E1334" s="579"/>
      <c r="F1334" s="37" t="s">
        <v>595</v>
      </c>
      <c r="G1334" s="14">
        <v>3</v>
      </c>
      <c r="H1334" s="569"/>
      <c r="I1334" s="55" t="s">
        <v>1720</v>
      </c>
      <c r="J1334" s="14">
        <f>G1334*AO1334</f>
        <v>0</v>
      </c>
      <c r="K1334" s="14">
        <f>G1334*AP1334</f>
        <v>0</v>
      </c>
      <c r="L1334" s="14">
        <f>G1334*H1334</f>
        <v>0</v>
      </c>
      <c r="M1334" s="14">
        <f>L1334*(1+BW1334/100)</f>
        <v>0</v>
      </c>
      <c r="N1334" s="14">
        <v>8.9999999999999998E-4</v>
      </c>
      <c r="O1334" s="14">
        <f>G1334*N1334</f>
        <v>2.7000000000000001E-3</v>
      </c>
      <c r="P1334" s="72" t="s">
        <v>1664</v>
      </c>
      <c r="Z1334" s="14">
        <f>IF(AQ1334="5",BJ1334,0)</f>
        <v>0</v>
      </c>
      <c r="AB1334" s="14">
        <f>IF(AQ1334="1",BH1334,0)</f>
        <v>0</v>
      </c>
      <c r="AC1334" s="14">
        <f>IF(AQ1334="1",BI1334,0)</f>
        <v>0</v>
      </c>
      <c r="AD1334" s="14">
        <f>IF(AQ1334="7",BH1334,0)</f>
        <v>0</v>
      </c>
      <c r="AE1334" s="14">
        <f>IF(AQ1334="7",BI1334,0)</f>
        <v>0</v>
      </c>
      <c r="AF1334" s="14">
        <f>IF(AQ1334="2",BH1334,0)</f>
        <v>0</v>
      </c>
      <c r="AG1334" s="14">
        <f>IF(AQ1334="2",BI1334,0)</f>
        <v>0</v>
      </c>
      <c r="AH1334" s="14">
        <f>IF(AQ1334="0",BJ1334,0)</f>
        <v>0</v>
      </c>
      <c r="AI1334" s="15" t="s">
        <v>750</v>
      </c>
      <c r="AJ1334" s="14">
        <f>IF(AN1334=0,L1334,0)</f>
        <v>0</v>
      </c>
      <c r="AK1334" s="14">
        <f>IF(AN1334=15,L1334,0)</f>
        <v>0</v>
      </c>
      <c r="AL1334" s="14">
        <f>IF(AN1334=21,L1334,0)</f>
        <v>0</v>
      </c>
      <c r="AN1334" s="14">
        <v>21</v>
      </c>
      <c r="AO1334" s="92">
        <f>H1334*0.941782608695652</f>
        <v>0</v>
      </c>
      <c r="AP1334" s="92">
        <f>H1334*(1-0.941782608695652)</f>
        <v>0</v>
      </c>
      <c r="AQ1334" s="55" t="s">
        <v>2435</v>
      </c>
      <c r="AV1334" s="14">
        <f>AW1334+AX1334</f>
        <v>0</v>
      </c>
      <c r="AW1334" s="14">
        <f>G1334*AO1334</f>
        <v>0</v>
      </c>
      <c r="AX1334" s="14">
        <f>G1334*AP1334</f>
        <v>0</v>
      </c>
      <c r="AY1334" s="55" t="s">
        <v>1091</v>
      </c>
      <c r="AZ1334" s="55" t="s">
        <v>1212</v>
      </c>
      <c r="BA1334" s="15" t="s">
        <v>1027</v>
      </c>
      <c r="BC1334" s="14">
        <f>AW1334+AX1334</f>
        <v>0</v>
      </c>
      <c r="BD1334" s="14">
        <f>H1334/(100-BE1334)*100</f>
        <v>0</v>
      </c>
      <c r="BE1334" s="14">
        <v>0</v>
      </c>
      <c r="BF1334" s="14">
        <f>O1334</f>
        <v>2.7000000000000001E-3</v>
      </c>
      <c r="BH1334" s="14">
        <f>G1334*AO1334</f>
        <v>0</v>
      </c>
      <c r="BI1334" s="14">
        <f>G1334*AP1334</f>
        <v>0</v>
      </c>
      <c r="BJ1334" s="14">
        <f>G1334*H1334</f>
        <v>0</v>
      </c>
      <c r="BK1334" s="14"/>
      <c r="BL1334" s="14">
        <v>725</v>
      </c>
      <c r="BW1334" s="14" t="str">
        <f>I1334</f>
        <v>21</v>
      </c>
    </row>
    <row r="1335" spans="1:75" ht="15" customHeight="1">
      <c r="A1335" s="32"/>
      <c r="D1335" s="3" t="s">
        <v>2111</v>
      </c>
      <c r="E1335" s="28" t="s">
        <v>987</v>
      </c>
      <c r="G1335" s="27">
        <v>3.0000000000000004</v>
      </c>
      <c r="P1335" s="33"/>
    </row>
    <row r="1336" spans="1:75" ht="13.5" customHeight="1">
      <c r="A1336" s="21" t="s">
        <v>1339</v>
      </c>
      <c r="B1336" s="37" t="s">
        <v>750</v>
      </c>
      <c r="C1336" s="37" t="s">
        <v>925</v>
      </c>
      <c r="D1336" s="578" t="s">
        <v>2358</v>
      </c>
      <c r="E1336" s="579"/>
      <c r="F1336" s="37" t="s">
        <v>595</v>
      </c>
      <c r="G1336" s="14">
        <v>15</v>
      </c>
      <c r="H1336" s="569"/>
      <c r="I1336" s="55" t="s">
        <v>1720</v>
      </c>
      <c r="J1336" s="14">
        <f>G1336*AO1336</f>
        <v>0</v>
      </c>
      <c r="K1336" s="14">
        <f>G1336*AP1336</f>
        <v>0</v>
      </c>
      <c r="L1336" s="14">
        <f>G1336*H1336</f>
        <v>0</v>
      </c>
      <c r="M1336" s="14">
        <f>L1336*(1+BW1336/100)</f>
        <v>0</v>
      </c>
      <c r="N1336" s="14">
        <v>6.9999999999999999E-4</v>
      </c>
      <c r="O1336" s="14">
        <f>G1336*N1336</f>
        <v>1.0500000000000001E-2</v>
      </c>
      <c r="P1336" s="72" t="s">
        <v>1664</v>
      </c>
      <c r="Z1336" s="14">
        <f>IF(AQ1336="5",BJ1336,0)</f>
        <v>0</v>
      </c>
      <c r="AB1336" s="14">
        <f>IF(AQ1336="1",BH1336,0)</f>
        <v>0</v>
      </c>
      <c r="AC1336" s="14">
        <f>IF(AQ1336="1",BI1336,0)</f>
        <v>0</v>
      </c>
      <c r="AD1336" s="14">
        <f>IF(AQ1336="7",BH1336,0)</f>
        <v>0</v>
      </c>
      <c r="AE1336" s="14">
        <f>IF(AQ1336="7",BI1336,0)</f>
        <v>0</v>
      </c>
      <c r="AF1336" s="14">
        <f>IF(AQ1336="2",BH1336,0)</f>
        <v>0</v>
      </c>
      <c r="AG1336" s="14">
        <f>IF(AQ1336="2",BI1336,0)</f>
        <v>0</v>
      </c>
      <c r="AH1336" s="14">
        <f>IF(AQ1336="0",BJ1336,0)</f>
        <v>0</v>
      </c>
      <c r="AI1336" s="15" t="s">
        <v>750</v>
      </c>
      <c r="AJ1336" s="14">
        <f>IF(AN1336=0,L1336,0)</f>
        <v>0</v>
      </c>
      <c r="AK1336" s="14">
        <f>IF(AN1336=15,L1336,0)</f>
        <v>0</v>
      </c>
      <c r="AL1336" s="14">
        <f>IF(AN1336=21,L1336,0)</f>
        <v>0</v>
      </c>
      <c r="AN1336" s="14">
        <v>21</v>
      </c>
      <c r="AO1336" s="92">
        <f>H1336*0.411081871345029</f>
        <v>0</v>
      </c>
      <c r="AP1336" s="92">
        <f>H1336*(1-0.411081871345029)</f>
        <v>0</v>
      </c>
      <c r="AQ1336" s="55" t="s">
        <v>2435</v>
      </c>
      <c r="AV1336" s="14">
        <f>AW1336+AX1336</f>
        <v>0</v>
      </c>
      <c r="AW1336" s="14">
        <f>G1336*AO1336</f>
        <v>0</v>
      </c>
      <c r="AX1336" s="14">
        <f>G1336*AP1336</f>
        <v>0</v>
      </c>
      <c r="AY1336" s="55" t="s">
        <v>1091</v>
      </c>
      <c r="AZ1336" s="55" t="s">
        <v>1212</v>
      </c>
      <c r="BA1336" s="15" t="s">
        <v>1027</v>
      </c>
      <c r="BC1336" s="14">
        <f>AW1336+AX1336</f>
        <v>0</v>
      </c>
      <c r="BD1336" s="14">
        <f>H1336/(100-BE1336)*100</f>
        <v>0</v>
      </c>
      <c r="BE1336" s="14">
        <v>0</v>
      </c>
      <c r="BF1336" s="14">
        <f>O1336</f>
        <v>1.0500000000000001E-2</v>
      </c>
      <c r="BH1336" s="14">
        <f>G1336*AO1336</f>
        <v>0</v>
      </c>
      <c r="BI1336" s="14">
        <f>G1336*AP1336</f>
        <v>0</v>
      </c>
      <c r="BJ1336" s="14">
        <f>G1336*H1336</f>
        <v>0</v>
      </c>
      <c r="BK1336" s="14"/>
      <c r="BL1336" s="14">
        <v>725</v>
      </c>
      <c r="BW1336" s="14" t="str">
        <f>I1336</f>
        <v>21</v>
      </c>
    </row>
    <row r="1337" spans="1:75" ht="15" customHeight="1">
      <c r="A1337" s="32"/>
      <c r="D1337" s="3" t="s">
        <v>957</v>
      </c>
      <c r="E1337" s="28" t="s">
        <v>1683</v>
      </c>
      <c r="G1337" s="27">
        <v>15.000000000000002</v>
      </c>
      <c r="P1337" s="33"/>
    </row>
    <row r="1338" spans="1:75" ht="13.5" customHeight="1">
      <c r="A1338" s="20" t="s">
        <v>2452</v>
      </c>
      <c r="B1338" s="84" t="s">
        <v>750</v>
      </c>
      <c r="C1338" s="84" t="s">
        <v>1250</v>
      </c>
      <c r="D1338" s="653" t="s">
        <v>796</v>
      </c>
      <c r="E1338" s="654"/>
      <c r="F1338" s="84" t="s">
        <v>595</v>
      </c>
      <c r="G1338" s="6">
        <v>15</v>
      </c>
      <c r="H1338" s="570"/>
      <c r="I1338" s="18" t="s">
        <v>1720</v>
      </c>
      <c r="J1338" s="6">
        <f>G1338*AO1338</f>
        <v>0</v>
      </c>
      <c r="K1338" s="6">
        <f>G1338*AP1338</f>
        <v>0</v>
      </c>
      <c r="L1338" s="6">
        <f>G1338*H1338</f>
        <v>0</v>
      </c>
      <c r="M1338" s="6">
        <f>L1338*(1+BW1338/100)</f>
        <v>0</v>
      </c>
      <c r="N1338" s="6">
        <v>5.9999999999999995E-4</v>
      </c>
      <c r="O1338" s="6">
        <f>G1338*N1338</f>
        <v>8.9999999999999993E-3</v>
      </c>
      <c r="P1338" s="109" t="s">
        <v>1664</v>
      </c>
      <c r="Z1338" s="14">
        <f>IF(AQ1338="5",BJ1338,0)</f>
        <v>0</v>
      </c>
      <c r="AB1338" s="14">
        <f>IF(AQ1338="1",BH1338,0)</f>
        <v>0</v>
      </c>
      <c r="AC1338" s="14">
        <f>IF(AQ1338="1",BI1338,0)</f>
        <v>0</v>
      </c>
      <c r="AD1338" s="14">
        <f>IF(AQ1338="7",BH1338,0)</f>
        <v>0</v>
      </c>
      <c r="AE1338" s="14">
        <f>IF(AQ1338="7",BI1338,0)</f>
        <v>0</v>
      </c>
      <c r="AF1338" s="14">
        <f>IF(AQ1338="2",BH1338,0)</f>
        <v>0</v>
      </c>
      <c r="AG1338" s="14">
        <f>IF(AQ1338="2",BI1338,0)</f>
        <v>0</v>
      </c>
      <c r="AH1338" s="14">
        <f>IF(AQ1338="0",BJ1338,0)</f>
        <v>0</v>
      </c>
      <c r="AI1338" s="15" t="s">
        <v>750</v>
      </c>
      <c r="AJ1338" s="6">
        <f>IF(AN1338=0,L1338,0)</f>
        <v>0</v>
      </c>
      <c r="AK1338" s="6">
        <f>IF(AN1338=15,L1338,0)</f>
        <v>0</v>
      </c>
      <c r="AL1338" s="6">
        <f>IF(AN1338=21,L1338,0)</f>
        <v>0</v>
      </c>
      <c r="AN1338" s="14">
        <v>21</v>
      </c>
      <c r="AO1338" s="92">
        <f>H1338*1</f>
        <v>0</v>
      </c>
      <c r="AP1338" s="92">
        <f>H1338*(1-1)</f>
        <v>0</v>
      </c>
      <c r="AQ1338" s="18" t="s">
        <v>2435</v>
      </c>
      <c r="AV1338" s="14">
        <f>AW1338+AX1338</f>
        <v>0</v>
      </c>
      <c r="AW1338" s="14">
        <f>G1338*AO1338</f>
        <v>0</v>
      </c>
      <c r="AX1338" s="14">
        <f>G1338*AP1338</f>
        <v>0</v>
      </c>
      <c r="AY1338" s="55" t="s">
        <v>1091</v>
      </c>
      <c r="AZ1338" s="55" t="s">
        <v>1212</v>
      </c>
      <c r="BA1338" s="15" t="s">
        <v>1027</v>
      </c>
      <c r="BC1338" s="14">
        <f>AW1338+AX1338</f>
        <v>0</v>
      </c>
      <c r="BD1338" s="14">
        <f>H1338/(100-BE1338)*100</f>
        <v>0</v>
      </c>
      <c r="BE1338" s="14">
        <v>0</v>
      </c>
      <c r="BF1338" s="14">
        <f>O1338</f>
        <v>8.9999999999999993E-3</v>
      </c>
      <c r="BH1338" s="6">
        <f>G1338*AO1338</f>
        <v>0</v>
      </c>
      <c r="BI1338" s="6">
        <f>G1338*AP1338</f>
        <v>0</v>
      </c>
      <c r="BJ1338" s="6">
        <f>G1338*H1338</f>
        <v>0</v>
      </c>
      <c r="BK1338" s="6"/>
      <c r="BL1338" s="14">
        <v>725</v>
      </c>
      <c r="BW1338" s="14" t="str">
        <f>I1338</f>
        <v>21</v>
      </c>
    </row>
    <row r="1339" spans="1:75" ht="15" customHeight="1">
      <c r="A1339" s="32"/>
      <c r="D1339" s="3" t="s">
        <v>957</v>
      </c>
      <c r="E1339" s="28" t="s">
        <v>1683</v>
      </c>
      <c r="G1339" s="27">
        <v>15.000000000000002</v>
      </c>
      <c r="P1339" s="33"/>
    </row>
    <row r="1340" spans="1:75" ht="13.5" customHeight="1">
      <c r="A1340" s="21" t="s">
        <v>1723</v>
      </c>
      <c r="B1340" s="37" t="s">
        <v>750</v>
      </c>
      <c r="C1340" s="37" t="s">
        <v>37</v>
      </c>
      <c r="D1340" s="578" t="s">
        <v>1241</v>
      </c>
      <c r="E1340" s="579"/>
      <c r="F1340" s="37" t="s">
        <v>856</v>
      </c>
      <c r="G1340" s="14">
        <v>1</v>
      </c>
      <c r="H1340" s="569"/>
      <c r="I1340" s="55" t="s">
        <v>1720</v>
      </c>
      <c r="J1340" s="14">
        <f>G1340*AO1340</f>
        <v>0</v>
      </c>
      <c r="K1340" s="14">
        <f>G1340*AP1340</f>
        <v>0</v>
      </c>
      <c r="L1340" s="14">
        <f>G1340*H1340</f>
        <v>0</v>
      </c>
      <c r="M1340" s="14">
        <f>L1340*(1+BW1340/100)</f>
        <v>0</v>
      </c>
      <c r="N1340" s="14">
        <v>3.3400000000000001E-3</v>
      </c>
      <c r="O1340" s="14">
        <f>G1340*N1340</f>
        <v>3.3400000000000001E-3</v>
      </c>
      <c r="P1340" s="72" t="s">
        <v>1664</v>
      </c>
      <c r="Z1340" s="14">
        <f>IF(AQ1340="5",BJ1340,0)</f>
        <v>0</v>
      </c>
      <c r="AB1340" s="14">
        <f>IF(AQ1340="1",BH1340,0)</f>
        <v>0</v>
      </c>
      <c r="AC1340" s="14">
        <f>IF(AQ1340="1",BI1340,0)</f>
        <v>0</v>
      </c>
      <c r="AD1340" s="14">
        <f>IF(AQ1340="7",BH1340,0)</f>
        <v>0</v>
      </c>
      <c r="AE1340" s="14">
        <f>IF(AQ1340="7",BI1340,0)</f>
        <v>0</v>
      </c>
      <c r="AF1340" s="14">
        <f>IF(AQ1340="2",BH1340,0)</f>
        <v>0</v>
      </c>
      <c r="AG1340" s="14">
        <f>IF(AQ1340="2",BI1340,0)</f>
        <v>0</v>
      </c>
      <c r="AH1340" s="14">
        <f>IF(AQ1340="0",BJ1340,0)</f>
        <v>0</v>
      </c>
      <c r="AI1340" s="15" t="s">
        <v>750</v>
      </c>
      <c r="AJ1340" s="14">
        <f>IF(AN1340=0,L1340,0)</f>
        <v>0</v>
      </c>
      <c r="AK1340" s="14">
        <f>IF(AN1340=15,L1340,0)</f>
        <v>0</v>
      </c>
      <c r="AL1340" s="14">
        <f>IF(AN1340=21,L1340,0)</f>
        <v>0</v>
      </c>
      <c r="AN1340" s="14">
        <v>21</v>
      </c>
      <c r="AO1340" s="92">
        <f>H1340*0.97379862475442</f>
        <v>0</v>
      </c>
      <c r="AP1340" s="92">
        <f>H1340*(1-0.97379862475442)</f>
        <v>0</v>
      </c>
      <c r="AQ1340" s="55" t="s">
        <v>2435</v>
      </c>
      <c r="AV1340" s="14">
        <f>AW1340+AX1340</f>
        <v>0</v>
      </c>
      <c r="AW1340" s="14">
        <f>G1340*AO1340</f>
        <v>0</v>
      </c>
      <c r="AX1340" s="14">
        <f>G1340*AP1340</f>
        <v>0</v>
      </c>
      <c r="AY1340" s="55" t="s">
        <v>1091</v>
      </c>
      <c r="AZ1340" s="55" t="s">
        <v>1212</v>
      </c>
      <c r="BA1340" s="15" t="s">
        <v>1027</v>
      </c>
      <c r="BC1340" s="14">
        <f>AW1340+AX1340</f>
        <v>0</v>
      </c>
      <c r="BD1340" s="14">
        <f>H1340/(100-BE1340)*100</f>
        <v>0</v>
      </c>
      <c r="BE1340" s="14">
        <v>0</v>
      </c>
      <c r="BF1340" s="14">
        <f>O1340</f>
        <v>3.3400000000000001E-3</v>
      </c>
      <c r="BH1340" s="14">
        <f>G1340*AO1340</f>
        <v>0</v>
      </c>
      <c r="BI1340" s="14">
        <f>G1340*AP1340</f>
        <v>0</v>
      </c>
      <c r="BJ1340" s="14">
        <f>G1340*H1340</f>
        <v>0</v>
      </c>
      <c r="BK1340" s="14"/>
      <c r="BL1340" s="14">
        <v>725</v>
      </c>
      <c r="BW1340" s="14" t="str">
        <f>I1340</f>
        <v>21</v>
      </c>
    </row>
    <row r="1341" spans="1:75" ht="15" customHeight="1">
      <c r="A1341" s="32"/>
      <c r="D1341" s="3" t="s">
        <v>2422</v>
      </c>
      <c r="E1341" s="28" t="s">
        <v>2436</v>
      </c>
      <c r="G1341" s="27">
        <v>1</v>
      </c>
      <c r="P1341" s="33"/>
    </row>
    <row r="1342" spans="1:75" ht="15" customHeight="1">
      <c r="A1342" s="65" t="s">
        <v>1683</v>
      </c>
      <c r="B1342" s="26" t="s">
        <v>750</v>
      </c>
      <c r="C1342" s="26" t="s">
        <v>2603</v>
      </c>
      <c r="D1342" s="649" t="s">
        <v>1569</v>
      </c>
      <c r="E1342" s="650"/>
      <c r="F1342" s="74" t="s">
        <v>2262</v>
      </c>
      <c r="G1342" s="74" t="s">
        <v>2262</v>
      </c>
      <c r="H1342" s="74" t="s">
        <v>2262</v>
      </c>
      <c r="I1342" s="74" t="s">
        <v>2262</v>
      </c>
      <c r="J1342" s="2">
        <f>SUM(J1343:J1351)</f>
        <v>0</v>
      </c>
      <c r="K1342" s="2">
        <f>SUM(K1343:K1351)</f>
        <v>0</v>
      </c>
      <c r="L1342" s="2">
        <f>SUM(L1343:L1351)</f>
        <v>0</v>
      </c>
      <c r="M1342" s="2">
        <f>SUM(M1343:M1351)</f>
        <v>0</v>
      </c>
      <c r="N1342" s="15" t="s">
        <v>1683</v>
      </c>
      <c r="O1342" s="2">
        <f>SUM(O1343:O1351)</f>
        <v>0.15636</v>
      </c>
      <c r="P1342" s="47" t="s">
        <v>1683</v>
      </c>
      <c r="AI1342" s="15" t="s">
        <v>750</v>
      </c>
      <c r="AS1342" s="2">
        <f>SUM(AJ1343:AJ1351)</f>
        <v>0</v>
      </c>
      <c r="AT1342" s="2">
        <f>SUM(AK1343:AK1351)</f>
        <v>0</v>
      </c>
      <c r="AU1342" s="2">
        <f>SUM(AL1343:AL1351)</f>
        <v>0</v>
      </c>
    </row>
    <row r="1343" spans="1:75" ht="13.5" customHeight="1">
      <c r="A1343" s="21" t="s">
        <v>2304</v>
      </c>
      <c r="B1343" s="37" t="s">
        <v>750</v>
      </c>
      <c r="C1343" s="37" t="s">
        <v>1511</v>
      </c>
      <c r="D1343" s="578" t="s">
        <v>1235</v>
      </c>
      <c r="E1343" s="579"/>
      <c r="F1343" s="37" t="s">
        <v>595</v>
      </c>
      <c r="G1343" s="14">
        <v>2</v>
      </c>
      <c r="H1343" s="569"/>
      <c r="I1343" s="55" t="s">
        <v>1720</v>
      </c>
      <c r="J1343" s="14">
        <f>G1343*AO1343</f>
        <v>0</v>
      </c>
      <c r="K1343" s="14">
        <f>G1343*AP1343</f>
        <v>0</v>
      </c>
      <c r="L1343" s="14">
        <f>G1343*H1343</f>
        <v>0</v>
      </c>
      <c r="M1343" s="14">
        <f>L1343*(1+BW1343/100)</f>
        <v>0</v>
      </c>
      <c r="N1343" s="14">
        <v>0</v>
      </c>
      <c r="O1343" s="14">
        <f>G1343*N1343</f>
        <v>0</v>
      </c>
      <c r="P1343" s="72" t="s">
        <v>1664</v>
      </c>
      <c r="Z1343" s="14">
        <f>IF(AQ1343="5",BJ1343,0)</f>
        <v>0</v>
      </c>
      <c r="AB1343" s="14">
        <f>IF(AQ1343="1",BH1343,0)</f>
        <v>0</v>
      </c>
      <c r="AC1343" s="14">
        <f>IF(AQ1343="1",BI1343,0)</f>
        <v>0</v>
      </c>
      <c r="AD1343" s="14">
        <f>IF(AQ1343="7",BH1343,0)</f>
        <v>0</v>
      </c>
      <c r="AE1343" s="14">
        <f>IF(AQ1343="7",BI1343,0)</f>
        <v>0</v>
      </c>
      <c r="AF1343" s="14">
        <f>IF(AQ1343="2",BH1343,0)</f>
        <v>0</v>
      </c>
      <c r="AG1343" s="14">
        <f>IF(AQ1343="2",BI1343,0)</f>
        <v>0</v>
      </c>
      <c r="AH1343" s="14">
        <f>IF(AQ1343="0",BJ1343,0)</f>
        <v>0</v>
      </c>
      <c r="AI1343" s="15" t="s">
        <v>750</v>
      </c>
      <c r="AJ1343" s="14">
        <f>IF(AN1343=0,L1343,0)</f>
        <v>0</v>
      </c>
      <c r="AK1343" s="14">
        <f>IF(AN1343=15,L1343,0)</f>
        <v>0</v>
      </c>
      <c r="AL1343" s="14">
        <f>IF(AN1343=21,L1343,0)</f>
        <v>0</v>
      </c>
      <c r="AN1343" s="14">
        <v>21</v>
      </c>
      <c r="AO1343" s="92">
        <f>H1343*0</f>
        <v>0</v>
      </c>
      <c r="AP1343" s="92">
        <f>H1343*(1-0)</f>
        <v>0</v>
      </c>
      <c r="AQ1343" s="55" t="s">
        <v>2422</v>
      </c>
      <c r="AV1343" s="14">
        <f>AW1343+AX1343</f>
        <v>0</v>
      </c>
      <c r="AW1343" s="14">
        <f>G1343*AO1343</f>
        <v>0</v>
      </c>
      <c r="AX1343" s="14">
        <f>G1343*AP1343</f>
        <v>0</v>
      </c>
      <c r="AY1343" s="55" t="s">
        <v>203</v>
      </c>
      <c r="AZ1343" s="55" t="s">
        <v>2291</v>
      </c>
      <c r="BA1343" s="15" t="s">
        <v>1027</v>
      </c>
      <c r="BC1343" s="14">
        <f>AW1343+AX1343</f>
        <v>0</v>
      </c>
      <c r="BD1343" s="14">
        <f>H1343/(100-BE1343)*100</f>
        <v>0</v>
      </c>
      <c r="BE1343" s="14">
        <v>0</v>
      </c>
      <c r="BF1343" s="14">
        <f>O1343</f>
        <v>0</v>
      </c>
      <c r="BH1343" s="14">
        <f>G1343*AO1343</f>
        <v>0</v>
      </c>
      <c r="BI1343" s="14">
        <f>G1343*AP1343</f>
        <v>0</v>
      </c>
      <c r="BJ1343" s="14">
        <f>G1343*H1343</f>
        <v>0</v>
      </c>
      <c r="BK1343" s="14"/>
      <c r="BL1343" s="14">
        <v>89</v>
      </c>
      <c r="BW1343" s="14" t="str">
        <f>I1343</f>
        <v>21</v>
      </c>
    </row>
    <row r="1344" spans="1:75" ht="15" customHeight="1">
      <c r="A1344" s="32"/>
      <c r="D1344" s="3" t="s">
        <v>1676</v>
      </c>
      <c r="E1344" s="28" t="s">
        <v>1683</v>
      </c>
      <c r="G1344" s="27">
        <v>2</v>
      </c>
      <c r="P1344" s="33"/>
    </row>
    <row r="1345" spans="1:75" ht="13.5" customHeight="1">
      <c r="A1345" s="20" t="s">
        <v>2509</v>
      </c>
      <c r="B1345" s="84" t="s">
        <v>750</v>
      </c>
      <c r="C1345" s="84" t="s">
        <v>2005</v>
      </c>
      <c r="D1345" s="653" t="s">
        <v>2467</v>
      </c>
      <c r="E1345" s="654"/>
      <c r="F1345" s="84" t="s">
        <v>595</v>
      </c>
      <c r="G1345" s="6">
        <v>2</v>
      </c>
      <c r="H1345" s="570"/>
      <c r="I1345" s="18" t="s">
        <v>1720</v>
      </c>
      <c r="J1345" s="6">
        <f>G1345*AO1345</f>
        <v>0</v>
      </c>
      <c r="K1345" s="6">
        <f>G1345*AP1345</f>
        <v>0</v>
      </c>
      <c r="L1345" s="6">
        <f>G1345*H1345</f>
        <v>0</v>
      </c>
      <c r="M1345" s="6">
        <f>L1345*(1+BW1345/100)</f>
        <v>0</v>
      </c>
      <c r="N1345" s="6">
        <v>1.2E-2</v>
      </c>
      <c r="O1345" s="6">
        <f>G1345*N1345</f>
        <v>2.4E-2</v>
      </c>
      <c r="P1345" s="109" t="s">
        <v>1664</v>
      </c>
      <c r="Z1345" s="14">
        <f>IF(AQ1345="5",BJ1345,0)</f>
        <v>0</v>
      </c>
      <c r="AB1345" s="14">
        <f>IF(AQ1345="1",BH1345,0)</f>
        <v>0</v>
      </c>
      <c r="AC1345" s="14">
        <f>IF(AQ1345="1",BI1345,0)</f>
        <v>0</v>
      </c>
      <c r="AD1345" s="14">
        <f>IF(AQ1345="7",BH1345,0)</f>
        <v>0</v>
      </c>
      <c r="AE1345" s="14">
        <f>IF(AQ1345="7",BI1345,0)</f>
        <v>0</v>
      </c>
      <c r="AF1345" s="14">
        <f>IF(AQ1345="2",BH1345,0)</f>
        <v>0</v>
      </c>
      <c r="AG1345" s="14">
        <f>IF(AQ1345="2",BI1345,0)</f>
        <v>0</v>
      </c>
      <c r="AH1345" s="14">
        <f>IF(AQ1345="0",BJ1345,0)</f>
        <v>0</v>
      </c>
      <c r="AI1345" s="15" t="s">
        <v>750</v>
      </c>
      <c r="AJ1345" s="6">
        <f>IF(AN1345=0,L1345,0)</f>
        <v>0</v>
      </c>
      <c r="AK1345" s="6">
        <f>IF(AN1345=15,L1345,0)</f>
        <v>0</v>
      </c>
      <c r="AL1345" s="6">
        <f>IF(AN1345=21,L1345,0)</f>
        <v>0</v>
      </c>
      <c r="AN1345" s="14">
        <v>21</v>
      </c>
      <c r="AO1345" s="92">
        <f>H1345*1</f>
        <v>0</v>
      </c>
      <c r="AP1345" s="92">
        <f>H1345*(1-1)</f>
        <v>0</v>
      </c>
      <c r="AQ1345" s="18" t="s">
        <v>2422</v>
      </c>
      <c r="AV1345" s="14">
        <f>AW1345+AX1345</f>
        <v>0</v>
      </c>
      <c r="AW1345" s="14">
        <f>G1345*AO1345</f>
        <v>0</v>
      </c>
      <c r="AX1345" s="14">
        <f>G1345*AP1345</f>
        <v>0</v>
      </c>
      <c r="AY1345" s="55" t="s">
        <v>203</v>
      </c>
      <c r="AZ1345" s="55" t="s">
        <v>2291</v>
      </c>
      <c r="BA1345" s="15" t="s">
        <v>1027</v>
      </c>
      <c r="BC1345" s="14">
        <f>AW1345+AX1345</f>
        <v>0</v>
      </c>
      <c r="BD1345" s="14">
        <f>H1345/(100-BE1345)*100</f>
        <v>0</v>
      </c>
      <c r="BE1345" s="14">
        <v>0</v>
      </c>
      <c r="BF1345" s="14">
        <f>O1345</f>
        <v>2.4E-2</v>
      </c>
      <c r="BH1345" s="6">
        <f>G1345*AO1345</f>
        <v>0</v>
      </c>
      <c r="BI1345" s="6">
        <f>G1345*AP1345</f>
        <v>0</v>
      </c>
      <c r="BJ1345" s="6">
        <f>G1345*H1345</f>
        <v>0</v>
      </c>
      <c r="BK1345" s="6"/>
      <c r="BL1345" s="14">
        <v>89</v>
      </c>
      <c r="BW1345" s="14" t="str">
        <f>I1345</f>
        <v>21</v>
      </c>
    </row>
    <row r="1346" spans="1:75" ht="15" customHeight="1">
      <c r="A1346" s="32"/>
      <c r="D1346" s="3" t="s">
        <v>1676</v>
      </c>
      <c r="E1346" s="28" t="s">
        <v>1683</v>
      </c>
      <c r="G1346" s="27">
        <v>2</v>
      </c>
      <c r="P1346" s="33"/>
    </row>
    <row r="1347" spans="1:75" ht="13.5" customHeight="1">
      <c r="A1347" s="20" t="s">
        <v>351</v>
      </c>
      <c r="B1347" s="84" t="s">
        <v>750</v>
      </c>
      <c r="C1347" s="84" t="s">
        <v>2078</v>
      </c>
      <c r="D1347" s="653" t="s">
        <v>1677</v>
      </c>
      <c r="E1347" s="654"/>
      <c r="F1347" s="84" t="s">
        <v>595</v>
      </c>
      <c r="G1347" s="6">
        <v>2</v>
      </c>
      <c r="H1347" s="570"/>
      <c r="I1347" s="18" t="s">
        <v>1720</v>
      </c>
      <c r="J1347" s="6">
        <f>G1347*AO1347</f>
        <v>0</v>
      </c>
      <c r="K1347" s="6">
        <f>G1347*AP1347</f>
        <v>0</v>
      </c>
      <c r="L1347" s="6">
        <f>G1347*H1347</f>
        <v>0</v>
      </c>
      <c r="M1347" s="6">
        <f>L1347*(1+BW1347/100)</f>
        <v>0</v>
      </c>
      <c r="N1347" s="6">
        <v>6.4999999999999997E-3</v>
      </c>
      <c r="O1347" s="6">
        <f>G1347*N1347</f>
        <v>1.2999999999999999E-2</v>
      </c>
      <c r="P1347" s="109" t="s">
        <v>1664</v>
      </c>
      <c r="Z1347" s="14">
        <f>IF(AQ1347="5",BJ1347,0)</f>
        <v>0</v>
      </c>
      <c r="AB1347" s="14">
        <f>IF(AQ1347="1",BH1347,0)</f>
        <v>0</v>
      </c>
      <c r="AC1347" s="14">
        <f>IF(AQ1347="1",BI1347,0)</f>
        <v>0</v>
      </c>
      <c r="AD1347" s="14">
        <f>IF(AQ1347="7",BH1347,0)</f>
        <v>0</v>
      </c>
      <c r="AE1347" s="14">
        <f>IF(AQ1347="7",BI1347,0)</f>
        <v>0</v>
      </c>
      <c r="AF1347" s="14">
        <f>IF(AQ1347="2",BH1347,0)</f>
        <v>0</v>
      </c>
      <c r="AG1347" s="14">
        <f>IF(AQ1347="2",BI1347,0)</f>
        <v>0</v>
      </c>
      <c r="AH1347" s="14">
        <f>IF(AQ1347="0",BJ1347,0)</f>
        <v>0</v>
      </c>
      <c r="AI1347" s="15" t="s">
        <v>750</v>
      </c>
      <c r="AJ1347" s="6">
        <f>IF(AN1347=0,L1347,0)</f>
        <v>0</v>
      </c>
      <c r="AK1347" s="6">
        <f>IF(AN1347=15,L1347,0)</f>
        <v>0</v>
      </c>
      <c r="AL1347" s="6">
        <f>IF(AN1347=21,L1347,0)</f>
        <v>0</v>
      </c>
      <c r="AN1347" s="14">
        <v>21</v>
      </c>
      <c r="AO1347" s="92">
        <f>H1347*1</f>
        <v>0</v>
      </c>
      <c r="AP1347" s="92">
        <f>H1347*(1-1)</f>
        <v>0</v>
      </c>
      <c r="AQ1347" s="18" t="s">
        <v>2422</v>
      </c>
      <c r="AV1347" s="14">
        <f>AW1347+AX1347</f>
        <v>0</v>
      </c>
      <c r="AW1347" s="14">
        <f>G1347*AO1347</f>
        <v>0</v>
      </c>
      <c r="AX1347" s="14">
        <f>G1347*AP1347</f>
        <v>0</v>
      </c>
      <c r="AY1347" s="55" t="s">
        <v>203</v>
      </c>
      <c r="AZ1347" s="55" t="s">
        <v>2291</v>
      </c>
      <c r="BA1347" s="15" t="s">
        <v>1027</v>
      </c>
      <c r="BC1347" s="14">
        <f>AW1347+AX1347</f>
        <v>0</v>
      </c>
      <c r="BD1347" s="14">
        <f>H1347/(100-BE1347)*100</f>
        <v>0</v>
      </c>
      <c r="BE1347" s="14">
        <v>0</v>
      </c>
      <c r="BF1347" s="14">
        <f>O1347</f>
        <v>1.2999999999999999E-2</v>
      </c>
      <c r="BH1347" s="6">
        <f>G1347*AO1347</f>
        <v>0</v>
      </c>
      <c r="BI1347" s="6">
        <f>G1347*AP1347</f>
        <v>0</v>
      </c>
      <c r="BJ1347" s="6">
        <f>G1347*H1347</f>
        <v>0</v>
      </c>
      <c r="BK1347" s="6"/>
      <c r="BL1347" s="14">
        <v>89</v>
      </c>
      <c r="BW1347" s="14" t="str">
        <f>I1347</f>
        <v>21</v>
      </c>
    </row>
    <row r="1348" spans="1:75" ht="15" customHeight="1">
      <c r="A1348" s="32"/>
      <c r="D1348" s="3" t="s">
        <v>1676</v>
      </c>
      <c r="E1348" s="28" t="s">
        <v>1683</v>
      </c>
      <c r="G1348" s="27">
        <v>2</v>
      </c>
      <c r="P1348" s="33"/>
    </row>
    <row r="1349" spans="1:75" ht="13.5" customHeight="1">
      <c r="A1349" s="21" t="s">
        <v>10</v>
      </c>
      <c r="B1349" s="37" t="s">
        <v>750</v>
      </c>
      <c r="C1349" s="37" t="s">
        <v>1356</v>
      </c>
      <c r="D1349" s="578" t="s">
        <v>253</v>
      </c>
      <c r="E1349" s="579"/>
      <c r="F1349" s="37" t="s">
        <v>595</v>
      </c>
      <c r="G1349" s="14">
        <v>2</v>
      </c>
      <c r="H1349" s="569"/>
      <c r="I1349" s="55" t="s">
        <v>1720</v>
      </c>
      <c r="J1349" s="14">
        <f>G1349*AO1349</f>
        <v>0</v>
      </c>
      <c r="K1349" s="14">
        <f>G1349*AP1349</f>
        <v>0</v>
      </c>
      <c r="L1349" s="14">
        <f>G1349*H1349</f>
        <v>0</v>
      </c>
      <c r="M1349" s="14">
        <f>L1349*(1+BW1349/100)</f>
        <v>0</v>
      </c>
      <c r="N1349" s="14">
        <v>4.6800000000000001E-3</v>
      </c>
      <c r="O1349" s="14">
        <f>G1349*N1349</f>
        <v>9.3600000000000003E-3</v>
      </c>
      <c r="P1349" s="72" t="s">
        <v>1664</v>
      </c>
      <c r="Z1349" s="14">
        <f>IF(AQ1349="5",BJ1349,0)</f>
        <v>0</v>
      </c>
      <c r="AB1349" s="14">
        <f>IF(AQ1349="1",BH1349,0)</f>
        <v>0</v>
      </c>
      <c r="AC1349" s="14">
        <f>IF(AQ1349="1",BI1349,0)</f>
        <v>0</v>
      </c>
      <c r="AD1349" s="14">
        <f>IF(AQ1349="7",BH1349,0)</f>
        <v>0</v>
      </c>
      <c r="AE1349" s="14">
        <f>IF(AQ1349="7",BI1349,0)</f>
        <v>0</v>
      </c>
      <c r="AF1349" s="14">
        <f>IF(AQ1349="2",BH1349,0)</f>
        <v>0</v>
      </c>
      <c r="AG1349" s="14">
        <f>IF(AQ1349="2",BI1349,0)</f>
        <v>0</v>
      </c>
      <c r="AH1349" s="14">
        <f>IF(AQ1349="0",BJ1349,0)</f>
        <v>0</v>
      </c>
      <c r="AI1349" s="15" t="s">
        <v>750</v>
      </c>
      <c r="AJ1349" s="14">
        <f>IF(AN1349=0,L1349,0)</f>
        <v>0</v>
      </c>
      <c r="AK1349" s="14">
        <f>IF(AN1349=15,L1349,0)</f>
        <v>0</v>
      </c>
      <c r="AL1349" s="14">
        <f>IF(AN1349=21,L1349,0)</f>
        <v>0</v>
      </c>
      <c r="AN1349" s="14">
        <v>21</v>
      </c>
      <c r="AO1349" s="92">
        <f>H1349*0.0177575757575758</f>
        <v>0</v>
      </c>
      <c r="AP1349" s="92">
        <f>H1349*(1-0.0177575757575758)</f>
        <v>0</v>
      </c>
      <c r="AQ1349" s="55" t="s">
        <v>2422</v>
      </c>
      <c r="AV1349" s="14">
        <f>AW1349+AX1349</f>
        <v>0</v>
      </c>
      <c r="AW1349" s="14">
        <f>G1349*AO1349</f>
        <v>0</v>
      </c>
      <c r="AX1349" s="14">
        <f>G1349*AP1349</f>
        <v>0</v>
      </c>
      <c r="AY1349" s="55" t="s">
        <v>203</v>
      </c>
      <c r="AZ1349" s="55" t="s">
        <v>2291</v>
      </c>
      <c r="BA1349" s="15" t="s">
        <v>1027</v>
      </c>
      <c r="BC1349" s="14">
        <f>AW1349+AX1349</f>
        <v>0</v>
      </c>
      <c r="BD1349" s="14">
        <f>H1349/(100-BE1349)*100</f>
        <v>0</v>
      </c>
      <c r="BE1349" s="14">
        <v>0</v>
      </c>
      <c r="BF1349" s="14">
        <f>O1349</f>
        <v>9.3600000000000003E-3</v>
      </c>
      <c r="BH1349" s="14">
        <f>G1349*AO1349</f>
        <v>0</v>
      </c>
      <c r="BI1349" s="14">
        <f>G1349*AP1349</f>
        <v>0</v>
      </c>
      <c r="BJ1349" s="14">
        <f>G1349*H1349</f>
        <v>0</v>
      </c>
      <c r="BK1349" s="14"/>
      <c r="BL1349" s="14">
        <v>89</v>
      </c>
      <c r="BW1349" s="14" t="str">
        <f>I1349</f>
        <v>21</v>
      </c>
    </row>
    <row r="1350" spans="1:75" ht="15" customHeight="1">
      <c r="A1350" s="32"/>
      <c r="D1350" s="3" t="s">
        <v>1676</v>
      </c>
      <c r="E1350" s="28" t="s">
        <v>1683</v>
      </c>
      <c r="G1350" s="27">
        <v>2</v>
      </c>
      <c r="P1350" s="33"/>
    </row>
    <row r="1351" spans="1:75" ht="13.5" customHeight="1">
      <c r="A1351" s="20" t="s">
        <v>1917</v>
      </c>
      <c r="B1351" s="84" t="s">
        <v>750</v>
      </c>
      <c r="C1351" s="84" t="s">
        <v>1378</v>
      </c>
      <c r="D1351" s="653" t="s">
        <v>2298</v>
      </c>
      <c r="E1351" s="654"/>
      <c r="F1351" s="84" t="s">
        <v>595</v>
      </c>
      <c r="G1351" s="6">
        <v>2</v>
      </c>
      <c r="H1351" s="570"/>
      <c r="I1351" s="18" t="s">
        <v>1720</v>
      </c>
      <c r="J1351" s="6">
        <f>G1351*AO1351</f>
        <v>0</v>
      </c>
      <c r="K1351" s="6">
        <f>G1351*AP1351</f>
        <v>0</v>
      </c>
      <c r="L1351" s="6">
        <f>G1351*H1351</f>
        <v>0</v>
      </c>
      <c r="M1351" s="6">
        <f>L1351*(1+BW1351/100)</f>
        <v>0</v>
      </c>
      <c r="N1351" s="6">
        <v>5.5E-2</v>
      </c>
      <c r="O1351" s="6">
        <f>G1351*N1351</f>
        <v>0.11</v>
      </c>
      <c r="P1351" s="109" t="s">
        <v>1664</v>
      </c>
      <c r="Z1351" s="14">
        <f>IF(AQ1351="5",BJ1351,0)</f>
        <v>0</v>
      </c>
      <c r="AB1351" s="14">
        <f>IF(AQ1351="1",BH1351,0)</f>
        <v>0</v>
      </c>
      <c r="AC1351" s="14">
        <f>IF(AQ1351="1",BI1351,0)</f>
        <v>0</v>
      </c>
      <c r="AD1351" s="14">
        <f>IF(AQ1351="7",BH1351,0)</f>
        <v>0</v>
      </c>
      <c r="AE1351" s="14">
        <f>IF(AQ1351="7",BI1351,0)</f>
        <v>0</v>
      </c>
      <c r="AF1351" s="14">
        <f>IF(AQ1351="2",BH1351,0)</f>
        <v>0</v>
      </c>
      <c r="AG1351" s="14">
        <f>IF(AQ1351="2",BI1351,0)</f>
        <v>0</v>
      </c>
      <c r="AH1351" s="14">
        <f>IF(AQ1351="0",BJ1351,0)</f>
        <v>0</v>
      </c>
      <c r="AI1351" s="15" t="s">
        <v>750</v>
      </c>
      <c r="AJ1351" s="6">
        <f>IF(AN1351=0,L1351,0)</f>
        <v>0</v>
      </c>
      <c r="AK1351" s="6">
        <f>IF(AN1351=15,L1351,0)</f>
        <v>0</v>
      </c>
      <c r="AL1351" s="6">
        <f>IF(AN1351=21,L1351,0)</f>
        <v>0</v>
      </c>
      <c r="AN1351" s="14">
        <v>21</v>
      </c>
      <c r="AO1351" s="92">
        <f>H1351*1</f>
        <v>0</v>
      </c>
      <c r="AP1351" s="92">
        <f>H1351*(1-1)</f>
        <v>0</v>
      </c>
      <c r="AQ1351" s="18" t="s">
        <v>2422</v>
      </c>
      <c r="AV1351" s="14">
        <f>AW1351+AX1351</f>
        <v>0</v>
      </c>
      <c r="AW1351" s="14">
        <f>G1351*AO1351</f>
        <v>0</v>
      </c>
      <c r="AX1351" s="14">
        <f>G1351*AP1351</f>
        <v>0</v>
      </c>
      <c r="AY1351" s="55" t="s">
        <v>203</v>
      </c>
      <c r="AZ1351" s="55" t="s">
        <v>2291</v>
      </c>
      <c r="BA1351" s="15" t="s">
        <v>1027</v>
      </c>
      <c r="BC1351" s="14">
        <f>AW1351+AX1351</f>
        <v>0</v>
      </c>
      <c r="BD1351" s="14">
        <f>H1351/(100-BE1351)*100</f>
        <v>0</v>
      </c>
      <c r="BE1351" s="14">
        <v>0</v>
      </c>
      <c r="BF1351" s="14">
        <f>O1351</f>
        <v>0.11</v>
      </c>
      <c r="BH1351" s="6">
        <f>G1351*AO1351</f>
        <v>0</v>
      </c>
      <c r="BI1351" s="6">
        <f>G1351*AP1351</f>
        <v>0</v>
      </c>
      <c r="BJ1351" s="6">
        <f>G1351*H1351</f>
        <v>0</v>
      </c>
      <c r="BK1351" s="6"/>
      <c r="BL1351" s="14">
        <v>89</v>
      </c>
      <c r="BW1351" s="14" t="str">
        <f>I1351</f>
        <v>21</v>
      </c>
    </row>
    <row r="1352" spans="1:75" ht="15" customHeight="1">
      <c r="A1352" s="32"/>
      <c r="D1352" s="3" t="s">
        <v>1676</v>
      </c>
      <c r="E1352" s="28" t="s">
        <v>1683</v>
      </c>
      <c r="G1352" s="27">
        <v>2</v>
      </c>
      <c r="P1352" s="33"/>
    </row>
    <row r="1353" spans="1:75" ht="15" customHeight="1">
      <c r="A1353" s="65" t="s">
        <v>1683</v>
      </c>
      <c r="B1353" s="26" t="s">
        <v>750</v>
      </c>
      <c r="C1353" s="26" t="s">
        <v>1379</v>
      </c>
      <c r="D1353" s="649" t="s">
        <v>1316</v>
      </c>
      <c r="E1353" s="650"/>
      <c r="F1353" s="74" t="s">
        <v>2262</v>
      </c>
      <c r="G1353" s="74" t="s">
        <v>2262</v>
      </c>
      <c r="H1353" s="74" t="s">
        <v>2262</v>
      </c>
      <c r="I1353" s="74" t="s">
        <v>2262</v>
      </c>
      <c r="J1353" s="2">
        <f>SUM(J1354:J1354)</f>
        <v>0</v>
      </c>
      <c r="K1353" s="2">
        <f>SUM(K1354:K1354)</f>
        <v>0</v>
      </c>
      <c r="L1353" s="2">
        <f>SUM(L1354:L1354)</f>
        <v>0</v>
      </c>
      <c r="M1353" s="2">
        <f>SUM(M1354:M1354)</f>
        <v>0</v>
      </c>
      <c r="N1353" s="15" t="s">
        <v>1683</v>
      </c>
      <c r="O1353" s="2">
        <f>SUM(O1354:O1354)</f>
        <v>0</v>
      </c>
      <c r="P1353" s="47" t="s">
        <v>1683</v>
      </c>
      <c r="AI1353" s="15" t="s">
        <v>750</v>
      </c>
      <c r="AS1353" s="2">
        <f>SUM(AJ1354:AJ1354)</f>
        <v>0</v>
      </c>
      <c r="AT1353" s="2">
        <f>SUM(AK1354:AK1354)</f>
        <v>0</v>
      </c>
      <c r="AU1353" s="2">
        <f>SUM(AL1354:AL1354)</f>
        <v>0</v>
      </c>
    </row>
    <row r="1354" spans="1:75" ht="13.5" customHeight="1">
      <c r="A1354" s="21" t="s">
        <v>1505</v>
      </c>
      <c r="B1354" s="37" t="s">
        <v>750</v>
      </c>
      <c r="C1354" s="37" t="s">
        <v>2136</v>
      </c>
      <c r="D1354" s="578" t="s">
        <v>1652</v>
      </c>
      <c r="E1354" s="579"/>
      <c r="F1354" s="37" t="s">
        <v>1130</v>
      </c>
      <c r="G1354" s="14">
        <v>125.25</v>
      </c>
      <c r="H1354" s="569"/>
      <c r="I1354" s="55" t="s">
        <v>1720</v>
      </c>
      <c r="J1354" s="14">
        <f>G1354*AO1354</f>
        <v>0</v>
      </c>
      <c r="K1354" s="14">
        <f>G1354*AP1354</f>
        <v>0</v>
      </c>
      <c r="L1354" s="14">
        <f>G1354*H1354</f>
        <v>0</v>
      </c>
      <c r="M1354" s="14">
        <f>L1354*(1+BW1354/100)</f>
        <v>0</v>
      </c>
      <c r="N1354" s="14">
        <v>0</v>
      </c>
      <c r="O1354" s="14">
        <f>G1354*N1354</f>
        <v>0</v>
      </c>
      <c r="P1354" s="72" t="s">
        <v>1664</v>
      </c>
      <c r="Z1354" s="14">
        <f>IF(AQ1354="5",BJ1354,0)</f>
        <v>0</v>
      </c>
      <c r="AB1354" s="14">
        <f>IF(AQ1354="1",BH1354,0)</f>
        <v>0</v>
      </c>
      <c r="AC1354" s="14">
        <f>IF(AQ1354="1",BI1354,0)</f>
        <v>0</v>
      </c>
      <c r="AD1354" s="14">
        <f>IF(AQ1354="7",BH1354,0)</f>
        <v>0</v>
      </c>
      <c r="AE1354" s="14">
        <f>IF(AQ1354="7",BI1354,0)</f>
        <v>0</v>
      </c>
      <c r="AF1354" s="14">
        <f>IF(AQ1354="2",BH1354,0)</f>
        <v>0</v>
      </c>
      <c r="AG1354" s="14">
        <f>IF(AQ1354="2",BI1354,0)</f>
        <v>0</v>
      </c>
      <c r="AH1354" s="14">
        <f>IF(AQ1354="0",BJ1354,0)</f>
        <v>0</v>
      </c>
      <c r="AI1354" s="15" t="s">
        <v>750</v>
      </c>
      <c r="AJ1354" s="14">
        <f>IF(AN1354=0,L1354,0)</f>
        <v>0</v>
      </c>
      <c r="AK1354" s="14">
        <f>IF(AN1354=15,L1354,0)</f>
        <v>0</v>
      </c>
      <c r="AL1354" s="14">
        <f>IF(AN1354=21,L1354,0)</f>
        <v>0</v>
      </c>
      <c r="AN1354" s="14">
        <v>21</v>
      </c>
      <c r="AO1354" s="92">
        <f>H1354*0</f>
        <v>0</v>
      </c>
      <c r="AP1354" s="92">
        <f>H1354*(1-0)</f>
        <v>0</v>
      </c>
      <c r="AQ1354" s="55" t="s">
        <v>1287</v>
      </c>
      <c r="AV1354" s="14">
        <f>AW1354+AX1354</f>
        <v>0</v>
      </c>
      <c r="AW1354" s="14">
        <f>G1354*AO1354</f>
        <v>0</v>
      </c>
      <c r="AX1354" s="14">
        <f>G1354*AP1354</f>
        <v>0</v>
      </c>
      <c r="AY1354" s="55" t="s">
        <v>746</v>
      </c>
      <c r="AZ1354" s="55" t="s">
        <v>1200</v>
      </c>
      <c r="BA1354" s="15" t="s">
        <v>1027</v>
      </c>
      <c r="BC1354" s="14">
        <f>AW1354+AX1354</f>
        <v>0</v>
      </c>
      <c r="BD1354" s="14">
        <f>H1354/(100-BE1354)*100</f>
        <v>0</v>
      </c>
      <c r="BE1354" s="14">
        <v>0</v>
      </c>
      <c r="BF1354" s="14">
        <f>O1354</f>
        <v>0</v>
      </c>
      <c r="BH1354" s="14">
        <f>G1354*AO1354</f>
        <v>0</v>
      </c>
      <c r="BI1354" s="14">
        <f>G1354*AP1354</f>
        <v>0</v>
      </c>
      <c r="BJ1354" s="14">
        <f>G1354*H1354</f>
        <v>0</v>
      </c>
      <c r="BK1354" s="14"/>
      <c r="BL1354" s="14"/>
      <c r="BW1354" s="14" t="str">
        <f>I1354</f>
        <v>21</v>
      </c>
    </row>
    <row r="1355" spans="1:75" ht="15" customHeight="1">
      <c r="A1355" s="32"/>
      <c r="D1355" s="3" t="s">
        <v>53</v>
      </c>
      <c r="E1355" s="28" t="s">
        <v>1683</v>
      </c>
      <c r="G1355" s="27">
        <v>125.25000000000001</v>
      </c>
      <c r="P1355" s="33"/>
    </row>
    <row r="1356" spans="1:75" ht="15" customHeight="1">
      <c r="A1356" s="65" t="s">
        <v>1683</v>
      </c>
      <c r="B1356" s="26" t="s">
        <v>750</v>
      </c>
      <c r="C1356" s="26" t="s">
        <v>2511</v>
      </c>
      <c r="D1356" s="649" t="s">
        <v>2787</v>
      </c>
      <c r="E1356" s="650"/>
      <c r="F1356" s="74" t="s">
        <v>2262</v>
      </c>
      <c r="G1356" s="74" t="s">
        <v>2262</v>
      </c>
      <c r="H1356" s="74" t="s">
        <v>2262</v>
      </c>
      <c r="I1356" s="74" t="s">
        <v>2262</v>
      </c>
      <c r="J1356" s="2">
        <f>SUM(J1357:J1357)</f>
        <v>0</v>
      </c>
      <c r="K1356" s="2">
        <f>SUM(K1357:K1357)</f>
        <v>0</v>
      </c>
      <c r="L1356" s="2">
        <f>SUM(L1357:L1357)</f>
        <v>0</v>
      </c>
      <c r="M1356" s="2">
        <f>SUM(M1357:M1357)</f>
        <v>0</v>
      </c>
      <c r="N1356" s="15" t="s">
        <v>1683</v>
      </c>
      <c r="O1356" s="2">
        <f>SUM(O1357:O1357)</f>
        <v>0</v>
      </c>
      <c r="P1356" s="47" t="s">
        <v>1683</v>
      </c>
      <c r="AI1356" s="15" t="s">
        <v>750</v>
      </c>
      <c r="AS1356" s="2">
        <f>SUM(AJ1357:AJ1357)</f>
        <v>0</v>
      </c>
      <c r="AT1356" s="2">
        <f>SUM(AK1357:AK1357)</f>
        <v>0</v>
      </c>
      <c r="AU1356" s="2">
        <f>SUM(AL1357:AL1357)</f>
        <v>0</v>
      </c>
    </row>
    <row r="1357" spans="1:75" ht="13.5" customHeight="1">
      <c r="A1357" s="21" t="s">
        <v>828</v>
      </c>
      <c r="B1357" s="37" t="s">
        <v>750</v>
      </c>
      <c r="C1357" s="37" t="s">
        <v>70</v>
      </c>
      <c r="D1357" s="578" t="s">
        <v>254</v>
      </c>
      <c r="E1357" s="579"/>
      <c r="F1357" s="37" t="s">
        <v>1130</v>
      </c>
      <c r="G1357" s="14">
        <v>0.56000000000000005</v>
      </c>
      <c r="H1357" s="569"/>
      <c r="I1357" s="55" t="s">
        <v>1720</v>
      </c>
      <c r="J1357" s="14">
        <f>G1357*AO1357</f>
        <v>0</v>
      </c>
      <c r="K1357" s="14">
        <f>G1357*AP1357</f>
        <v>0</v>
      </c>
      <c r="L1357" s="14">
        <f>G1357*H1357</f>
        <v>0</v>
      </c>
      <c r="M1357" s="14">
        <f>L1357*(1+BW1357/100)</f>
        <v>0</v>
      </c>
      <c r="N1357" s="14">
        <v>0</v>
      </c>
      <c r="O1357" s="14">
        <f>G1357*N1357</f>
        <v>0</v>
      </c>
      <c r="P1357" s="72" t="s">
        <v>1664</v>
      </c>
      <c r="Z1357" s="14">
        <f>IF(AQ1357="5",BJ1357,0)</f>
        <v>0</v>
      </c>
      <c r="AB1357" s="14">
        <f>IF(AQ1357="1",BH1357,0)</f>
        <v>0</v>
      </c>
      <c r="AC1357" s="14">
        <f>IF(AQ1357="1",BI1357,0)</f>
        <v>0</v>
      </c>
      <c r="AD1357" s="14">
        <f>IF(AQ1357="7",BH1357,0)</f>
        <v>0</v>
      </c>
      <c r="AE1357" s="14">
        <f>IF(AQ1357="7",BI1357,0)</f>
        <v>0</v>
      </c>
      <c r="AF1357" s="14">
        <f>IF(AQ1357="2",BH1357,0)</f>
        <v>0</v>
      </c>
      <c r="AG1357" s="14">
        <f>IF(AQ1357="2",BI1357,0)</f>
        <v>0</v>
      </c>
      <c r="AH1357" s="14">
        <f>IF(AQ1357="0",BJ1357,0)</f>
        <v>0</v>
      </c>
      <c r="AI1357" s="15" t="s">
        <v>750</v>
      </c>
      <c r="AJ1357" s="14">
        <f>IF(AN1357=0,L1357,0)</f>
        <v>0</v>
      </c>
      <c r="AK1357" s="14">
        <f>IF(AN1357=15,L1357,0)</f>
        <v>0</v>
      </c>
      <c r="AL1357" s="14">
        <f>IF(AN1357=21,L1357,0)</f>
        <v>0</v>
      </c>
      <c r="AN1357" s="14">
        <v>21</v>
      </c>
      <c r="AO1357" s="92">
        <f>H1357*0</f>
        <v>0</v>
      </c>
      <c r="AP1357" s="92">
        <f>H1357*(1-0)</f>
        <v>0</v>
      </c>
      <c r="AQ1357" s="55" t="s">
        <v>1287</v>
      </c>
      <c r="AV1357" s="14">
        <f>AW1357+AX1357</f>
        <v>0</v>
      </c>
      <c r="AW1357" s="14">
        <f>G1357*AO1357</f>
        <v>0</v>
      </c>
      <c r="AX1357" s="14">
        <f>G1357*AP1357</f>
        <v>0</v>
      </c>
      <c r="AY1357" s="55" t="s">
        <v>918</v>
      </c>
      <c r="AZ1357" s="55" t="s">
        <v>1200</v>
      </c>
      <c r="BA1357" s="15" t="s">
        <v>1027</v>
      </c>
      <c r="BC1357" s="14">
        <f>AW1357+AX1357</f>
        <v>0</v>
      </c>
      <c r="BD1357" s="14">
        <f>H1357/(100-BE1357)*100</f>
        <v>0</v>
      </c>
      <c r="BE1357" s="14">
        <v>0</v>
      </c>
      <c r="BF1357" s="14">
        <f>O1357</f>
        <v>0</v>
      </c>
      <c r="BH1357" s="14">
        <f>G1357*AO1357</f>
        <v>0</v>
      </c>
      <c r="BI1357" s="14">
        <f>G1357*AP1357</f>
        <v>0</v>
      </c>
      <c r="BJ1357" s="14">
        <f>G1357*H1357</f>
        <v>0</v>
      </c>
      <c r="BK1357" s="14"/>
      <c r="BL1357" s="14"/>
      <c r="BW1357" s="14" t="str">
        <f>I1357</f>
        <v>21</v>
      </c>
    </row>
    <row r="1358" spans="1:75" ht="15" customHeight="1">
      <c r="A1358" s="32"/>
      <c r="D1358" s="3" t="s">
        <v>1621</v>
      </c>
      <c r="E1358" s="28" t="s">
        <v>1683</v>
      </c>
      <c r="G1358" s="27">
        <v>0.56000000000000005</v>
      </c>
      <c r="P1358" s="33"/>
    </row>
    <row r="1359" spans="1:75" ht="15" customHeight="1">
      <c r="A1359" s="65" t="s">
        <v>1683</v>
      </c>
      <c r="B1359" s="26" t="s">
        <v>750</v>
      </c>
      <c r="C1359" s="26" t="s">
        <v>2325</v>
      </c>
      <c r="D1359" s="649" t="s">
        <v>1502</v>
      </c>
      <c r="E1359" s="650"/>
      <c r="F1359" s="74" t="s">
        <v>2262</v>
      </c>
      <c r="G1359" s="74" t="s">
        <v>2262</v>
      </c>
      <c r="H1359" s="74" t="s">
        <v>2262</v>
      </c>
      <c r="I1359" s="74" t="s">
        <v>2262</v>
      </c>
      <c r="J1359" s="2">
        <f>SUM(J1360:J1360)</f>
        <v>0</v>
      </c>
      <c r="K1359" s="2">
        <f>SUM(K1360:K1360)</f>
        <v>0</v>
      </c>
      <c r="L1359" s="2">
        <f>SUM(L1360:L1360)</f>
        <v>0</v>
      </c>
      <c r="M1359" s="2">
        <f>SUM(M1360:M1360)</f>
        <v>0</v>
      </c>
      <c r="N1359" s="15" t="s">
        <v>1683</v>
      </c>
      <c r="O1359" s="2">
        <f>SUM(O1360:O1360)</f>
        <v>0</v>
      </c>
      <c r="P1359" s="47" t="s">
        <v>1683</v>
      </c>
      <c r="AI1359" s="15" t="s">
        <v>750</v>
      </c>
      <c r="AS1359" s="2">
        <f>SUM(AJ1360:AJ1360)</f>
        <v>0</v>
      </c>
      <c r="AT1359" s="2">
        <f>SUM(AK1360:AK1360)</f>
        <v>0</v>
      </c>
      <c r="AU1359" s="2">
        <f>SUM(AL1360:AL1360)</f>
        <v>0</v>
      </c>
    </row>
    <row r="1360" spans="1:75" ht="13.5" customHeight="1">
      <c r="A1360" s="21" t="s">
        <v>1783</v>
      </c>
      <c r="B1360" s="37" t="s">
        <v>750</v>
      </c>
      <c r="C1360" s="37" t="s">
        <v>1647</v>
      </c>
      <c r="D1360" s="578" t="s">
        <v>1297</v>
      </c>
      <c r="E1360" s="579"/>
      <c r="F1360" s="37" t="s">
        <v>1130</v>
      </c>
      <c r="G1360" s="14">
        <v>3.75</v>
      </c>
      <c r="H1360" s="569"/>
      <c r="I1360" s="55" t="s">
        <v>1720</v>
      </c>
      <c r="J1360" s="14">
        <f>G1360*AO1360</f>
        <v>0</v>
      </c>
      <c r="K1360" s="14">
        <f>G1360*AP1360</f>
        <v>0</v>
      </c>
      <c r="L1360" s="14">
        <f>G1360*H1360</f>
        <v>0</v>
      </c>
      <c r="M1360" s="14">
        <f>L1360*(1+BW1360/100)</f>
        <v>0</v>
      </c>
      <c r="N1360" s="14">
        <v>0</v>
      </c>
      <c r="O1360" s="14">
        <f>G1360*N1360</f>
        <v>0</v>
      </c>
      <c r="P1360" s="72" t="s">
        <v>1664</v>
      </c>
      <c r="Z1360" s="14">
        <f>IF(AQ1360="5",BJ1360,0)</f>
        <v>0</v>
      </c>
      <c r="AB1360" s="14">
        <f>IF(AQ1360="1",BH1360,0)</f>
        <v>0</v>
      </c>
      <c r="AC1360" s="14">
        <f>IF(AQ1360="1",BI1360,0)</f>
        <v>0</v>
      </c>
      <c r="AD1360" s="14">
        <f>IF(AQ1360="7",BH1360,0)</f>
        <v>0</v>
      </c>
      <c r="AE1360" s="14">
        <f>IF(AQ1360="7",BI1360,0)</f>
        <v>0</v>
      </c>
      <c r="AF1360" s="14">
        <f>IF(AQ1360="2",BH1360,0)</f>
        <v>0</v>
      </c>
      <c r="AG1360" s="14">
        <f>IF(AQ1360="2",BI1360,0)</f>
        <v>0</v>
      </c>
      <c r="AH1360" s="14">
        <f>IF(AQ1360="0",BJ1360,0)</f>
        <v>0</v>
      </c>
      <c r="AI1360" s="15" t="s">
        <v>750</v>
      </c>
      <c r="AJ1360" s="14">
        <f>IF(AN1360=0,L1360,0)</f>
        <v>0</v>
      </c>
      <c r="AK1360" s="14">
        <f>IF(AN1360=15,L1360,0)</f>
        <v>0</v>
      </c>
      <c r="AL1360" s="14">
        <f>IF(AN1360=21,L1360,0)</f>
        <v>0</v>
      </c>
      <c r="AN1360" s="14">
        <v>21</v>
      </c>
      <c r="AO1360" s="92">
        <f>H1360*0</f>
        <v>0</v>
      </c>
      <c r="AP1360" s="92">
        <f>H1360*(1-0)</f>
        <v>0</v>
      </c>
      <c r="AQ1360" s="55" t="s">
        <v>1287</v>
      </c>
      <c r="AV1360" s="14">
        <f>AW1360+AX1360</f>
        <v>0</v>
      </c>
      <c r="AW1360" s="14">
        <f>G1360*AO1360</f>
        <v>0</v>
      </c>
      <c r="AX1360" s="14">
        <f>G1360*AP1360</f>
        <v>0</v>
      </c>
      <c r="AY1360" s="55" t="s">
        <v>2780</v>
      </c>
      <c r="AZ1360" s="55" t="s">
        <v>1200</v>
      </c>
      <c r="BA1360" s="15" t="s">
        <v>1027</v>
      </c>
      <c r="BC1360" s="14">
        <f>AW1360+AX1360</f>
        <v>0</v>
      </c>
      <c r="BD1360" s="14">
        <f>H1360/(100-BE1360)*100</f>
        <v>0</v>
      </c>
      <c r="BE1360" s="14">
        <v>0</v>
      </c>
      <c r="BF1360" s="14">
        <f>O1360</f>
        <v>0</v>
      </c>
      <c r="BH1360" s="14">
        <f>G1360*AO1360</f>
        <v>0</v>
      </c>
      <c r="BI1360" s="14">
        <f>G1360*AP1360</f>
        <v>0</v>
      </c>
      <c r="BJ1360" s="14">
        <f>G1360*H1360</f>
        <v>0</v>
      </c>
      <c r="BK1360" s="14"/>
      <c r="BL1360" s="14"/>
      <c r="BW1360" s="14" t="str">
        <f>I1360</f>
        <v>21</v>
      </c>
    </row>
    <row r="1361" spans="1:75" ht="15" customHeight="1">
      <c r="A1361" s="32"/>
      <c r="D1361" s="3" t="s">
        <v>2759</v>
      </c>
      <c r="E1361" s="28" t="s">
        <v>1683</v>
      </c>
      <c r="G1361" s="27">
        <v>3.7500000000000004</v>
      </c>
      <c r="P1361" s="33"/>
    </row>
    <row r="1362" spans="1:75" ht="15" customHeight="1">
      <c r="A1362" s="65" t="s">
        <v>1683</v>
      </c>
      <c r="B1362" s="26" t="s">
        <v>750</v>
      </c>
      <c r="C1362" s="26" t="s">
        <v>1683</v>
      </c>
      <c r="D1362" s="649" t="s">
        <v>180</v>
      </c>
      <c r="E1362" s="650"/>
      <c r="F1362" s="74" t="s">
        <v>2262</v>
      </c>
      <c r="G1362" s="74" t="s">
        <v>2262</v>
      </c>
      <c r="H1362" s="74" t="s">
        <v>2262</v>
      </c>
      <c r="I1362" s="74" t="s">
        <v>2262</v>
      </c>
      <c r="J1362" s="2">
        <f>SUM(J1363:J1363)</f>
        <v>0</v>
      </c>
      <c r="K1362" s="2">
        <f>SUM(K1363:K1363)</f>
        <v>0</v>
      </c>
      <c r="L1362" s="2">
        <f>SUM(L1363:L1363)</f>
        <v>0</v>
      </c>
      <c r="M1362" s="2">
        <f>SUM(M1363:M1363)</f>
        <v>0</v>
      </c>
      <c r="N1362" s="15" t="s">
        <v>1683</v>
      </c>
      <c r="O1362" s="2">
        <f>SUM(O1363:O1363)</f>
        <v>5.3899999999999998E-3</v>
      </c>
      <c r="P1362" s="47" t="s">
        <v>1683</v>
      </c>
      <c r="AI1362" s="15" t="s">
        <v>750</v>
      </c>
      <c r="AS1362" s="2">
        <f>SUM(AJ1363:AJ1363)</f>
        <v>0</v>
      </c>
      <c r="AT1362" s="2">
        <f>SUM(AK1363:AK1363)</f>
        <v>0</v>
      </c>
      <c r="AU1362" s="2">
        <f>SUM(AL1363:AL1363)</f>
        <v>0</v>
      </c>
    </row>
    <row r="1363" spans="1:75" ht="13.5" customHeight="1">
      <c r="A1363" s="20" t="s">
        <v>1555</v>
      </c>
      <c r="B1363" s="84" t="s">
        <v>750</v>
      </c>
      <c r="C1363" s="84" t="s">
        <v>1231</v>
      </c>
      <c r="D1363" s="653" t="s">
        <v>2280</v>
      </c>
      <c r="E1363" s="654"/>
      <c r="F1363" s="84" t="s">
        <v>595</v>
      </c>
      <c r="G1363" s="6">
        <v>11</v>
      </c>
      <c r="H1363" s="570"/>
      <c r="I1363" s="18" t="s">
        <v>1720</v>
      </c>
      <c r="J1363" s="6">
        <f>G1363*AO1363</f>
        <v>0</v>
      </c>
      <c r="K1363" s="6">
        <f>G1363*AP1363</f>
        <v>0</v>
      </c>
      <c r="L1363" s="6">
        <f>G1363*H1363</f>
        <v>0</v>
      </c>
      <c r="M1363" s="6">
        <f>L1363*(1+BW1363/100)</f>
        <v>0</v>
      </c>
      <c r="N1363" s="6">
        <v>4.8999999999999998E-4</v>
      </c>
      <c r="O1363" s="6">
        <f>G1363*N1363</f>
        <v>5.3899999999999998E-3</v>
      </c>
      <c r="P1363" s="109" t="s">
        <v>1664</v>
      </c>
      <c r="Z1363" s="14">
        <f>IF(AQ1363="5",BJ1363,0)</f>
        <v>0</v>
      </c>
      <c r="AB1363" s="14">
        <f>IF(AQ1363="1",BH1363,0)</f>
        <v>0</v>
      </c>
      <c r="AC1363" s="14">
        <f>IF(AQ1363="1",BI1363,0)</f>
        <v>0</v>
      </c>
      <c r="AD1363" s="14">
        <f>IF(AQ1363="7",BH1363,0)</f>
        <v>0</v>
      </c>
      <c r="AE1363" s="14">
        <f>IF(AQ1363="7",BI1363,0)</f>
        <v>0</v>
      </c>
      <c r="AF1363" s="14">
        <f>IF(AQ1363="2",BH1363,0)</f>
        <v>0</v>
      </c>
      <c r="AG1363" s="14">
        <f>IF(AQ1363="2",BI1363,0)</f>
        <v>0</v>
      </c>
      <c r="AH1363" s="14">
        <f>IF(AQ1363="0",BJ1363,0)</f>
        <v>0</v>
      </c>
      <c r="AI1363" s="15" t="s">
        <v>750</v>
      </c>
      <c r="AJ1363" s="6">
        <f>IF(AN1363=0,L1363,0)</f>
        <v>0</v>
      </c>
      <c r="AK1363" s="6">
        <f>IF(AN1363=15,L1363,0)</f>
        <v>0</v>
      </c>
      <c r="AL1363" s="6">
        <f>IF(AN1363=21,L1363,0)</f>
        <v>0</v>
      </c>
      <c r="AN1363" s="14">
        <v>21</v>
      </c>
      <c r="AO1363" s="92">
        <f>H1363*1</f>
        <v>0</v>
      </c>
      <c r="AP1363" s="92">
        <f>H1363*(1-1)</f>
        <v>0</v>
      </c>
      <c r="AQ1363" s="18" t="s">
        <v>1279</v>
      </c>
      <c r="AV1363" s="14">
        <f>AW1363+AX1363</f>
        <v>0</v>
      </c>
      <c r="AW1363" s="14">
        <f>G1363*AO1363</f>
        <v>0</v>
      </c>
      <c r="AX1363" s="14">
        <f>G1363*AP1363</f>
        <v>0</v>
      </c>
      <c r="AY1363" s="55" t="s">
        <v>521</v>
      </c>
      <c r="AZ1363" s="55" t="s">
        <v>2047</v>
      </c>
      <c r="BA1363" s="15" t="s">
        <v>1027</v>
      </c>
      <c r="BC1363" s="14">
        <f>AW1363+AX1363</f>
        <v>0</v>
      </c>
      <c r="BD1363" s="14">
        <f>H1363/(100-BE1363)*100</f>
        <v>0</v>
      </c>
      <c r="BE1363" s="14">
        <v>0</v>
      </c>
      <c r="BF1363" s="14">
        <f>O1363</f>
        <v>5.3899999999999998E-3</v>
      </c>
      <c r="BH1363" s="6">
        <f>G1363*AO1363</f>
        <v>0</v>
      </c>
      <c r="BI1363" s="6">
        <f>G1363*AP1363</f>
        <v>0</v>
      </c>
      <c r="BJ1363" s="6">
        <f>G1363*H1363</f>
        <v>0</v>
      </c>
      <c r="BK1363" s="6"/>
      <c r="BL1363" s="14"/>
      <c r="BW1363" s="14" t="str">
        <f>I1363</f>
        <v>21</v>
      </c>
    </row>
    <row r="1364" spans="1:75" ht="15" customHeight="1">
      <c r="A1364" s="32"/>
      <c r="D1364" s="3" t="s">
        <v>2037</v>
      </c>
      <c r="E1364" s="28" t="s">
        <v>1683</v>
      </c>
      <c r="G1364" s="27">
        <v>11.000000000000002</v>
      </c>
      <c r="P1364" s="33"/>
    </row>
    <row r="1365" spans="1:75" ht="15" customHeight="1">
      <c r="A1365" s="70" t="s">
        <v>1683</v>
      </c>
      <c r="B1365" s="40" t="s">
        <v>238</v>
      </c>
      <c r="C1365" s="40" t="s">
        <v>1683</v>
      </c>
      <c r="D1365" s="647" t="s">
        <v>1991</v>
      </c>
      <c r="E1365" s="648"/>
      <c r="F1365" s="22" t="s">
        <v>2262</v>
      </c>
      <c r="G1365" s="22" t="s">
        <v>2262</v>
      </c>
      <c r="H1365" s="22" t="s">
        <v>2262</v>
      </c>
      <c r="I1365" s="22" t="s">
        <v>2262</v>
      </c>
      <c r="J1365" s="89">
        <f>J1366</f>
        <v>0</v>
      </c>
      <c r="K1365" s="89">
        <f>K1366</f>
        <v>0</v>
      </c>
      <c r="L1365" s="89">
        <f>L1366</f>
        <v>0</v>
      </c>
      <c r="M1365" s="89">
        <f>M1366</f>
        <v>0</v>
      </c>
      <c r="N1365" s="61" t="s">
        <v>1683</v>
      </c>
      <c r="O1365" s="89">
        <f>O1366</f>
        <v>0</v>
      </c>
      <c r="P1365" s="1" t="s">
        <v>1683</v>
      </c>
    </row>
    <row r="1366" spans="1:75" ht="15" customHeight="1">
      <c r="A1366" s="65" t="s">
        <v>1683</v>
      </c>
      <c r="B1366" s="26" t="s">
        <v>238</v>
      </c>
      <c r="C1366" s="26" t="s">
        <v>1468</v>
      </c>
      <c r="D1366" s="649" t="s">
        <v>2273</v>
      </c>
      <c r="E1366" s="650"/>
      <c r="F1366" s="74" t="s">
        <v>2262</v>
      </c>
      <c r="G1366" s="74" t="s">
        <v>2262</v>
      </c>
      <c r="H1366" s="74" t="s">
        <v>2262</v>
      </c>
      <c r="I1366" s="74" t="s">
        <v>2262</v>
      </c>
      <c r="J1366" s="2">
        <f>SUM(J1367:J1367)</f>
        <v>0</v>
      </c>
      <c r="K1366" s="2">
        <f>SUM(K1367:K1367)</f>
        <v>0</v>
      </c>
      <c r="L1366" s="2">
        <f>SUM(L1367:L1367)</f>
        <v>0</v>
      </c>
      <c r="M1366" s="2">
        <f>SUM(M1367:M1367)</f>
        <v>0</v>
      </c>
      <c r="N1366" s="15" t="s">
        <v>1683</v>
      </c>
      <c r="O1366" s="2">
        <f>SUM(O1367:O1367)</f>
        <v>0</v>
      </c>
      <c r="P1366" s="47" t="s">
        <v>1683</v>
      </c>
      <c r="AI1366" s="15" t="s">
        <v>238</v>
      </c>
      <c r="AS1366" s="2">
        <f>SUM(AJ1367:AJ1367)</f>
        <v>0</v>
      </c>
      <c r="AT1366" s="2">
        <f>SUM(AK1367:AK1367)</f>
        <v>0</v>
      </c>
      <c r="AU1366" s="2">
        <f>SUM(AL1367:AL1367)</f>
        <v>0</v>
      </c>
    </row>
    <row r="1367" spans="1:75" ht="27" customHeight="1">
      <c r="A1367" s="21" t="s">
        <v>932</v>
      </c>
      <c r="B1367" s="37" t="s">
        <v>238</v>
      </c>
      <c r="C1367" s="37" t="s">
        <v>2156</v>
      </c>
      <c r="D1367" s="578" t="s">
        <v>890</v>
      </c>
      <c r="E1367" s="579"/>
      <c r="F1367" s="37" t="s">
        <v>856</v>
      </c>
      <c r="G1367" s="14">
        <v>1</v>
      </c>
      <c r="H1367" s="569"/>
      <c r="I1367" s="55" t="s">
        <v>1720</v>
      </c>
      <c r="J1367" s="14">
        <f>G1367*AO1367</f>
        <v>0</v>
      </c>
      <c r="K1367" s="14">
        <f>G1367*AP1367</f>
        <v>0</v>
      </c>
      <c r="L1367" s="14">
        <f>G1367*H1367</f>
        <v>0</v>
      </c>
      <c r="M1367" s="14">
        <f>L1367*(1+BW1367/100)</f>
        <v>0</v>
      </c>
      <c r="N1367" s="14">
        <v>0</v>
      </c>
      <c r="O1367" s="14">
        <f>G1367*N1367</f>
        <v>0</v>
      </c>
      <c r="P1367" s="72" t="s">
        <v>1683</v>
      </c>
      <c r="Z1367" s="14">
        <f>IF(AQ1367="5",BJ1367,0)</f>
        <v>0</v>
      </c>
      <c r="AB1367" s="14">
        <f>IF(AQ1367="1",BH1367,0)</f>
        <v>0</v>
      </c>
      <c r="AC1367" s="14">
        <f>IF(AQ1367="1",BI1367,0)</f>
        <v>0</v>
      </c>
      <c r="AD1367" s="14">
        <f>IF(AQ1367="7",BH1367,0)</f>
        <v>0</v>
      </c>
      <c r="AE1367" s="14">
        <f>IF(AQ1367="7",BI1367,0)</f>
        <v>0</v>
      </c>
      <c r="AF1367" s="14">
        <f>IF(AQ1367="2",BH1367,0)</f>
        <v>0</v>
      </c>
      <c r="AG1367" s="14">
        <f>IF(AQ1367="2",BI1367,0)</f>
        <v>0</v>
      </c>
      <c r="AH1367" s="14">
        <f>IF(AQ1367="0",BJ1367,0)</f>
        <v>0</v>
      </c>
      <c r="AI1367" s="15" t="s">
        <v>238</v>
      </c>
      <c r="AJ1367" s="14">
        <f>IF(AN1367=0,L1367,0)</f>
        <v>0</v>
      </c>
      <c r="AK1367" s="14">
        <f>IF(AN1367=15,L1367,0)</f>
        <v>0</v>
      </c>
      <c r="AL1367" s="14">
        <f>IF(AN1367=21,L1367,0)</f>
        <v>0</v>
      </c>
      <c r="AN1367" s="14">
        <v>21</v>
      </c>
      <c r="AO1367" s="92">
        <f>H1367*0.871282527881041</f>
        <v>0</v>
      </c>
      <c r="AP1367" s="92">
        <f>H1367*(1-0.871282527881041)</f>
        <v>0</v>
      </c>
      <c r="AQ1367" s="55" t="s">
        <v>1676</v>
      </c>
      <c r="AV1367" s="14">
        <f>AW1367+AX1367</f>
        <v>0</v>
      </c>
      <c r="AW1367" s="14">
        <f>G1367*AO1367</f>
        <v>0</v>
      </c>
      <c r="AX1367" s="14">
        <f>G1367*AP1367</f>
        <v>0</v>
      </c>
      <c r="AY1367" s="55" t="s">
        <v>2027</v>
      </c>
      <c r="AZ1367" s="55" t="s">
        <v>2554</v>
      </c>
      <c r="BA1367" s="15" t="s">
        <v>554</v>
      </c>
      <c r="BC1367" s="14">
        <f>AW1367+AX1367</f>
        <v>0</v>
      </c>
      <c r="BD1367" s="14">
        <f>H1367/(100-BE1367)*100</f>
        <v>0</v>
      </c>
      <c r="BE1367" s="14">
        <v>0</v>
      </c>
      <c r="BF1367" s="14">
        <f>O1367</f>
        <v>0</v>
      </c>
      <c r="BH1367" s="14">
        <f>G1367*AO1367</f>
        <v>0</v>
      </c>
      <c r="BI1367" s="14">
        <f>G1367*AP1367</f>
        <v>0</v>
      </c>
      <c r="BJ1367" s="14">
        <f>G1367*H1367</f>
        <v>0</v>
      </c>
      <c r="BK1367" s="14"/>
      <c r="BL1367" s="14"/>
      <c r="BW1367" s="14" t="str">
        <f>I1367</f>
        <v>21</v>
      </c>
    </row>
    <row r="1368" spans="1:75" ht="15" customHeight="1">
      <c r="A1368" s="32"/>
      <c r="D1368" s="3" t="s">
        <v>2422</v>
      </c>
      <c r="E1368" s="28" t="s">
        <v>283</v>
      </c>
      <c r="G1368" s="27">
        <v>1</v>
      </c>
      <c r="P1368" s="33"/>
    </row>
    <row r="1369" spans="1:75" ht="15" customHeight="1">
      <c r="A1369" s="70" t="s">
        <v>1683</v>
      </c>
      <c r="B1369" s="40" t="s">
        <v>1774</v>
      </c>
      <c r="C1369" s="40" t="s">
        <v>1683</v>
      </c>
      <c r="D1369" s="647" t="s">
        <v>2086</v>
      </c>
      <c r="E1369" s="648"/>
      <c r="F1369" s="22" t="s">
        <v>2262</v>
      </c>
      <c r="G1369" s="22" t="s">
        <v>2262</v>
      </c>
      <c r="H1369" s="22" t="s">
        <v>2262</v>
      </c>
      <c r="I1369" s="22" t="s">
        <v>2262</v>
      </c>
      <c r="J1369" s="89">
        <f>J1370</f>
        <v>0</v>
      </c>
      <c r="K1369" s="89">
        <f>K1370</f>
        <v>0</v>
      </c>
      <c r="L1369" s="89">
        <f>L1370</f>
        <v>0</v>
      </c>
      <c r="M1369" s="89">
        <f>M1370</f>
        <v>0</v>
      </c>
      <c r="N1369" s="61" t="s">
        <v>1683</v>
      </c>
      <c r="O1369" s="89">
        <f>O1370</f>
        <v>0</v>
      </c>
      <c r="P1369" s="1" t="s">
        <v>1683</v>
      </c>
    </row>
    <row r="1370" spans="1:75" ht="15" customHeight="1">
      <c r="A1370" s="65" t="s">
        <v>1683</v>
      </c>
      <c r="B1370" s="26" t="s">
        <v>1774</v>
      </c>
      <c r="C1370" s="26" t="s">
        <v>2373</v>
      </c>
      <c r="D1370" s="649" t="s">
        <v>666</v>
      </c>
      <c r="E1370" s="650"/>
      <c r="F1370" s="74" t="s">
        <v>2262</v>
      </c>
      <c r="G1370" s="74" t="s">
        <v>2262</v>
      </c>
      <c r="H1370" s="74" t="s">
        <v>2262</v>
      </c>
      <c r="I1370" s="74" t="s">
        <v>2262</v>
      </c>
      <c r="J1370" s="2">
        <f>SUM(J1371:J1371)</f>
        <v>0</v>
      </c>
      <c r="K1370" s="2">
        <f>SUM(K1371:K1371)</f>
        <v>0</v>
      </c>
      <c r="L1370" s="2">
        <f>SUM(L1371:L1371)</f>
        <v>0</v>
      </c>
      <c r="M1370" s="2">
        <f>SUM(M1371:M1371)</f>
        <v>0</v>
      </c>
      <c r="N1370" s="15" t="s">
        <v>1683</v>
      </c>
      <c r="O1370" s="2">
        <f>SUM(O1371:O1371)</f>
        <v>0</v>
      </c>
      <c r="P1370" s="47" t="s">
        <v>1683</v>
      </c>
      <c r="AI1370" s="15" t="s">
        <v>1774</v>
      </c>
      <c r="AS1370" s="2">
        <f>SUM(AJ1371:AJ1371)</f>
        <v>0</v>
      </c>
      <c r="AT1370" s="2">
        <f>SUM(AK1371:AK1371)</f>
        <v>0</v>
      </c>
      <c r="AU1370" s="2">
        <f>SUM(AL1371:AL1371)</f>
        <v>0</v>
      </c>
    </row>
    <row r="1371" spans="1:75" ht="13.5" customHeight="1">
      <c r="A1371" s="59" t="s">
        <v>1423</v>
      </c>
      <c r="B1371" s="30" t="s">
        <v>1774</v>
      </c>
      <c r="C1371" s="30" t="s">
        <v>2188</v>
      </c>
      <c r="D1371" s="663" t="s">
        <v>515</v>
      </c>
      <c r="E1371" s="664"/>
      <c r="F1371" s="30" t="s">
        <v>1876</v>
      </c>
      <c r="G1371" s="92">
        <v>1</v>
      </c>
      <c r="H1371" s="92">
        <f>'MAR rekapitulace'!E21</f>
        <v>0</v>
      </c>
      <c r="I1371" s="42" t="s">
        <v>1720</v>
      </c>
      <c r="J1371" s="92">
        <f>G1371*AO1371</f>
        <v>0</v>
      </c>
      <c r="K1371" s="92">
        <f>G1371*AP1371</f>
        <v>0</v>
      </c>
      <c r="L1371" s="92">
        <f>G1371*H1371</f>
        <v>0</v>
      </c>
      <c r="M1371" s="92">
        <f>L1371*(1+BW1371/100)</f>
        <v>0</v>
      </c>
      <c r="N1371" s="92">
        <v>0</v>
      </c>
      <c r="O1371" s="92">
        <f>G1371*N1371</f>
        <v>0</v>
      </c>
      <c r="P1371" s="48" t="s">
        <v>1683</v>
      </c>
      <c r="Z1371" s="14">
        <f>IF(AQ1371="5",BJ1371,0)</f>
        <v>0</v>
      </c>
      <c r="AB1371" s="14">
        <f>IF(AQ1371="1",BH1371,0)</f>
        <v>0</v>
      </c>
      <c r="AC1371" s="14">
        <f>IF(AQ1371="1",BI1371,0)</f>
        <v>0</v>
      </c>
      <c r="AD1371" s="14">
        <f>IF(AQ1371="7",BH1371,0)</f>
        <v>0</v>
      </c>
      <c r="AE1371" s="14">
        <f>IF(AQ1371="7",BI1371,0)</f>
        <v>0</v>
      </c>
      <c r="AF1371" s="14">
        <f>IF(AQ1371="2",BH1371,0)</f>
        <v>0</v>
      </c>
      <c r="AG1371" s="14">
        <f>IF(AQ1371="2",BI1371,0)</f>
        <v>0</v>
      </c>
      <c r="AH1371" s="14">
        <f>IF(AQ1371="0",BJ1371,0)</f>
        <v>0</v>
      </c>
      <c r="AI1371" s="15" t="s">
        <v>1774</v>
      </c>
      <c r="AJ1371" s="14">
        <f>IF(AN1371=0,L1371,0)</f>
        <v>0</v>
      </c>
      <c r="AK1371" s="14">
        <f>IF(AN1371=15,L1371,0)</f>
        <v>0</v>
      </c>
      <c r="AL1371" s="14">
        <f>IF(AN1371=21,L1371,0)</f>
        <v>0</v>
      </c>
      <c r="AN1371" s="14">
        <v>21</v>
      </c>
      <c r="AO1371" s="92">
        <f>'MAR Materiál'!G52</f>
        <v>0</v>
      </c>
      <c r="AP1371" s="92">
        <f>'MAR montáž'!G60</f>
        <v>0</v>
      </c>
      <c r="AQ1371" s="55" t="s">
        <v>1676</v>
      </c>
      <c r="AV1371" s="14">
        <f>AW1371+AX1371</f>
        <v>0</v>
      </c>
      <c r="AW1371" s="14">
        <f>G1371*AO1371</f>
        <v>0</v>
      </c>
      <c r="AX1371" s="14">
        <f>G1371*AP1371</f>
        <v>0</v>
      </c>
      <c r="AY1371" s="55" t="s">
        <v>1218</v>
      </c>
      <c r="AZ1371" s="55" t="s">
        <v>647</v>
      </c>
      <c r="BA1371" s="15" t="s">
        <v>1518</v>
      </c>
      <c r="BC1371" s="14">
        <f>AW1371+AX1371</f>
        <v>0</v>
      </c>
      <c r="BD1371" s="14">
        <f>H1371/(100-BE1371)*100</f>
        <v>0</v>
      </c>
      <c r="BE1371" s="14">
        <v>0</v>
      </c>
      <c r="BF1371" s="14">
        <f>O1371</f>
        <v>0</v>
      </c>
      <c r="BH1371" s="14">
        <f>G1371*AO1371</f>
        <v>0</v>
      </c>
      <c r="BI1371" s="14">
        <f>G1371*AP1371</f>
        <v>0</v>
      </c>
      <c r="BJ1371" s="14">
        <f>G1371*H1371</f>
        <v>0</v>
      </c>
      <c r="BK1371" s="14"/>
      <c r="BL1371" s="14"/>
      <c r="BW1371" s="14" t="str">
        <f>I1371</f>
        <v>21</v>
      </c>
    </row>
    <row r="1372" spans="1:75" ht="15" customHeight="1">
      <c r="A1372" s="73"/>
      <c r="B1372" s="19"/>
      <c r="C1372" s="19"/>
      <c r="D1372" s="100" t="s">
        <v>2422</v>
      </c>
      <c r="E1372" s="41" t="s">
        <v>1683</v>
      </c>
      <c r="F1372" s="19"/>
      <c r="G1372" s="67">
        <v>1</v>
      </c>
      <c r="H1372" s="19"/>
      <c r="I1372" s="19"/>
      <c r="J1372" s="19"/>
      <c r="K1372" s="19"/>
      <c r="L1372" s="19"/>
      <c r="M1372" s="19"/>
      <c r="N1372" s="19"/>
      <c r="O1372" s="19"/>
      <c r="P1372" s="80"/>
    </row>
    <row r="1373" spans="1:75" ht="15" customHeight="1">
      <c r="A1373" s="70" t="s">
        <v>1683</v>
      </c>
      <c r="B1373" s="40" t="s">
        <v>951</v>
      </c>
      <c r="C1373" s="40" t="s">
        <v>1683</v>
      </c>
      <c r="D1373" s="647" t="s">
        <v>205</v>
      </c>
      <c r="E1373" s="648"/>
      <c r="F1373" s="22" t="s">
        <v>2262</v>
      </c>
      <c r="G1373" s="22" t="s">
        <v>2262</v>
      </c>
      <c r="H1373" s="22" t="s">
        <v>2262</v>
      </c>
      <c r="I1373" s="22" t="s">
        <v>2262</v>
      </c>
      <c r="J1373" s="89">
        <f>J1374+J1381+J1390+J1393+J1398+J1410+J1415+J1418+J1448+J1465+J1468</f>
        <v>0</v>
      </c>
      <c r="K1373" s="89">
        <f>K1374+K1381+K1390+K1393+K1398+K1410+K1415+K1418+K1448+K1465+K1468</f>
        <v>0</v>
      </c>
      <c r="L1373" s="89">
        <f>L1374+L1381+L1390+L1393+L1398+L1410+L1415+L1418+L1448+L1465+L1468</f>
        <v>0</v>
      </c>
      <c r="M1373" s="89">
        <f>M1374+M1381+M1390+M1393+M1398+M1410+M1415+M1418+M1448+M1465+M1468</f>
        <v>0</v>
      </c>
      <c r="N1373" s="61" t="s">
        <v>1683</v>
      </c>
      <c r="O1373" s="89">
        <f>O1374+O1381+O1390+O1393+O1398+O1410+O1415+O1418+O1448+O1465+O1468</f>
        <v>88.402851600000005</v>
      </c>
      <c r="P1373" s="1" t="s">
        <v>1683</v>
      </c>
    </row>
    <row r="1374" spans="1:75" ht="15" customHeight="1">
      <c r="A1374" s="65" t="s">
        <v>1683</v>
      </c>
      <c r="B1374" s="26" t="s">
        <v>951</v>
      </c>
      <c r="C1374" s="26" t="s">
        <v>705</v>
      </c>
      <c r="D1374" s="649" t="s">
        <v>17</v>
      </c>
      <c r="E1374" s="650"/>
      <c r="F1374" s="74" t="s">
        <v>2262</v>
      </c>
      <c r="G1374" s="74" t="s">
        <v>2262</v>
      </c>
      <c r="H1374" s="74" t="s">
        <v>2262</v>
      </c>
      <c r="I1374" s="74" t="s">
        <v>2262</v>
      </c>
      <c r="J1374" s="2">
        <f>SUM(J1375:J1379)</f>
        <v>0</v>
      </c>
      <c r="K1374" s="2">
        <f>SUM(K1375:K1379)</f>
        <v>0</v>
      </c>
      <c r="L1374" s="2">
        <f>SUM(L1375:L1379)</f>
        <v>0</v>
      </c>
      <c r="M1374" s="2">
        <f>SUM(M1375:M1379)</f>
        <v>0</v>
      </c>
      <c r="N1374" s="15" t="s">
        <v>1683</v>
      </c>
      <c r="O1374" s="2">
        <f>SUM(O1375:O1379)</f>
        <v>0</v>
      </c>
      <c r="P1374" s="47" t="s">
        <v>1683</v>
      </c>
      <c r="AI1374" s="15" t="s">
        <v>951</v>
      </c>
      <c r="AS1374" s="2">
        <f>SUM(AJ1375:AJ1379)</f>
        <v>0</v>
      </c>
      <c r="AT1374" s="2">
        <f>SUM(AK1375:AK1379)</f>
        <v>0</v>
      </c>
      <c r="AU1374" s="2">
        <f>SUM(AL1375:AL1379)</f>
        <v>0</v>
      </c>
    </row>
    <row r="1375" spans="1:75" ht="13.5" customHeight="1">
      <c r="A1375" s="21" t="s">
        <v>1396</v>
      </c>
      <c r="B1375" s="37" t="s">
        <v>951</v>
      </c>
      <c r="C1375" s="37" t="s">
        <v>2463</v>
      </c>
      <c r="D1375" s="578" t="s">
        <v>1268</v>
      </c>
      <c r="E1375" s="579"/>
      <c r="F1375" s="37" t="s">
        <v>2359</v>
      </c>
      <c r="G1375" s="14">
        <v>43.14</v>
      </c>
      <c r="H1375" s="569"/>
      <c r="I1375" s="55" t="s">
        <v>1720</v>
      </c>
      <c r="J1375" s="14">
        <f>G1375*AO1375</f>
        <v>0</v>
      </c>
      <c r="K1375" s="14">
        <f>G1375*AP1375</f>
        <v>0</v>
      </c>
      <c r="L1375" s="14">
        <f>G1375*H1375</f>
        <v>0</v>
      </c>
      <c r="M1375" s="14">
        <f>L1375*(1+BW1375/100)</f>
        <v>0</v>
      </c>
      <c r="N1375" s="14">
        <v>0</v>
      </c>
      <c r="O1375" s="14">
        <f>G1375*N1375</f>
        <v>0</v>
      </c>
      <c r="P1375" s="72" t="s">
        <v>921</v>
      </c>
      <c r="Z1375" s="14">
        <f>IF(AQ1375="5",BJ1375,0)</f>
        <v>0</v>
      </c>
      <c r="AB1375" s="14">
        <f>IF(AQ1375="1",BH1375,0)</f>
        <v>0</v>
      </c>
      <c r="AC1375" s="14">
        <f>IF(AQ1375="1",BI1375,0)</f>
        <v>0</v>
      </c>
      <c r="AD1375" s="14">
        <f>IF(AQ1375="7",BH1375,0)</f>
        <v>0</v>
      </c>
      <c r="AE1375" s="14">
        <f>IF(AQ1375="7",BI1375,0)</f>
        <v>0</v>
      </c>
      <c r="AF1375" s="14">
        <f>IF(AQ1375="2",BH1375,0)</f>
        <v>0</v>
      </c>
      <c r="AG1375" s="14">
        <f>IF(AQ1375="2",BI1375,0)</f>
        <v>0</v>
      </c>
      <c r="AH1375" s="14">
        <f>IF(AQ1375="0",BJ1375,0)</f>
        <v>0</v>
      </c>
      <c r="AI1375" s="15" t="s">
        <v>951</v>
      </c>
      <c r="AJ1375" s="14">
        <f>IF(AN1375=0,L1375,0)</f>
        <v>0</v>
      </c>
      <c r="AK1375" s="14">
        <f>IF(AN1375=15,L1375,0)</f>
        <v>0</v>
      </c>
      <c r="AL1375" s="14">
        <f>IF(AN1375=21,L1375,0)</f>
        <v>0</v>
      </c>
      <c r="AN1375" s="14">
        <v>21</v>
      </c>
      <c r="AO1375" s="92">
        <f>H1375*0</f>
        <v>0</v>
      </c>
      <c r="AP1375" s="92">
        <f>H1375*(1-0)</f>
        <v>0</v>
      </c>
      <c r="AQ1375" s="55" t="s">
        <v>2422</v>
      </c>
      <c r="AV1375" s="14">
        <f>AW1375+AX1375</f>
        <v>0</v>
      </c>
      <c r="AW1375" s="14">
        <f>G1375*AO1375</f>
        <v>0</v>
      </c>
      <c r="AX1375" s="14">
        <f>G1375*AP1375</f>
        <v>0</v>
      </c>
      <c r="AY1375" s="55" t="s">
        <v>2203</v>
      </c>
      <c r="AZ1375" s="55" t="s">
        <v>361</v>
      </c>
      <c r="BA1375" s="15" t="s">
        <v>2738</v>
      </c>
      <c r="BC1375" s="14">
        <f>AW1375+AX1375</f>
        <v>0</v>
      </c>
      <c r="BD1375" s="14">
        <f>H1375/(100-BE1375)*100</f>
        <v>0</v>
      </c>
      <c r="BE1375" s="14">
        <v>0</v>
      </c>
      <c r="BF1375" s="14">
        <f>O1375</f>
        <v>0</v>
      </c>
      <c r="BH1375" s="14">
        <f>G1375*AO1375</f>
        <v>0</v>
      </c>
      <c r="BI1375" s="14">
        <f>G1375*AP1375</f>
        <v>0</v>
      </c>
      <c r="BJ1375" s="14">
        <f>G1375*H1375</f>
        <v>0</v>
      </c>
      <c r="BK1375" s="14"/>
      <c r="BL1375" s="14">
        <v>13</v>
      </c>
      <c r="BW1375" s="14" t="str">
        <f>I1375</f>
        <v>21</v>
      </c>
    </row>
    <row r="1376" spans="1:75" ht="15" customHeight="1">
      <c r="A1376" s="32"/>
      <c r="D1376" s="3" t="s">
        <v>715</v>
      </c>
      <c r="E1376" s="28" t="s">
        <v>316</v>
      </c>
      <c r="G1376" s="27">
        <v>43.14</v>
      </c>
      <c r="P1376" s="33"/>
    </row>
    <row r="1377" spans="1:75" ht="13.5" customHeight="1">
      <c r="A1377" s="21" t="s">
        <v>986</v>
      </c>
      <c r="B1377" s="37" t="s">
        <v>951</v>
      </c>
      <c r="C1377" s="37" t="s">
        <v>231</v>
      </c>
      <c r="D1377" s="578" t="s">
        <v>664</v>
      </c>
      <c r="E1377" s="579"/>
      <c r="F1377" s="37" t="s">
        <v>2359</v>
      </c>
      <c r="G1377" s="14">
        <v>58.48</v>
      </c>
      <c r="H1377" s="569"/>
      <c r="I1377" s="55" t="s">
        <v>1720</v>
      </c>
      <c r="J1377" s="14">
        <f>G1377*AO1377</f>
        <v>0</v>
      </c>
      <c r="K1377" s="14">
        <f>G1377*AP1377</f>
        <v>0</v>
      </c>
      <c r="L1377" s="14">
        <f>G1377*H1377</f>
        <v>0</v>
      </c>
      <c r="M1377" s="14">
        <f>L1377*(1+BW1377/100)</f>
        <v>0</v>
      </c>
      <c r="N1377" s="14">
        <v>0</v>
      </c>
      <c r="O1377" s="14">
        <f>G1377*N1377</f>
        <v>0</v>
      </c>
      <c r="P1377" s="72" t="s">
        <v>1664</v>
      </c>
      <c r="Z1377" s="14">
        <f>IF(AQ1377="5",BJ1377,0)</f>
        <v>0</v>
      </c>
      <c r="AB1377" s="14">
        <f>IF(AQ1377="1",BH1377,0)</f>
        <v>0</v>
      </c>
      <c r="AC1377" s="14">
        <f>IF(AQ1377="1",BI1377,0)</f>
        <v>0</v>
      </c>
      <c r="AD1377" s="14">
        <f>IF(AQ1377="7",BH1377,0)</f>
        <v>0</v>
      </c>
      <c r="AE1377" s="14">
        <f>IF(AQ1377="7",BI1377,0)</f>
        <v>0</v>
      </c>
      <c r="AF1377" s="14">
        <f>IF(AQ1377="2",BH1377,0)</f>
        <v>0</v>
      </c>
      <c r="AG1377" s="14">
        <f>IF(AQ1377="2",BI1377,0)</f>
        <v>0</v>
      </c>
      <c r="AH1377" s="14">
        <f>IF(AQ1377="0",BJ1377,0)</f>
        <v>0</v>
      </c>
      <c r="AI1377" s="15" t="s">
        <v>951</v>
      </c>
      <c r="AJ1377" s="14">
        <f>IF(AN1377=0,L1377,0)</f>
        <v>0</v>
      </c>
      <c r="AK1377" s="14">
        <f>IF(AN1377=15,L1377,0)</f>
        <v>0</v>
      </c>
      <c r="AL1377" s="14">
        <f>IF(AN1377=21,L1377,0)</f>
        <v>0</v>
      </c>
      <c r="AN1377" s="14">
        <v>21</v>
      </c>
      <c r="AO1377" s="92">
        <f>H1377*0</f>
        <v>0</v>
      </c>
      <c r="AP1377" s="92">
        <f>H1377*(1-0)</f>
        <v>0</v>
      </c>
      <c r="AQ1377" s="55" t="s">
        <v>2422</v>
      </c>
      <c r="AV1377" s="14">
        <f>AW1377+AX1377</f>
        <v>0</v>
      </c>
      <c r="AW1377" s="14">
        <f>G1377*AO1377</f>
        <v>0</v>
      </c>
      <c r="AX1377" s="14">
        <f>G1377*AP1377</f>
        <v>0</v>
      </c>
      <c r="AY1377" s="55" t="s">
        <v>2203</v>
      </c>
      <c r="AZ1377" s="55" t="s">
        <v>361</v>
      </c>
      <c r="BA1377" s="15" t="s">
        <v>2738</v>
      </c>
      <c r="BC1377" s="14">
        <f>AW1377+AX1377</f>
        <v>0</v>
      </c>
      <c r="BD1377" s="14">
        <f>H1377/(100-BE1377)*100</f>
        <v>0</v>
      </c>
      <c r="BE1377" s="14">
        <v>0</v>
      </c>
      <c r="BF1377" s="14">
        <f>O1377</f>
        <v>0</v>
      </c>
      <c r="BH1377" s="14">
        <f>G1377*AO1377</f>
        <v>0</v>
      </c>
      <c r="BI1377" s="14">
        <f>G1377*AP1377</f>
        <v>0</v>
      </c>
      <c r="BJ1377" s="14">
        <f>G1377*H1377</f>
        <v>0</v>
      </c>
      <c r="BK1377" s="14"/>
      <c r="BL1377" s="14">
        <v>13</v>
      </c>
      <c r="BW1377" s="14" t="str">
        <f>I1377</f>
        <v>21</v>
      </c>
    </row>
    <row r="1378" spans="1:75" ht="15" customHeight="1">
      <c r="A1378" s="32"/>
      <c r="D1378" s="3" t="s">
        <v>2181</v>
      </c>
      <c r="E1378" s="28" t="s">
        <v>1195</v>
      </c>
      <c r="G1378" s="27">
        <v>58.480000000000004</v>
      </c>
      <c r="P1378" s="33"/>
    </row>
    <row r="1379" spans="1:75" ht="13.5" customHeight="1">
      <c r="A1379" s="21" t="s">
        <v>289</v>
      </c>
      <c r="B1379" s="37" t="s">
        <v>951</v>
      </c>
      <c r="C1379" s="37" t="s">
        <v>911</v>
      </c>
      <c r="D1379" s="578" t="s">
        <v>2486</v>
      </c>
      <c r="E1379" s="579"/>
      <c r="F1379" s="37" t="s">
        <v>2359</v>
      </c>
      <c r="G1379" s="14">
        <v>114.99</v>
      </c>
      <c r="H1379" s="569"/>
      <c r="I1379" s="55" t="s">
        <v>1720</v>
      </c>
      <c r="J1379" s="14">
        <f>G1379*AO1379</f>
        <v>0</v>
      </c>
      <c r="K1379" s="14">
        <f>G1379*AP1379</f>
        <v>0</v>
      </c>
      <c r="L1379" s="14">
        <f>G1379*H1379</f>
        <v>0</v>
      </c>
      <c r="M1379" s="14">
        <f>L1379*(1+BW1379/100)</f>
        <v>0</v>
      </c>
      <c r="N1379" s="14">
        <v>0</v>
      </c>
      <c r="O1379" s="14">
        <f>G1379*N1379</f>
        <v>0</v>
      </c>
      <c r="P1379" s="72" t="s">
        <v>921</v>
      </c>
      <c r="Z1379" s="14">
        <f>IF(AQ1379="5",BJ1379,0)</f>
        <v>0</v>
      </c>
      <c r="AB1379" s="14">
        <f>IF(AQ1379="1",BH1379,0)</f>
        <v>0</v>
      </c>
      <c r="AC1379" s="14">
        <f>IF(AQ1379="1",BI1379,0)</f>
        <v>0</v>
      </c>
      <c r="AD1379" s="14">
        <f>IF(AQ1379="7",BH1379,0)</f>
        <v>0</v>
      </c>
      <c r="AE1379" s="14">
        <f>IF(AQ1379="7",BI1379,0)</f>
        <v>0</v>
      </c>
      <c r="AF1379" s="14">
        <f>IF(AQ1379="2",BH1379,0)</f>
        <v>0</v>
      </c>
      <c r="AG1379" s="14">
        <f>IF(AQ1379="2",BI1379,0)</f>
        <v>0</v>
      </c>
      <c r="AH1379" s="14">
        <f>IF(AQ1379="0",BJ1379,0)</f>
        <v>0</v>
      </c>
      <c r="AI1379" s="15" t="s">
        <v>951</v>
      </c>
      <c r="AJ1379" s="14">
        <f>IF(AN1379=0,L1379,0)</f>
        <v>0</v>
      </c>
      <c r="AK1379" s="14">
        <f>IF(AN1379=15,L1379,0)</f>
        <v>0</v>
      </c>
      <c r="AL1379" s="14">
        <f>IF(AN1379=21,L1379,0)</f>
        <v>0</v>
      </c>
      <c r="AN1379" s="14">
        <v>21</v>
      </c>
      <c r="AO1379" s="92">
        <f>H1379*0</f>
        <v>0</v>
      </c>
      <c r="AP1379" s="92">
        <f>H1379*(1-0)</f>
        <v>0</v>
      </c>
      <c r="AQ1379" s="55" t="s">
        <v>2422</v>
      </c>
      <c r="AV1379" s="14">
        <f>AW1379+AX1379</f>
        <v>0</v>
      </c>
      <c r="AW1379" s="14">
        <f>G1379*AO1379</f>
        <v>0</v>
      </c>
      <c r="AX1379" s="14">
        <f>G1379*AP1379</f>
        <v>0</v>
      </c>
      <c r="AY1379" s="55" t="s">
        <v>2203</v>
      </c>
      <c r="AZ1379" s="55" t="s">
        <v>361</v>
      </c>
      <c r="BA1379" s="15" t="s">
        <v>2738</v>
      </c>
      <c r="BC1379" s="14">
        <f>AW1379+AX1379</f>
        <v>0</v>
      </c>
      <c r="BD1379" s="14">
        <f>H1379/(100-BE1379)*100</f>
        <v>0</v>
      </c>
      <c r="BE1379" s="14">
        <v>0</v>
      </c>
      <c r="BF1379" s="14">
        <f>O1379</f>
        <v>0</v>
      </c>
      <c r="BH1379" s="14">
        <f>G1379*AO1379</f>
        <v>0</v>
      </c>
      <c r="BI1379" s="14">
        <f>G1379*AP1379</f>
        <v>0</v>
      </c>
      <c r="BJ1379" s="14">
        <f>G1379*H1379</f>
        <v>0</v>
      </c>
      <c r="BK1379" s="14"/>
      <c r="BL1379" s="14">
        <v>13</v>
      </c>
      <c r="BW1379" s="14" t="str">
        <f>I1379</f>
        <v>21</v>
      </c>
    </row>
    <row r="1380" spans="1:75" ht="15" customHeight="1">
      <c r="A1380" s="32"/>
      <c r="D1380" s="3" t="s">
        <v>2671</v>
      </c>
      <c r="E1380" s="28" t="s">
        <v>1683</v>
      </c>
      <c r="G1380" s="27">
        <v>114.99000000000001</v>
      </c>
      <c r="P1380" s="33"/>
    </row>
    <row r="1381" spans="1:75" ht="15" customHeight="1">
      <c r="A1381" s="65" t="s">
        <v>1683</v>
      </c>
      <c r="B1381" s="26" t="s">
        <v>951</v>
      </c>
      <c r="C1381" s="26" t="s">
        <v>957</v>
      </c>
      <c r="D1381" s="649" t="s">
        <v>2120</v>
      </c>
      <c r="E1381" s="650"/>
      <c r="F1381" s="74" t="s">
        <v>2262</v>
      </c>
      <c r="G1381" s="74" t="s">
        <v>2262</v>
      </c>
      <c r="H1381" s="74" t="s">
        <v>2262</v>
      </c>
      <c r="I1381" s="74" t="s">
        <v>2262</v>
      </c>
      <c r="J1381" s="2">
        <f>SUM(J1382:J1388)</f>
        <v>0</v>
      </c>
      <c r="K1381" s="2">
        <f>SUM(K1382:K1388)</f>
        <v>0</v>
      </c>
      <c r="L1381" s="2">
        <f>SUM(L1382:L1388)</f>
        <v>0</v>
      </c>
      <c r="M1381" s="2">
        <f>SUM(M1382:M1388)</f>
        <v>0</v>
      </c>
      <c r="N1381" s="15" t="s">
        <v>1683</v>
      </c>
      <c r="O1381" s="2">
        <f>SUM(O1382:O1388)</f>
        <v>7.3805599999999999E-2</v>
      </c>
      <c r="P1381" s="47" t="s">
        <v>1683</v>
      </c>
      <c r="AI1381" s="15" t="s">
        <v>951</v>
      </c>
      <c r="AS1381" s="2">
        <f>SUM(AJ1382:AJ1388)</f>
        <v>0</v>
      </c>
      <c r="AT1381" s="2">
        <f>SUM(AK1382:AK1388)</f>
        <v>0</v>
      </c>
      <c r="AU1381" s="2">
        <f>SUM(AL1382:AL1388)</f>
        <v>0</v>
      </c>
    </row>
    <row r="1382" spans="1:75" ht="13.5" customHeight="1">
      <c r="A1382" s="21" t="s">
        <v>2307</v>
      </c>
      <c r="B1382" s="37" t="s">
        <v>951</v>
      </c>
      <c r="C1382" s="37" t="s">
        <v>2699</v>
      </c>
      <c r="D1382" s="578" t="s">
        <v>552</v>
      </c>
      <c r="E1382" s="579"/>
      <c r="F1382" s="37" t="s">
        <v>2398</v>
      </c>
      <c r="G1382" s="14">
        <v>11.24</v>
      </c>
      <c r="H1382" s="569"/>
      <c r="I1382" s="55" t="s">
        <v>1720</v>
      </c>
      <c r="J1382" s="14">
        <f>G1382*AO1382</f>
        <v>0</v>
      </c>
      <c r="K1382" s="14">
        <f>G1382*AP1382</f>
        <v>0</v>
      </c>
      <c r="L1382" s="14">
        <f>G1382*H1382</f>
        <v>0</v>
      </c>
      <c r="M1382" s="14">
        <f>L1382*(1+BW1382/100)</f>
        <v>0</v>
      </c>
      <c r="N1382" s="14">
        <v>9.8999999999999999E-4</v>
      </c>
      <c r="O1382" s="14">
        <f>G1382*N1382</f>
        <v>1.11276E-2</v>
      </c>
      <c r="P1382" s="72" t="s">
        <v>1664</v>
      </c>
      <c r="Z1382" s="14">
        <f>IF(AQ1382="5",BJ1382,0)</f>
        <v>0</v>
      </c>
      <c r="AB1382" s="14">
        <f>IF(AQ1382="1",BH1382,0)</f>
        <v>0</v>
      </c>
      <c r="AC1382" s="14">
        <f>IF(AQ1382="1",BI1382,0)</f>
        <v>0</v>
      </c>
      <c r="AD1382" s="14">
        <f>IF(AQ1382="7",BH1382,0)</f>
        <v>0</v>
      </c>
      <c r="AE1382" s="14">
        <f>IF(AQ1382="7",BI1382,0)</f>
        <v>0</v>
      </c>
      <c r="AF1382" s="14">
        <f>IF(AQ1382="2",BH1382,0)</f>
        <v>0</v>
      </c>
      <c r="AG1382" s="14">
        <f>IF(AQ1382="2",BI1382,0)</f>
        <v>0</v>
      </c>
      <c r="AH1382" s="14">
        <f>IF(AQ1382="0",BJ1382,0)</f>
        <v>0</v>
      </c>
      <c r="AI1382" s="15" t="s">
        <v>951</v>
      </c>
      <c r="AJ1382" s="14">
        <f>IF(AN1382=0,L1382,0)</f>
        <v>0</v>
      </c>
      <c r="AK1382" s="14">
        <f>IF(AN1382=15,L1382,0)</f>
        <v>0</v>
      </c>
      <c r="AL1382" s="14">
        <f>IF(AN1382=21,L1382,0)</f>
        <v>0</v>
      </c>
      <c r="AN1382" s="14">
        <v>21</v>
      </c>
      <c r="AO1382" s="92">
        <f>H1382*0.0932214765100671</f>
        <v>0</v>
      </c>
      <c r="AP1382" s="92">
        <f>H1382*(1-0.0932214765100671)</f>
        <v>0</v>
      </c>
      <c r="AQ1382" s="55" t="s">
        <v>2422</v>
      </c>
      <c r="AV1382" s="14">
        <f>AW1382+AX1382</f>
        <v>0</v>
      </c>
      <c r="AW1382" s="14">
        <f>G1382*AO1382</f>
        <v>0</v>
      </c>
      <c r="AX1382" s="14">
        <f>G1382*AP1382</f>
        <v>0</v>
      </c>
      <c r="AY1382" s="55" t="s">
        <v>1718</v>
      </c>
      <c r="AZ1382" s="55" t="s">
        <v>361</v>
      </c>
      <c r="BA1382" s="15" t="s">
        <v>2738</v>
      </c>
      <c r="BC1382" s="14">
        <f>AW1382+AX1382</f>
        <v>0</v>
      </c>
      <c r="BD1382" s="14">
        <f>H1382/(100-BE1382)*100</f>
        <v>0</v>
      </c>
      <c r="BE1382" s="14">
        <v>0</v>
      </c>
      <c r="BF1382" s="14">
        <f>O1382</f>
        <v>1.11276E-2</v>
      </c>
      <c r="BH1382" s="14">
        <f>G1382*AO1382</f>
        <v>0</v>
      </c>
      <c r="BI1382" s="14">
        <f>G1382*AP1382</f>
        <v>0</v>
      </c>
      <c r="BJ1382" s="14">
        <f>G1382*H1382</f>
        <v>0</v>
      </c>
      <c r="BK1382" s="14"/>
      <c r="BL1382" s="14">
        <v>15</v>
      </c>
      <c r="BW1382" s="14" t="str">
        <f>I1382</f>
        <v>21</v>
      </c>
    </row>
    <row r="1383" spans="1:75" ht="15" customHeight="1">
      <c r="A1383" s="32"/>
      <c r="D1383" s="3" t="s">
        <v>1981</v>
      </c>
      <c r="E1383" s="28" t="s">
        <v>1683</v>
      </c>
      <c r="G1383" s="27">
        <v>11.24</v>
      </c>
      <c r="P1383" s="33"/>
    </row>
    <row r="1384" spans="1:75" ht="13.5" customHeight="1">
      <c r="A1384" s="21" t="s">
        <v>1255</v>
      </c>
      <c r="B1384" s="37" t="s">
        <v>951</v>
      </c>
      <c r="C1384" s="37" t="s">
        <v>1645</v>
      </c>
      <c r="D1384" s="578" t="s">
        <v>2362</v>
      </c>
      <c r="E1384" s="579"/>
      <c r="F1384" s="37" t="s">
        <v>2398</v>
      </c>
      <c r="G1384" s="14">
        <v>11.24</v>
      </c>
      <c r="H1384" s="569"/>
      <c r="I1384" s="55" t="s">
        <v>1720</v>
      </c>
      <c r="J1384" s="14">
        <f>G1384*AO1384</f>
        <v>0</v>
      </c>
      <c r="K1384" s="14">
        <f>G1384*AP1384</f>
        <v>0</v>
      </c>
      <c r="L1384" s="14">
        <f>G1384*H1384</f>
        <v>0</v>
      </c>
      <c r="M1384" s="14">
        <f>L1384*(1+BW1384/100)</f>
        <v>0</v>
      </c>
      <c r="N1384" s="14">
        <v>0</v>
      </c>
      <c r="O1384" s="14">
        <f>G1384*N1384</f>
        <v>0</v>
      </c>
      <c r="P1384" s="72" t="s">
        <v>1664</v>
      </c>
      <c r="Z1384" s="14">
        <f>IF(AQ1384="5",BJ1384,0)</f>
        <v>0</v>
      </c>
      <c r="AB1384" s="14">
        <f>IF(AQ1384="1",BH1384,0)</f>
        <v>0</v>
      </c>
      <c r="AC1384" s="14">
        <f>IF(AQ1384="1",BI1384,0)</f>
        <v>0</v>
      </c>
      <c r="AD1384" s="14">
        <f>IF(AQ1384="7",BH1384,0)</f>
        <v>0</v>
      </c>
      <c r="AE1384" s="14">
        <f>IF(AQ1384="7",BI1384,0)</f>
        <v>0</v>
      </c>
      <c r="AF1384" s="14">
        <f>IF(AQ1384="2",BH1384,0)</f>
        <v>0</v>
      </c>
      <c r="AG1384" s="14">
        <f>IF(AQ1384="2",BI1384,0)</f>
        <v>0</v>
      </c>
      <c r="AH1384" s="14">
        <f>IF(AQ1384="0",BJ1384,0)</f>
        <v>0</v>
      </c>
      <c r="AI1384" s="15" t="s">
        <v>951</v>
      </c>
      <c r="AJ1384" s="14">
        <f>IF(AN1384=0,L1384,0)</f>
        <v>0</v>
      </c>
      <c r="AK1384" s="14">
        <f>IF(AN1384=15,L1384,0)</f>
        <v>0</v>
      </c>
      <c r="AL1384" s="14">
        <f>IF(AN1384=21,L1384,0)</f>
        <v>0</v>
      </c>
      <c r="AN1384" s="14">
        <v>21</v>
      </c>
      <c r="AO1384" s="92">
        <f>H1384*0</f>
        <v>0</v>
      </c>
      <c r="AP1384" s="92">
        <f>H1384*(1-0)</f>
        <v>0</v>
      </c>
      <c r="AQ1384" s="55" t="s">
        <v>2422</v>
      </c>
      <c r="AV1384" s="14">
        <f>AW1384+AX1384</f>
        <v>0</v>
      </c>
      <c r="AW1384" s="14">
        <f>G1384*AO1384</f>
        <v>0</v>
      </c>
      <c r="AX1384" s="14">
        <f>G1384*AP1384</f>
        <v>0</v>
      </c>
      <c r="AY1384" s="55" t="s">
        <v>1718</v>
      </c>
      <c r="AZ1384" s="55" t="s">
        <v>361</v>
      </c>
      <c r="BA1384" s="15" t="s">
        <v>2738</v>
      </c>
      <c r="BC1384" s="14">
        <f>AW1384+AX1384</f>
        <v>0</v>
      </c>
      <c r="BD1384" s="14">
        <f>H1384/(100-BE1384)*100</f>
        <v>0</v>
      </c>
      <c r="BE1384" s="14">
        <v>0</v>
      </c>
      <c r="BF1384" s="14">
        <f>O1384</f>
        <v>0</v>
      </c>
      <c r="BH1384" s="14">
        <f>G1384*AO1384</f>
        <v>0</v>
      </c>
      <c r="BI1384" s="14">
        <f>G1384*AP1384</f>
        <v>0</v>
      </c>
      <c r="BJ1384" s="14">
        <f>G1384*H1384</f>
        <v>0</v>
      </c>
      <c r="BK1384" s="14"/>
      <c r="BL1384" s="14">
        <v>15</v>
      </c>
      <c r="BW1384" s="14" t="str">
        <f>I1384</f>
        <v>21</v>
      </c>
    </row>
    <row r="1385" spans="1:75" ht="15" customHeight="1">
      <c r="A1385" s="32"/>
      <c r="D1385" s="3" t="s">
        <v>1981</v>
      </c>
      <c r="E1385" s="28" t="s">
        <v>1683</v>
      </c>
      <c r="G1385" s="27">
        <v>11.24</v>
      </c>
      <c r="P1385" s="33"/>
    </row>
    <row r="1386" spans="1:75" ht="13.5" customHeight="1">
      <c r="A1386" s="21" t="s">
        <v>1972</v>
      </c>
      <c r="B1386" s="37" t="s">
        <v>951</v>
      </c>
      <c r="C1386" s="37" t="s">
        <v>1644</v>
      </c>
      <c r="D1386" s="578" t="s">
        <v>1449</v>
      </c>
      <c r="E1386" s="579"/>
      <c r="F1386" s="37" t="s">
        <v>2398</v>
      </c>
      <c r="G1386" s="14">
        <v>89.54</v>
      </c>
      <c r="H1386" s="569"/>
      <c r="I1386" s="55" t="s">
        <v>1720</v>
      </c>
      <c r="J1386" s="14">
        <f>G1386*AO1386</f>
        <v>0</v>
      </c>
      <c r="K1386" s="14">
        <f>G1386*AP1386</f>
        <v>0</v>
      </c>
      <c r="L1386" s="14">
        <f>G1386*H1386</f>
        <v>0</v>
      </c>
      <c r="M1386" s="14">
        <f>L1386*(1+BW1386/100)</f>
        <v>0</v>
      </c>
      <c r="N1386" s="14">
        <v>6.9999999999999999E-4</v>
      </c>
      <c r="O1386" s="14">
        <f>G1386*N1386</f>
        <v>6.2677999999999998E-2</v>
      </c>
      <c r="P1386" s="72" t="s">
        <v>1664</v>
      </c>
      <c r="Z1386" s="14">
        <f>IF(AQ1386="5",BJ1386,0)</f>
        <v>0</v>
      </c>
      <c r="AB1386" s="14">
        <f>IF(AQ1386="1",BH1386,0)</f>
        <v>0</v>
      </c>
      <c r="AC1386" s="14">
        <f>IF(AQ1386="1",BI1386,0)</f>
        <v>0</v>
      </c>
      <c r="AD1386" s="14">
        <f>IF(AQ1386="7",BH1386,0)</f>
        <v>0</v>
      </c>
      <c r="AE1386" s="14">
        <f>IF(AQ1386="7",BI1386,0)</f>
        <v>0</v>
      </c>
      <c r="AF1386" s="14">
        <f>IF(AQ1386="2",BH1386,0)</f>
        <v>0</v>
      </c>
      <c r="AG1386" s="14">
        <f>IF(AQ1386="2",BI1386,0)</f>
        <v>0</v>
      </c>
      <c r="AH1386" s="14">
        <f>IF(AQ1386="0",BJ1386,0)</f>
        <v>0</v>
      </c>
      <c r="AI1386" s="15" t="s">
        <v>951</v>
      </c>
      <c r="AJ1386" s="14">
        <f>IF(AN1386=0,L1386,0)</f>
        <v>0</v>
      </c>
      <c r="AK1386" s="14">
        <f>IF(AN1386=15,L1386,0)</f>
        <v>0</v>
      </c>
      <c r="AL1386" s="14">
        <f>IF(AN1386=21,L1386,0)</f>
        <v>0</v>
      </c>
      <c r="AN1386" s="14">
        <v>21</v>
      </c>
      <c r="AO1386" s="92">
        <f>H1386*0.19728813559322</f>
        <v>0</v>
      </c>
      <c r="AP1386" s="92">
        <f>H1386*(1-0.19728813559322)</f>
        <v>0</v>
      </c>
      <c r="AQ1386" s="55" t="s">
        <v>2422</v>
      </c>
      <c r="AV1386" s="14">
        <f>AW1386+AX1386</f>
        <v>0</v>
      </c>
      <c r="AW1386" s="14">
        <f>G1386*AO1386</f>
        <v>0</v>
      </c>
      <c r="AX1386" s="14">
        <f>G1386*AP1386</f>
        <v>0</v>
      </c>
      <c r="AY1386" s="55" t="s">
        <v>1718</v>
      </c>
      <c r="AZ1386" s="55" t="s">
        <v>361</v>
      </c>
      <c r="BA1386" s="15" t="s">
        <v>2738</v>
      </c>
      <c r="BC1386" s="14">
        <f>AW1386+AX1386</f>
        <v>0</v>
      </c>
      <c r="BD1386" s="14">
        <f>H1386/(100-BE1386)*100</f>
        <v>0</v>
      </c>
      <c r="BE1386" s="14">
        <v>0</v>
      </c>
      <c r="BF1386" s="14">
        <f>O1386</f>
        <v>6.2677999999999998E-2</v>
      </c>
      <c r="BH1386" s="14">
        <f>G1386*AO1386</f>
        <v>0</v>
      </c>
      <c r="BI1386" s="14">
        <f>G1386*AP1386</f>
        <v>0</v>
      </c>
      <c r="BJ1386" s="14">
        <f>G1386*H1386</f>
        <v>0</v>
      </c>
      <c r="BK1386" s="14"/>
      <c r="BL1386" s="14">
        <v>15</v>
      </c>
      <c r="BW1386" s="14" t="str">
        <f>I1386</f>
        <v>21</v>
      </c>
    </row>
    <row r="1387" spans="1:75" ht="15" customHeight="1">
      <c r="A1387" s="32"/>
      <c r="D1387" s="3" t="s">
        <v>626</v>
      </c>
      <c r="E1387" s="28" t="s">
        <v>1683</v>
      </c>
      <c r="G1387" s="27">
        <v>89.54</v>
      </c>
      <c r="P1387" s="33"/>
    </row>
    <row r="1388" spans="1:75" ht="13.5" customHeight="1">
      <c r="A1388" s="21" t="s">
        <v>1576</v>
      </c>
      <c r="B1388" s="37" t="s">
        <v>951</v>
      </c>
      <c r="C1388" s="37" t="s">
        <v>1571</v>
      </c>
      <c r="D1388" s="578" t="s">
        <v>386</v>
      </c>
      <c r="E1388" s="579"/>
      <c r="F1388" s="37" t="s">
        <v>2359</v>
      </c>
      <c r="G1388" s="14">
        <v>89.54</v>
      </c>
      <c r="H1388" s="569"/>
      <c r="I1388" s="55" t="s">
        <v>1720</v>
      </c>
      <c r="J1388" s="14">
        <f>G1388*AO1388</f>
        <v>0</v>
      </c>
      <c r="K1388" s="14">
        <f>G1388*AP1388</f>
        <v>0</v>
      </c>
      <c r="L1388" s="14">
        <f>G1388*H1388</f>
        <v>0</v>
      </c>
      <c r="M1388" s="14">
        <f>L1388*(1+BW1388/100)</f>
        <v>0</v>
      </c>
      <c r="N1388" s="14">
        <v>0</v>
      </c>
      <c r="O1388" s="14">
        <f>G1388*N1388</f>
        <v>0</v>
      </c>
      <c r="P1388" s="72" t="s">
        <v>1664</v>
      </c>
      <c r="Z1388" s="14">
        <f>IF(AQ1388="5",BJ1388,0)</f>
        <v>0</v>
      </c>
      <c r="AB1388" s="14">
        <f>IF(AQ1388="1",BH1388,0)</f>
        <v>0</v>
      </c>
      <c r="AC1388" s="14">
        <f>IF(AQ1388="1",BI1388,0)</f>
        <v>0</v>
      </c>
      <c r="AD1388" s="14">
        <f>IF(AQ1388="7",BH1388,0)</f>
        <v>0</v>
      </c>
      <c r="AE1388" s="14">
        <f>IF(AQ1388="7",BI1388,0)</f>
        <v>0</v>
      </c>
      <c r="AF1388" s="14">
        <f>IF(AQ1388="2",BH1388,0)</f>
        <v>0</v>
      </c>
      <c r="AG1388" s="14">
        <f>IF(AQ1388="2",BI1388,0)</f>
        <v>0</v>
      </c>
      <c r="AH1388" s="14">
        <f>IF(AQ1388="0",BJ1388,0)</f>
        <v>0</v>
      </c>
      <c r="AI1388" s="15" t="s">
        <v>951</v>
      </c>
      <c r="AJ1388" s="14">
        <f>IF(AN1388=0,L1388,0)</f>
        <v>0</v>
      </c>
      <c r="AK1388" s="14">
        <f>IF(AN1388=15,L1388,0)</f>
        <v>0</v>
      </c>
      <c r="AL1388" s="14">
        <f>IF(AN1388=21,L1388,0)</f>
        <v>0</v>
      </c>
      <c r="AN1388" s="14">
        <v>21</v>
      </c>
      <c r="AO1388" s="92">
        <f>H1388*0</f>
        <v>0</v>
      </c>
      <c r="AP1388" s="92">
        <f>H1388*(1-0)</f>
        <v>0</v>
      </c>
      <c r="AQ1388" s="55" t="s">
        <v>2422</v>
      </c>
      <c r="AV1388" s="14">
        <f>AW1388+AX1388</f>
        <v>0</v>
      </c>
      <c r="AW1388" s="14">
        <f>G1388*AO1388</f>
        <v>0</v>
      </c>
      <c r="AX1388" s="14">
        <f>G1388*AP1388</f>
        <v>0</v>
      </c>
      <c r="AY1388" s="55" t="s">
        <v>1718</v>
      </c>
      <c r="AZ1388" s="55" t="s">
        <v>361</v>
      </c>
      <c r="BA1388" s="15" t="s">
        <v>2738</v>
      </c>
      <c r="BC1388" s="14">
        <f>AW1388+AX1388</f>
        <v>0</v>
      </c>
      <c r="BD1388" s="14">
        <f>H1388/(100-BE1388)*100</f>
        <v>0</v>
      </c>
      <c r="BE1388" s="14">
        <v>0</v>
      </c>
      <c r="BF1388" s="14">
        <f>O1388</f>
        <v>0</v>
      </c>
      <c r="BH1388" s="14">
        <f>G1388*AO1388</f>
        <v>0</v>
      </c>
      <c r="BI1388" s="14">
        <f>G1388*AP1388</f>
        <v>0</v>
      </c>
      <c r="BJ1388" s="14">
        <f>G1388*H1388</f>
        <v>0</v>
      </c>
      <c r="BK1388" s="14"/>
      <c r="BL1388" s="14">
        <v>15</v>
      </c>
      <c r="BW1388" s="14" t="str">
        <f>I1388</f>
        <v>21</v>
      </c>
    </row>
    <row r="1389" spans="1:75" ht="15" customHeight="1">
      <c r="A1389" s="32"/>
      <c r="D1389" s="3" t="s">
        <v>626</v>
      </c>
      <c r="E1389" s="28" t="s">
        <v>1683</v>
      </c>
      <c r="G1389" s="27">
        <v>89.54</v>
      </c>
      <c r="P1389" s="33"/>
    </row>
    <row r="1390" spans="1:75" ht="15" customHeight="1">
      <c r="A1390" s="65" t="s">
        <v>1683</v>
      </c>
      <c r="B1390" s="26" t="s">
        <v>951</v>
      </c>
      <c r="C1390" s="26" t="s">
        <v>226</v>
      </c>
      <c r="D1390" s="649" t="s">
        <v>2033</v>
      </c>
      <c r="E1390" s="650"/>
      <c r="F1390" s="74" t="s">
        <v>2262</v>
      </c>
      <c r="G1390" s="74" t="s">
        <v>2262</v>
      </c>
      <c r="H1390" s="74" t="s">
        <v>2262</v>
      </c>
      <c r="I1390" s="74" t="s">
        <v>2262</v>
      </c>
      <c r="J1390" s="2">
        <f>SUM(J1391:J1391)</f>
        <v>0</v>
      </c>
      <c r="K1390" s="2">
        <f>SUM(K1391:K1391)</f>
        <v>0</v>
      </c>
      <c r="L1390" s="2">
        <f>SUM(L1391:L1391)</f>
        <v>0</v>
      </c>
      <c r="M1390" s="2">
        <f>SUM(M1391:M1391)</f>
        <v>0</v>
      </c>
      <c r="N1390" s="15" t="s">
        <v>1683</v>
      </c>
      <c r="O1390" s="2">
        <f>SUM(O1391:O1391)</f>
        <v>0</v>
      </c>
      <c r="P1390" s="47" t="s">
        <v>1683</v>
      </c>
      <c r="AI1390" s="15" t="s">
        <v>951</v>
      </c>
      <c r="AS1390" s="2">
        <f>SUM(AJ1391:AJ1391)</f>
        <v>0</v>
      </c>
      <c r="AT1390" s="2">
        <f>SUM(AK1391:AK1391)</f>
        <v>0</v>
      </c>
      <c r="AU1390" s="2">
        <f>SUM(AL1391:AL1391)</f>
        <v>0</v>
      </c>
    </row>
    <row r="1391" spans="1:75" ht="13.5" customHeight="1">
      <c r="A1391" s="21" t="s">
        <v>1673</v>
      </c>
      <c r="B1391" s="37" t="s">
        <v>951</v>
      </c>
      <c r="C1391" s="37" t="s">
        <v>2090</v>
      </c>
      <c r="D1391" s="578" t="s">
        <v>1661</v>
      </c>
      <c r="E1391" s="579"/>
      <c r="F1391" s="37" t="s">
        <v>2359</v>
      </c>
      <c r="G1391" s="14">
        <v>86.98</v>
      </c>
      <c r="H1391" s="569"/>
      <c r="I1391" s="55" t="s">
        <v>1720</v>
      </c>
      <c r="J1391" s="14">
        <f>G1391*AO1391</f>
        <v>0</v>
      </c>
      <c r="K1391" s="14">
        <f>G1391*AP1391</f>
        <v>0</v>
      </c>
      <c r="L1391" s="14">
        <f>G1391*H1391</f>
        <v>0</v>
      </c>
      <c r="M1391" s="14">
        <f>L1391*(1+BW1391/100)</f>
        <v>0</v>
      </c>
      <c r="N1391" s="14">
        <v>0</v>
      </c>
      <c r="O1391" s="14">
        <f>G1391*N1391</f>
        <v>0</v>
      </c>
      <c r="P1391" s="72" t="s">
        <v>1664</v>
      </c>
      <c r="Z1391" s="14">
        <f>IF(AQ1391="5",BJ1391,0)</f>
        <v>0</v>
      </c>
      <c r="AB1391" s="14">
        <f>IF(AQ1391="1",BH1391,0)</f>
        <v>0</v>
      </c>
      <c r="AC1391" s="14">
        <f>IF(AQ1391="1",BI1391,0)</f>
        <v>0</v>
      </c>
      <c r="AD1391" s="14">
        <f>IF(AQ1391="7",BH1391,0)</f>
        <v>0</v>
      </c>
      <c r="AE1391" s="14">
        <f>IF(AQ1391="7",BI1391,0)</f>
        <v>0</v>
      </c>
      <c r="AF1391" s="14">
        <f>IF(AQ1391="2",BH1391,0)</f>
        <v>0</v>
      </c>
      <c r="AG1391" s="14">
        <f>IF(AQ1391="2",BI1391,0)</f>
        <v>0</v>
      </c>
      <c r="AH1391" s="14">
        <f>IF(AQ1391="0",BJ1391,0)</f>
        <v>0</v>
      </c>
      <c r="AI1391" s="15" t="s">
        <v>951</v>
      </c>
      <c r="AJ1391" s="14">
        <f>IF(AN1391=0,L1391,0)</f>
        <v>0</v>
      </c>
      <c r="AK1391" s="14">
        <f>IF(AN1391=15,L1391,0)</f>
        <v>0</v>
      </c>
      <c r="AL1391" s="14">
        <f>IF(AN1391=21,L1391,0)</f>
        <v>0</v>
      </c>
      <c r="AN1391" s="14">
        <v>21</v>
      </c>
      <c r="AO1391" s="92">
        <f>H1391*0</f>
        <v>0</v>
      </c>
      <c r="AP1391" s="92">
        <f>H1391*(1-0)</f>
        <v>0</v>
      </c>
      <c r="AQ1391" s="55" t="s">
        <v>2422</v>
      </c>
      <c r="AV1391" s="14">
        <f>AW1391+AX1391</f>
        <v>0</v>
      </c>
      <c r="AW1391" s="14">
        <f>G1391*AO1391</f>
        <v>0</v>
      </c>
      <c r="AX1391" s="14">
        <f>G1391*AP1391</f>
        <v>0</v>
      </c>
      <c r="AY1391" s="55" t="s">
        <v>2268</v>
      </c>
      <c r="AZ1391" s="55" t="s">
        <v>361</v>
      </c>
      <c r="BA1391" s="15" t="s">
        <v>2738</v>
      </c>
      <c r="BC1391" s="14">
        <f>AW1391+AX1391</f>
        <v>0</v>
      </c>
      <c r="BD1391" s="14">
        <f>H1391/(100-BE1391)*100</f>
        <v>0</v>
      </c>
      <c r="BE1391" s="14">
        <v>0</v>
      </c>
      <c r="BF1391" s="14">
        <f>O1391</f>
        <v>0</v>
      </c>
      <c r="BH1391" s="14">
        <f>G1391*AO1391</f>
        <v>0</v>
      </c>
      <c r="BI1391" s="14">
        <f>G1391*AP1391</f>
        <v>0</v>
      </c>
      <c r="BJ1391" s="14">
        <f>G1391*H1391</f>
        <v>0</v>
      </c>
      <c r="BK1391" s="14"/>
      <c r="BL1391" s="14">
        <v>16</v>
      </c>
      <c r="BW1391" s="14" t="str">
        <f>I1391</f>
        <v>21</v>
      </c>
    </row>
    <row r="1392" spans="1:75" ht="15" customHeight="1">
      <c r="A1392" s="32"/>
      <c r="D1392" s="3" t="s">
        <v>1703</v>
      </c>
      <c r="E1392" s="28" t="s">
        <v>1683</v>
      </c>
      <c r="G1392" s="27">
        <v>86.98</v>
      </c>
      <c r="P1392" s="33"/>
    </row>
    <row r="1393" spans="1:75" ht="15" customHeight="1">
      <c r="A1393" s="65" t="s">
        <v>1683</v>
      </c>
      <c r="B1393" s="26" t="s">
        <v>951</v>
      </c>
      <c r="C1393" s="26" t="s">
        <v>1691</v>
      </c>
      <c r="D1393" s="649" t="s">
        <v>317</v>
      </c>
      <c r="E1393" s="650"/>
      <c r="F1393" s="74" t="s">
        <v>2262</v>
      </c>
      <c r="G1393" s="74" t="s">
        <v>2262</v>
      </c>
      <c r="H1393" s="74" t="s">
        <v>2262</v>
      </c>
      <c r="I1393" s="74" t="s">
        <v>2262</v>
      </c>
      <c r="J1393" s="2">
        <f>SUM(J1394:J1396)</f>
        <v>0</v>
      </c>
      <c r="K1393" s="2">
        <f>SUM(K1394:K1396)</f>
        <v>0</v>
      </c>
      <c r="L1393" s="2">
        <f>SUM(L1394:L1396)</f>
        <v>0</v>
      </c>
      <c r="M1393" s="2">
        <f>SUM(M1394:M1396)</f>
        <v>0</v>
      </c>
      <c r="N1393" s="15" t="s">
        <v>1683</v>
      </c>
      <c r="O1393" s="2">
        <f>SUM(O1394:O1396)</f>
        <v>58.701000000000001</v>
      </c>
      <c r="P1393" s="47" t="s">
        <v>1683</v>
      </c>
      <c r="AI1393" s="15" t="s">
        <v>951</v>
      </c>
      <c r="AS1393" s="2">
        <f>SUM(AJ1394:AJ1396)</f>
        <v>0</v>
      </c>
      <c r="AT1393" s="2">
        <f>SUM(AK1394:AK1396)</f>
        <v>0</v>
      </c>
      <c r="AU1393" s="2">
        <f>SUM(AL1394:AL1396)</f>
        <v>0</v>
      </c>
    </row>
    <row r="1394" spans="1:75" ht="27" customHeight="1">
      <c r="A1394" s="21" t="s">
        <v>860</v>
      </c>
      <c r="B1394" s="37" t="s">
        <v>951</v>
      </c>
      <c r="C1394" s="37" t="s">
        <v>2145</v>
      </c>
      <c r="D1394" s="578" t="s">
        <v>2448</v>
      </c>
      <c r="E1394" s="579"/>
      <c r="F1394" s="37" t="s">
        <v>2359</v>
      </c>
      <c r="G1394" s="14">
        <v>34.53</v>
      </c>
      <c r="H1394" s="569"/>
      <c r="I1394" s="55" t="s">
        <v>1720</v>
      </c>
      <c r="J1394" s="14">
        <f>G1394*AO1394</f>
        <v>0</v>
      </c>
      <c r="K1394" s="14">
        <f>G1394*AP1394</f>
        <v>0</v>
      </c>
      <c r="L1394" s="14">
        <f>G1394*H1394</f>
        <v>0</v>
      </c>
      <c r="M1394" s="14">
        <f>L1394*(1+BW1394/100)</f>
        <v>0</v>
      </c>
      <c r="N1394" s="14">
        <v>1.7</v>
      </c>
      <c r="O1394" s="14">
        <f>G1394*N1394</f>
        <v>58.701000000000001</v>
      </c>
      <c r="P1394" s="72" t="s">
        <v>1664</v>
      </c>
      <c r="Z1394" s="14">
        <f>IF(AQ1394="5",BJ1394,0)</f>
        <v>0</v>
      </c>
      <c r="AB1394" s="14">
        <f>IF(AQ1394="1",BH1394,0)</f>
        <v>0</v>
      </c>
      <c r="AC1394" s="14">
        <f>IF(AQ1394="1",BI1394,0)</f>
        <v>0</v>
      </c>
      <c r="AD1394" s="14">
        <f>IF(AQ1394="7",BH1394,0)</f>
        <v>0</v>
      </c>
      <c r="AE1394" s="14">
        <f>IF(AQ1394="7",BI1394,0)</f>
        <v>0</v>
      </c>
      <c r="AF1394" s="14">
        <f>IF(AQ1394="2",BH1394,0)</f>
        <v>0</v>
      </c>
      <c r="AG1394" s="14">
        <f>IF(AQ1394="2",BI1394,0)</f>
        <v>0</v>
      </c>
      <c r="AH1394" s="14">
        <f>IF(AQ1394="0",BJ1394,0)</f>
        <v>0</v>
      </c>
      <c r="AI1394" s="15" t="s">
        <v>951</v>
      </c>
      <c r="AJ1394" s="14">
        <f>IF(AN1394=0,L1394,0)</f>
        <v>0</v>
      </c>
      <c r="AK1394" s="14">
        <f>IF(AN1394=15,L1394,0)</f>
        <v>0</v>
      </c>
      <c r="AL1394" s="14">
        <f>IF(AN1394=21,L1394,0)</f>
        <v>0</v>
      </c>
      <c r="AN1394" s="14">
        <v>21</v>
      </c>
      <c r="AO1394" s="92">
        <f>H1394*0.503380714937462</f>
        <v>0</v>
      </c>
      <c r="AP1394" s="92">
        <f>H1394*(1-0.503380714937462)</f>
        <v>0</v>
      </c>
      <c r="AQ1394" s="55" t="s">
        <v>2422</v>
      </c>
      <c r="AV1394" s="14">
        <f>AW1394+AX1394</f>
        <v>0</v>
      </c>
      <c r="AW1394" s="14">
        <f>G1394*AO1394</f>
        <v>0</v>
      </c>
      <c r="AX1394" s="14">
        <f>G1394*AP1394</f>
        <v>0</v>
      </c>
      <c r="AY1394" s="55" t="s">
        <v>493</v>
      </c>
      <c r="AZ1394" s="55" t="s">
        <v>361</v>
      </c>
      <c r="BA1394" s="15" t="s">
        <v>2738</v>
      </c>
      <c r="BC1394" s="14">
        <f>AW1394+AX1394</f>
        <v>0</v>
      </c>
      <c r="BD1394" s="14">
        <f>H1394/(100-BE1394)*100</f>
        <v>0</v>
      </c>
      <c r="BE1394" s="14">
        <v>0</v>
      </c>
      <c r="BF1394" s="14">
        <f>O1394</f>
        <v>58.701000000000001</v>
      </c>
      <c r="BH1394" s="14">
        <f>G1394*AO1394</f>
        <v>0</v>
      </c>
      <c r="BI1394" s="14">
        <f>G1394*AP1394</f>
        <v>0</v>
      </c>
      <c r="BJ1394" s="14">
        <f>G1394*H1394</f>
        <v>0</v>
      </c>
      <c r="BK1394" s="14"/>
      <c r="BL1394" s="14">
        <v>17</v>
      </c>
      <c r="BW1394" s="14" t="str">
        <f>I1394</f>
        <v>21</v>
      </c>
    </row>
    <row r="1395" spans="1:75" ht="15" customHeight="1">
      <c r="A1395" s="32"/>
      <c r="D1395" s="3" t="s">
        <v>1120</v>
      </c>
      <c r="E1395" s="28" t="s">
        <v>1683</v>
      </c>
      <c r="G1395" s="27">
        <v>34.53</v>
      </c>
      <c r="P1395" s="33"/>
    </row>
    <row r="1396" spans="1:75" ht="13.5" customHeight="1">
      <c r="A1396" s="21" t="s">
        <v>524</v>
      </c>
      <c r="B1396" s="37" t="s">
        <v>951</v>
      </c>
      <c r="C1396" s="37" t="s">
        <v>1228</v>
      </c>
      <c r="D1396" s="578" t="s">
        <v>478</v>
      </c>
      <c r="E1396" s="579"/>
      <c r="F1396" s="37" t="s">
        <v>2359</v>
      </c>
      <c r="G1396" s="14">
        <v>129</v>
      </c>
      <c r="H1396" s="569"/>
      <c r="I1396" s="55" t="s">
        <v>1720</v>
      </c>
      <c r="J1396" s="14">
        <f>G1396*AO1396</f>
        <v>0</v>
      </c>
      <c r="K1396" s="14">
        <f>G1396*AP1396</f>
        <v>0</v>
      </c>
      <c r="L1396" s="14">
        <f>G1396*H1396</f>
        <v>0</v>
      </c>
      <c r="M1396" s="14">
        <f>L1396*(1+BW1396/100)</f>
        <v>0</v>
      </c>
      <c r="N1396" s="14">
        <v>0</v>
      </c>
      <c r="O1396" s="14">
        <f>G1396*N1396</f>
        <v>0</v>
      </c>
      <c r="P1396" s="72" t="s">
        <v>1664</v>
      </c>
      <c r="Z1396" s="14">
        <f>IF(AQ1396="5",BJ1396,0)</f>
        <v>0</v>
      </c>
      <c r="AB1396" s="14">
        <f>IF(AQ1396="1",BH1396,0)</f>
        <v>0</v>
      </c>
      <c r="AC1396" s="14">
        <f>IF(AQ1396="1",BI1396,0)</f>
        <v>0</v>
      </c>
      <c r="AD1396" s="14">
        <f>IF(AQ1396="7",BH1396,0)</f>
        <v>0</v>
      </c>
      <c r="AE1396" s="14">
        <f>IF(AQ1396="7",BI1396,0)</f>
        <v>0</v>
      </c>
      <c r="AF1396" s="14">
        <f>IF(AQ1396="2",BH1396,0)</f>
        <v>0</v>
      </c>
      <c r="AG1396" s="14">
        <f>IF(AQ1396="2",BI1396,0)</f>
        <v>0</v>
      </c>
      <c r="AH1396" s="14">
        <f>IF(AQ1396="0",BJ1396,0)</f>
        <v>0</v>
      </c>
      <c r="AI1396" s="15" t="s">
        <v>951</v>
      </c>
      <c r="AJ1396" s="14">
        <f>IF(AN1396=0,L1396,0)</f>
        <v>0</v>
      </c>
      <c r="AK1396" s="14">
        <f>IF(AN1396=15,L1396,0)</f>
        <v>0</v>
      </c>
      <c r="AL1396" s="14">
        <f>IF(AN1396=21,L1396,0)</f>
        <v>0</v>
      </c>
      <c r="AN1396" s="14">
        <v>21</v>
      </c>
      <c r="AO1396" s="92">
        <f>H1396*0</f>
        <v>0</v>
      </c>
      <c r="AP1396" s="92">
        <f>H1396*(1-0)</f>
        <v>0</v>
      </c>
      <c r="AQ1396" s="55" t="s">
        <v>2422</v>
      </c>
      <c r="AV1396" s="14">
        <f>AW1396+AX1396</f>
        <v>0</v>
      </c>
      <c r="AW1396" s="14">
        <f>G1396*AO1396</f>
        <v>0</v>
      </c>
      <c r="AX1396" s="14">
        <f>G1396*AP1396</f>
        <v>0</v>
      </c>
      <c r="AY1396" s="55" t="s">
        <v>493</v>
      </c>
      <c r="AZ1396" s="55" t="s">
        <v>361</v>
      </c>
      <c r="BA1396" s="15" t="s">
        <v>2738</v>
      </c>
      <c r="BC1396" s="14">
        <f>AW1396+AX1396</f>
        <v>0</v>
      </c>
      <c r="BD1396" s="14">
        <f>H1396/(100-BE1396)*100</f>
        <v>0</v>
      </c>
      <c r="BE1396" s="14">
        <v>0</v>
      </c>
      <c r="BF1396" s="14">
        <f>O1396</f>
        <v>0</v>
      </c>
      <c r="BH1396" s="14">
        <f>G1396*AO1396</f>
        <v>0</v>
      </c>
      <c r="BI1396" s="14">
        <f>G1396*AP1396</f>
        <v>0</v>
      </c>
      <c r="BJ1396" s="14">
        <f>G1396*H1396</f>
        <v>0</v>
      </c>
      <c r="BK1396" s="14"/>
      <c r="BL1396" s="14">
        <v>17</v>
      </c>
      <c r="BW1396" s="14" t="str">
        <f>I1396</f>
        <v>21</v>
      </c>
    </row>
    <row r="1397" spans="1:75" ht="15" customHeight="1">
      <c r="A1397" s="32"/>
      <c r="D1397" s="3" t="s">
        <v>1853</v>
      </c>
      <c r="E1397" s="28" t="s">
        <v>1683</v>
      </c>
      <c r="G1397" s="27">
        <v>129</v>
      </c>
      <c r="P1397" s="33"/>
    </row>
    <row r="1398" spans="1:75" ht="15" customHeight="1">
      <c r="A1398" s="65" t="s">
        <v>1683</v>
      </c>
      <c r="B1398" s="26" t="s">
        <v>951</v>
      </c>
      <c r="C1398" s="26" t="s">
        <v>865</v>
      </c>
      <c r="D1398" s="649" t="s">
        <v>1889</v>
      </c>
      <c r="E1398" s="650"/>
      <c r="F1398" s="74" t="s">
        <v>2262</v>
      </c>
      <c r="G1398" s="74" t="s">
        <v>2262</v>
      </c>
      <c r="H1398" s="74" t="s">
        <v>2262</v>
      </c>
      <c r="I1398" s="74" t="s">
        <v>2262</v>
      </c>
      <c r="J1398" s="2">
        <f>SUM(J1399:J1408)</f>
        <v>0</v>
      </c>
      <c r="K1398" s="2">
        <f>SUM(K1399:K1408)</f>
        <v>0</v>
      </c>
      <c r="L1398" s="2">
        <f>SUM(L1399:L1408)</f>
        <v>0</v>
      </c>
      <c r="M1398" s="2">
        <f>SUM(M1399:M1408)</f>
        <v>0</v>
      </c>
      <c r="N1398" s="15" t="s">
        <v>1683</v>
      </c>
      <c r="O1398" s="2">
        <f>SUM(O1399:O1408)</f>
        <v>25.2290402</v>
      </c>
      <c r="P1398" s="47" t="s">
        <v>1683</v>
      </c>
      <c r="AI1398" s="15" t="s">
        <v>951</v>
      </c>
      <c r="AS1398" s="2">
        <f>SUM(AJ1399:AJ1408)</f>
        <v>0</v>
      </c>
      <c r="AT1398" s="2">
        <f>SUM(AK1399:AK1408)</f>
        <v>0</v>
      </c>
      <c r="AU1398" s="2">
        <f>SUM(AL1399:AL1408)</f>
        <v>0</v>
      </c>
    </row>
    <row r="1399" spans="1:75" ht="13.5" customHeight="1">
      <c r="A1399" s="21" t="s">
        <v>2586</v>
      </c>
      <c r="B1399" s="37" t="s">
        <v>951</v>
      </c>
      <c r="C1399" s="37" t="s">
        <v>1734</v>
      </c>
      <c r="D1399" s="578" t="s">
        <v>714</v>
      </c>
      <c r="E1399" s="579"/>
      <c r="F1399" s="37" t="s">
        <v>2359</v>
      </c>
      <c r="G1399" s="14">
        <v>8.26</v>
      </c>
      <c r="H1399" s="569"/>
      <c r="I1399" s="55" t="s">
        <v>1720</v>
      </c>
      <c r="J1399" s="14">
        <f>G1399*AO1399</f>
        <v>0</v>
      </c>
      <c r="K1399" s="14">
        <f>G1399*AP1399</f>
        <v>0</v>
      </c>
      <c r="L1399" s="14">
        <f>G1399*H1399</f>
        <v>0</v>
      </c>
      <c r="M1399" s="14">
        <f>L1399*(1+BW1399/100)</f>
        <v>0</v>
      </c>
      <c r="N1399" s="14">
        <v>1.8907700000000001</v>
      </c>
      <c r="O1399" s="14">
        <f>G1399*N1399</f>
        <v>15.617760199999999</v>
      </c>
      <c r="P1399" s="72" t="s">
        <v>1664</v>
      </c>
      <c r="Z1399" s="14">
        <f>IF(AQ1399="5",BJ1399,0)</f>
        <v>0</v>
      </c>
      <c r="AB1399" s="14">
        <f>IF(AQ1399="1",BH1399,0)</f>
        <v>0</v>
      </c>
      <c r="AC1399" s="14">
        <f>IF(AQ1399="1",BI1399,0)</f>
        <v>0</v>
      </c>
      <c r="AD1399" s="14">
        <f>IF(AQ1399="7",BH1399,0)</f>
        <v>0</v>
      </c>
      <c r="AE1399" s="14">
        <f>IF(AQ1399="7",BI1399,0)</f>
        <v>0</v>
      </c>
      <c r="AF1399" s="14">
        <f>IF(AQ1399="2",BH1399,0)</f>
        <v>0</v>
      </c>
      <c r="AG1399" s="14">
        <f>IF(AQ1399="2",BI1399,0)</f>
        <v>0</v>
      </c>
      <c r="AH1399" s="14">
        <f>IF(AQ1399="0",BJ1399,0)</f>
        <v>0</v>
      </c>
      <c r="AI1399" s="15" t="s">
        <v>951</v>
      </c>
      <c r="AJ1399" s="14">
        <f>IF(AN1399=0,L1399,0)</f>
        <v>0</v>
      </c>
      <c r="AK1399" s="14">
        <f>IF(AN1399=15,L1399,0)</f>
        <v>0</v>
      </c>
      <c r="AL1399" s="14">
        <f>IF(AN1399=21,L1399,0)</f>
        <v>0</v>
      </c>
      <c r="AN1399" s="14">
        <v>21</v>
      </c>
      <c r="AO1399" s="92">
        <f>H1399*0.480904558404558</f>
        <v>0</v>
      </c>
      <c r="AP1399" s="92">
        <f>H1399*(1-0.480904558404558)</f>
        <v>0</v>
      </c>
      <c r="AQ1399" s="55" t="s">
        <v>2422</v>
      </c>
      <c r="AV1399" s="14">
        <f>AW1399+AX1399</f>
        <v>0</v>
      </c>
      <c r="AW1399" s="14">
        <f>G1399*AO1399</f>
        <v>0</v>
      </c>
      <c r="AX1399" s="14">
        <f>G1399*AP1399</f>
        <v>0</v>
      </c>
      <c r="AY1399" s="55" t="s">
        <v>1186</v>
      </c>
      <c r="AZ1399" s="55" t="s">
        <v>601</v>
      </c>
      <c r="BA1399" s="15" t="s">
        <v>2738</v>
      </c>
      <c r="BC1399" s="14">
        <f>AW1399+AX1399</f>
        <v>0</v>
      </c>
      <c r="BD1399" s="14">
        <f>H1399/(100-BE1399)*100</f>
        <v>0</v>
      </c>
      <c r="BE1399" s="14">
        <v>0</v>
      </c>
      <c r="BF1399" s="14">
        <f>O1399</f>
        <v>15.617760199999999</v>
      </c>
      <c r="BH1399" s="14">
        <f>G1399*AO1399</f>
        <v>0</v>
      </c>
      <c r="BI1399" s="14">
        <f>G1399*AP1399</f>
        <v>0</v>
      </c>
      <c r="BJ1399" s="14">
        <f>G1399*H1399</f>
        <v>0</v>
      </c>
      <c r="BK1399" s="14"/>
      <c r="BL1399" s="14">
        <v>45</v>
      </c>
      <c r="BW1399" s="14" t="str">
        <f>I1399</f>
        <v>21</v>
      </c>
    </row>
    <row r="1400" spans="1:75" ht="15" customHeight="1">
      <c r="A1400" s="32"/>
      <c r="D1400" s="3" t="s">
        <v>2192</v>
      </c>
      <c r="E1400" s="28" t="s">
        <v>583</v>
      </c>
      <c r="G1400" s="27">
        <v>8.2600000000000016</v>
      </c>
      <c r="P1400" s="33"/>
    </row>
    <row r="1401" spans="1:75" ht="13.5" customHeight="1">
      <c r="A1401" s="21" t="s">
        <v>158</v>
      </c>
      <c r="B1401" s="37" t="s">
        <v>951</v>
      </c>
      <c r="C1401" s="37" t="s">
        <v>909</v>
      </c>
      <c r="D1401" s="578" t="s">
        <v>1873</v>
      </c>
      <c r="E1401" s="579"/>
      <c r="F1401" s="37" t="s">
        <v>2398</v>
      </c>
      <c r="G1401" s="14">
        <v>21</v>
      </c>
      <c r="H1401" s="569"/>
      <c r="I1401" s="55" t="s">
        <v>1720</v>
      </c>
      <c r="J1401" s="14">
        <f>G1401*AO1401</f>
        <v>0</v>
      </c>
      <c r="K1401" s="14">
        <f>G1401*AP1401</f>
        <v>0</v>
      </c>
      <c r="L1401" s="14">
        <f>G1401*H1401</f>
        <v>0</v>
      </c>
      <c r="M1401" s="14">
        <f>L1401*(1+BW1401/100)</f>
        <v>0</v>
      </c>
      <c r="N1401" s="14">
        <v>0.19275999999999999</v>
      </c>
      <c r="O1401" s="14">
        <f>G1401*N1401</f>
        <v>4.0479599999999998</v>
      </c>
      <c r="P1401" s="72" t="s">
        <v>1664</v>
      </c>
      <c r="Z1401" s="14">
        <f>IF(AQ1401="5",BJ1401,0)</f>
        <v>0</v>
      </c>
      <c r="AB1401" s="14">
        <f>IF(AQ1401="1",BH1401,0)</f>
        <v>0</v>
      </c>
      <c r="AC1401" s="14">
        <f>IF(AQ1401="1",BI1401,0)</f>
        <v>0</v>
      </c>
      <c r="AD1401" s="14">
        <f>IF(AQ1401="7",BH1401,0)</f>
        <v>0</v>
      </c>
      <c r="AE1401" s="14">
        <f>IF(AQ1401="7",BI1401,0)</f>
        <v>0</v>
      </c>
      <c r="AF1401" s="14">
        <f>IF(AQ1401="2",BH1401,0)</f>
        <v>0</v>
      </c>
      <c r="AG1401" s="14">
        <f>IF(AQ1401="2",BI1401,0)</f>
        <v>0</v>
      </c>
      <c r="AH1401" s="14">
        <f>IF(AQ1401="0",BJ1401,0)</f>
        <v>0</v>
      </c>
      <c r="AI1401" s="15" t="s">
        <v>951</v>
      </c>
      <c r="AJ1401" s="14">
        <f>IF(AN1401=0,L1401,0)</f>
        <v>0</v>
      </c>
      <c r="AK1401" s="14">
        <f>IF(AN1401=15,L1401,0)</f>
        <v>0</v>
      </c>
      <c r="AL1401" s="14">
        <f>IF(AN1401=21,L1401,0)</f>
        <v>0</v>
      </c>
      <c r="AN1401" s="14">
        <v>21</v>
      </c>
      <c r="AO1401" s="92">
        <f>H1401*0.328087431693989</f>
        <v>0</v>
      </c>
      <c r="AP1401" s="92">
        <f>H1401*(1-0.328087431693989)</f>
        <v>0</v>
      </c>
      <c r="AQ1401" s="55" t="s">
        <v>2422</v>
      </c>
      <c r="AV1401" s="14">
        <f>AW1401+AX1401</f>
        <v>0</v>
      </c>
      <c r="AW1401" s="14">
        <f>G1401*AO1401</f>
        <v>0</v>
      </c>
      <c r="AX1401" s="14">
        <f>G1401*AP1401</f>
        <v>0</v>
      </c>
      <c r="AY1401" s="55" t="s">
        <v>1186</v>
      </c>
      <c r="AZ1401" s="55" t="s">
        <v>601</v>
      </c>
      <c r="BA1401" s="15" t="s">
        <v>2738</v>
      </c>
      <c r="BC1401" s="14">
        <f>AW1401+AX1401</f>
        <v>0</v>
      </c>
      <c r="BD1401" s="14">
        <f>H1401/(100-BE1401)*100</f>
        <v>0</v>
      </c>
      <c r="BE1401" s="14">
        <v>0</v>
      </c>
      <c r="BF1401" s="14">
        <f>O1401</f>
        <v>4.0479599999999998</v>
      </c>
      <c r="BH1401" s="14">
        <f>G1401*AO1401</f>
        <v>0</v>
      </c>
      <c r="BI1401" s="14">
        <f>G1401*AP1401</f>
        <v>0</v>
      </c>
      <c r="BJ1401" s="14">
        <f>G1401*H1401</f>
        <v>0</v>
      </c>
      <c r="BK1401" s="14"/>
      <c r="BL1401" s="14">
        <v>45</v>
      </c>
      <c r="BW1401" s="14" t="str">
        <f>I1401</f>
        <v>21</v>
      </c>
    </row>
    <row r="1402" spans="1:75" ht="15" customHeight="1">
      <c r="A1402" s="32"/>
      <c r="D1402" s="3" t="s">
        <v>845</v>
      </c>
      <c r="E1402" s="28" t="s">
        <v>1056</v>
      </c>
      <c r="G1402" s="27">
        <v>21</v>
      </c>
      <c r="P1402" s="33"/>
    </row>
    <row r="1403" spans="1:75" ht="13.5" customHeight="1">
      <c r="A1403" s="20" t="s">
        <v>982</v>
      </c>
      <c r="B1403" s="84" t="s">
        <v>951</v>
      </c>
      <c r="C1403" s="84" t="s">
        <v>2645</v>
      </c>
      <c r="D1403" s="653" t="s">
        <v>2516</v>
      </c>
      <c r="E1403" s="654"/>
      <c r="F1403" s="84" t="s">
        <v>595</v>
      </c>
      <c r="G1403" s="6">
        <v>8.0500000000000007</v>
      </c>
      <c r="H1403" s="570"/>
      <c r="I1403" s="18" t="s">
        <v>1720</v>
      </c>
      <c r="J1403" s="6">
        <f>G1403*AO1403</f>
        <v>0</v>
      </c>
      <c r="K1403" s="6">
        <f>G1403*AP1403</f>
        <v>0</v>
      </c>
      <c r="L1403" s="6">
        <f>G1403*H1403</f>
        <v>0</v>
      </c>
      <c r="M1403" s="6">
        <f>L1403*(1+BW1403/100)</f>
        <v>0</v>
      </c>
      <c r="N1403" s="6">
        <v>3.2399999999999998E-2</v>
      </c>
      <c r="O1403" s="6">
        <f>G1403*N1403</f>
        <v>0.26082</v>
      </c>
      <c r="P1403" s="109" t="s">
        <v>1664</v>
      </c>
      <c r="Z1403" s="14">
        <f>IF(AQ1403="5",BJ1403,0)</f>
        <v>0</v>
      </c>
      <c r="AB1403" s="14">
        <f>IF(AQ1403="1",BH1403,0)</f>
        <v>0</v>
      </c>
      <c r="AC1403" s="14">
        <f>IF(AQ1403="1",BI1403,0)</f>
        <v>0</v>
      </c>
      <c r="AD1403" s="14">
        <f>IF(AQ1403="7",BH1403,0)</f>
        <v>0</v>
      </c>
      <c r="AE1403" s="14">
        <f>IF(AQ1403="7",BI1403,0)</f>
        <v>0</v>
      </c>
      <c r="AF1403" s="14">
        <f>IF(AQ1403="2",BH1403,0)</f>
        <v>0</v>
      </c>
      <c r="AG1403" s="14">
        <f>IF(AQ1403="2",BI1403,0)</f>
        <v>0</v>
      </c>
      <c r="AH1403" s="14">
        <f>IF(AQ1403="0",BJ1403,0)</f>
        <v>0</v>
      </c>
      <c r="AI1403" s="15" t="s">
        <v>951</v>
      </c>
      <c r="AJ1403" s="6">
        <f>IF(AN1403=0,L1403,0)</f>
        <v>0</v>
      </c>
      <c r="AK1403" s="6">
        <f>IF(AN1403=15,L1403,0)</f>
        <v>0</v>
      </c>
      <c r="AL1403" s="6">
        <f>IF(AN1403=21,L1403,0)</f>
        <v>0</v>
      </c>
      <c r="AN1403" s="14">
        <v>21</v>
      </c>
      <c r="AO1403" s="92">
        <f>H1403*1</f>
        <v>0</v>
      </c>
      <c r="AP1403" s="92">
        <f>H1403*(1-1)</f>
        <v>0</v>
      </c>
      <c r="AQ1403" s="18" t="s">
        <v>2422</v>
      </c>
      <c r="AV1403" s="14">
        <f>AW1403+AX1403</f>
        <v>0</v>
      </c>
      <c r="AW1403" s="14">
        <f>G1403*AO1403</f>
        <v>0</v>
      </c>
      <c r="AX1403" s="14">
        <f>G1403*AP1403</f>
        <v>0</v>
      </c>
      <c r="AY1403" s="55" t="s">
        <v>1186</v>
      </c>
      <c r="AZ1403" s="55" t="s">
        <v>601</v>
      </c>
      <c r="BA1403" s="15" t="s">
        <v>2738</v>
      </c>
      <c r="BC1403" s="14">
        <f>AW1403+AX1403</f>
        <v>0</v>
      </c>
      <c r="BD1403" s="14">
        <f>H1403/(100-BE1403)*100</f>
        <v>0</v>
      </c>
      <c r="BE1403" s="14">
        <v>0</v>
      </c>
      <c r="BF1403" s="14">
        <f>O1403</f>
        <v>0.26082</v>
      </c>
      <c r="BH1403" s="6">
        <f>G1403*AO1403</f>
        <v>0</v>
      </c>
      <c r="BI1403" s="6">
        <f>G1403*AP1403</f>
        <v>0</v>
      </c>
      <c r="BJ1403" s="6">
        <f>G1403*H1403</f>
        <v>0</v>
      </c>
      <c r="BK1403" s="6"/>
      <c r="BL1403" s="14">
        <v>45</v>
      </c>
      <c r="BW1403" s="14" t="str">
        <f>I1403</f>
        <v>21</v>
      </c>
    </row>
    <row r="1404" spans="1:75" ht="15" customHeight="1">
      <c r="A1404" s="32"/>
      <c r="D1404" s="3" t="s">
        <v>1475</v>
      </c>
      <c r="E1404" s="28" t="s">
        <v>1683</v>
      </c>
      <c r="G1404" s="27">
        <v>7.0000000000000009</v>
      </c>
      <c r="P1404" s="33"/>
    </row>
    <row r="1405" spans="1:75" ht="15" customHeight="1">
      <c r="A1405" s="32"/>
      <c r="D1405" s="3" t="s">
        <v>1969</v>
      </c>
      <c r="E1405" s="28" t="s">
        <v>1683</v>
      </c>
      <c r="G1405" s="27">
        <v>1.05</v>
      </c>
      <c r="P1405" s="33"/>
    </row>
    <row r="1406" spans="1:75" ht="13.5" customHeight="1">
      <c r="A1406" s="21" t="s">
        <v>1362</v>
      </c>
      <c r="B1406" s="37" t="s">
        <v>951</v>
      </c>
      <c r="C1406" s="37" t="s">
        <v>258</v>
      </c>
      <c r="D1406" s="578" t="s">
        <v>1076</v>
      </c>
      <c r="E1406" s="579"/>
      <c r="F1406" s="37" t="s">
        <v>2398</v>
      </c>
      <c r="G1406" s="14">
        <v>210</v>
      </c>
      <c r="H1406" s="569"/>
      <c r="I1406" s="55" t="s">
        <v>1720</v>
      </c>
      <c r="J1406" s="14">
        <f>G1406*AO1406</f>
        <v>0</v>
      </c>
      <c r="K1406" s="14">
        <f>G1406*AP1406</f>
        <v>0</v>
      </c>
      <c r="L1406" s="14">
        <f>G1406*H1406</f>
        <v>0</v>
      </c>
      <c r="M1406" s="14">
        <f>L1406*(1+BW1406/100)</f>
        <v>0</v>
      </c>
      <c r="N1406" s="14">
        <v>2.5250000000000002E-2</v>
      </c>
      <c r="O1406" s="14">
        <f>G1406*N1406</f>
        <v>5.3025000000000002</v>
      </c>
      <c r="P1406" s="72" t="s">
        <v>1664</v>
      </c>
      <c r="Z1406" s="14">
        <f>IF(AQ1406="5",BJ1406,0)</f>
        <v>0</v>
      </c>
      <c r="AB1406" s="14">
        <f>IF(AQ1406="1",BH1406,0)</f>
        <v>0</v>
      </c>
      <c r="AC1406" s="14">
        <f>IF(AQ1406="1",BI1406,0)</f>
        <v>0</v>
      </c>
      <c r="AD1406" s="14">
        <f>IF(AQ1406="7",BH1406,0)</f>
        <v>0</v>
      </c>
      <c r="AE1406" s="14">
        <f>IF(AQ1406="7",BI1406,0)</f>
        <v>0</v>
      </c>
      <c r="AF1406" s="14">
        <f>IF(AQ1406="2",BH1406,0)</f>
        <v>0</v>
      </c>
      <c r="AG1406" s="14">
        <f>IF(AQ1406="2",BI1406,0)</f>
        <v>0</v>
      </c>
      <c r="AH1406" s="14">
        <f>IF(AQ1406="0",BJ1406,0)</f>
        <v>0</v>
      </c>
      <c r="AI1406" s="15" t="s">
        <v>951</v>
      </c>
      <c r="AJ1406" s="14">
        <f>IF(AN1406=0,L1406,0)</f>
        <v>0</v>
      </c>
      <c r="AK1406" s="14">
        <f>IF(AN1406=15,L1406,0)</f>
        <v>0</v>
      </c>
      <c r="AL1406" s="14">
        <f>IF(AN1406=21,L1406,0)</f>
        <v>0</v>
      </c>
      <c r="AN1406" s="14">
        <v>21</v>
      </c>
      <c r="AO1406" s="92">
        <f>H1406*0.800578964297202</f>
        <v>0</v>
      </c>
      <c r="AP1406" s="92">
        <f>H1406*(1-0.800578964297202)</f>
        <v>0</v>
      </c>
      <c r="AQ1406" s="55" t="s">
        <v>2422</v>
      </c>
      <c r="AV1406" s="14">
        <f>AW1406+AX1406</f>
        <v>0</v>
      </c>
      <c r="AW1406" s="14">
        <f>G1406*AO1406</f>
        <v>0</v>
      </c>
      <c r="AX1406" s="14">
        <f>G1406*AP1406</f>
        <v>0</v>
      </c>
      <c r="AY1406" s="55" t="s">
        <v>1186</v>
      </c>
      <c r="AZ1406" s="55" t="s">
        <v>601</v>
      </c>
      <c r="BA1406" s="15" t="s">
        <v>2738</v>
      </c>
      <c r="BC1406" s="14">
        <f>AW1406+AX1406</f>
        <v>0</v>
      </c>
      <c r="BD1406" s="14">
        <f>H1406/(100-BE1406)*100</f>
        <v>0</v>
      </c>
      <c r="BE1406" s="14">
        <v>0</v>
      </c>
      <c r="BF1406" s="14">
        <f>O1406</f>
        <v>5.3025000000000002</v>
      </c>
      <c r="BH1406" s="14">
        <f>G1406*AO1406</f>
        <v>0</v>
      </c>
      <c r="BI1406" s="14">
        <f>G1406*AP1406</f>
        <v>0</v>
      </c>
      <c r="BJ1406" s="14">
        <f>G1406*H1406</f>
        <v>0</v>
      </c>
      <c r="BK1406" s="14"/>
      <c r="BL1406" s="14">
        <v>45</v>
      </c>
      <c r="BW1406" s="14" t="str">
        <f>I1406</f>
        <v>21</v>
      </c>
    </row>
    <row r="1407" spans="1:75" ht="15" customHeight="1">
      <c r="A1407" s="32"/>
      <c r="D1407" s="3" t="s">
        <v>1562</v>
      </c>
      <c r="E1407" s="28" t="s">
        <v>1683</v>
      </c>
      <c r="G1407" s="27">
        <v>210.00000000000003</v>
      </c>
      <c r="P1407" s="33"/>
    </row>
    <row r="1408" spans="1:75" ht="13.5" customHeight="1">
      <c r="A1408" s="21" t="s">
        <v>1788</v>
      </c>
      <c r="B1408" s="37" t="s">
        <v>951</v>
      </c>
      <c r="C1408" s="37" t="s">
        <v>157</v>
      </c>
      <c r="D1408" s="578" t="s">
        <v>2357</v>
      </c>
      <c r="E1408" s="579"/>
      <c r="F1408" s="37" t="s">
        <v>2398</v>
      </c>
      <c r="G1408" s="14">
        <v>31.08</v>
      </c>
      <c r="H1408" s="569"/>
      <c r="I1408" s="55" t="s">
        <v>1720</v>
      </c>
      <c r="J1408" s="14">
        <f>G1408*AO1408</f>
        <v>0</v>
      </c>
      <c r="K1408" s="14">
        <f>G1408*AP1408</f>
        <v>0</v>
      </c>
      <c r="L1408" s="14">
        <f>G1408*H1408</f>
        <v>0</v>
      </c>
      <c r="M1408" s="14">
        <f>L1408*(1+BW1408/100)</f>
        <v>0</v>
      </c>
      <c r="N1408" s="14">
        <v>0</v>
      </c>
      <c r="O1408" s="14">
        <f>G1408*N1408</f>
        <v>0</v>
      </c>
      <c r="P1408" s="72" t="s">
        <v>1664</v>
      </c>
      <c r="Z1408" s="14">
        <f>IF(AQ1408="5",BJ1408,0)</f>
        <v>0</v>
      </c>
      <c r="AB1408" s="14">
        <f>IF(AQ1408="1",BH1408,0)</f>
        <v>0</v>
      </c>
      <c r="AC1408" s="14">
        <f>IF(AQ1408="1",BI1408,0)</f>
        <v>0</v>
      </c>
      <c r="AD1408" s="14">
        <f>IF(AQ1408="7",BH1408,0)</f>
        <v>0</v>
      </c>
      <c r="AE1408" s="14">
        <f>IF(AQ1408="7",BI1408,0)</f>
        <v>0</v>
      </c>
      <c r="AF1408" s="14">
        <f>IF(AQ1408="2",BH1408,0)</f>
        <v>0</v>
      </c>
      <c r="AG1408" s="14">
        <f>IF(AQ1408="2",BI1408,0)</f>
        <v>0</v>
      </c>
      <c r="AH1408" s="14">
        <f>IF(AQ1408="0",BJ1408,0)</f>
        <v>0</v>
      </c>
      <c r="AI1408" s="15" t="s">
        <v>951</v>
      </c>
      <c r="AJ1408" s="14">
        <f>IF(AN1408=0,L1408,0)</f>
        <v>0</v>
      </c>
      <c r="AK1408" s="14">
        <f>IF(AN1408=15,L1408,0)</f>
        <v>0</v>
      </c>
      <c r="AL1408" s="14">
        <f>IF(AN1408=21,L1408,0)</f>
        <v>0</v>
      </c>
      <c r="AN1408" s="14">
        <v>21</v>
      </c>
      <c r="AO1408" s="92">
        <f>H1408*0</f>
        <v>0</v>
      </c>
      <c r="AP1408" s="92">
        <f>H1408*(1-0)</f>
        <v>0</v>
      </c>
      <c r="AQ1408" s="55" t="s">
        <v>2422</v>
      </c>
      <c r="AV1408" s="14">
        <f>AW1408+AX1408</f>
        <v>0</v>
      </c>
      <c r="AW1408" s="14">
        <f>G1408*AO1408</f>
        <v>0</v>
      </c>
      <c r="AX1408" s="14">
        <f>G1408*AP1408</f>
        <v>0</v>
      </c>
      <c r="AY1408" s="55" t="s">
        <v>1186</v>
      </c>
      <c r="AZ1408" s="55" t="s">
        <v>601</v>
      </c>
      <c r="BA1408" s="15" t="s">
        <v>2738</v>
      </c>
      <c r="BC1408" s="14">
        <f>AW1408+AX1408</f>
        <v>0</v>
      </c>
      <c r="BD1408" s="14">
        <f>H1408/(100-BE1408)*100</f>
        <v>0</v>
      </c>
      <c r="BE1408" s="14">
        <v>0</v>
      </c>
      <c r="BF1408" s="14">
        <f>O1408</f>
        <v>0</v>
      </c>
      <c r="BH1408" s="14">
        <f>G1408*AO1408</f>
        <v>0</v>
      </c>
      <c r="BI1408" s="14">
        <f>G1408*AP1408</f>
        <v>0</v>
      </c>
      <c r="BJ1408" s="14">
        <f>G1408*H1408</f>
        <v>0</v>
      </c>
      <c r="BK1408" s="14"/>
      <c r="BL1408" s="14">
        <v>45</v>
      </c>
      <c r="BW1408" s="14" t="str">
        <f>I1408</f>
        <v>21</v>
      </c>
    </row>
    <row r="1409" spans="1:75" ht="15" customHeight="1">
      <c r="A1409" s="32"/>
      <c r="D1409" s="3" t="s">
        <v>1773</v>
      </c>
      <c r="E1409" s="28" t="s">
        <v>1056</v>
      </c>
      <c r="G1409" s="27">
        <v>31.080000000000002</v>
      </c>
      <c r="P1409" s="33"/>
    </row>
    <row r="1410" spans="1:75" ht="15" customHeight="1">
      <c r="A1410" s="65" t="s">
        <v>1683</v>
      </c>
      <c r="B1410" s="26" t="s">
        <v>951</v>
      </c>
      <c r="C1410" s="26" t="s">
        <v>1556</v>
      </c>
      <c r="D1410" s="649" t="s">
        <v>2787</v>
      </c>
      <c r="E1410" s="650"/>
      <c r="F1410" s="74" t="s">
        <v>2262</v>
      </c>
      <c r="G1410" s="74" t="s">
        <v>2262</v>
      </c>
      <c r="H1410" s="74" t="s">
        <v>2262</v>
      </c>
      <c r="I1410" s="74" t="s">
        <v>2262</v>
      </c>
      <c r="J1410" s="2">
        <f>SUM(J1411:J1413)</f>
        <v>0</v>
      </c>
      <c r="K1410" s="2">
        <f>SUM(K1411:K1413)</f>
        <v>0</v>
      </c>
      <c r="L1410" s="2">
        <f>SUM(L1411:L1413)</f>
        <v>0</v>
      </c>
      <c r="M1410" s="2">
        <f>SUM(M1411:M1413)</f>
        <v>0</v>
      </c>
      <c r="N1410" s="15" t="s">
        <v>1683</v>
      </c>
      <c r="O1410" s="2">
        <f>SUM(O1411:O1413)</f>
        <v>0.78064</v>
      </c>
      <c r="P1410" s="47" t="s">
        <v>1683</v>
      </c>
      <c r="AI1410" s="15" t="s">
        <v>951</v>
      </c>
      <c r="AS1410" s="2">
        <f>SUM(AJ1411:AJ1413)</f>
        <v>0</v>
      </c>
      <c r="AT1410" s="2">
        <f>SUM(AK1411:AK1413)</f>
        <v>0</v>
      </c>
      <c r="AU1410" s="2">
        <f>SUM(AL1411:AL1413)</f>
        <v>0</v>
      </c>
    </row>
    <row r="1411" spans="1:75" ht="13.5" customHeight="1">
      <c r="A1411" s="21" t="s">
        <v>3</v>
      </c>
      <c r="B1411" s="37" t="s">
        <v>951</v>
      </c>
      <c r="C1411" s="37" t="s">
        <v>610</v>
      </c>
      <c r="D1411" s="578" t="s">
        <v>654</v>
      </c>
      <c r="E1411" s="579"/>
      <c r="F1411" s="37" t="s">
        <v>595</v>
      </c>
      <c r="G1411" s="14">
        <v>8</v>
      </c>
      <c r="H1411" s="569"/>
      <c r="I1411" s="55" t="s">
        <v>1720</v>
      </c>
      <c r="J1411" s="14">
        <f>G1411*AO1411</f>
        <v>0</v>
      </c>
      <c r="K1411" s="14">
        <f>G1411*AP1411</f>
        <v>0</v>
      </c>
      <c r="L1411" s="14">
        <f>G1411*H1411</f>
        <v>0</v>
      </c>
      <c r="M1411" s="14">
        <f>L1411*(1+BW1411/100)</f>
        <v>0</v>
      </c>
      <c r="N1411" s="14">
        <v>7.6630000000000004E-2</v>
      </c>
      <c r="O1411" s="14">
        <f>G1411*N1411</f>
        <v>0.61304000000000003</v>
      </c>
      <c r="P1411" s="72" t="s">
        <v>1664</v>
      </c>
      <c r="Z1411" s="14">
        <f>IF(AQ1411="5",BJ1411,0)</f>
        <v>0</v>
      </c>
      <c r="AB1411" s="14">
        <f>IF(AQ1411="1",BH1411,0)</f>
        <v>0</v>
      </c>
      <c r="AC1411" s="14">
        <f>IF(AQ1411="1",BI1411,0)</f>
        <v>0</v>
      </c>
      <c r="AD1411" s="14">
        <f>IF(AQ1411="7",BH1411,0)</f>
        <v>0</v>
      </c>
      <c r="AE1411" s="14">
        <f>IF(AQ1411="7",BI1411,0)</f>
        <v>0</v>
      </c>
      <c r="AF1411" s="14">
        <f>IF(AQ1411="2",BH1411,0)</f>
        <v>0</v>
      </c>
      <c r="AG1411" s="14">
        <f>IF(AQ1411="2",BI1411,0)</f>
        <v>0</v>
      </c>
      <c r="AH1411" s="14">
        <f>IF(AQ1411="0",BJ1411,0)</f>
        <v>0</v>
      </c>
      <c r="AI1411" s="15" t="s">
        <v>951</v>
      </c>
      <c r="AJ1411" s="14">
        <f>IF(AN1411=0,L1411,0)</f>
        <v>0</v>
      </c>
      <c r="AK1411" s="14">
        <f>IF(AN1411=15,L1411,0)</f>
        <v>0</v>
      </c>
      <c r="AL1411" s="14">
        <f>IF(AN1411=21,L1411,0)</f>
        <v>0</v>
      </c>
      <c r="AN1411" s="14">
        <v>21</v>
      </c>
      <c r="AO1411" s="92">
        <f>H1411*0.925940136054422</f>
        <v>0</v>
      </c>
      <c r="AP1411" s="92">
        <f>H1411*(1-0.925940136054422)</f>
        <v>0</v>
      </c>
      <c r="AQ1411" s="55" t="s">
        <v>2435</v>
      </c>
      <c r="AV1411" s="14">
        <f>AW1411+AX1411</f>
        <v>0</v>
      </c>
      <c r="AW1411" s="14">
        <f>G1411*AO1411</f>
        <v>0</v>
      </c>
      <c r="AX1411" s="14">
        <f>G1411*AP1411</f>
        <v>0</v>
      </c>
      <c r="AY1411" s="55" t="s">
        <v>369</v>
      </c>
      <c r="AZ1411" s="55" t="s">
        <v>540</v>
      </c>
      <c r="BA1411" s="15" t="s">
        <v>2738</v>
      </c>
      <c r="BC1411" s="14">
        <f>AW1411+AX1411</f>
        <v>0</v>
      </c>
      <c r="BD1411" s="14">
        <f>H1411/(100-BE1411)*100</f>
        <v>0</v>
      </c>
      <c r="BE1411" s="14">
        <v>0</v>
      </c>
      <c r="BF1411" s="14">
        <f>O1411</f>
        <v>0.61304000000000003</v>
      </c>
      <c r="BH1411" s="14">
        <f>G1411*AO1411</f>
        <v>0</v>
      </c>
      <c r="BI1411" s="14">
        <f>G1411*AP1411</f>
        <v>0</v>
      </c>
      <c r="BJ1411" s="14">
        <f>G1411*H1411</f>
        <v>0</v>
      </c>
      <c r="BK1411" s="14"/>
      <c r="BL1411" s="14">
        <v>721</v>
      </c>
      <c r="BW1411" s="14" t="str">
        <f>I1411</f>
        <v>21</v>
      </c>
    </row>
    <row r="1412" spans="1:75" ht="15" customHeight="1">
      <c r="A1412" s="32"/>
      <c r="D1412" s="3" t="s">
        <v>1924</v>
      </c>
      <c r="E1412" s="28" t="s">
        <v>2567</v>
      </c>
      <c r="G1412" s="27">
        <v>8</v>
      </c>
      <c r="P1412" s="33"/>
    </row>
    <row r="1413" spans="1:75" ht="13.5" customHeight="1">
      <c r="A1413" s="21" t="s">
        <v>2531</v>
      </c>
      <c r="B1413" s="37" t="s">
        <v>951</v>
      </c>
      <c r="C1413" s="37" t="s">
        <v>1260</v>
      </c>
      <c r="D1413" s="578" t="s">
        <v>654</v>
      </c>
      <c r="E1413" s="579"/>
      <c r="F1413" s="37" t="s">
        <v>595</v>
      </c>
      <c r="G1413" s="14">
        <v>2</v>
      </c>
      <c r="H1413" s="569"/>
      <c r="I1413" s="55" t="s">
        <v>1720</v>
      </c>
      <c r="J1413" s="14">
        <f>G1413*AO1413</f>
        <v>0</v>
      </c>
      <c r="K1413" s="14">
        <f>G1413*AP1413</f>
        <v>0</v>
      </c>
      <c r="L1413" s="14">
        <f>G1413*H1413</f>
        <v>0</v>
      </c>
      <c r="M1413" s="14">
        <f>L1413*(1+BW1413/100)</f>
        <v>0</v>
      </c>
      <c r="N1413" s="14">
        <v>8.3799999999999999E-2</v>
      </c>
      <c r="O1413" s="14">
        <f>G1413*N1413</f>
        <v>0.1676</v>
      </c>
      <c r="P1413" s="72" t="s">
        <v>1664</v>
      </c>
      <c r="Z1413" s="14">
        <f>IF(AQ1413="5",BJ1413,0)</f>
        <v>0</v>
      </c>
      <c r="AB1413" s="14">
        <f>IF(AQ1413="1",BH1413,0)</f>
        <v>0</v>
      </c>
      <c r="AC1413" s="14">
        <f>IF(AQ1413="1",BI1413,0)</f>
        <v>0</v>
      </c>
      <c r="AD1413" s="14">
        <f>IF(AQ1413="7",BH1413,0)</f>
        <v>0</v>
      </c>
      <c r="AE1413" s="14">
        <f>IF(AQ1413="7",BI1413,0)</f>
        <v>0</v>
      </c>
      <c r="AF1413" s="14">
        <f>IF(AQ1413="2",BH1413,0)</f>
        <v>0</v>
      </c>
      <c r="AG1413" s="14">
        <f>IF(AQ1413="2",BI1413,0)</f>
        <v>0</v>
      </c>
      <c r="AH1413" s="14">
        <f>IF(AQ1413="0",BJ1413,0)</f>
        <v>0</v>
      </c>
      <c r="AI1413" s="15" t="s">
        <v>951</v>
      </c>
      <c r="AJ1413" s="14">
        <f>IF(AN1413=0,L1413,0)</f>
        <v>0</v>
      </c>
      <c r="AK1413" s="14">
        <f>IF(AN1413=15,L1413,0)</f>
        <v>0</v>
      </c>
      <c r="AL1413" s="14">
        <f>IF(AN1413=21,L1413,0)</f>
        <v>0</v>
      </c>
      <c r="AN1413" s="14">
        <v>21</v>
      </c>
      <c r="AO1413" s="92">
        <f>H1413*0.940509289617486</f>
        <v>0</v>
      </c>
      <c r="AP1413" s="92">
        <f>H1413*(1-0.940509289617486)</f>
        <v>0</v>
      </c>
      <c r="AQ1413" s="55" t="s">
        <v>2435</v>
      </c>
      <c r="AV1413" s="14">
        <f>AW1413+AX1413</f>
        <v>0</v>
      </c>
      <c r="AW1413" s="14">
        <f>G1413*AO1413</f>
        <v>0</v>
      </c>
      <c r="AX1413" s="14">
        <f>G1413*AP1413</f>
        <v>0</v>
      </c>
      <c r="AY1413" s="55" t="s">
        <v>369</v>
      </c>
      <c r="AZ1413" s="55" t="s">
        <v>540</v>
      </c>
      <c r="BA1413" s="15" t="s">
        <v>2738</v>
      </c>
      <c r="BC1413" s="14">
        <f>AW1413+AX1413</f>
        <v>0</v>
      </c>
      <c r="BD1413" s="14">
        <f>H1413/(100-BE1413)*100</f>
        <v>0</v>
      </c>
      <c r="BE1413" s="14">
        <v>0</v>
      </c>
      <c r="BF1413" s="14">
        <f>O1413</f>
        <v>0.1676</v>
      </c>
      <c r="BH1413" s="14">
        <f>G1413*AO1413</f>
        <v>0</v>
      </c>
      <c r="BI1413" s="14">
        <f>G1413*AP1413</f>
        <v>0</v>
      </c>
      <c r="BJ1413" s="14">
        <f>G1413*H1413</f>
        <v>0</v>
      </c>
      <c r="BK1413" s="14"/>
      <c r="BL1413" s="14">
        <v>721</v>
      </c>
      <c r="BW1413" s="14" t="str">
        <f>I1413</f>
        <v>21</v>
      </c>
    </row>
    <row r="1414" spans="1:75" ht="15" customHeight="1">
      <c r="A1414" s="32"/>
      <c r="D1414" s="3" t="s">
        <v>1676</v>
      </c>
      <c r="E1414" s="28" t="s">
        <v>2567</v>
      </c>
      <c r="G1414" s="27">
        <v>2</v>
      </c>
      <c r="P1414" s="33"/>
    </row>
    <row r="1415" spans="1:75" ht="15" customHeight="1">
      <c r="A1415" s="65" t="s">
        <v>1683</v>
      </c>
      <c r="B1415" s="26" t="s">
        <v>951</v>
      </c>
      <c r="C1415" s="26" t="s">
        <v>2484</v>
      </c>
      <c r="D1415" s="649" t="s">
        <v>1740</v>
      </c>
      <c r="E1415" s="650"/>
      <c r="F1415" s="74" t="s">
        <v>2262</v>
      </c>
      <c r="G1415" s="74" t="s">
        <v>2262</v>
      </c>
      <c r="H1415" s="74" t="s">
        <v>2262</v>
      </c>
      <c r="I1415" s="74" t="s">
        <v>2262</v>
      </c>
      <c r="J1415" s="2">
        <f>SUM(J1416:J1416)</f>
        <v>0</v>
      </c>
      <c r="K1415" s="2">
        <f>SUM(K1416:K1416)</f>
        <v>0</v>
      </c>
      <c r="L1415" s="2">
        <f>SUM(L1416:L1416)</f>
        <v>0</v>
      </c>
      <c r="M1415" s="2">
        <f>SUM(M1416:M1416)</f>
        <v>0</v>
      </c>
      <c r="N1415" s="15" t="s">
        <v>1683</v>
      </c>
      <c r="O1415" s="2">
        <f>SUM(O1416:O1416)</f>
        <v>2.48163</v>
      </c>
      <c r="P1415" s="47" t="s">
        <v>1683</v>
      </c>
      <c r="AI1415" s="15" t="s">
        <v>951</v>
      </c>
      <c r="AS1415" s="2">
        <f>SUM(AJ1416:AJ1416)</f>
        <v>0</v>
      </c>
      <c r="AT1415" s="2">
        <f>SUM(AK1416:AK1416)</f>
        <v>0</v>
      </c>
      <c r="AU1415" s="2">
        <f>SUM(AL1416:AL1416)</f>
        <v>0</v>
      </c>
    </row>
    <row r="1416" spans="1:75" ht="27" customHeight="1">
      <c r="A1416" s="21" t="s">
        <v>718</v>
      </c>
      <c r="B1416" s="37" t="s">
        <v>951</v>
      </c>
      <c r="C1416" s="37" t="s">
        <v>1702</v>
      </c>
      <c r="D1416" s="578" t="s">
        <v>51</v>
      </c>
      <c r="E1416" s="579"/>
      <c r="F1416" s="37" t="s">
        <v>595</v>
      </c>
      <c r="G1416" s="14">
        <v>1</v>
      </c>
      <c r="H1416" s="569"/>
      <c r="I1416" s="55" t="s">
        <v>1720</v>
      </c>
      <c r="J1416" s="14">
        <f>G1416*AO1416</f>
        <v>0</v>
      </c>
      <c r="K1416" s="14">
        <f>G1416*AP1416</f>
        <v>0</v>
      </c>
      <c r="L1416" s="14">
        <f>G1416*H1416</f>
        <v>0</v>
      </c>
      <c r="M1416" s="14">
        <f>L1416*(1+BW1416/100)</f>
        <v>0</v>
      </c>
      <c r="N1416" s="14">
        <v>2.48163</v>
      </c>
      <c r="O1416" s="14">
        <f>G1416*N1416</f>
        <v>2.48163</v>
      </c>
      <c r="P1416" s="72" t="s">
        <v>1664</v>
      </c>
      <c r="Z1416" s="14">
        <f>IF(AQ1416="5",BJ1416,0)</f>
        <v>0</v>
      </c>
      <c r="AB1416" s="14">
        <f>IF(AQ1416="1",BH1416,0)</f>
        <v>0</v>
      </c>
      <c r="AC1416" s="14">
        <f>IF(AQ1416="1",BI1416,0)</f>
        <v>0</v>
      </c>
      <c r="AD1416" s="14">
        <f>IF(AQ1416="7",BH1416,0)</f>
        <v>0</v>
      </c>
      <c r="AE1416" s="14">
        <f>IF(AQ1416="7",BI1416,0)</f>
        <v>0</v>
      </c>
      <c r="AF1416" s="14">
        <f>IF(AQ1416="2",BH1416,0)</f>
        <v>0</v>
      </c>
      <c r="AG1416" s="14">
        <f>IF(AQ1416="2",BI1416,0)</f>
        <v>0</v>
      </c>
      <c r="AH1416" s="14">
        <f>IF(AQ1416="0",BJ1416,0)</f>
        <v>0</v>
      </c>
      <c r="AI1416" s="15" t="s">
        <v>951</v>
      </c>
      <c r="AJ1416" s="14">
        <f>IF(AN1416=0,L1416,0)</f>
        <v>0</v>
      </c>
      <c r="AK1416" s="14">
        <f>IF(AN1416=15,L1416,0)</f>
        <v>0</v>
      </c>
      <c r="AL1416" s="14">
        <f>IF(AN1416=21,L1416,0)</f>
        <v>0</v>
      </c>
      <c r="AN1416" s="14">
        <v>21</v>
      </c>
      <c r="AO1416" s="92">
        <f>H1416*0.588468172909088</f>
        <v>0</v>
      </c>
      <c r="AP1416" s="92">
        <f>H1416*(1-0.588468172909088)</f>
        <v>0</v>
      </c>
      <c r="AQ1416" s="55" t="s">
        <v>2422</v>
      </c>
      <c r="AV1416" s="14">
        <f>AW1416+AX1416</f>
        <v>0</v>
      </c>
      <c r="AW1416" s="14">
        <f>G1416*AO1416</f>
        <v>0</v>
      </c>
      <c r="AX1416" s="14">
        <f>G1416*AP1416</f>
        <v>0</v>
      </c>
      <c r="AY1416" s="55" t="s">
        <v>1528</v>
      </c>
      <c r="AZ1416" s="55" t="s">
        <v>2543</v>
      </c>
      <c r="BA1416" s="15" t="s">
        <v>2738</v>
      </c>
      <c r="BC1416" s="14">
        <f>AW1416+AX1416</f>
        <v>0</v>
      </c>
      <c r="BD1416" s="14">
        <f>H1416/(100-BE1416)*100</f>
        <v>0</v>
      </c>
      <c r="BE1416" s="14">
        <v>0</v>
      </c>
      <c r="BF1416" s="14">
        <f>O1416</f>
        <v>2.48163</v>
      </c>
      <c r="BH1416" s="14">
        <f>G1416*AO1416</f>
        <v>0</v>
      </c>
      <c r="BI1416" s="14">
        <f>G1416*AP1416</f>
        <v>0</v>
      </c>
      <c r="BJ1416" s="14">
        <f>G1416*H1416</f>
        <v>0</v>
      </c>
      <c r="BK1416" s="14"/>
      <c r="BL1416" s="14">
        <v>83</v>
      </c>
      <c r="BW1416" s="14" t="str">
        <f>I1416</f>
        <v>21</v>
      </c>
    </row>
    <row r="1417" spans="1:75" ht="15" customHeight="1">
      <c r="A1417" s="32"/>
      <c r="D1417" s="3" t="s">
        <v>2422</v>
      </c>
      <c r="E1417" s="28" t="s">
        <v>2560</v>
      </c>
      <c r="G1417" s="27">
        <v>1</v>
      </c>
      <c r="P1417" s="33"/>
    </row>
    <row r="1418" spans="1:75" ht="15" customHeight="1">
      <c r="A1418" s="65" t="s">
        <v>1683</v>
      </c>
      <c r="B1418" s="26" t="s">
        <v>951</v>
      </c>
      <c r="C1418" s="26" t="s">
        <v>111</v>
      </c>
      <c r="D1418" s="649" t="s">
        <v>189</v>
      </c>
      <c r="E1418" s="650"/>
      <c r="F1418" s="74" t="s">
        <v>2262</v>
      </c>
      <c r="G1418" s="74" t="s">
        <v>2262</v>
      </c>
      <c r="H1418" s="74" t="s">
        <v>2262</v>
      </c>
      <c r="I1418" s="74" t="s">
        <v>2262</v>
      </c>
      <c r="J1418" s="2">
        <f>SUM(J1419:J1446)</f>
        <v>0</v>
      </c>
      <c r="K1418" s="2">
        <f>SUM(K1419:K1446)</f>
        <v>0</v>
      </c>
      <c r="L1418" s="2">
        <f>SUM(L1419:L1446)</f>
        <v>0</v>
      </c>
      <c r="M1418" s="2">
        <f>SUM(M1419:M1446)</f>
        <v>0</v>
      </c>
      <c r="N1418" s="15" t="s">
        <v>1683</v>
      </c>
      <c r="O1418" s="2">
        <f>SUM(O1419:O1446)</f>
        <v>0.41425580000000006</v>
      </c>
      <c r="P1418" s="47" t="s">
        <v>1683</v>
      </c>
      <c r="AI1418" s="15" t="s">
        <v>951</v>
      </c>
      <c r="AS1418" s="2">
        <f>SUM(AJ1419:AJ1446)</f>
        <v>0</v>
      </c>
      <c r="AT1418" s="2">
        <f>SUM(AK1419:AK1446)</f>
        <v>0</v>
      </c>
      <c r="AU1418" s="2">
        <f>SUM(AL1419:AL1446)</f>
        <v>0</v>
      </c>
    </row>
    <row r="1419" spans="1:75" ht="13.5" customHeight="1">
      <c r="A1419" s="21" t="s">
        <v>1792</v>
      </c>
      <c r="B1419" s="37" t="s">
        <v>951</v>
      </c>
      <c r="C1419" s="37" t="s">
        <v>260</v>
      </c>
      <c r="D1419" s="578" t="s">
        <v>2374</v>
      </c>
      <c r="E1419" s="579"/>
      <c r="F1419" s="37" t="s">
        <v>2019</v>
      </c>
      <c r="G1419" s="14">
        <v>142</v>
      </c>
      <c r="H1419" s="569"/>
      <c r="I1419" s="55" t="s">
        <v>1720</v>
      </c>
      <c r="J1419" s="14">
        <f>G1419*AO1419</f>
        <v>0</v>
      </c>
      <c r="K1419" s="14">
        <f>G1419*AP1419</f>
        <v>0</v>
      </c>
      <c r="L1419" s="14">
        <f>G1419*H1419</f>
        <v>0</v>
      </c>
      <c r="M1419" s="14">
        <f>L1419*(1+BW1419/100)</f>
        <v>0</v>
      </c>
      <c r="N1419" s="14">
        <v>0</v>
      </c>
      <c r="O1419" s="14">
        <f>G1419*N1419</f>
        <v>0</v>
      </c>
      <c r="P1419" s="72" t="s">
        <v>1664</v>
      </c>
      <c r="Z1419" s="14">
        <f>IF(AQ1419="5",BJ1419,0)</f>
        <v>0</v>
      </c>
      <c r="AB1419" s="14">
        <f>IF(AQ1419="1",BH1419,0)</f>
        <v>0</v>
      </c>
      <c r="AC1419" s="14">
        <f>IF(AQ1419="1",BI1419,0)</f>
        <v>0</v>
      </c>
      <c r="AD1419" s="14">
        <f>IF(AQ1419="7",BH1419,0)</f>
        <v>0</v>
      </c>
      <c r="AE1419" s="14">
        <f>IF(AQ1419="7",BI1419,0)</f>
        <v>0</v>
      </c>
      <c r="AF1419" s="14">
        <f>IF(AQ1419="2",BH1419,0)</f>
        <v>0</v>
      </c>
      <c r="AG1419" s="14">
        <f>IF(AQ1419="2",BI1419,0)</f>
        <v>0</v>
      </c>
      <c r="AH1419" s="14">
        <f>IF(AQ1419="0",BJ1419,0)</f>
        <v>0</v>
      </c>
      <c r="AI1419" s="15" t="s">
        <v>951</v>
      </c>
      <c r="AJ1419" s="14">
        <f>IF(AN1419=0,L1419,0)</f>
        <v>0</v>
      </c>
      <c r="AK1419" s="14">
        <f>IF(AN1419=15,L1419,0)</f>
        <v>0</v>
      </c>
      <c r="AL1419" s="14">
        <f>IF(AN1419=21,L1419,0)</f>
        <v>0</v>
      </c>
      <c r="AN1419" s="14">
        <v>21</v>
      </c>
      <c r="AO1419" s="92">
        <f>H1419*0.00459770114942529</f>
        <v>0</v>
      </c>
      <c r="AP1419" s="92">
        <f>H1419*(1-0.00459770114942529)</f>
        <v>0</v>
      </c>
      <c r="AQ1419" s="55" t="s">
        <v>2422</v>
      </c>
      <c r="AV1419" s="14">
        <f>AW1419+AX1419</f>
        <v>0</v>
      </c>
      <c r="AW1419" s="14">
        <f>G1419*AO1419</f>
        <v>0</v>
      </c>
      <c r="AX1419" s="14">
        <f>G1419*AP1419</f>
        <v>0</v>
      </c>
      <c r="AY1419" s="55" t="s">
        <v>169</v>
      </c>
      <c r="AZ1419" s="55" t="s">
        <v>2543</v>
      </c>
      <c r="BA1419" s="15" t="s">
        <v>2738</v>
      </c>
      <c r="BC1419" s="14">
        <f>AW1419+AX1419</f>
        <v>0</v>
      </c>
      <c r="BD1419" s="14">
        <f>H1419/(100-BE1419)*100</f>
        <v>0</v>
      </c>
      <c r="BE1419" s="14">
        <v>0</v>
      </c>
      <c r="BF1419" s="14">
        <f>O1419</f>
        <v>0</v>
      </c>
      <c r="BH1419" s="14">
        <f>G1419*AO1419</f>
        <v>0</v>
      </c>
      <c r="BI1419" s="14">
        <f>G1419*AP1419</f>
        <v>0</v>
      </c>
      <c r="BJ1419" s="14">
        <f>G1419*H1419</f>
        <v>0</v>
      </c>
      <c r="BK1419" s="14"/>
      <c r="BL1419" s="14">
        <v>87</v>
      </c>
      <c r="BW1419" s="14" t="str">
        <f>I1419</f>
        <v>21</v>
      </c>
    </row>
    <row r="1420" spans="1:75" ht="15" customHeight="1">
      <c r="A1420" s="32"/>
      <c r="D1420" s="3" t="s">
        <v>363</v>
      </c>
      <c r="E1420" s="28" t="s">
        <v>1683</v>
      </c>
      <c r="G1420" s="27">
        <v>142</v>
      </c>
      <c r="P1420" s="33"/>
    </row>
    <row r="1421" spans="1:75" ht="13.5" customHeight="1">
      <c r="A1421" s="20" t="s">
        <v>1580</v>
      </c>
      <c r="B1421" s="84" t="s">
        <v>951</v>
      </c>
      <c r="C1421" s="84" t="s">
        <v>2139</v>
      </c>
      <c r="D1421" s="653" t="s">
        <v>297</v>
      </c>
      <c r="E1421" s="654"/>
      <c r="F1421" s="84" t="s">
        <v>595</v>
      </c>
      <c r="G1421" s="6">
        <v>12.84</v>
      </c>
      <c r="H1421" s="570"/>
      <c r="I1421" s="18" t="s">
        <v>1720</v>
      </c>
      <c r="J1421" s="6">
        <f>G1421*AO1421</f>
        <v>0</v>
      </c>
      <c r="K1421" s="6">
        <f>G1421*AP1421</f>
        <v>0</v>
      </c>
      <c r="L1421" s="6">
        <f>G1421*H1421</f>
        <v>0</v>
      </c>
      <c r="M1421" s="6">
        <f>L1421*(1+BW1421/100)</f>
        <v>0</v>
      </c>
      <c r="N1421" s="6">
        <v>4.4999999999999997E-3</v>
      </c>
      <c r="O1421" s="6">
        <f>G1421*N1421</f>
        <v>5.7779999999999998E-2</v>
      </c>
      <c r="P1421" s="109" t="s">
        <v>1664</v>
      </c>
      <c r="Z1421" s="14">
        <f>IF(AQ1421="5",BJ1421,0)</f>
        <v>0</v>
      </c>
      <c r="AB1421" s="14">
        <f>IF(AQ1421="1",BH1421,0)</f>
        <v>0</v>
      </c>
      <c r="AC1421" s="14">
        <f>IF(AQ1421="1",BI1421,0)</f>
        <v>0</v>
      </c>
      <c r="AD1421" s="14">
        <f>IF(AQ1421="7",BH1421,0)</f>
        <v>0</v>
      </c>
      <c r="AE1421" s="14">
        <f>IF(AQ1421="7",BI1421,0)</f>
        <v>0</v>
      </c>
      <c r="AF1421" s="14">
        <f>IF(AQ1421="2",BH1421,0)</f>
        <v>0</v>
      </c>
      <c r="AG1421" s="14">
        <f>IF(AQ1421="2",BI1421,0)</f>
        <v>0</v>
      </c>
      <c r="AH1421" s="14">
        <f>IF(AQ1421="0",BJ1421,0)</f>
        <v>0</v>
      </c>
      <c r="AI1421" s="15" t="s">
        <v>951</v>
      </c>
      <c r="AJ1421" s="6">
        <f>IF(AN1421=0,L1421,0)</f>
        <v>0</v>
      </c>
      <c r="AK1421" s="6">
        <f>IF(AN1421=15,L1421,0)</f>
        <v>0</v>
      </c>
      <c r="AL1421" s="6">
        <f>IF(AN1421=21,L1421,0)</f>
        <v>0</v>
      </c>
      <c r="AN1421" s="14">
        <v>21</v>
      </c>
      <c r="AO1421" s="92">
        <f>H1421*1</f>
        <v>0</v>
      </c>
      <c r="AP1421" s="92">
        <f>H1421*(1-1)</f>
        <v>0</v>
      </c>
      <c r="AQ1421" s="18" t="s">
        <v>2422</v>
      </c>
      <c r="AV1421" s="14">
        <f>AW1421+AX1421</f>
        <v>0</v>
      </c>
      <c r="AW1421" s="14">
        <f>G1421*AO1421</f>
        <v>0</v>
      </c>
      <c r="AX1421" s="14">
        <f>G1421*AP1421</f>
        <v>0</v>
      </c>
      <c r="AY1421" s="55" t="s">
        <v>169</v>
      </c>
      <c r="AZ1421" s="55" t="s">
        <v>2543</v>
      </c>
      <c r="BA1421" s="15" t="s">
        <v>2738</v>
      </c>
      <c r="BC1421" s="14">
        <f>AW1421+AX1421</f>
        <v>0</v>
      </c>
      <c r="BD1421" s="14">
        <f>H1421/(100-BE1421)*100</f>
        <v>0</v>
      </c>
      <c r="BE1421" s="14">
        <v>0</v>
      </c>
      <c r="BF1421" s="14">
        <f>O1421</f>
        <v>5.7779999999999998E-2</v>
      </c>
      <c r="BH1421" s="6">
        <f>G1421*AO1421</f>
        <v>0</v>
      </c>
      <c r="BI1421" s="6">
        <f>G1421*AP1421</f>
        <v>0</v>
      </c>
      <c r="BJ1421" s="6">
        <f>G1421*H1421</f>
        <v>0</v>
      </c>
      <c r="BK1421" s="6"/>
      <c r="BL1421" s="14">
        <v>87</v>
      </c>
      <c r="BW1421" s="14" t="str">
        <f>I1421</f>
        <v>21</v>
      </c>
    </row>
    <row r="1422" spans="1:75" ht="15" customHeight="1">
      <c r="A1422" s="32"/>
      <c r="D1422" s="3" t="s">
        <v>1388</v>
      </c>
      <c r="E1422" s="28" t="s">
        <v>1683</v>
      </c>
      <c r="G1422" s="27">
        <v>11.670000000000002</v>
      </c>
      <c r="P1422" s="33"/>
    </row>
    <row r="1423" spans="1:75" ht="15" customHeight="1">
      <c r="A1423" s="32"/>
      <c r="D1423" s="3" t="s">
        <v>1029</v>
      </c>
      <c r="E1423" s="28" t="s">
        <v>1683</v>
      </c>
      <c r="G1423" s="27">
        <v>1.1700000000000002</v>
      </c>
      <c r="P1423" s="33"/>
    </row>
    <row r="1424" spans="1:75" ht="13.5" customHeight="1">
      <c r="A1424" s="20" t="s">
        <v>1415</v>
      </c>
      <c r="B1424" s="84" t="s">
        <v>951</v>
      </c>
      <c r="C1424" s="84" t="s">
        <v>191</v>
      </c>
      <c r="D1424" s="653" t="s">
        <v>2480</v>
      </c>
      <c r="E1424" s="654"/>
      <c r="F1424" s="84" t="s">
        <v>595</v>
      </c>
      <c r="G1424" s="6">
        <v>14.3</v>
      </c>
      <c r="H1424" s="570"/>
      <c r="I1424" s="18" t="s">
        <v>1720</v>
      </c>
      <c r="J1424" s="6">
        <f>G1424*AO1424</f>
        <v>0</v>
      </c>
      <c r="K1424" s="6">
        <f>G1424*AP1424</f>
        <v>0</v>
      </c>
      <c r="L1424" s="6">
        <f>G1424*H1424</f>
        <v>0</v>
      </c>
      <c r="M1424" s="6">
        <f>L1424*(1+BW1424/100)</f>
        <v>0</v>
      </c>
      <c r="N1424" s="6">
        <v>1.405E-2</v>
      </c>
      <c r="O1424" s="6">
        <f>G1424*N1424</f>
        <v>0.20091500000000001</v>
      </c>
      <c r="P1424" s="109" t="s">
        <v>1664</v>
      </c>
      <c r="Z1424" s="14">
        <f>IF(AQ1424="5",BJ1424,0)</f>
        <v>0</v>
      </c>
      <c r="AB1424" s="14">
        <f>IF(AQ1424="1",BH1424,0)</f>
        <v>0</v>
      </c>
      <c r="AC1424" s="14">
        <f>IF(AQ1424="1",BI1424,0)</f>
        <v>0</v>
      </c>
      <c r="AD1424" s="14">
        <f>IF(AQ1424="7",BH1424,0)</f>
        <v>0</v>
      </c>
      <c r="AE1424" s="14">
        <f>IF(AQ1424="7",BI1424,0)</f>
        <v>0</v>
      </c>
      <c r="AF1424" s="14">
        <f>IF(AQ1424="2",BH1424,0)</f>
        <v>0</v>
      </c>
      <c r="AG1424" s="14">
        <f>IF(AQ1424="2",BI1424,0)</f>
        <v>0</v>
      </c>
      <c r="AH1424" s="14">
        <f>IF(AQ1424="0",BJ1424,0)</f>
        <v>0</v>
      </c>
      <c r="AI1424" s="15" t="s">
        <v>951</v>
      </c>
      <c r="AJ1424" s="6">
        <f>IF(AN1424=0,L1424,0)</f>
        <v>0</v>
      </c>
      <c r="AK1424" s="6">
        <f>IF(AN1424=15,L1424,0)</f>
        <v>0</v>
      </c>
      <c r="AL1424" s="6">
        <f>IF(AN1424=21,L1424,0)</f>
        <v>0</v>
      </c>
      <c r="AN1424" s="14">
        <v>21</v>
      </c>
      <c r="AO1424" s="92">
        <f>H1424*1</f>
        <v>0</v>
      </c>
      <c r="AP1424" s="92">
        <f>H1424*(1-1)</f>
        <v>0</v>
      </c>
      <c r="AQ1424" s="18" t="s">
        <v>2422</v>
      </c>
      <c r="AV1424" s="14">
        <f>AW1424+AX1424</f>
        <v>0</v>
      </c>
      <c r="AW1424" s="14">
        <f>G1424*AO1424</f>
        <v>0</v>
      </c>
      <c r="AX1424" s="14">
        <f>G1424*AP1424</f>
        <v>0</v>
      </c>
      <c r="AY1424" s="55" t="s">
        <v>169</v>
      </c>
      <c r="AZ1424" s="55" t="s">
        <v>2543</v>
      </c>
      <c r="BA1424" s="15" t="s">
        <v>2738</v>
      </c>
      <c r="BC1424" s="14">
        <f>AW1424+AX1424</f>
        <v>0</v>
      </c>
      <c r="BD1424" s="14">
        <f>H1424/(100-BE1424)*100</f>
        <v>0</v>
      </c>
      <c r="BE1424" s="14">
        <v>0</v>
      </c>
      <c r="BF1424" s="14">
        <f>O1424</f>
        <v>0.20091500000000001</v>
      </c>
      <c r="BH1424" s="6">
        <f>G1424*AO1424</f>
        <v>0</v>
      </c>
      <c r="BI1424" s="6">
        <f>G1424*AP1424</f>
        <v>0</v>
      </c>
      <c r="BJ1424" s="6">
        <f>G1424*H1424</f>
        <v>0</v>
      </c>
      <c r="BK1424" s="6"/>
      <c r="BL1424" s="14">
        <v>87</v>
      </c>
      <c r="BW1424" s="14" t="str">
        <f>I1424</f>
        <v>21</v>
      </c>
    </row>
    <row r="1425" spans="1:75" ht="15" customHeight="1">
      <c r="A1425" s="32"/>
      <c r="D1425" s="3" t="s">
        <v>919</v>
      </c>
      <c r="E1425" s="28" t="s">
        <v>1683</v>
      </c>
      <c r="G1425" s="27">
        <v>13.000000000000002</v>
      </c>
      <c r="P1425" s="33"/>
    </row>
    <row r="1426" spans="1:75" ht="15" customHeight="1">
      <c r="A1426" s="32"/>
      <c r="D1426" s="3" t="s">
        <v>50</v>
      </c>
      <c r="E1426" s="28" t="s">
        <v>1683</v>
      </c>
      <c r="G1426" s="27">
        <v>1.3</v>
      </c>
      <c r="P1426" s="33"/>
    </row>
    <row r="1427" spans="1:75" ht="13.5" customHeight="1">
      <c r="A1427" s="20" t="s">
        <v>2177</v>
      </c>
      <c r="B1427" s="84" t="s">
        <v>951</v>
      </c>
      <c r="C1427" s="84" t="s">
        <v>106</v>
      </c>
      <c r="D1427" s="653" t="s">
        <v>1170</v>
      </c>
      <c r="E1427" s="654"/>
      <c r="F1427" s="84" t="s">
        <v>595</v>
      </c>
      <c r="G1427" s="6">
        <v>9.24</v>
      </c>
      <c r="H1427" s="570"/>
      <c r="I1427" s="18" t="s">
        <v>1720</v>
      </c>
      <c r="J1427" s="6">
        <f>G1427*AO1427</f>
        <v>0</v>
      </c>
      <c r="K1427" s="6">
        <f>G1427*AP1427</f>
        <v>0</v>
      </c>
      <c r="L1427" s="6">
        <f>G1427*H1427</f>
        <v>0</v>
      </c>
      <c r="M1427" s="6">
        <f>L1427*(1+BW1427/100)</f>
        <v>0</v>
      </c>
      <c r="N1427" s="6">
        <v>1.4919999999999999E-2</v>
      </c>
      <c r="O1427" s="6">
        <f>G1427*N1427</f>
        <v>0.13786080000000001</v>
      </c>
      <c r="P1427" s="109" t="s">
        <v>1664</v>
      </c>
      <c r="Z1427" s="14">
        <f>IF(AQ1427="5",BJ1427,0)</f>
        <v>0</v>
      </c>
      <c r="AB1427" s="14">
        <f>IF(AQ1427="1",BH1427,0)</f>
        <v>0</v>
      </c>
      <c r="AC1427" s="14">
        <f>IF(AQ1427="1",BI1427,0)</f>
        <v>0</v>
      </c>
      <c r="AD1427" s="14">
        <f>IF(AQ1427="7",BH1427,0)</f>
        <v>0</v>
      </c>
      <c r="AE1427" s="14">
        <f>IF(AQ1427="7",BI1427,0)</f>
        <v>0</v>
      </c>
      <c r="AF1427" s="14">
        <f>IF(AQ1427="2",BH1427,0)</f>
        <v>0</v>
      </c>
      <c r="AG1427" s="14">
        <f>IF(AQ1427="2",BI1427,0)</f>
        <v>0</v>
      </c>
      <c r="AH1427" s="14">
        <f>IF(AQ1427="0",BJ1427,0)</f>
        <v>0</v>
      </c>
      <c r="AI1427" s="15" t="s">
        <v>951</v>
      </c>
      <c r="AJ1427" s="6">
        <f>IF(AN1427=0,L1427,0)</f>
        <v>0</v>
      </c>
      <c r="AK1427" s="6">
        <f>IF(AN1427=15,L1427,0)</f>
        <v>0</v>
      </c>
      <c r="AL1427" s="6">
        <f>IF(AN1427=21,L1427,0)</f>
        <v>0</v>
      </c>
      <c r="AN1427" s="14">
        <v>21</v>
      </c>
      <c r="AO1427" s="92">
        <f>H1427*1</f>
        <v>0</v>
      </c>
      <c r="AP1427" s="92">
        <f>H1427*(1-1)</f>
        <v>0</v>
      </c>
      <c r="AQ1427" s="18" t="s">
        <v>2422</v>
      </c>
      <c r="AV1427" s="14">
        <f>AW1427+AX1427</f>
        <v>0</v>
      </c>
      <c r="AW1427" s="14">
        <f>G1427*AO1427</f>
        <v>0</v>
      </c>
      <c r="AX1427" s="14">
        <f>G1427*AP1427</f>
        <v>0</v>
      </c>
      <c r="AY1427" s="55" t="s">
        <v>169</v>
      </c>
      <c r="AZ1427" s="55" t="s">
        <v>2543</v>
      </c>
      <c r="BA1427" s="15" t="s">
        <v>2738</v>
      </c>
      <c r="BC1427" s="14">
        <f>AW1427+AX1427</f>
        <v>0</v>
      </c>
      <c r="BD1427" s="14">
        <f>H1427/(100-BE1427)*100</f>
        <v>0</v>
      </c>
      <c r="BE1427" s="14">
        <v>0</v>
      </c>
      <c r="BF1427" s="14">
        <f>O1427</f>
        <v>0.13786080000000001</v>
      </c>
      <c r="BH1427" s="6">
        <f>G1427*AO1427</f>
        <v>0</v>
      </c>
      <c r="BI1427" s="6">
        <f>G1427*AP1427</f>
        <v>0</v>
      </c>
      <c r="BJ1427" s="6">
        <f>G1427*H1427</f>
        <v>0</v>
      </c>
      <c r="BK1427" s="6"/>
      <c r="BL1427" s="14">
        <v>87</v>
      </c>
      <c r="BW1427" s="14" t="str">
        <f>I1427</f>
        <v>21</v>
      </c>
    </row>
    <row r="1428" spans="1:75" ht="15" customHeight="1">
      <c r="A1428" s="32"/>
      <c r="D1428" s="3" t="s">
        <v>210</v>
      </c>
      <c r="E1428" s="28" t="s">
        <v>1683</v>
      </c>
      <c r="G1428" s="27">
        <v>8.4</v>
      </c>
      <c r="P1428" s="33"/>
    </row>
    <row r="1429" spans="1:75" ht="15" customHeight="1">
      <c r="A1429" s="32"/>
      <c r="D1429" s="3" t="s">
        <v>467</v>
      </c>
      <c r="E1429" s="28" t="s">
        <v>1683</v>
      </c>
      <c r="G1429" s="27">
        <v>0.84000000000000008</v>
      </c>
      <c r="P1429" s="33"/>
    </row>
    <row r="1430" spans="1:75" ht="13.5" customHeight="1">
      <c r="A1430" s="21" t="s">
        <v>1699</v>
      </c>
      <c r="B1430" s="37" t="s">
        <v>951</v>
      </c>
      <c r="C1430" s="37" t="s">
        <v>2409</v>
      </c>
      <c r="D1430" s="578" t="s">
        <v>146</v>
      </c>
      <c r="E1430" s="579"/>
      <c r="F1430" s="37" t="s">
        <v>595</v>
      </c>
      <c r="G1430" s="14">
        <v>34</v>
      </c>
      <c r="H1430" s="569"/>
      <c r="I1430" s="55" t="s">
        <v>1720</v>
      </c>
      <c r="J1430" s="14">
        <f>G1430*AO1430</f>
        <v>0</v>
      </c>
      <c r="K1430" s="14">
        <f>G1430*AP1430</f>
        <v>0</v>
      </c>
      <c r="L1430" s="14">
        <f>G1430*H1430</f>
        <v>0</v>
      </c>
      <c r="M1430" s="14">
        <f>L1430*(1+BW1430/100)</f>
        <v>0</v>
      </c>
      <c r="N1430" s="14">
        <v>1.0000000000000001E-5</v>
      </c>
      <c r="O1430" s="14">
        <f>G1430*N1430</f>
        <v>3.4000000000000002E-4</v>
      </c>
      <c r="P1430" s="72" t="s">
        <v>1664</v>
      </c>
      <c r="Z1430" s="14">
        <f>IF(AQ1430="5",BJ1430,0)</f>
        <v>0</v>
      </c>
      <c r="AB1430" s="14">
        <f>IF(AQ1430="1",BH1430,0)</f>
        <v>0</v>
      </c>
      <c r="AC1430" s="14">
        <f>IF(AQ1430="1",BI1430,0)</f>
        <v>0</v>
      </c>
      <c r="AD1430" s="14">
        <f>IF(AQ1430="7",BH1430,0)</f>
        <v>0</v>
      </c>
      <c r="AE1430" s="14">
        <f>IF(AQ1430="7",BI1430,0)</f>
        <v>0</v>
      </c>
      <c r="AF1430" s="14">
        <f>IF(AQ1430="2",BH1430,0)</f>
        <v>0</v>
      </c>
      <c r="AG1430" s="14">
        <f>IF(AQ1430="2",BI1430,0)</f>
        <v>0</v>
      </c>
      <c r="AH1430" s="14">
        <f>IF(AQ1430="0",BJ1430,0)</f>
        <v>0</v>
      </c>
      <c r="AI1430" s="15" t="s">
        <v>951</v>
      </c>
      <c r="AJ1430" s="14">
        <f>IF(AN1430=0,L1430,0)</f>
        <v>0</v>
      </c>
      <c r="AK1430" s="14">
        <f>IF(AN1430=15,L1430,0)</f>
        <v>0</v>
      </c>
      <c r="AL1430" s="14">
        <f>IF(AN1430=21,L1430,0)</f>
        <v>0</v>
      </c>
      <c r="AN1430" s="14">
        <v>21</v>
      </c>
      <c r="AO1430" s="92">
        <f>H1430*0.00526881720430108</f>
        <v>0</v>
      </c>
      <c r="AP1430" s="92">
        <f>H1430*(1-0.00526881720430108)</f>
        <v>0</v>
      </c>
      <c r="AQ1430" s="55" t="s">
        <v>2422</v>
      </c>
      <c r="AV1430" s="14">
        <f>AW1430+AX1430</f>
        <v>0</v>
      </c>
      <c r="AW1430" s="14">
        <f>G1430*AO1430</f>
        <v>0</v>
      </c>
      <c r="AX1430" s="14">
        <f>G1430*AP1430</f>
        <v>0</v>
      </c>
      <c r="AY1430" s="55" t="s">
        <v>169</v>
      </c>
      <c r="AZ1430" s="55" t="s">
        <v>2543</v>
      </c>
      <c r="BA1430" s="15" t="s">
        <v>2738</v>
      </c>
      <c r="BC1430" s="14">
        <f>AW1430+AX1430</f>
        <v>0</v>
      </c>
      <c r="BD1430" s="14">
        <f>H1430/(100-BE1430)*100</f>
        <v>0</v>
      </c>
      <c r="BE1430" s="14">
        <v>0</v>
      </c>
      <c r="BF1430" s="14">
        <f>O1430</f>
        <v>3.4000000000000002E-4</v>
      </c>
      <c r="BH1430" s="14">
        <f>G1430*AO1430</f>
        <v>0</v>
      </c>
      <c r="BI1430" s="14">
        <f>G1430*AP1430</f>
        <v>0</v>
      </c>
      <c r="BJ1430" s="14">
        <f>G1430*H1430</f>
        <v>0</v>
      </c>
      <c r="BK1430" s="14"/>
      <c r="BL1430" s="14">
        <v>87</v>
      </c>
      <c r="BW1430" s="14" t="str">
        <f>I1430</f>
        <v>21</v>
      </c>
    </row>
    <row r="1431" spans="1:75" ht="15" customHeight="1">
      <c r="A1431" s="32"/>
      <c r="D1431" s="3" t="s">
        <v>502</v>
      </c>
      <c r="E1431" s="28" t="s">
        <v>1683</v>
      </c>
      <c r="G1431" s="27">
        <v>34</v>
      </c>
      <c r="P1431" s="33"/>
    </row>
    <row r="1432" spans="1:75" ht="13.5" customHeight="1">
      <c r="A1432" s="20" t="s">
        <v>2770</v>
      </c>
      <c r="B1432" s="84" t="s">
        <v>951</v>
      </c>
      <c r="C1432" s="84" t="s">
        <v>1171</v>
      </c>
      <c r="D1432" s="653" t="s">
        <v>2089</v>
      </c>
      <c r="E1432" s="654"/>
      <c r="F1432" s="84" t="s">
        <v>595</v>
      </c>
      <c r="G1432" s="6">
        <v>2</v>
      </c>
      <c r="H1432" s="570"/>
      <c r="I1432" s="18" t="s">
        <v>1720</v>
      </c>
      <c r="J1432" s="6">
        <f>G1432*AO1432</f>
        <v>0</v>
      </c>
      <c r="K1432" s="6">
        <f>G1432*AP1432</f>
        <v>0</v>
      </c>
      <c r="L1432" s="6">
        <f>G1432*H1432</f>
        <v>0</v>
      </c>
      <c r="M1432" s="6">
        <f>L1432*(1+BW1432/100)</f>
        <v>0</v>
      </c>
      <c r="N1432" s="6">
        <v>6.6E-4</v>
      </c>
      <c r="O1432" s="6">
        <f>G1432*N1432</f>
        <v>1.32E-3</v>
      </c>
      <c r="P1432" s="109" t="s">
        <v>1664</v>
      </c>
      <c r="Z1432" s="14">
        <f>IF(AQ1432="5",BJ1432,0)</f>
        <v>0</v>
      </c>
      <c r="AB1432" s="14">
        <f>IF(AQ1432="1",BH1432,0)</f>
        <v>0</v>
      </c>
      <c r="AC1432" s="14">
        <f>IF(AQ1432="1",BI1432,0)</f>
        <v>0</v>
      </c>
      <c r="AD1432" s="14">
        <f>IF(AQ1432="7",BH1432,0)</f>
        <v>0</v>
      </c>
      <c r="AE1432" s="14">
        <f>IF(AQ1432="7",BI1432,0)</f>
        <v>0</v>
      </c>
      <c r="AF1432" s="14">
        <f>IF(AQ1432="2",BH1432,0)</f>
        <v>0</v>
      </c>
      <c r="AG1432" s="14">
        <f>IF(AQ1432="2",BI1432,0)</f>
        <v>0</v>
      </c>
      <c r="AH1432" s="14">
        <f>IF(AQ1432="0",BJ1432,0)</f>
        <v>0</v>
      </c>
      <c r="AI1432" s="15" t="s">
        <v>951</v>
      </c>
      <c r="AJ1432" s="6">
        <f>IF(AN1432=0,L1432,0)</f>
        <v>0</v>
      </c>
      <c r="AK1432" s="6">
        <f>IF(AN1432=15,L1432,0)</f>
        <v>0</v>
      </c>
      <c r="AL1432" s="6">
        <f>IF(AN1432=21,L1432,0)</f>
        <v>0</v>
      </c>
      <c r="AN1432" s="14">
        <v>21</v>
      </c>
      <c r="AO1432" s="92">
        <f>H1432*1</f>
        <v>0</v>
      </c>
      <c r="AP1432" s="92">
        <f>H1432*(1-1)</f>
        <v>0</v>
      </c>
      <c r="AQ1432" s="18" t="s">
        <v>2422</v>
      </c>
      <c r="AV1432" s="14">
        <f>AW1432+AX1432</f>
        <v>0</v>
      </c>
      <c r="AW1432" s="14">
        <f>G1432*AO1432</f>
        <v>0</v>
      </c>
      <c r="AX1432" s="14">
        <f>G1432*AP1432</f>
        <v>0</v>
      </c>
      <c r="AY1432" s="55" t="s">
        <v>169</v>
      </c>
      <c r="AZ1432" s="55" t="s">
        <v>2543</v>
      </c>
      <c r="BA1432" s="15" t="s">
        <v>2738</v>
      </c>
      <c r="BC1432" s="14">
        <f>AW1432+AX1432</f>
        <v>0</v>
      </c>
      <c r="BD1432" s="14">
        <f>H1432/(100-BE1432)*100</f>
        <v>0</v>
      </c>
      <c r="BE1432" s="14">
        <v>0</v>
      </c>
      <c r="BF1432" s="14">
        <f>O1432</f>
        <v>1.32E-3</v>
      </c>
      <c r="BH1432" s="6">
        <f>G1432*AO1432</f>
        <v>0</v>
      </c>
      <c r="BI1432" s="6">
        <f>G1432*AP1432</f>
        <v>0</v>
      </c>
      <c r="BJ1432" s="6">
        <f>G1432*H1432</f>
        <v>0</v>
      </c>
      <c r="BK1432" s="6"/>
      <c r="BL1432" s="14">
        <v>87</v>
      </c>
      <c r="BW1432" s="14" t="str">
        <f>I1432</f>
        <v>21</v>
      </c>
    </row>
    <row r="1433" spans="1:75" ht="15" customHeight="1">
      <c r="A1433" s="32"/>
      <c r="D1433" s="3" t="s">
        <v>1676</v>
      </c>
      <c r="E1433" s="28" t="s">
        <v>1683</v>
      </c>
      <c r="G1433" s="27">
        <v>2</v>
      </c>
      <c r="P1433" s="33"/>
    </row>
    <row r="1434" spans="1:75" ht="13.5" customHeight="1">
      <c r="A1434" s="20" t="s">
        <v>1219</v>
      </c>
      <c r="B1434" s="84" t="s">
        <v>951</v>
      </c>
      <c r="C1434" s="84" t="s">
        <v>1820</v>
      </c>
      <c r="D1434" s="653" t="s">
        <v>830</v>
      </c>
      <c r="E1434" s="654"/>
      <c r="F1434" s="84" t="s">
        <v>595</v>
      </c>
      <c r="G1434" s="6">
        <v>6</v>
      </c>
      <c r="H1434" s="570"/>
      <c r="I1434" s="18" t="s">
        <v>1720</v>
      </c>
      <c r="J1434" s="6">
        <f>G1434*AO1434</f>
        <v>0</v>
      </c>
      <c r="K1434" s="6">
        <f>G1434*AP1434</f>
        <v>0</v>
      </c>
      <c r="L1434" s="6">
        <f>G1434*H1434</f>
        <v>0</v>
      </c>
      <c r="M1434" s="6">
        <f>L1434*(1+BW1434/100)</f>
        <v>0</v>
      </c>
      <c r="N1434" s="6">
        <v>3.8000000000000002E-4</v>
      </c>
      <c r="O1434" s="6">
        <f>G1434*N1434</f>
        <v>2.2799999999999999E-3</v>
      </c>
      <c r="P1434" s="109" t="s">
        <v>1664</v>
      </c>
      <c r="Z1434" s="14">
        <f>IF(AQ1434="5",BJ1434,0)</f>
        <v>0</v>
      </c>
      <c r="AB1434" s="14">
        <f>IF(AQ1434="1",BH1434,0)</f>
        <v>0</v>
      </c>
      <c r="AC1434" s="14">
        <f>IF(AQ1434="1",BI1434,0)</f>
        <v>0</v>
      </c>
      <c r="AD1434" s="14">
        <f>IF(AQ1434="7",BH1434,0)</f>
        <v>0</v>
      </c>
      <c r="AE1434" s="14">
        <f>IF(AQ1434="7",BI1434,0)</f>
        <v>0</v>
      </c>
      <c r="AF1434" s="14">
        <f>IF(AQ1434="2",BH1434,0)</f>
        <v>0</v>
      </c>
      <c r="AG1434" s="14">
        <f>IF(AQ1434="2",BI1434,0)</f>
        <v>0</v>
      </c>
      <c r="AH1434" s="14">
        <f>IF(AQ1434="0",BJ1434,0)</f>
        <v>0</v>
      </c>
      <c r="AI1434" s="15" t="s">
        <v>951</v>
      </c>
      <c r="AJ1434" s="6">
        <f>IF(AN1434=0,L1434,0)</f>
        <v>0</v>
      </c>
      <c r="AK1434" s="6">
        <f>IF(AN1434=15,L1434,0)</f>
        <v>0</v>
      </c>
      <c r="AL1434" s="6">
        <f>IF(AN1434=21,L1434,0)</f>
        <v>0</v>
      </c>
      <c r="AN1434" s="14">
        <v>21</v>
      </c>
      <c r="AO1434" s="92">
        <f>H1434*1</f>
        <v>0</v>
      </c>
      <c r="AP1434" s="92">
        <f>H1434*(1-1)</f>
        <v>0</v>
      </c>
      <c r="AQ1434" s="18" t="s">
        <v>2422</v>
      </c>
      <c r="AV1434" s="14">
        <f>AW1434+AX1434</f>
        <v>0</v>
      </c>
      <c r="AW1434" s="14">
        <f>G1434*AO1434</f>
        <v>0</v>
      </c>
      <c r="AX1434" s="14">
        <f>G1434*AP1434</f>
        <v>0</v>
      </c>
      <c r="AY1434" s="55" t="s">
        <v>169</v>
      </c>
      <c r="AZ1434" s="55" t="s">
        <v>2543</v>
      </c>
      <c r="BA1434" s="15" t="s">
        <v>2738</v>
      </c>
      <c r="BC1434" s="14">
        <f>AW1434+AX1434</f>
        <v>0</v>
      </c>
      <c r="BD1434" s="14">
        <f>H1434/(100-BE1434)*100</f>
        <v>0</v>
      </c>
      <c r="BE1434" s="14">
        <v>0</v>
      </c>
      <c r="BF1434" s="14">
        <f>O1434</f>
        <v>2.2799999999999999E-3</v>
      </c>
      <c r="BH1434" s="6">
        <f>G1434*AO1434</f>
        <v>0</v>
      </c>
      <c r="BI1434" s="6">
        <f>G1434*AP1434</f>
        <v>0</v>
      </c>
      <c r="BJ1434" s="6">
        <f>G1434*H1434</f>
        <v>0</v>
      </c>
      <c r="BK1434" s="6"/>
      <c r="BL1434" s="14">
        <v>87</v>
      </c>
      <c r="BW1434" s="14" t="str">
        <f>I1434</f>
        <v>21</v>
      </c>
    </row>
    <row r="1435" spans="1:75" ht="15" customHeight="1">
      <c r="A1435" s="32"/>
      <c r="D1435" s="3" t="s">
        <v>408</v>
      </c>
      <c r="E1435" s="28" t="s">
        <v>1683</v>
      </c>
      <c r="G1435" s="27">
        <v>6.0000000000000009</v>
      </c>
      <c r="P1435" s="33"/>
    </row>
    <row r="1436" spans="1:75" ht="13.5" customHeight="1">
      <c r="A1436" s="20" t="s">
        <v>646</v>
      </c>
      <c r="B1436" s="84" t="s">
        <v>951</v>
      </c>
      <c r="C1436" s="84" t="s">
        <v>1355</v>
      </c>
      <c r="D1436" s="653" t="s">
        <v>2521</v>
      </c>
      <c r="E1436" s="654"/>
      <c r="F1436" s="84" t="s">
        <v>595</v>
      </c>
      <c r="G1436" s="6">
        <v>2</v>
      </c>
      <c r="H1436" s="570"/>
      <c r="I1436" s="18" t="s">
        <v>1720</v>
      </c>
      <c r="J1436" s="6">
        <f>G1436*AO1436</f>
        <v>0</v>
      </c>
      <c r="K1436" s="6">
        <f>G1436*AP1436</f>
        <v>0</v>
      </c>
      <c r="L1436" s="6">
        <f>G1436*H1436</f>
        <v>0</v>
      </c>
      <c r="M1436" s="6">
        <f>L1436*(1+BW1436/100)</f>
        <v>0</v>
      </c>
      <c r="N1436" s="6">
        <v>2.4000000000000001E-4</v>
      </c>
      <c r="O1436" s="6">
        <f>G1436*N1436</f>
        <v>4.8000000000000001E-4</v>
      </c>
      <c r="P1436" s="109" t="s">
        <v>1664</v>
      </c>
      <c r="Z1436" s="14">
        <f>IF(AQ1436="5",BJ1436,0)</f>
        <v>0</v>
      </c>
      <c r="AB1436" s="14">
        <f>IF(AQ1436="1",BH1436,0)</f>
        <v>0</v>
      </c>
      <c r="AC1436" s="14">
        <f>IF(AQ1436="1",BI1436,0)</f>
        <v>0</v>
      </c>
      <c r="AD1436" s="14">
        <f>IF(AQ1436="7",BH1436,0)</f>
        <v>0</v>
      </c>
      <c r="AE1436" s="14">
        <f>IF(AQ1436="7",BI1436,0)</f>
        <v>0</v>
      </c>
      <c r="AF1436" s="14">
        <f>IF(AQ1436="2",BH1436,0)</f>
        <v>0</v>
      </c>
      <c r="AG1436" s="14">
        <f>IF(AQ1436="2",BI1436,0)</f>
        <v>0</v>
      </c>
      <c r="AH1436" s="14">
        <f>IF(AQ1436="0",BJ1436,0)</f>
        <v>0</v>
      </c>
      <c r="AI1436" s="15" t="s">
        <v>951</v>
      </c>
      <c r="AJ1436" s="6">
        <f>IF(AN1436=0,L1436,0)</f>
        <v>0</v>
      </c>
      <c r="AK1436" s="6">
        <f>IF(AN1436=15,L1436,0)</f>
        <v>0</v>
      </c>
      <c r="AL1436" s="6">
        <f>IF(AN1436=21,L1436,0)</f>
        <v>0</v>
      </c>
      <c r="AN1436" s="14">
        <v>21</v>
      </c>
      <c r="AO1436" s="92">
        <f>H1436*1</f>
        <v>0</v>
      </c>
      <c r="AP1436" s="92">
        <f>H1436*(1-1)</f>
        <v>0</v>
      </c>
      <c r="AQ1436" s="18" t="s">
        <v>2422</v>
      </c>
      <c r="AV1436" s="14">
        <f>AW1436+AX1436</f>
        <v>0</v>
      </c>
      <c r="AW1436" s="14">
        <f>G1436*AO1436</f>
        <v>0</v>
      </c>
      <c r="AX1436" s="14">
        <f>G1436*AP1436</f>
        <v>0</v>
      </c>
      <c r="AY1436" s="55" t="s">
        <v>169</v>
      </c>
      <c r="AZ1436" s="55" t="s">
        <v>2543</v>
      </c>
      <c r="BA1436" s="15" t="s">
        <v>2738</v>
      </c>
      <c r="BC1436" s="14">
        <f>AW1436+AX1436</f>
        <v>0</v>
      </c>
      <c r="BD1436" s="14">
        <f>H1436/(100-BE1436)*100</f>
        <v>0</v>
      </c>
      <c r="BE1436" s="14">
        <v>0</v>
      </c>
      <c r="BF1436" s="14">
        <f>O1436</f>
        <v>4.8000000000000001E-4</v>
      </c>
      <c r="BH1436" s="6">
        <f>G1436*AO1436</f>
        <v>0</v>
      </c>
      <c r="BI1436" s="6">
        <f>G1436*AP1436</f>
        <v>0</v>
      </c>
      <c r="BJ1436" s="6">
        <f>G1436*H1436</f>
        <v>0</v>
      </c>
      <c r="BK1436" s="6"/>
      <c r="BL1436" s="14">
        <v>87</v>
      </c>
      <c r="BW1436" s="14" t="str">
        <f>I1436</f>
        <v>21</v>
      </c>
    </row>
    <row r="1437" spans="1:75" ht="15" customHeight="1">
      <c r="A1437" s="32"/>
      <c r="D1437" s="3" t="s">
        <v>1676</v>
      </c>
      <c r="E1437" s="28" t="s">
        <v>1683</v>
      </c>
      <c r="G1437" s="27">
        <v>2</v>
      </c>
      <c r="P1437" s="33"/>
    </row>
    <row r="1438" spans="1:75" ht="13.5" customHeight="1">
      <c r="A1438" s="20" t="s">
        <v>801</v>
      </c>
      <c r="B1438" s="84" t="s">
        <v>951</v>
      </c>
      <c r="C1438" s="84" t="s">
        <v>607</v>
      </c>
      <c r="D1438" s="653" t="s">
        <v>2068</v>
      </c>
      <c r="E1438" s="654"/>
      <c r="F1438" s="84" t="s">
        <v>595</v>
      </c>
      <c r="G1438" s="6">
        <v>24</v>
      </c>
      <c r="H1438" s="570"/>
      <c r="I1438" s="18" t="s">
        <v>1720</v>
      </c>
      <c r="J1438" s="6">
        <f>G1438*AO1438</f>
        <v>0</v>
      </c>
      <c r="K1438" s="6">
        <f>G1438*AP1438</f>
        <v>0</v>
      </c>
      <c r="L1438" s="6">
        <f>G1438*H1438</f>
        <v>0</v>
      </c>
      <c r="M1438" s="6">
        <f>L1438*(1+BW1438/100)</f>
        <v>0</v>
      </c>
      <c r="N1438" s="6">
        <v>2.9E-4</v>
      </c>
      <c r="O1438" s="6">
        <f>G1438*N1438</f>
        <v>6.96E-3</v>
      </c>
      <c r="P1438" s="109" t="s">
        <v>1664</v>
      </c>
      <c r="Z1438" s="14">
        <f>IF(AQ1438="5",BJ1438,0)</f>
        <v>0</v>
      </c>
      <c r="AB1438" s="14">
        <f>IF(AQ1438="1",BH1438,0)</f>
        <v>0</v>
      </c>
      <c r="AC1438" s="14">
        <f>IF(AQ1438="1",BI1438,0)</f>
        <v>0</v>
      </c>
      <c r="AD1438" s="14">
        <f>IF(AQ1438="7",BH1438,0)</f>
        <v>0</v>
      </c>
      <c r="AE1438" s="14">
        <f>IF(AQ1438="7",BI1438,0)</f>
        <v>0</v>
      </c>
      <c r="AF1438" s="14">
        <f>IF(AQ1438="2",BH1438,0)</f>
        <v>0</v>
      </c>
      <c r="AG1438" s="14">
        <f>IF(AQ1438="2",BI1438,0)</f>
        <v>0</v>
      </c>
      <c r="AH1438" s="14">
        <f>IF(AQ1438="0",BJ1438,0)</f>
        <v>0</v>
      </c>
      <c r="AI1438" s="15" t="s">
        <v>951</v>
      </c>
      <c r="AJ1438" s="6">
        <f>IF(AN1438=0,L1438,0)</f>
        <v>0</v>
      </c>
      <c r="AK1438" s="6">
        <f>IF(AN1438=15,L1438,0)</f>
        <v>0</v>
      </c>
      <c r="AL1438" s="6">
        <f>IF(AN1438=21,L1438,0)</f>
        <v>0</v>
      </c>
      <c r="AN1438" s="14">
        <v>21</v>
      </c>
      <c r="AO1438" s="92">
        <f>H1438*1</f>
        <v>0</v>
      </c>
      <c r="AP1438" s="92">
        <f>H1438*(1-1)</f>
        <v>0</v>
      </c>
      <c r="AQ1438" s="18" t="s">
        <v>2422</v>
      </c>
      <c r="AV1438" s="14">
        <f>AW1438+AX1438</f>
        <v>0</v>
      </c>
      <c r="AW1438" s="14">
        <f>G1438*AO1438</f>
        <v>0</v>
      </c>
      <c r="AX1438" s="14">
        <f>G1438*AP1438</f>
        <v>0</v>
      </c>
      <c r="AY1438" s="55" t="s">
        <v>169</v>
      </c>
      <c r="AZ1438" s="55" t="s">
        <v>2543</v>
      </c>
      <c r="BA1438" s="15" t="s">
        <v>2738</v>
      </c>
      <c r="BC1438" s="14">
        <f>AW1438+AX1438</f>
        <v>0</v>
      </c>
      <c r="BD1438" s="14">
        <f>H1438/(100-BE1438)*100</f>
        <v>0</v>
      </c>
      <c r="BE1438" s="14">
        <v>0</v>
      </c>
      <c r="BF1438" s="14">
        <f>O1438</f>
        <v>6.96E-3</v>
      </c>
      <c r="BH1438" s="6">
        <f>G1438*AO1438</f>
        <v>0</v>
      </c>
      <c r="BI1438" s="6">
        <f>G1438*AP1438</f>
        <v>0</v>
      </c>
      <c r="BJ1438" s="6">
        <f>G1438*H1438</f>
        <v>0</v>
      </c>
      <c r="BK1438" s="6"/>
      <c r="BL1438" s="14">
        <v>87</v>
      </c>
      <c r="BW1438" s="14" t="str">
        <f>I1438</f>
        <v>21</v>
      </c>
    </row>
    <row r="1439" spans="1:75" ht="15" customHeight="1">
      <c r="A1439" s="32"/>
      <c r="D1439" s="3" t="s">
        <v>235</v>
      </c>
      <c r="E1439" s="28" t="s">
        <v>1683</v>
      </c>
      <c r="G1439" s="27">
        <v>24.000000000000004</v>
      </c>
      <c r="P1439" s="33"/>
    </row>
    <row r="1440" spans="1:75" ht="13.5" customHeight="1">
      <c r="A1440" s="21" t="s">
        <v>2576</v>
      </c>
      <c r="B1440" s="37" t="s">
        <v>951</v>
      </c>
      <c r="C1440" s="37" t="s">
        <v>931</v>
      </c>
      <c r="D1440" s="578" t="s">
        <v>2073</v>
      </c>
      <c r="E1440" s="579"/>
      <c r="F1440" s="37" t="s">
        <v>595</v>
      </c>
      <c r="G1440" s="14">
        <v>8</v>
      </c>
      <c r="H1440" s="569"/>
      <c r="I1440" s="55" t="s">
        <v>1720</v>
      </c>
      <c r="J1440" s="14">
        <f>G1440*AO1440</f>
        <v>0</v>
      </c>
      <c r="K1440" s="14">
        <f>G1440*AP1440</f>
        <v>0</v>
      </c>
      <c r="L1440" s="14">
        <f>G1440*H1440</f>
        <v>0</v>
      </c>
      <c r="M1440" s="14">
        <f>L1440*(1+BW1440/100)</f>
        <v>0</v>
      </c>
      <c r="N1440" s="14">
        <v>3.0000000000000001E-5</v>
      </c>
      <c r="O1440" s="14">
        <f>G1440*N1440</f>
        <v>2.4000000000000001E-4</v>
      </c>
      <c r="P1440" s="72" t="s">
        <v>1664</v>
      </c>
      <c r="Z1440" s="14">
        <f>IF(AQ1440="5",BJ1440,0)</f>
        <v>0</v>
      </c>
      <c r="AB1440" s="14">
        <f>IF(AQ1440="1",BH1440,0)</f>
        <v>0</v>
      </c>
      <c r="AC1440" s="14">
        <f>IF(AQ1440="1",BI1440,0)</f>
        <v>0</v>
      </c>
      <c r="AD1440" s="14">
        <f>IF(AQ1440="7",BH1440,0)</f>
        <v>0</v>
      </c>
      <c r="AE1440" s="14">
        <f>IF(AQ1440="7",BI1440,0)</f>
        <v>0</v>
      </c>
      <c r="AF1440" s="14">
        <f>IF(AQ1440="2",BH1440,0)</f>
        <v>0</v>
      </c>
      <c r="AG1440" s="14">
        <f>IF(AQ1440="2",BI1440,0)</f>
        <v>0</v>
      </c>
      <c r="AH1440" s="14">
        <f>IF(AQ1440="0",BJ1440,0)</f>
        <v>0</v>
      </c>
      <c r="AI1440" s="15" t="s">
        <v>951</v>
      </c>
      <c r="AJ1440" s="14">
        <f>IF(AN1440=0,L1440,0)</f>
        <v>0</v>
      </c>
      <c r="AK1440" s="14">
        <f>IF(AN1440=15,L1440,0)</f>
        <v>0</v>
      </c>
      <c r="AL1440" s="14">
        <f>IF(AN1440=21,L1440,0)</f>
        <v>0</v>
      </c>
      <c r="AN1440" s="14">
        <v>21</v>
      </c>
      <c r="AO1440" s="92">
        <f>H1440*0.0068</f>
        <v>0</v>
      </c>
      <c r="AP1440" s="92">
        <f>H1440*(1-0.0068)</f>
        <v>0</v>
      </c>
      <c r="AQ1440" s="55" t="s">
        <v>2422</v>
      </c>
      <c r="AV1440" s="14">
        <f>AW1440+AX1440</f>
        <v>0</v>
      </c>
      <c r="AW1440" s="14">
        <f>G1440*AO1440</f>
        <v>0</v>
      </c>
      <c r="AX1440" s="14">
        <f>G1440*AP1440</f>
        <v>0</v>
      </c>
      <c r="AY1440" s="55" t="s">
        <v>169</v>
      </c>
      <c r="AZ1440" s="55" t="s">
        <v>2543</v>
      </c>
      <c r="BA1440" s="15" t="s">
        <v>2738</v>
      </c>
      <c r="BC1440" s="14">
        <f>AW1440+AX1440</f>
        <v>0</v>
      </c>
      <c r="BD1440" s="14">
        <f>H1440/(100-BE1440)*100</f>
        <v>0</v>
      </c>
      <c r="BE1440" s="14">
        <v>0</v>
      </c>
      <c r="BF1440" s="14">
        <f>O1440</f>
        <v>2.4000000000000001E-4</v>
      </c>
      <c r="BH1440" s="14">
        <f>G1440*AO1440</f>
        <v>0</v>
      </c>
      <c r="BI1440" s="14">
        <f>G1440*AP1440</f>
        <v>0</v>
      </c>
      <c r="BJ1440" s="14">
        <f>G1440*H1440</f>
        <v>0</v>
      </c>
      <c r="BK1440" s="14"/>
      <c r="BL1440" s="14">
        <v>87</v>
      </c>
      <c r="BW1440" s="14" t="str">
        <f>I1440</f>
        <v>21</v>
      </c>
    </row>
    <row r="1441" spans="1:75" ht="15" customHeight="1">
      <c r="A1441" s="32"/>
      <c r="D1441" s="3" t="s">
        <v>1165</v>
      </c>
      <c r="E1441" s="28" t="s">
        <v>1683</v>
      </c>
      <c r="G1441" s="27">
        <v>8</v>
      </c>
      <c r="P1441" s="33"/>
    </row>
    <row r="1442" spans="1:75" ht="13.5" customHeight="1">
      <c r="A1442" s="20" t="s">
        <v>588</v>
      </c>
      <c r="B1442" s="84" t="s">
        <v>951</v>
      </c>
      <c r="C1442" s="84" t="s">
        <v>584</v>
      </c>
      <c r="D1442" s="653" t="s">
        <v>2739</v>
      </c>
      <c r="E1442" s="654"/>
      <c r="F1442" s="84" t="s">
        <v>595</v>
      </c>
      <c r="G1442" s="6">
        <v>1</v>
      </c>
      <c r="H1442" s="570"/>
      <c r="I1442" s="18" t="s">
        <v>1720</v>
      </c>
      <c r="J1442" s="6">
        <f>G1442*AO1442</f>
        <v>0</v>
      </c>
      <c r="K1442" s="6">
        <f>G1442*AP1442</f>
        <v>0</v>
      </c>
      <c r="L1442" s="6">
        <f>G1442*H1442</f>
        <v>0</v>
      </c>
      <c r="M1442" s="6">
        <f>L1442*(1+BW1442/100)</f>
        <v>0</v>
      </c>
      <c r="N1442" s="6">
        <v>8.4999999999999995E-4</v>
      </c>
      <c r="O1442" s="6">
        <f>G1442*N1442</f>
        <v>8.4999999999999995E-4</v>
      </c>
      <c r="P1442" s="109" t="s">
        <v>1664</v>
      </c>
      <c r="Z1442" s="14">
        <f>IF(AQ1442="5",BJ1442,0)</f>
        <v>0</v>
      </c>
      <c r="AB1442" s="14">
        <f>IF(AQ1442="1",BH1442,0)</f>
        <v>0</v>
      </c>
      <c r="AC1442" s="14">
        <f>IF(AQ1442="1",BI1442,0)</f>
        <v>0</v>
      </c>
      <c r="AD1442" s="14">
        <f>IF(AQ1442="7",BH1442,0)</f>
        <v>0</v>
      </c>
      <c r="AE1442" s="14">
        <f>IF(AQ1442="7",BI1442,0)</f>
        <v>0</v>
      </c>
      <c r="AF1442" s="14">
        <f>IF(AQ1442="2",BH1442,0)</f>
        <v>0</v>
      </c>
      <c r="AG1442" s="14">
        <f>IF(AQ1442="2",BI1442,0)</f>
        <v>0</v>
      </c>
      <c r="AH1442" s="14">
        <f>IF(AQ1442="0",BJ1442,0)</f>
        <v>0</v>
      </c>
      <c r="AI1442" s="15" t="s">
        <v>951</v>
      </c>
      <c r="AJ1442" s="6">
        <f>IF(AN1442=0,L1442,0)</f>
        <v>0</v>
      </c>
      <c r="AK1442" s="6">
        <f>IF(AN1442=15,L1442,0)</f>
        <v>0</v>
      </c>
      <c r="AL1442" s="6">
        <f>IF(AN1442=21,L1442,0)</f>
        <v>0</v>
      </c>
      <c r="AN1442" s="14">
        <v>21</v>
      </c>
      <c r="AO1442" s="92">
        <f>H1442*1</f>
        <v>0</v>
      </c>
      <c r="AP1442" s="92">
        <f>H1442*(1-1)</f>
        <v>0</v>
      </c>
      <c r="AQ1442" s="18" t="s">
        <v>2422</v>
      </c>
      <c r="AV1442" s="14">
        <f>AW1442+AX1442</f>
        <v>0</v>
      </c>
      <c r="AW1442" s="14">
        <f>G1442*AO1442</f>
        <v>0</v>
      </c>
      <c r="AX1442" s="14">
        <f>G1442*AP1442</f>
        <v>0</v>
      </c>
      <c r="AY1442" s="55" t="s">
        <v>169</v>
      </c>
      <c r="AZ1442" s="55" t="s">
        <v>2543</v>
      </c>
      <c r="BA1442" s="15" t="s">
        <v>2738</v>
      </c>
      <c r="BC1442" s="14">
        <f>AW1442+AX1442</f>
        <v>0</v>
      </c>
      <c r="BD1442" s="14">
        <f>H1442/(100-BE1442)*100</f>
        <v>0</v>
      </c>
      <c r="BE1442" s="14">
        <v>0</v>
      </c>
      <c r="BF1442" s="14">
        <f>O1442</f>
        <v>8.4999999999999995E-4</v>
      </c>
      <c r="BH1442" s="6">
        <f>G1442*AO1442</f>
        <v>0</v>
      </c>
      <c r="BI1442" s="6">
        <f>G1442*AP1442</f>
        <v>0</v>
      </c>
      <c r="BJ1442" s="6">
        <f>G1442*H1442</f>
        <v>0</v>
      </c>
      <c r="BK1442" s="6"/>
      <c r="BL1442" s="14">
        <v>87</v>
      </c>
      <c r="BW1442" s="14" t="str">
        <f>I1442</f>
        <v>21</v>
      </c>
    </row>
    <row r="1443" spans="1:75" ht="15" customHeight="1">
      <c r="A1443" s="32"/>
      <c r="D1443" s="3" t="s">
        <v>2422</v>
      </c>
      <c r="E1443" s="28" t="s">
        <v>1683</v>
      </c>
      <c r="G1443" s="27">
        <v>1</v>
      </c>
      <c r="P1443" s="33"/>
    </row>
    <row r="1444" spans="1:75" ht="13.5" customHeight="1">
      <c r="A1444" s="20" t="s">
        <v>2541</v>
      </c>
      <c r="B1444" s="84" t="s">
        <v>951</v>
      </c>
      <c r="C1444" s="84" t="s">
        <v>780</v>
      </c>
      <c r="D1444" s="653" t="s">
        <v>211</v>
      </c>
      <c r="E1444" s="654"/>
      <c r="F1444" s="84" t="s">
        <v>595</v>
      </c>
      <c r="G1444" s="6">
        <v>6</v>
      </c>
      <c r="H1444" s="570"/>
      <c r="I1444" s="18" t="s">
        <v>1720</v>
      </c>
      <c r="J1444" s="6">
        <f>G1444*AO1444</f>
        <v>0</v>
      </c>
      <c r="K1444" s="6">
        <f>G1444*AP1444</f>
        <v>0</v>
      </c>
      <c r="L1444" s="6">
        <f>G1444*H1444</f>
        <v>0</v>
      </c>
      <c r="M1444" s="6">
        <f>L1444*(1+BW1444/100)</f>
        <v>0</v>
      </c>
      <c r="N1444" s="6">
        <v>7.6000000000000004E-4</v>
      </c>
      <c r="O1444" s="6">
        <f>G1444*N1444</f>
        <v>4.5599999999999998E-3</v>
      </c>
      <c r="P1444" s="109" t="s">
        <v>1664</v>
      </c>
      <c r="Z1444" s="14">
        <f>IF(AQ1444="5",BJ1444,0)</f>
        <v>0</v>
      </c>
      <c r="AB1444" s="14">
        <f>IF(AQ1444="1",BH1444,0)</f>
        <v>0</v>
      </c>
      <c r="AC1444" s="14">
        <f>IF(AQ1444="1",BI1444,0)</f>
        <v>0</v>
      </c>
      <c r="AD1444" s="14">
        <f>IF(AQ1444="7",BH1444,0)</f>
        <v>0</v>
      </c>
      <c r="AE1444" s="14">
        <f>IF(AQ1444="7",BI1444,0)</f>
        <v>0</v>
      </c>
      <c r="AF1444" s="14">
        <f>IF(AQ1444="2",BH1444,0)</f>
        <v>0</v>
      </c>
      <c r="AG1444" s="14">
        <f>IF(AQ1444="2",BI1444,0)</f>
        <v>0</v>
      </c>
      <c r="AH1444" s="14">
        <f>IF(AQ1444="0",BJ1444,0)</f>
        <v>0</v>
      </c>
      <c r="AI1444" s="15" t="s">
        <v>951</v>
      </c>
      <c r="AJ1444" s="6">
        <f>IF(AN1444=0,L1444,0)</f>
        <v>0</v>
      </c>
      <c r="AK1444" s="6">
        <f>IF(AN1444=15,L1444,0)</f>
        <v>0</v>
      </c>
      <c r="AL1444" s="6">
        <f>IF(AN1444=21,L1444,0)</f>
        <v>0</v>
      </c>
      <c r="AN1444" s="14">
        <v>21</v>
      </c>
      <c r="AO1444" s="92">
        <f>H1444*1</f>
        <v>0</v>
      </c>
      <c r="AP1444" s="92">
        <f>H1444*(1-1)</f>
        <v>0</v>
      </c>
      <c r="AQ1444" s="18" t="s">
        <v>2422</v>
      </c>
      <c r="AV1444" s="14">
        <f>AW1444+AX1444</f>
        <v>0</v>
      </c>
      <c r="AW1444" s="14">
        <f>G1444*AO1444</f>
        <v>0</v>
      </c>
      <c r="AX1444" s="14">
        <f>G1444*AP1444</f>
        <v>0</v>
      </c>
      <c r="AY1444" s="55" t="s">
        <v>169</v>
      </c>
      <c r="AZ1444" s="55" t="s">
        <v>2543</v>
      </c>
      <c r="BA1444" s="15" t="s">
        <v>2738</v>
      </c>
      <c r="BC1444" s="14">
        <f>AW1444+AX1444</f>
        <v>0</v>
      </c>
      <c r="BD1444" s="14">
        <f>H1444/(100-BE1444)*100</f>
        <v>0</v>
      </c>
      <c r="BE1444" s="14">
        <v>0</v>
      </c>
      <c r="BF1444" s="14">
        <f>O1444</f>
        <v>4.5599999999999998E-3</v>
      </c>
      <c r="BH1444" s="6">
        <f>G1444*AO1444</f>
        <v>0</v>
      </c>
      <c r="BI1444" s="6">
        <f>G1444*AP1444</f>
        <v>0</v>
      </c>
      <c r="BJ1444" s="6">
        <f>G1444*H1444</f>
        <v>0</v>
      </c>
      <c r="BK1444" s="6"/>
      <c r="BL1444" s="14">
        <v>87</v>
      </c>
      <c r="BW1444" s="14" t="str">
        <f>I1444</f>
        <v>21</v>
      </c>
    </row>
    <row r="1445" spans="1:75" ht="15" customHeight="1">
      <c r="A1445" s="32"/>
      <c r="D1445" s="3" t="s">
        <v>408</v>
      </c>
      <c r="E1445" s="28" t="s">
        <v>1683</v>
      </c>
      <c r="G1445" s="27">
        <v>6.0000000000000009</v>
      </c>
      <c r="P1445" s="33"/>
    </row>
    <row r="1446" spans="1:75" ht="13.5" customHeight="1">
      <c r="A1446" s="20" t="s">
        <v>430</v>
      </c>
      <c r="B1446" s="84" t="s">
        <v>951</v>
      </c>
      <c r="C1446" s="84" t="s">
        <v>1406</v>
      </c>
      <c r="D1446" s="653" t="s">
        <v>2276</v>
      </c>
      <c r="E1446" s="654"/>
      <c r="F1446" s="84" t="s">
        <v>595</v>
      </c>
      <c r="G1446" s="6">
        <v>1</v>
      </c>
      <c r="H1446" s="570"/>
      <c r="I1446" s="18" t="s">
        <v>1720</v>
      </c>
      <c r="J1446" s="6">
        <f>G1446*AO1446</f>
        <v>0</v>
      </c>
      <c r="K1446" s="6">
        <f>G1446*AP1446</f>
        <v>0</v>
      </c>
      <c r="L1446" s="6">
        <f>G1446*H1446</f>
        <v>0</v>
      </c>
      <c r="M1446" s="6">
        <f>L1446*(1+BW1446/100)</f>
        <v>0</v>
      </c>
      <c r="N1446" s="6">
        <v>6.7000000000000002E-4</v>
      </c>
      <c r="O1446" s="6">
        <f>G1446*N1446</f>
        <v>6.7000000000000002E-4</v>
      </c>
      <c r="P1446" s="109" t="s">
        <v>1664</v>
      </c>
      <c r="Z1446" s="14">
        <f>IF(AQ1446="5",BJ1446,0)</f>
        <v>0</v>
      </c>
      <c r="AB1446" s="14">
        <f>IF(AQ1446="1",BH1446,0)</f>
        <v>0</v>
      </c>
      <c r="AC1446" s="14">
        <f>IF(AQ1446="1",BI1446,0)</f>
        <v>0</v>
      </c>
      <c r="AD1446" s="14">
        <f>IF(AQ1446="7",BH1446,0)</f>
        <v>0</v>
      </c>
      <c r="AE1446" s="14">
        <f>IF(AQ1446="7",BI1446,0)</f>
        <v>0</v>
      </c>
      <c r="AF1446" s="14">
        <f>IF(AQ1446="2",BH1446,0)</f>
        <v>0</v>
      </c>
      <c r="AG1446" s="14">
        <f>IF(AQ1446="2",BI1446,0)</f>
        <v>0</v>
      </c>
      <c r="AH1446" s="14">
        <f>IF(AQ1446="0",BJ1446,0)</f>
        <v>0</v>
      </c>
      <c r="AI1446" s="15" t="s">
        <v>951</v>
      </c>
      <c r="AJ1446" s="6">
        <f>IF(AN1446=0,L1446,0)</f>
        <v>0</v>
      </c>
      <c r="AK1446" s="6">
        <f>IF(AN1446=15,L1446,0)</f>
        <v>0</v>
      </c>
      <c r="AL1446" s="6">
        <f>IF(AN1446=21,L1446,0)</f>
        <v>0</v>
      </c>
      <c r="AN1446" s="14">
        <v>21</v>
      </c>
      <c r="AO1446" s="92">
        <f>H1446*1</f>
        <v>0</v>
      </c>
      <c r="AP1446" s="92">
        <f>H1446*(1-1)</f>
        <v>0</v>
      </c>
      <c r="AQ1446" s="18" t="s">
        <v>2422</v>
      </c>
      <c r="AV1446" s="14">
        <f>AW1446+AX1446</f>
        <v>0</v>
      </c>
      <c r="AW1446" s="14">
        <f>G1446*AO1446</f>
        <v>0</v>
      </c>
      <c r="AX1446" s="14">
        <f>G1446*AP1446</f>
        <v>0</v>
      </c>
      <c r="AY1446" s="55" t="s">
        <v>169</v>
      </c>
      <c r="AZ1446" s="55" t="s">
        <v>2543</v>
      </c>
      <c r="BA1446" s="15" t="s">
        <v>2738</v>
      </c>
      <c r="BC1446" s="14">
        <f>AW1446+AX1446</f>
        <v>0</v>
      </c>
      <c r="BD1446" s="14">
        <f>H1446/(100-BE1446)*100</f>
        <v>0</v>
      </c>
      <c r="BE1446" s="14">
        <v>0</v>
      </c>
      <c r="BF1446" s="14">
        <f>O1446</f>
        <v>6.7000000000000002E-4</v>
      </c>
      <c r="BH1446" s="6">
        <f>G1446*AO1446</f>
        <v>0</v>
      </c>
      <c r="BI1446" s="6">
        <f>G1446*AP1446</f>
        <v>0</v>
      </c>
      <c r="BJ1446" s="6">
        <f>G1446*H1446</f>
        <v>0</v>
      </c>
      <c r="BK1446" s="6"/>
      <c r="BL1446" s="14">
        <v>87</v>
      </c>
      <c r="BW1446" s="14" t="str">
        <f>I1446</f>
        <v>21</v>
      </c>
    </row>
    <row r="1447" spans="1:75" ht="15" customHeight="1">
      <c r="A1447" s="32"/>
      <c r="D1447" s="3" t="s">
        <v>2422</v>
      </c>
      <c r="E1447" s="28" t="s">
        <v>1683</v>
      </c>
      <c r="G1447" s="27">
        <v>1</v>
      </c>
      <c r="P1447" s="33"/>
    </row>
    <row r="1448" spans="1:75" ht="15" customHeight="1">
      <c r="A1448" s="65" t="s">
        <v>1683</v>
      </c>
      <c r="B1448" s="26" t="s">
        <v>951</v>
      </c>
      <c r="C1448" s="26" t="s">
        <v>2603</v>
      </c>
      <c r="D1448" s="649" t="s">
        <v>1569</v>
      </c>
      <c r="E1448" s="650"/>
      <c r="F1448" s="74" t="s">
        <v>2262</v>
      </c>
      <c r="G1448" s="74" t="s">
        <v>2262</v>
      </c>
      <c r="H1448" s="74" t="s">
        <v>2262</v>
      </c>
      <c r="I1448" s="74" t="s">
        <v>2262</v>
      </c>
      <c r="J1448" s="2">
        <f>SUM(J1449:J1463)</f>
        <v>0</v>
      </c>
      <c r="K1448" s="2">
        <f>SUM(K1449:K1463)</f>
        <v>0</v>
      </c>
      <c r="L1448" s="2">
        <f>SUM(L1449:L1463)</f>
        <v>0</v>
      </c>
      <c r="M1448" s="2">
        <f>SUM(M1449:M1463)</f>
        <v>0</v>
      </c>
      <c r="N1448" s="15" t="s">
        <v>1683</v>
      </c>
      <c r="O1448" s="2">
        <f>SUM(O1449:O1463)</f>
        <v>0.72248000000000001</v>
      </c>
      <c r="P1448" s="47" t="s">
        <v>1683</v>
      </c>
      <c r="AI1448" s="15" t="s">
        <v>951</v>
      </c>
      <c r="AS1448" s="2">
        <f>SUM(AJ1449:AJ1463)</f>
        <v>0</v>
      </c>
      <c r="AT1448" s="2">
        <f>SUM(AK1449:AK1463)</f>
        <v>0</v>
      </c>
      <c r="AU1448" s="2">
        <f>SUM(AL1449:AL1463)</f>
        <v>0</v>
      </c>
    </row>
    <row r="1449" spans="1:75" ht="13.5" customHeight="1">
      <c r="A1449" s="21" t="s">
        <v>1650</v>
      </c>
      <c r="B1449" s="37" t="s">
        <v>951</v>
      </c>
      <c r="C1449" s="37" t="s">
        <v>2600</v>
      </c>
      <c r="D1449" s="578" t="s">
        <v>2784</v>
      </c>
      <c r="E1449" s="579"/>
      <c r="F1449" s="37" t="s">
        <v>2019</v>
      </c>
      <c r="G1449" s="14">
        <v>142</v>
      </c>
      <c r="H1449" s="569"/>
      <c r="I1449" s="55" t="s">
        <v>1720</v>
      </c>
      <c r="J1449" s="14">
        <f>G1449*AO1449</f>
        <v>0</v>
      </c>
      <c r="K1449" s="14">
        <f>G1449*AP1449</f>
        <v>0</v>
      </c>
      <c r="L1449" s="14">
        <f>G1449*H1449</f>
        <v>0</v>
      </c>
      <c r="M1449" s="14">
        <f>L1449*(1+BW1449/100)</f>
        <v>0</v>
      </c>
      <c r="N1449" s="14">
        <v>0</v>
      </c>
      <c r="O1449" s="14">
        <f>G1449*N1449</f>
        <v>0</v>
      </c>
      <c r="P1449" s="72" t="s">
        <v>921</v>
      </c>
      <c r="Z1449" s="14">
        <f>IF(AQ1449="5",BJ1449,0)</f>
        <v>0</v>
      </c>
      <c r="AB1449" s="14">
        <f>IF(AQ1449="1",BH1449,0)</f>
        <v>0</v>
      </c>
      <c r="AC1449" s="14">
        <f>IF(AQ1449="1",BI1449,0)</f>
        <v>0</v>
      </c>
      <c r="AD1449" s="14">
        <f>IF(AQ1449="7",BH1449,0)</f>
        <v>0</v>
      </c>
      <c r="AE1449" s="14">
        <f>IF(AQ1449="7",BI1449,0)</f>
        <v>0</v>
      </c>
      <c r="AF1449" s="14">
        <f>IF(AQ1449="2",BH1449,0)</f>
        <v>0</v>
      </c>
      <c r="AG1449" s="14">
        <f>IF(AQ1449="2",BI1449,0)</f>
        <v>0</v>
      </c>
      <c r="AH1449" s="14">
        <f>IF(AQ1449="0",BJ1449,0)</f>
        <v>0</v>
      </c>
      <c r="AI1449" s="15" t="s">
        <v>951</v>
      </c>
      <c r="AJ1449" s="14">
        <f>IF(AN1449=0,L1449,0)</f>
        <v>0</v>
      </c>
      <c r="AK1449" s="14">
        <f>IF(AN1449=15,L1449,0)</f>
        <v>0</v>
      </c>
      <c r="AL1449" s="14">
        <f>IF(AN1449=21,L1449,0)</f>
        <v>0</v>
      </c>
      <c r="AN1449" s="14">
        <v>21</v>
      </c>
      <c r="AO1449" s="92">
        <f>H1449*0.0288</f>
        <v>0</v>
      </c>
      <c r="AP1449" s="92">
        <f>H1449*(1-0.0288)</f>
        <v>0</v>
      </c>
      <c r="AQ1449" s="55" t="s">
        <v>2422</v>
      </c>
      <c r="AV1449" s="14">
        <f>AW1449+AX1449</f>
        <v>0</v>
      </c>
      <c r="AW1449" s="14">
        <f>G1449*AO1449</f>
        <v>0</v>
      </c>
      <c r="AX1449" s="14">
        <f>G1449*AP1449</f>
        <v>0</v>
      </c>
      <c r="AY1449" s="55" t="s">
        <v>203</v>
      </c>
      <c r="AZ1449" s="55" t="s">
        <v>2543</v>
      </c>
      <c r="BA1449" s="15" t="s">
        <v>2738</v>
      </c>
      <c r="BC1449" s="14">
        <f>AW1449+AX1449</f>
        <v>0</v>
      </c>
      <c r="BD1449" s="14">
        <f>H1449/(100-BE1449)*100</f>
        <v>0</v>
      </c>
      <c r="BE1449" s="14">
        <v>0</v>
      </c>
      <c r="BF1449" s="14">
        <f>O1449</f>
        <v>0</v>
      </c>
      <c r="BH1449" s="14">
        <f>G1449*AO1449</f>
        <v>0</v>
      </c>
      <c r="BI1449" s="14">
        <f>G1449*AP1449</f>
        <v>0</v>
      </c>
      <c r="BJ1449" s="14">
        <f>G1449*H1449</f>
        <v>0</v>
      </c>
      <c r="BK1449" s="14"/>
      <c r="BL1449" s="14">
        <v>89</v>
      </c>
      <c r="BW1449" s="14" t="str">
        <f>I1449</f>
        <v>21</v>
      </c>
    </row>
    <row r="1450" spans="1:75" ht="15" customHeight="1">
      <c r="A1450" s="32"/>
      <c r="D1450" s="3" t="s">
        <v>363</v>
      </c>
      <c r="E1450" s="28" t="s">
        <v>1683</v>
      </c>
      <c r="G1450" s="27">
        <v>142</v>
      </c>
      <c r="P1450" s="33"/>
    </row>
    <row r="1451" spans="1:75" ht="13.5" customHeight="1">
      <c r="A1451" s="21" t="s">
        <v>2110</v>
      </c>
      <c r="B1451" s="37" t="s">
        <v>951</v>
      </c>
      <c r="C1451" s="37" t="s">
        <v>1511</v>
      </c>
      <c r="D1451" s="578" t="s">
        <v>1235</v>
      </c>
      <c r="E1451" s="579"/>
      <c r="F1451" s="37" t="s">
        <v>595</v>
      </c>
      <c r="G1451" s="14">
        <v>6</v>
      </c>
      <c r="H1451" s="569"/>
      <c r="I1451" s="55" t="s">
        <v>1720</v>
      </c>
      <c r="J1451" s="14">
        <f>G1451*AO1451</f>
        <v>0</v>
      </c>
      <c r="K1451" s="14">
        <f>G1451*AP1451</f>
        <v>0</v>
      </c>
      <c r="L1451" s="14">
        <f>G1451*H1451</f>
        <v>0</v>
      </c>
      <c r="M1451" s="14">
        <f>L1451*(1+BW1451/100)</f>
        <v>0</v>
      </c>
      <c r="N1451" s="14">
        <v>0</v>
      </c>
      <c r="O1451" s="14">
        <f>G1451*N1451</f>
        <v>0</v>
      </c>
      <c r="P1451" s="72" t="s">
        <v>1664</v>
      </c>
      <c r="Z1451" s="14">
        <f>IF(AQ1451="5",BJ1451,0)</f>
        <v>0</v>
      </c>
      <c r="AB1451" s="14">
        <f>IF(AQ1451="1",BH1451,0)</f>
        <v>0</v>
      </c>
      <c r="AC1451" s="14">
        <f>IF(AQ1451="1",BI1451,0)</f>
        <v>0</v>
      </c>
      <c r="AD1451" s="14">
        <f>IF(AQ1451="7",BH1451,0)</f>
        <v>0</v>
      </c>
      <c r="AE1451" s="14">
        <f>IF(AQ1451="7",BI1451,0)</f>
        <v>0</v>
      </c>
      <c r="AF1451" s="14">
        <f>IF(AQ1451="2",BH1451,0)</f>
        <v>0</v>
      </c>
      <c r="AG1451" s="14">
        <f>IF(AQ1451="2",BI1451,0)</f>
        <v>0</v>
      </c>
      <c r="AH1451" s="14">
        <f>IF(AQ1451="0",BJ1451,0)</f>
        <v>0</v>
      </c>
      <c r="AI1451" s="15" t="s">
        <v>951</v>
      </c>
      <c r="AJ1451" s="14">
        <f>IF(AN1451=0,L1451,0)</f>
        <v>0</v>
      </c>
      <c r="AK1451" s="14">
        <f>IF(AN1451=15,L1451,0)</f>
        <v>0</v>
      </c>
      <c r="AL1451" s="14">
        <f>IF(AN1451=21,L1451,0)</f>
        <v>0</v>
      </c>
      <c r="AN1451" s="14">
        <v>21</v>
      </c>
      <c r="AO1451" s="92">
        <f>H1451*0</f>
        <v>0</v>
      </c>
      <c r="AP1451" s="92">
        <f>H1451*(1-0)</f>
        <v>0</v>
      </c>
      <c r="AQ1451" s="55" t="s">
        <v>2422</v>
      </c>
      <c r="AV1451" s="14">
        <f>AW1451+AX1451</f>
        <v>0</v>
      </c>
      <c r="AW1451" s="14">
        <f>G1451*AO1451</f>
        <v>0</v>
      </c>
      <c r="AX1451" s="14">
        <f>G1451*AP1451</f>
        <v>0</v>
      </c>
      <c r="AY1451" s="55" t="s">
        <v>203</v>
      </c>
      <c r="AZ1451" s="55" t="s">
        <v>2543</v>
      </c>
      <c r="BA1451" s="15" t="s">
        <v>2738</v>
      </c>
      <c r="BC1451" s="14">
        <f>AW1451+AX1451</f>
        <v>0</v>
      </c>
      <c r="BD1451" s="14">
        <f>H1451/(100-BE1451)*100</f>
        <v>0</v>
      </c>
      <c r="BE1451" s="14">
        <v>0</v>
      </c>
      <c r="BF1451" s="14">
        <f>O1451</f>
        <v>0</v>
      </c>
      <c r="BH1451" s="14">
        <f>G1451*AO1451</f>
        <v>0</v>
      </c>
      <c r="BI1451" s="14">
        <f>G1451*AP1451</f>
        <v>0</v>
      </c>
      <c r="BJ1451" s="14">
        <f>G1451*H1451</f>
        <v>0</v>
      </c>
      <c r="BK1451" s="14"/>
      <c r="BL1451" s="14">
        <v>89</v>
      </c>
      <c r="BW1451" s="14" t="str">
        <f>I1451</f>
        <v>21</v>
      </c>
    </row>
    <row r="1452" spans="1:75" ht="15" customHeight="1">
      <c r="A1452" s="32"/>
      <c r="D1452" s="3" t="s">
        <v>408</v>
      </c>
      <c r="E1452" s="28" t="s">
        <v>1683</v>
      </c>
      <c r="G1452" s="27">
        <v>6.0000000000000009</v>
      </c>
      <c r="P1452" s="33"/>
    </row>
    <row r="1453" spans="1:75" ht="13.5" customHeight="1">
      <c r="A1453" s="20" t="s">
        <v>303</v>
      </c>
      <c r="B1453" s="84" t="s">
        <v>951</v>
      </c>
      <c r="C1453" s="84" t="s">
        <v>2005</v>
      </c>
      <c r="D1453" s="653" t="s">
        <v>2467</v>
      </c>
      <c r="E1453" s="654"/>
      <c r="F1453" s="84" t="s">
        <v>595</v>
      </c>
      <c r="G1453" s="6">
        <v>6</v>
      </c>
      <c r="H1453" s="570"/>
      <c r="I1453" s="18" t="s">
        <v>1720</v>
      </c>
      <c r="J1453" s="6">
        <f>G1453*AO1453</f>
        <v>0</v>
      </c>
      <c r="K1453" s="6">
        <f>G1453*AP1453</f>
        <v>0</v>
      </c>
      <c r="L1453" s="6">
        <f>G1453*H1453</f>
        <v>0</v>
      </c>
      <c r="M1453" s="6">
        <f>L1453*(1+BW1453/100)</f>
        <v>0</v>
      </c>
      <c r="N1453" s="6">
        <v>1.2E-2</v>
      </c>
      <c r="O1453" s="6">
        <f>G1453*N1453</f>
        <v>7.2000000000000008E-2</v>
      </c>
      <c r="P1453" s="109" t="s">
        <v>1664</v>
      </c>
      <c r="Z1453" s="14">
        <f>IF(AQ1453="5",BJ1453,0)</f>
        <v>0</v>
      </c>
      <c r="AB1453" s="14">
        <f>IF(AQ1453="1",BH1453,0)</f>
        <v>0</v>
      </c>
      <c r="AC1453" s="14">
        <f>IF(AQ1453="1",BI1453,0)</f>
        <v>0</v>
      </c>
      <c r="AD1453" s="14">
        <f>IF(AQ1453="7",BH1453,0)</f>
        <v>0</v>
      </c>
      <c r="AE1453" s="14">
        <f>IF(AQ1453="7",BI1453,0)</f>
        <v>0</v>
      </c>
      <c r="AF1453" s="14">
        <f>IF(AQ1453="2",BH1453,0)</f>
        <v>0</v>
      </c>
      <c r="AG1453" s="14">
        <f>IF(AQ1453="2",BI1453,0)</f>
        <v>0</v>
      </c>
      <c r="AH1453" s="14">
        <f>IF(AQ1453="0",BJ1453,0)</f>
        <v>0</v>
      </c>
      <c r="AI1453" s="15" t="s">
        <v>951</v>
      </c>
      <c r="AJ1453" s="6">
        <f>IF(AN1453=0,L1453,0)</f>
        <v>0</v>
      </c>
      <c r="AK1453" s="6">
        <f>IF(AN1453=15,L1453,0)</f>
        <v>0</v>
      </c>
      <c r="AL1453" s="6">
        <f>IF(AN1453=21,L1453,0)</f>
        <v>0</v>
      </c>
      <c r="AN1453" s="14">
        <v>21</v>
      </c>
      <c r="AO1453" s="92">
        <f>H1453*1</f>
        <v>0</v>
      </c>
      <c r="AP1453" s="92">
        <f>H1453*(1-1)</f>
        <v>0</v>
      </c>
      <c r="AQ1453" s="18" t="s">
        <v>2422</v>
      </c>
      <c r="AV1453" s="14">
        <f>AW1453+AX1453</f>
        <v>0</v>
      </c>
      <c r="AW1453" s="14">
        <f>G1453*AO1453</f>
        <v>0</v>
      </c>
      <c r="AX1453" s="14">
        <f>G1453*AP1453</f>
        <v>0</v>
      </c>
      <c r="AY1453" s="55" t="s">
        <v>203</v>
      </c>
      <c r="AZ1453" s="55" t="s">
        <v>2543</v>
      </c>
      <c r="BA1453" s="15" t="s">
        <v>2738</v>
      </c>
      <c r="BC1453" s="14">
        <f>AW1453+AX1453</f>
        <v>0</v>
      </c>
      <c r="BD1453" s="14">
        <f>H1453/(100-BE1453)*100</f>
        <v>0</v>
      </c>
      <c r="BE1453" s="14">
        <v>0</v>
      </c>
      <c r="BF1453" s="14">
        <f>O1453</f>
        <v>7.2000000000000008E-2</v>
      </c>
      <c r="BH1453" s="6">
        <f>G1453*AO1453</f>
        <v>0</v>
      </c>
      <c r="BI1453" s="6">
        <f>G1453*AP1453</f>
        <v>0</v>
      </c>
      <c r="BJ1453" s="6">
        <f>G1453*H1453</f>
        <v>0</v>
      </c>
      <c r="BK1453" s="6"/>
      <c r="BL1453" s="14">
        <v>89</v>
      </c>
      <c r="BW1453" s="14" t="str">
        <f>I1453</f>
        <v>21</v>
      </c>
    </row>
    <row r="1454" spans="1:75" ht="15" customHeight="1">
      <c r="A1454" s="32"/>
      <c r="D1454" s="3" t="s">
        <v>408</v>
      </c>
      <c r="E1454" s="28" t="s">
        <v>1683</v>
      </c>
      <c r="G1454" s="27">
        <v>6.0000000000000009</v>
      </c>
      <c r="P1454" s="33"/>
    </row>
    <row r="1455" spans="1:75" ht="13.5" customHeight="1">
      <c r="A1455" s="20" t="s">
        <v>1672</v>
      </c>
      <c r="B1455" s="84" t="s">
        <v>951</v>
      </c>
      <c r="C1455" s="84" t="s">
        <v>2078</v>
      </c>
      <c r="D1455" s="653" t="s">
        <v>1677</v>
      </c>
      <c r="E1455" s="654"/>
      <c r="F1455" s="84" t="s">
        <v>595</v>
      </c>
      <c r="G1455" s="6">
        <v>6</v>
      </c>
      <c r="H1455" s="570"/>
      <c r="I1455" s="18" t="s">
        <v>1720</v>
      </c>
      <c r="J1455" s="6">
        <f>G1455*AO1455</f>
        <v>0</v>
      </c>
      <c r="K1455" s="6">
        <f>G1455*AP1455</f>
        <v>0</v>
      </c>
      <c r="L1455" s="6">
        <f>G1455*H1455</f>
        <v>0</v>
      </c>
      <c r="M1455" s="6">
        <f>L1455*(1+BW1455/100)</f>
        <v>0</v>
      </c>
      <c r="N1455" s="6">
        <v>6.4999999999999997E-3</v>
      </c>
      <c r="O1455" s="6">
        <f>G1455*N1455</f>
        <v>3.9E-2</v>
      </c>
      <c r="P1455" s="109" t="s">
        <v>1664</v>
      </c>
      <c r="Z1455" s="14">
        <f>IF(AQ1455="5",BJ1455,0)</f>
        <v>0</v>
      </c>
      <c r="AB1455" s="14">
        <f>IF(AQ1455="1",BH1455,0)</f>
        <v>0</v>
      </c>
      <c r="AC1455" s="14">
        <f>IF(AQ1455="1",BI1455,0)</f>
        <v>0</v>
      </c>
      <c r="AD1455" s="14">
        <f>IF(AQ1455="7",BH1455,0)</f>
        <v>0</v>
      </c>
      <c r="AE1455" s="14">
        <f>IF(AQ1455="7",BI1455,0)</f>
        <v>0</v>
      </c>
      <c r="AF1455" s="14">
        <f>IF(AQ1455="2",BH1455,0)</f>
        <v>0</v>
      </c>
      <c r="AG1455" s="14">
        <f>IF(AQ1455="2",BI1455,0)</f>
        <v>0</v>
      </c>
      <c r="AH1455" s="14">
        <f>IF(AQ1455="0",BJ1455,0)</f>
        <v>0</v>
      </c>
      <c r="AI1455" s="15" t="s">
        <v>951</v>
      </c>
      <c r="AJ1455" s="6">
        <f>IF(AN1455=0,L1455,0)</f>
        <v>0</v>
      </c>
      <c r="AK1455" s="6">
        <f>IF(AN1455=15,L1455,0)</f>
        <v>0</v>
      </c>
      <c r="AL1455" s="6">
        <f>IF(AN1455=21,L1455,0)</f>
        <v>0</v>
      </c>
      <c r="AN1455" s="14">
        <v>21</v>
      </c>
      <c r="AO1455" s="92">
        <f>H1455*1</f>
        <v>0</v>
      </c>
      <c r="AP1455" s="92">
        <f>H1455*(1-1)</f>
        <v>0</v>
      </c>
      <c r="AQ1455" s="18" t="s">
        <v>2422</v>
      </c>
      <c r="AV1455" s="14">
        <f>AW1455+AX1455</f>
        <v>0</v>
      </c>
      <c r="AW1455" s="14">
        <f>G1455*AO1455</f>
        <v>0</v>
      </c>
      <c r="AX1455" s="14">
        <f>G1455*AP1455</f>
        <v>0</v>
      </c>
      <c r="AY1455" s="55" t="s">
        <v>203</v>
      </c>
      <c r="AZ1455" s="55" t="s">
        <v>2543</v>
      </c>
      <c r="BA1455" s="15" t="s">
        <v>2738</v>
      </c>
      <c r="BC1455" s="14">
        <f>AW1455+AX1455</f>
        <v>0</v>
      </c>
      <c r="BD1455" s="14">
        <f>H1455/(100-BE1455)*100</f>
        <v>0</v>
      </c>
      <c r="BE1455" s="14">
        <v>0</v>
      </c>
      <c r="BF1455" s="14">
        <f>O1455</f>
        <v>3.9E-2</v>
      </c>
      <c r="BH1455" s="6">
        <f>G1455*AO1455</f>
        <v>0</v>
      </c>
      <c r="BI1455" s="6">
        <f>G1455*AP1455</f>
        <v>0</v>
      </c>
      <c r="BJ1455" s="6">
        <f>G1455*H1455</f>
        <v>0</v>
      </c>
      <c r="BK1455" s="6"/>
      <c r="BL1455" s="14">
        <v>89</v>
      </c>
      <c r="BW1455" s="14" t="str">
        <f>I1455</f>
        <v>21</v>
      </c>
    </row>
    <row r="1456" spans="1:75" ht="15" customHeight="1">
      <c r="A1456" s="32"/>
      <c r="D1456" s="3" t="s">
        <v>408</v>
      </c>
      <c r="E1456" s="28" t="s">
        <v>1683</v>
      </c>
      <c r="G1456" s="27">
        <v>6.0000000000000009</v>
      </c>
      <c r="P1456" s="33"/>
    </row>
    <row r="1457" spans="1:75" ht="13.5" customHeight="1">
      <c r="A1457" s="21" t="s">
        <v>1129</v>
      </c>
      <c r="B1457" s="37" t="s">
        <v>951</v>
      </c>
      <c r="C1457" s="37" t="s">
        <v>1356</v>
      </c>
      <c r="D1457" s="578" t="s">
        <v>253</v>
      </c>
      <c r="E1457" s="579"/>
      <c r="F1457" s="37" t="s">
        <v>595</v>
      </c>
      <c r="G1457" s="14">
        <v>6</v>
      </c>
      <c r="H1457" s="569"/>
      <c r="I1457" s="55" t="s">
        <v>1720</v>
      </c>
      <c r="J1457" s="14">
        <f>G1457*AO1457</f>
        <v>0</v>
      </c>
      <c r="K1457" s="14">
        <f>G1457*AP1457</f>
        <v>0</v>
      </c>
      <c r="L1457" s="14">
        <f>G1457*H1457</f>
        <v>0</v>
      </c>
      <c r="M1457" s="14">
        <f>L1457*(1+BW1457/100)</f>
        <v>0</v>
      </c>
      <c r="N1457" s="14">
        <v>4.6800000000000001E-3</v>
      </c>
      <c r="O1457" s="14">
        <f>G1457*N1457</f>
        <v>2.8080000000000001E-2</v>
      </c>
      <c r="P1457" s="72" t="s">
        <v>1664</v>
      </c>
      <c r="Z1457" s="14">
        <f>IF(AQ1457="5",BJ1457,0)</f>
        <v>0</v>
      </c>
      <c r="AB1457" s="14">
        <f>IF(AQ1457="1",BH1457,0)</f>
        <v>0</v>
      </c>
      <c r="AC1457" s="14">
        <f>IF(AQ1457="1",BI1457,0)</f>
        <v>0</v>
      </c>
      <c r="AD1457" s="14">
        <f>IF(AQ1457="7",BH1457,0)</f>
        <v>0</v>
      </c>
      <c r="AE1457" s="14">
        <f>IF(AQ1457="7",BI1457,0)</f>
        <v>0</v>
      </c>
      <c r="AF1457" s="14">
        <f>IF(AQ1457="2",BH1457,0)</f>
        <v>0</v>
      </c>
      <c r="AG1457" s="14">
        <f>IF(AQ1457="2",BI1457,0)</f>
        <v>0</v>
      </c>
      <c r="AH1457" s="14">
        <f>IF(AQ1457="0",BJ1457,0)</f>
        <v>0</v>
      </c>
      <c r="AI1457" s="15" t="s">
        <v>951</v>
      </c>
      <c r="AJ1457" s="14">
        <f>IF(AN1457=0,L1457,0)</f>
        <v>0</v>
      </c>
      <c r="AK1457" s="14">
        <f>IF(AN1457=15,L1457,0)</f>
        <v>0</v>
      </c>
      <c r="AL1457" s="14">
        <f>IF(AN1457=21,L1457,0)</f>
        <v>0</v>
      </c>
      <c r="AN1457" s="14">
        <v>21</v>
      </c>
      <c r="AO1457" s="92">
        <f>H1457*0.0177575757575758</f>
        <v>0</v>
      </c>
      <c r="AP1457" s="92">
        <f>H1457*(1-0.0177575757575758)</f>
        <v>0</v>
      </c>
      <c r="AQ1457" s="55" t="s">
        <v>2422</v>
      </c>
      <c r="AV1457" s="14">
        <f>AW1457+AX1457</f>
        <v>0</v>
      </c>
      <c r="AW1457" s="14">
        <f>G1457*AO1457</f>
        <v>0</v>
      </c>
      <c r="AX1457" s="14">
        <f>G1457*AP1457</f>
        <v>0</v>
      </c>
      <c r="AY1457" s="55" t="s">
        <v>203</v>
      </c>
      <c r="AZ1457" s="55" t="s">
        <v>2543</v>
      </c>
      <c r="BA1457" s="15" t="s">
        <v>2738</v>
      </c>
      <c r="BC1457" s="14">
        <f>AW1457+AX1457</f>
        <v>0</v>
      </c>
      <c r="BD1457" s="14">
        <f>H1457/(100-BE1457)*100</f>
        <v>0</v>
      </c>
      <c r="BE1457" s="14">
        <v>0</v>
      </c>
      <c r="BF1457" s="14">
        <f>O1457</f>
        <v>2.8080000000000001E-2</v>
      </c>
      <c r="BH1457" s="14">
        <f>G1457*AO1457</f>
        <v>0</v>
      </c>
      <c r="BI1457" s="14">
        <f>G1457*AP1457</f>
        <v>0</v>
      </c>
      <c r="BJ1457" s="14">
        <f>G1457*H1457</f>
        <v>0</v>
      </c>
      <c r="BK1457" s="14"/>
      <c r="BL1457" s="14">
        <v>89</v>
      </c>
      <c r="BW1457" s="14" t="str">
        <f>I1457</f>
        <v>21</v>
      </c>
    </row>
    <row r="1458" spans="1:75" ht="15" customHeight="1">
      <c r="A1458" s="32"/>
      <c r="D1458" s="3" t="s">
        <v>408</v>
      </c>
      <c r="E1458" s="28" t="s">
        <v>1683</v>
      </c>
      <c r="G1458" s="27">
        <v>6.0000000000000009</v>
      </c>
      <c r="P1458" s="33"/>
    </row>
    <row r="1459" spans="1:75" ht="13.5" customHeight="1">
      <c r="A1459" s="20" t="s">
        <v>2013</v>
      </c>
      <c r="B1459" s="84" t="s">
        <v>951</v>
      </c>
      <c r="C1459" s="84" t="s">
        <v>1378</v>
      </c>
      <c r="D1459" s="653" t="s">
        <v>2298</v>
      </c>
      <c r="E1459" s="654"/>
      <c r="F1459" s="84" t="s">
        <v>595</v>
      </c>
      <c r="G1459" s="6">
        <v>6</v>
      </c>
      <c r="H1459" s="570"/>
      <c r="I1459" s="18" t="s">
        <v>1720</v>
      </c>
      <c r="J1459" s="6">
        <f>G1459*AO1459</f>
        <v>0</v>
      </c>
      <c r="K1459" s="6">
        <f>G1459*AP1459</f>
        <v>0</v>
      </c>
      <c r="L1459" s="6">
        <f>G1459*H1459</f>
        <v>0</v>
      </c>
      <c r="M1459" s="6">
        <f>L1459*(1+BW1459/100)</f>
        <v>0</v>
      </c>
      <c r="N1459" s="6">
        <v>5.5E-2</v>
      </c>
      <c r="O1459" s="6">
        <f>G1459*N1459</f>
        <v>0.33</v>
      </c>
      <c r="P1459" s="109" t="s">
        <v>1664</v>
      </c>
      <c r="Z1459" s="14">
        <f>IF(AQ1459="5",BJ1459,0)</f>
        <v>0</v>
      </c>
      <c r="AB1459" s="14">
        <f>IF(AQ1459="1",BH1459,0)</f>
        <v>0</v>
      </c>
      <c r="AC1459" s="14">
        <f>IF(AQ1459="1",BI1459,0)</f>
        <v>0</v>
      </c>
      <c r="AD1459" s="14">
        <f>IF(AQ1459="7",BH1459,0)</f>
        <v>0</v>
      </c>
      <c r="AE1459" s="14">
        <f>IF(AQ1459="7",BI1459,0)</f>
        <v>0</v>
      </c>
      <c r="AF1459" s="14">
        <f>IF(AQ1459="2",BH1459,0)</f>
        <v>0</v>
      </c>
      <c r="AG1459" s="14">
        <f>IF(AQ1459="2",BI1459,0)</f>
        <v>0</v>
      </c>
      <c r="AH1459" s="14">
        <f>IF(AQ1459="0",BJ1459,0)</f>
        <v>0</v>
      </c>
      <c r="AI1459" s="15" t="s">
        <v>951</v>
      </c>
      <c r="AJ1459" s="6">
        <f>IF(AN1459=0,L1459,0)</f>
        <v>0</v>
      </c>
      <c r="AK1459" s="6">
        <f>IF(AN1459=15,L1459,0)</f>
        <v>0</v>
      </c>
      <c r="AL1459" s="6">
        <f>IF(AN1459=21,L1459,0)</f>
        <v>0</v>
      </c>
      <c r="AN1459" s="14">
        <v>21</v>
      </c>
      <c r="AO1459" s="92">
        <f>H1459*1</f>
        <v>0</v>
      </c>
      <c r="AP1459" s="92">
        <f>H1459*(1-1)</f>
        <v>0</v>
      </c>
      <c r="AQ1459" s="18" t="s">
        <v>2422</v>
      </c>
      <c r="AV1459" s="14">
        <f>AW1459+AX1459</f>
        <v>0</v>
      </c>
      <c r="AW1459" s="14">
        <f>G1459*AO1459</f>
        <v>0</v>
      </c>
      <c r="AX1459" s="14">
        <f>G1459*AP1459</f>
        <v>0</v>
      </c>
      <c r="AY1459" s="55" t="s">
        <v>203</v>
      </c>
      <c r="AZ1459" s="55" t="s">
        <v>2543</v>
      </c>
      <c r="BA1459" s="15" t="s">
        <v>2738</v>
      </c>
      <c r="BC1459" s="14">
        <f>AW1459+AX1459</f>
        <v>0</v>
      </c>
      <c r="BD1459" s="14">
        <f>H1459/(100-BE1459)*100</f>
        <v>0</v>
      </c>
      <c r="BE1459" s="14">
        <v>0</v>
      </c>
      <c r="BF1459" s="14">
        <f>O1459</f>
        <v>0.33</v>
      </c>
      <c r="BH1459" s="6">
        <f>G1459*AO1459</f>
        <v>0</v>
      </c>
      <c r="BI1459" s="6">
        <f>G1459*AP1459</f>
        <v>0</v>
      </c>
      <c r="BJ1459" s="6">
        <f>G1459*H1459</f>
        <v>0</v>
      </c>
      <c r="BK1459" s="6"/>
      <c r="BL1459" s="14">
        <v>89</v>
      </c>
      <c r="BW1459" s="14" t="str">
        <f>I1459</f>
        <v>21</v>
      </c>
    </row>
    <row r="1460" spans="1:75" ht="15" customHeight="1">
      <c r="A1460" s="32"/>
      <c r="D1460" s="3" t="s">
        <v>408</v>
      </c>
      <c r="E1460" s="28" t="s">
        <v>1683</v>
      </c>
      <c r="G1460" s="27">
        <v>6.0000000000000009</v>
      </c>
      <c r="P1460" s="33"/>
    </row>
    <row r="1461" spans="1:75" ht="13.5" customHeight="1">
      <c r="A1461" s="21" t="s">
        <v>1546</v>
      </c>
      <c r="B1461" s="37" t="s">
        <v>951</v>
      </c>
      <c r="C1461" s="37" t="s">
        <v>362</v>
      </c>
      <c r="D1461" s="578" t="s">
        <v>2308</v>
      </c>
      <c r="E1461" s="579"/>
      <c r="F1461" s="37" t="s">
        <v>595</v>
      </c>
      <c r="G1461" s="14">
        <v>1</v>
      </c>
      <c r="H1461" s="569"/>
      <c r="I1461" s="55" t="s">
        <v>1720</v>
      </c>
      <c r="J1461" s="14">
        <f>G1461*AO1461</f>
        <v>0</v>
      </c>
      <c r="K1461" s="14">
        <f>G1461*AP1461</f>
        <v>0</v>
      </c>
      <c r="L1461" s="14">
        <f>G1461*H1461</f>
        <v>0</v>
      </c>
      <c r="M1461" s="14">
        <f>L1461*(1+BW1461/100)</f>
        <v>0</v>
      </c>
      <c r="N1461" s="14">
        <v>1.34E-2</v>
      </c>
      <c r="O1461" s="14">
        <f>G1461*N1461</f>
        <v>1.34E-2</v>
      </c>
      <c r="P1461" s="72" t="s">
        <v>921</v>
      </c>
      <c r="Z1461" s="14">
        <f>IF(AQ1461="5",BJ1461,0)</f>
        <v>0</v>
      </c>
      <c r="AB1461" s="14">
        <f>IF(AQ1461="1",BH1461,0)</f>
        <v>0</v>
      </c>
      <c r="AC1461" s="14">
        <f>IF(AQ1461="1",BI1461,0)</f>
        <v>0</v>
      </c>
      <c r="AD1461" s="14">
        <f>IF(AQ1461="7",BH1461,0)</f>
        <v>0</v>
      </c>
      <c r="AE1461" s="14">
        <f>IF(AQ1461="7",BI1461,0)</f>
        <v>0</v>
      </c>
      <c r="AF1461" s="14">
        <f>IF(AQ1461="2",BH1461,0)</f>
        <v>0</v>
      </c>
      <c r="AG1461" s="14">
        <f>IF(AQ1461="2",BI1461,0)</f>
        <v>0</v>
      </c>
      <c r="AH1461" s="14">
        <f>IF(AQ1461="0",BJ1461,0)</f>
        <v>0</v>
      </c>
      <c r="AI1461" s="15" t="s">
        <v>951</v>
      </c>
      <c r="AJ1461" s="14">
        <f>IF(AN1461=0,L1461,0)</f>
        <v>0</v>
      </c>
      <c r="AK1461" s="14">
        <f>IF(AN1461=15,L1461,0)</f>
        <v>0</v>
      </c>
      <c r="AL1461" s="14">
        <f>IF(AN1461=21,L1461,0)</f>
        <v>0</v>
      </c>
      <c r="AN1461" s="14">
        <v>21</v>
      </c>
      <c r="AO1461" s="92">
        <f>H1461*0.135936059330527</f>
        <v>0</v>
      </c>
      <c r="AP1461" s="92">
        <f>H1461*(1-0.135936059330527)</f>
        <v>0</v>
      </c>
      <c r="AQ1461" s="55" t="s">
        <v>2422</v>
      </c>
      <c r="AV1461" s="14">
        <f>AW1461+AX1461</f>
        <v>0</v>
      </c>
      <c r="AW1461" s="14">
        <f>G1461*AO1461</f>
        <v>0</v>
      </c>
      <c r="AX1461" s="14">
        <f>G1461*AP1461</f>
        <v>0</v>
      </c>
      <c r="AY1461" s="55" t="s">
        <v>203</v>
      </c>
      <c r="AZ1461" s="55" t="s">
        <v>2543</v>
      </c>
      <c r="BA1461" s="15" t="s">
        <v>2738</v>
      </c>
      <c r="BC1461" s="14">
        <f>AW1461+AX1461</f>
        <v>0</v>
      </c>
      <c r="BD1461" s="14">
        <f>H1461/(100-BE1461)*100</f>
        <v>0</v>
      </c>
      <c r="BE1461" s="14">
        <v>0</v>
      </c>
      <c r="BF1461" s="14">
        <f>O1461</f>
        <v>1.34E-2</v>
      </c>
      <c r="BH1461" s="14">
        <f>G1461*AO1461</f>
        <v>0</v>
      </c>
      <c r="BI1461" s="14">
        <f>G1461*AP1461</f>
        <v>0</v>
      </c>
      <c r="BJ1461" s="14">
        <f>G1461*H1461</f>
        <v>0</v>
      </c>
      <c r="BK1461" s="14"/>
      <c r="BL1461" s="14">
        <v>89</v>
      </c>
      <c r="BW1461" s="14" t="str">
        <f>I1461</f>
        <v>21</v>
      </c>
    </row>
    <row r="1462" spans="1:75" ht="15" customHeight="1">
      <c r="A1462" s="32"/>
      <c r="D1462" s="3" t="s">
        <v>2422</v>
      </c>
      <c r="E1462" s="28" t="s">
        <v>1683</v>
      </c>
      <c r="G1462" s="27">
        <v>1</v>
      </c>
      <c r="P1462" s="33"/>
    </row>
    <row r="1463" spans="1:75" ht="27" customHeight="1">
      <c r="A1463" s="20" t="s">
        <v>655</v>
      </c>
      <c r="B1463" s="84" t="s">
        <v>951</v>
      </c>
      <c r="C1463" s="84" t="s">
        <v>2630</v>
      </c>
      <c r="D1463" s="653" t="s">
        <v>2333</v>
      </c>
      <c r="E1463" s="654"/>
      <c r="F1463" s="84" t="s">
        <v>595</v>
      </c>
      <c r="G1463" s="6">
        <v>1</v>
      </c>
      <c r="H1463" s="570"/>
      <c r="I1463" s="18" t="s">
        <v>1720</v>
      </c>
      <c r="J1463" s="6">
        <f>G1463*AO1463</f>
        <v>0</v>
      </c>
      <c r="K1463" s="6">
        <f>G1463*AP1463</f>
        <v>0</v>
      </c>
      <c r="L1463" s="6">
        <f>G1463*H1463</f>
        <v>0</v>
      </c>
      <c r="M1463" s="6">
        <f>L1463*(1+BW1463/100)</f>
        <v>0</v>
      </c>
      <c r="N1463" s="6">
        <v>0.24</v>
      </c>
      <c r="O1463" s="6">
        <f>G1463*N1463</f>
        <v>0.24</v>
      </c>
      <c r="P1463" s="109" t="s">
        <v>921</v>
      </c>
      <c r="Z1463" s="14">
        <f>IF(AQ1463="5",BJ1463,0)</f>
        <v>0</v>
      </c>
      <c r="AB1463" s="14">
        <f>IF(AQ1463="1",BH1463,0)</f>
        <v>0</v>
      </c>
      <c r="AC1463" s="14">
        <f>IF(AQ1463="1",BI1463,0)</f>
        <v>0</v>
      </c>
      <c r="AD1463" s="14">
        <f>IF(AQ1463="7",BH1463,0)</f>
        <v>0</v>
      </c>
      <c r="AE1463" s="14">
        <f>IF(AQ1463="7",BI1463,0)</f>
        <v>0</v>
      </c>
      <c r="AF1463" s="14">
        <f>IF(AQ1463="2",BH1463,0)</f>
        <v>0</v>
      </c>
      <c r="AG1463" s="14">
        <f>IF(AQ1463="2",BI1463,0)</f>
        <v>0</v>
      </c>
      <c r="AH1463" s="14">
        <f>IF(AQ1463="0",BJ1463,0)</f>
        <v>0</v>
      </c>
      <c r="AI1463" s="15" t="s">
        <v>951</v>
      </c>
      <c r="AJ1463" s="6">
        <f>IF(AN1463=0,L1463,0)</f>
        <v>0</v>
      </c>
      <c r="AK1463" s="6">
        <f>IF(AN1463=15,L1463,0)</f>
        <v>0</v>
      </c>
      <c r="AL1463" s="6">
        <f>IF(AN1463=21,L1463,0)</f>
        <v>0</v>
      </c>
      <c r="AN1463" s="14">
        <v>21</v>
      </c>
      <c r="AO1463" s="92">
        <f>H1463*1</f>
        <v>0</v>
      </c>
      <c r="AP1463" s="92">
        <f>H1463*(1-1)</f>
        <v>0</v>
      </c>
      <c r="AQ1463" s="18" t="s">
        <v>2422</v>
      </c>
      <c r="AV1463" s="14">
        <f>AW1463+AX1463</f>
        <v>0</v>
      </c>
      <c r="AW1463" s="14">
        <f>G1463*AO1463</f>
        <v>0</v>
      </c>
      <c r="AX1463" s="14">
        <f>G1463*AP1463</f>
        <v>0</v>
      </c>
      <c r="AY1463" s="55" t="s">
        <v>203</v>
      </c>
      <c r="AZ1463" s="55" t="s">
        <v>2543</v>
      </c>
      <c r="BA1463" s="15" t="s">
        <v>2738</v>
      </c>
      <c r="BC1463" s="14">
        <f>AW1463+AX1463</f>
        <v>0</v>
      </c>
      <c r="BD1463" s="14">
        <f>H1463/(100-BE1463)*100</f>
        <v>0</v>
      </c>
      <c r="BE1463" s="14">
        <v>0</v>
      </c>
      <c r="BF1463" s="14">
        <f>O1463</f>
        <v>0.24</v>
      </c>
      <c r="BH1463" s="6">
        <f>G1463*AO1463</f>
        <v>0</v>
      </c>
      <c r="BI1463" s="6">
        <f>G1463*AP1463</f>
        <v>0</v>
      </c>
      <c r="BJ1463" s="6">
        <f>G1463*H1463</f>
        <v>0</v>
      </c>
      <c r="BK1463" s="6"/>
      <c r="BL1463" s="14">
        <v>89</v>
      </c>
      <c r="BW1463" s="14" t="str">
        <f>I1463</f>
        <v>21</v>
      </c>
    </row>
    <row r="1464" spans="1:75" ht="15" customHeight="1">
      <c r="A1464" s="32"/>
      <c r="D1464" s="3" t="s">
        <v>2422</v>
      </c>
      <c r="E1464" s="28" t="s">
        <v>2328</v>
      </c>
      <c r="G1464" s="27">
        <v>1</v>
      </c>
      <c r="P1464" s="33"/>
    </row>
    <row r="1465" spans="1:75" ht="15" customHeight="1">
      <c r="A1465" s="65" t="s">
        <v>1683</v>
      </c>
      <c r="B1465" s="26" t="s">
        <v>951</v>
      </c>
      <c r="C1465" s="26" t="s">
        <v>1379</v>
      </c>
      <c r="D1465" s="649" t="s">
        <v>1316</v>
      </c>
      <c r="E1465" s="650"/>
      <c r="F1465" s="74" t="s">
        <v>2262</v>
      </c>
      <c r="G1465" s="74" t="s">
        <v>2262</v>
      </c>
      <c r="H1465" s="74" t="s">
        <v>2262</v>
      </c>
      <c r="I1465" s="74" t="s">
        <v>2262</v>
      </c>
      <c r="J1465" s="2">
        <f>SUM(J1466:J1466)</f>
        <v>0</v>
      </c>
      <c r="K1465" s="2">
        <f>SUM(K1466:K1466)</f>
        <v>0</v>
      </c>
      <c r="L1465" s="2">
        <f>SUM(L1466:L1466)</f>
        <v>0</v>
      </c>
      <c r="M1465" s="2">
        <f>SUM(M1466:M1466)</f>
        <v>0</v>
      </c>
      <c r="N1465" s="15" t="s">
        <v>1683</v>
      </c>
      <c r="O1465" s="2">
        <f>SUM(O1466:O1466)</f>
        <v>0</v>
      </c>
      <c r="P1465" s="47" t="s">
        <v>1683</v>
      </c>
      <c r="AI1465" s="15" t="s">
        <v>951</v>
      </c>
      <c r="AS1465" s="2">
        <f>SUM(AJ1466:AJ1466)</f>
        <v>0</v>
      </c>
      <c r="AT1465" s="2">
        <f>SUM(AK1466:AK1466)</f>
        <v>0</v>
      </c>
      <c r="AU1465" s="2">
        <f>SUM(AL1466:AL1466)</f>
        <v>0</v>
      </c>
    </row>
    <row r="1466" spans="1:75" ht="13.5" customHeight="1">
      <c r="A1466" s="21" t="s">
        <v>2376</v>
      </c>
      <c r="B1466" s="37" t="s">
        <v>951</v>
      </c>
      <c r="C1466" s="37" t="s">
        <v>2136</v>
      </c>
      <c r="D1466" s="578" t="s">
        <v>1652</v>
      </c>
      <c r="E1466" s="579"/>
      <c r="F1466" s="37" t="s">
        <v>1130</v>
      </c>
      <c r="G1466" s="14">
        <v>88.4</v>
      </c>
      <c r="H1466" s="569"/>
      <c r="I1466" s="55" t="s">
        <v>1720</v>
      </c>
      <c r="J1466" s="14">
        <f>G1466*AO1466</f>
        <v>0</v>
      </c>
      <c r="K1466" s="14">
        <f>G1466*AP1466</f>
        <v>0</v>
      </c>
      <c r="L1466" s="14">
        <f>G1466*H1466</f>
        <v>0</v>
      </c>
      <c r="M1466" s="14">
        <f>L1466*(1+BW1466/100)</f>
        <v>0</v>
      </c>
      <c r="N1466" s="14">
        <v>0</v>
      </c>
      <c r="O1466" s="14">
        <f>G1466*N1466</f>
        <v>0</v>
      </c>
      <c r="P1466" s="72" t="s">
        <v>1664</v>
      </c>
      <c r="Z1466" s="14">
        <f>IF(AQ1466="5",BJ1466,0)</f>
        <v>0</v>
      </c>
      <c r="AB1466" s="14">
        <f>IF(AQ1466="1",BH1466,0)</f>
        <v>0</v>
      </c>
      <c r="AC1466" s="14">
        <f>IF(AQ1466="1",BI1466,0)</f>
        <v>0</v>
      </c>
      <c r="AD1466" s="14">
        <f>IF(AQ1466="7",BH1466,0)</f>
        <v>0</v>
      </c>
      <c r="AE1466" s="14">
        <f>IF(AQ1466="7",BI1466,0)</f>
        <v>0</v>
      </c>
      <c r="AF1466" s="14">
        <f>IF(AQ1466="2",BH1466,0)</f>
        <v>0</v>
      </c>
      <c r="AG1466" s="14">
        <f>IF(AQ1466="2",BI1466,0)</f>
        <v>0</v>
      </c>
      <c r="AH1466" s="14">
        <f>IF(AQ1466="0",BJ1466,0)</f>
        <v>0</v>
      </c>
      <c r="AI1466" s="15" t="s">
        <v>951</v>
      </c>
      <c r="AJ1466" s="14">
        <f>IF(AN1466=0,L1466,0)</f>
        <v>0</v>
      </c>
      <c r="AK1466" s="14">
        <f>IF(AN1466=15,L1466,0)</f>
        <v>0</v>
      </c>
      <c r="AL1466" s="14">
        <f>IF(AN1466=21,L1466,0)</f>
        <v>0</v>
      </c>
      <c r="AN1466" s="14">
        <v>21</v>
      </c>
      <c r="AO1466" s="92">
        <f>H1466*0</f>
        <v>0</v>
      </c>
      <c r="AP1466" s="92">
        <f>H1466*(1-0)</f>
        <v>0</v>
      </c>
      <c r="AQ1466" s="55" t="s">
        <v>1287</v>
      </c>
      <c r="AV1466" s="14">
        <f>AW1466+AX1466</f>
        <v>0</v>
      </c>
      <c r="AW1466" s="14">
        <f>G1466*AO1466</f>
        <v>0</v>
      </c>
      <c r="AX1466" s="14">
        <f>G1466*AP1466</f>
        <v>0</v>
      </c>
      <c r="AY1466" s="55" t="s">
        <v>746</v>
      </c>
      <c r="AZ1466" s="55" t="s">
        <v>1248</v>
      </c>
      <c r="BA1466" s="15" t="s">
        <v>2738</v>
      </c>
      <c r="BC1466" s="14">
        <f>AW1466+AX1466</f>
        <v>0</v>
      </c>
      <c r="BD1466" s="14">
        <f>H1466/(100-BE1466)*100</f>
        <v>0</v>
      </c>
      <c r="BE1466" s="14">
        <v>0</v>
      </c>
      <c r="BF1466" s="14">
        <f>O1466</f>
        <v>0</v>
      </c>
      <c r="BH1466" s="14">
        <f>G1466*AO1466</f>
        <v>0</v>
      </c>
      <c r="BI1466" s="14">
        <f>G1466*AP1466</f>
        <v>0</v>
      </c>
      <c r="BJ1466" s="14">
        <f>G1466*H1466</f>
        <v>0</v>
      </c>
      <c r="BK1466" s="14"/>
      <c r="BL1466" s="14"/>
      <c r="BW1466" s="14" t="str">
        <f>I1466</f>
        <v>21</v>
      </c>
    </row>
    <row r="1467" spans="1:75" ht="15" customHeight="1">
      <c r="A1467" s="32"/>
      <c r="D1467" s="3" t="s">
        <v>1134</v>
      </c>
      <c r="E1467" s="28" t="s">
        <v>1683</v>
      </c>
      <c r="G1467" s="27">
        <v>88.4</v>
      </c>
      <c r="P1467" s="33"/>
    </row>
    <row r="1468" spans="1:75" ht="15" customHeight="1">
      <c r="A1468" s="65" t="s">
        <v>1683</v>
      </c>
      <c r="B1468" s="26" t="s">
        <v>951</v>
      </c>
      <c r="C1468" s="26" t="s">
        <v>804</v>
      </c>
      <c r="D1468" s="649" t="s">
        <v>1036</v>
      </c>
      <c r="E1468" s="650"/>
      <c r="F1468" s="74" t="s">
        <v>2262</v>
      </c>
      <c r="G1468" s="74" t="s">
        <v>2262</v>
      </c>
      <c r="H1468" s="74" t="s">
        <v>2262</v>
      </c>
      <c r="I1468" s="74" t="s">
        <v>2262</v>
      </c>
      <c r="J1468" s="2">
        <f>SUM(J1469:J1469)</f>
        <v>0</v>
      </c>
      <c r="K1468" s="2">
        <f>SUM(K1469:K1469)</f>
        <v>0</v>
      </c>
      <c r="L1468" s="2">
        <f>SUM(L1469:L1469)</f>
        <v>0</v>
      </c>
      <c r="M1468" s="2">
        <f>SUM(M1469:M1469)</f>
        <v>0</v>
      </c>
      <c r="N1468" s="15" t="s">
        <v>1683</v>
      </c>
      <c r="O1468" s="2">
        <f>SUM(O1469:O1469)</f>
        <v>0</v>
      </c>
      <c r="P1468" s="47" t="s">
        <v>1683</v>
      </c>
      <c r="AI1468" s="15" t="s">
        <v>951</v>
      </c>
      <c r="AS1468" s="2">
        <f>SUM(AJ1469:AJ1469)</f>
        <v>0</v>
      </c>
      <c r="AT1468" s="2">
        <f>SUM(AK1469:AK1469)</f>
        <v>0</v>
      </c>
      <c r="AU1468" s="2">
        <f>SUM(AL1469:AL1469)</f>
        <v>0</v>
      </c>
    </row>
    <row r="1469" spans="1:75" ht="13.5" customHeight="1">
      <c r="A1469" s="21" t="s">
        <v>958</v>
      </c>
      <c r="B1469" s="37" t="s">
        <v>951</v>
      </c>
      <c r="C1469" s="37" t="s">
        <v>427</v>
      </c>
      <c r="D1469" s="578" t="s">
        <v>125</v>
      </c>
      <c r="E1469" s="579"/>
      <c r="F1469" s="37" t="s">
        <v>1130</v>
      </c>
      <c r="G1469" s="14">
        <v>156.41999999999999</v>
      </c>
      <c r="H1469" s="569"/>
      <c r="I1469" s="55" t="s">
        <v>1720</v>
      </c>
      <c r="J1469" s="14">
        <f>G1469*AO1469</f>
        <v>0</v>
      </c>
      <c r="K1469" s="14">
        <f>G1469*AP1469</f>
        <v>0</v>
      </c>
      <c r="L1469" s="14">
        <f>G1469*H1469</f>
        <v>0</v>
      </c>
      <c r="M1469" s="14">
        <f>L1469*(1+BW1469/100)</f>
        <v>0</v>
      </c>
      <c r="N1469" s="14">
        <v>0</v>
      </c>
      <c r="O1469" s="14">
        <f>G1469*N1469</f>
        <v>0</v>
      </c>
      <c r="P1469" s="72" t="s">
        <v>1664</v>
      </c>
      <c r="Z1469" s="14">
        <f>IF(AQ1469="5",BJ1469,0)</f>
        <v>0</v>
      </c>
      <c r="AB1469" s="14">
        <f>IF(AQ1469="1",BH1469,0)</f>
        <v>0</v>
      </c>
      <c r="AC1469" s="14">
        <f>IF(AQ1469="1",BI1469,0)</f>
        <v>0</v>
      </c>
      <c r="AD1469" s="14">
        <f>IF(AQ1469="7",BH1469,0)</f>
        <v>0</v>
      </c>
      <c r="AE1469" s="14">
        <f>IF(AQ1469="7",BI1469,0)</f>
        <v>0</v>
      </c>
      <c r="AF1469" s="14">
        <f>IF(AQ1469="2",BH1469,0)</f>
        <v>0</v>
      </c>
      <c r="AG1469" s="14">
        <f>IF(AQ1469="2",BI1469,0)</f>
        <v>0</v>
      </c>
      <c r="AH1469" s="14">
        <f>IF(AQ1469="0",BJ1469,0)</f>
        <v>0</v>
      </c>
      <c r="AI1469" s="15" t="s">
        <v>951</v>
      </c>
      <c r="AJ1469" s="14">
        <f>IF(AN1469=0,L1469,0)</f>
        <v>0</v>
      </c>
      <c r="AK1469" s="14">
        <f>IF(AN1469=15,L1469,0)</f>
        <v>0</v>
      </c>
      <c r="AL1469" s="14">
        <f>IF(AN1469=21,L1469,0)</f>
        <v>0</v>
      </c>
      <c r="AN1469" s="14">
        <v>21</v>
      </c>
      <c r="AO1469" s="92">
        <f>H1469*0</f>
        <v>0</v>
      </c>
      <c r="AP1469" s="92">
        <f>H1469*(1-0)</f>
        <v>0</v>
      </c>
      <c r="AQ1469" s="55" t="s">
        <v>1287</v>
      </c>
      <c r="AV1469" s="14">
        <f>AW1469+AX1469</f>
        <v>0</v>
      </c>
      <c r="AW1469" s="14">
        <f>G1469*AO1469</f>
        <v>0</v>
      </c>
      <c r="AX1469" s="14">
        <f>G1469*AP1469</f>
        <v>0</v>
      </c>
      <c r="AY1469" s="55" t="s">
        <v>992</v>
      </c>
      <c r="AZ1469" s="55" t="s">
        <v>1248</v>
      </c>
      <c r="BA1469" s="15" t="s">
        <v>2738</v>
      </c>
      <c r="BC1469" s="14">
        <f>AW1469+AX1469</f>
        <v>0</v>
      </c>
      <c r="BD1469" s="14">
        <f>H1469/(100-BE1469)*100</f>
        <v>0</v>
      </c>
      <c r="BE1469" s="14">
        <v>0</v>
      </c>
      <c r="BF1469" s="14">
        <f>O1469</f>
        <v>0</v>
      </c>
      <c r="BH1469" s="14">
        <f>G1469*AO1469</f>
        <v>0</v>
      </c>
      <c r="BI1469" s="14">
        <f>G1469*AP1469</f>
        <v>0</v>
      </c>
      <c r="BJ1469" s="14">
        <f>G1469*H1469</f>
        <v>0</v>
      </c>
      <c r="BK1469" s="14"/>
      <c r="BL1469" s="14"/>
      <c r="BW1469" s="14" t="str">
        <f>I1469</f>
        <v>21</v>
      </c>
    </row>
    <row r="1470" spans="1:75" ht="15" customHeight="1">
      <c r="A1470" s="32"/>
      <c r="D1470" s="3" t="s">
        <v>208</v>
      </c>
      <c r="E1470" s="28" t="s">
        <v>1683</v>
      </c>
      <c r="G1470" s="27">
        <v>156.42000000000002</v>
      </c>
      <c r="P1470" s="33"/>
    </row>
    <row r="1471" spans="1:75" ht="15" customHeight="1">
      <c r="A1471" s="70" t="s">
        <v>1683</v>
      </c>
      <c r="B1471" s="40" t="s">
        <v>128</v>
      </c>
      <c r="C1471" s="40" t="s">
        <v>1683</v>
      </c>
      <c r="D1471" s="647" t="s">
        <v>488</v>
      </c>
      <c r="E1471" s="648"/>
      <c r="F1471" s="22" t="s">
        <v>2262</v>
      </c>
      <c r="G1471" s="22" t="s">
        <v>2262</v>
      </c>
      <c r="H1471" s="22" t="s">
        <v>2262</v>
      </c>
      <c r="I1471" s="22" t="s">
        <v>2262</v>
      </c>
      <c r="J1471" s="89">
        <f>J1472+J1477+J1480+J1485+J1490+J1493+J1500+J1503+J1508+J1515+J1520+J1530+J1563+J1568+J1571</f>
        <v>0</v>
      </c>
      <c r="K1471" s="89">
        <f>K1472+K1477+K1480+K1485+K1490+K1493+K1500+K1503+K1508+K1515+K1520+K1530+K1563+K1568+K1571</f>
        <v>0</v>
      </c>
      <c r="L1471" s="89">
        <f>L1472+L1477+L1480+L1485+L1490+L1493+L1500+L1503+L1508+L1515+L1520+L1530+L1563+L1568+L1571</f>
        <v>0</v>
      </c>
      <c r="M1471" s="89">
        <f>M1472+M1477+M1480+M1485+M1490+M1493+M1500+M1503+M1508+M1515+M1520+M1530+M1563+M1568+M1571</f>
        <v>0</v>
      </c>
      <c r="N1471" s="61" t="s">
        <v>1683</v>
      </c>
      <c r="O1471" s="89">
        <f>O1472+O1477+O1480+O1485+O1490+O1493+O1500+O1503+O1508+O1515+O1520+O1530+O1563+O1568+O1571</f>
        <v>40.253705200000006</v>
      </c>
      <c r="P1471" s="1" t="s">
        <v>1683</v>
      </c>
    </row>
    <row r="1472" spans="1:75" ht="15" customHeight="1">
      <c r="A1472" s="65" t="s">
        <v>1683</v>
      </c>
      <c r="B1472" s="26" t="s">
        <v>128</v>
      </c>
      <c r="C1472" s="26" t="s">
        <v>2037</v>
      </c>
      <c r="D1472" s="649" t="s">
        <v>1328</v>
      </c>
      <c r="E1472" s="650"/>
      <c r="F1472" s="74" t="s">
        <v>2262</v>
      </c>
      <c r="G1472" s="74" t="s">
        <v>2262</v>
      </c>
      <c r="H1472" s="74" t="s">
        <v>2262</v>
      </c>
      <c r="I1472" s="74" t="s">
        <v>2262</v>
      </c>
      <c r="J1472" s="2">
        <f>SUM(J1473:J1475)</f>
        <v>0</v>
      </c>
      <c r="K1472" s="2">
        <f>SUM(K1473:K1475)</f>
        <v>0</v>
      </c>
      <c r="L1472" s="2">
        <f>SUM(L1473:L1475)</f>
        <v>0</v>
      </c>
      <c r="M1472" s="2">
        <f>SUM(M1473:M1475)</f>
        <v>0</v>
      </c>
      <c r="N1472" s="15" t="s">
        <v>1683</v>
      </c>
      <c r="O1472" s="2">
        <f>SUM(O1473:O1475)</f>
        <v>5.5</v>
      </c>
      <c r="P1472" s="47" t="s">
        <v>1683</v>
      </c>
      <c r="AI1472" s="15" t="s">
        <v>128</v>
      </c>
      <c r="AS1472" s="2">
        <f>SUM(AJ1473:AJ1475)</f>
        <v>0</v>
      </c>
      <c r="AT1472" s="2">
        <f>SUM(AK1473:AK1475)</f>
        <v>0</v>
      </c>
      <c r="AU1472" s="2">
        <f>SUM(AL1473:AL1475)</f>
        <v>0</v>
      </c>
    </row>
    <row r="1473" spans="1:75" ht="13.5" customHeight="1">
      <c r="A1473" s="21" t="s">
        <v>2165</v>
      </c>
      <c r="B1473" s="37" t="s">
        <v>128</v>
      </c>
      <c r="C1473" s="37" t="s">
        <v>952</v>
      </c>
      <c r="D1473" s="578" t="s">
        <v>832</v>
      </c>
      <c r="E1473" s="579"/>
      <c r="F1473" s="37" t="s">
        <v>2398</v>
      </c>
      <c r="G1473" s="14">
        <v>10</v>
      </c>
      <c r="H1473" s="569"/>
      <c r="I1473" s="55" t="s">
        <v>1720</v>
      </c>
      <c r="J1473" s="14">
        <f>G1473*AO1473</f>
        <v>0</v>
      </c>
      <c r="K1473" s="14">
        <f>G1473*AP1473</f>
        <v>0</v>
      </c>
      <c r="L1473" s="14">
        <f>G1473*H1473</f>
        <v>0</v>
      </c>
      <c r="M1473" s="14">
        <f>L1473*(1+BW1473/100)</f>
        <v>0</v>
      </c>
      <c r="N1473" s="14">
        <v>0.22</v>
      </c>
      <c r="O1473" s="14">
        <f>G1473*N1473</f>
        <v>2.2000000000000002</v>
      </c>
      <c r="P1473" s="72" t="s">
        <v>1664</v>
      </c>
      <c r="Z1473" s="14">
        <f>IF(AQ1473="5",BJ1473,0)</f>
        <v>0</v>
      </c>
      <c r="AB1473" s="14">
        <f>IF(AQ1473="1",BH1473,0)</f>
        <v>0</v>
      </c>
      <c r="AC1473" s="14">
        <f>IF(AQ1473="1",BI1473,0)</f>
        <v>0</v>
      </c>
      <c r="AD1473" s="14">
        <f>IF(AQ1473="7",BH1473,0)</f>
        <v>0</v>
      </c>
      <c r="AE1473" s="14">
        <f>IF(AQ1473="7",BI1473,0)</f>
        <v>0</v>
      </c>
      <c r="AF1473" s="14">
        <f>IF(AQ1473="2",BH1473,0)</f>
        <v>0</v>
      </c>
      <c r="AG1473" s="14">
        <f>IF(AQ1473="2",BI1473,0)</f>
        <v>0</v>
      </c>
      <c r="AH1473" s="14">
        <f>IF(AQ1473="0",BJ1473,0)</f>
        <v>0</v>
      </c>
      <c r="AI1473" s="15" t="s">
        <v>128</v>
      </c>
      <c r="AJ1473" s="14">
        <f>IF(AN1473=0,L1473,0)</f>
        <v>0</v>
      </c>
      <c r="AK1473" s="14">
        <f>IF(AN1473=15,L1473,0)</f>
        <v>0</v>
      </c>
      <c r="AL1473" s="14">
        <f>IF(AN1473=21,L1473,0)</f>
        <v>0</v>
      </c>
      <c r="AN1473" s="14">
        <v>21</v>
      </c>
      <c r="AO1473" s="92">
        <f>H1473*0</f>
        <v>0</v>
      </c>
      <c r="AP1473" s="92">
        <f>H1473*(1-0)</f>
        <v>0</v>
      </c>
      <c r="AQ1473" s="55" t="s">
        <v>2422</v>
      </c>
      <c r="AV1473" s="14">
        <f>AW1473+AX1473</f>
        <v>0</v>
      </c>
      <c r="AW1473" s="14">
        <f>G1473*AO1473</f>
        <v>0</v>
      </c>
      <c r="AX1473" s="14">
        <f>G1473*AP1473</f>
        <v>0</v>
      </c>
      <c r="AY1473" s="55" t="s">
        <v>259</v>
      </c>
      <c r="AZ1473" s="55" t="s">
        <v>5</v>
      </c>
      <c r="BA1473" s="15" t="s">
        <v>325</v>
      </c>
      <c r="BC1473" s="14">
        <f>AW1473+AX1473</f>
        <v>0</v>
      </c>
      <c r="BD1473" s="14">
        <f>H1473/(100-BE1473)*100</f>
        <v>0</v>
      </c>
      <c r="BE1473" s="14">
        <v>0</v>
      </c>
      <c r="BF1473" s="14">
        <f>O1473</f>
        <v>2.2000000000000002</v>
      </c>
      <c r="BH1473" s="14">
        <f>G1473*AO1473</f>
        <v>0</v>
      </c>
      <c r="BI1473" s="14">
        <f>G1473*AP1473</f>
        <v>0</v>
      </c>
      <c r="BJ1473" s="14">
        <f>G1473*H1473</f>
        <v>0</v>
      </c>
      <c r="BK1473" s="14"/>
      <c r="BL1473" s="14">
        <v>11</v>
      </c>
      <c r="BW1473" s="14" t="str">
        <f>I1473</f>
        <v>21</v>
      </c>
    </row>
    <row r="1474" spans="1:75" ht="15" customHeight="1">
      <c r="A1474" s="32"/>
      <c r="D1474" s="3" t="s">
        <v>2186</v>
      </c>
      <c r="E1474" s="28" t="s">
        <v>1683</v>
      </c>
      <c r="G1474" s="27">
        <v>10</v>
      </c>
      <c r="P1474" s="33"/>
    </row>
    <row r="1475" spans="1:75" ht="13.5" customHeight="1">
      <c r="A1475" s="21" t="s">
        <v>785</v>
      </c>
      <c r="B1475" s="37" t="s">
        <v>128</v>
      </c>
      <c r="C1475" s="37" t="s">
        <v>1989</v>
      </c>
      <c r="D1475" s="578" t="s">
        <v>2043</v>
      </c>
      <c r="E1475" s="579"/>
      <c r="F1475" s="37" t="s">
        <v>2398</v>
      </c>
      <c r="G1475" s="14">
        <v>15</v>
      </c>
      <c r="H1475" s="569"/>
      <c r="I1475" s="55" t="s">
        <v>1720</v>
      </c>
      <c r="J1475" s="14">
        <f>G1475*AO1475</f>
        <v>0</v>
      </c>
      <c r="K1475" s="14">
        <f>G1475*AP1475</f>
        <v>0</v>
      </c>
      <c r="L1475" s="14">
        <f>G1475*H1475</f>
        <v>0</v>
      </c>
      <c r="M1475" s="14">
        <f>L1475*(1+BW1475/100)</f>
        <v>0</v>
      </c>
      <c r="N1475" s="14">
        <v>0.22</v>
      </c>
      <c r="O1475" s="14">
        <f>G1475*N1475</f>
        <v>3.3</v>
      </c>
      <c r="P1475" s="72" t="s">
        <v>1664</v>
      </c>
      <c r="Z1475" s="14">
        <f>IF(AQ1475="5",BJ1475,0)</f>
        <v>0</v>
      </c>
      <c r="AB1475" s="14">
        <f>IF(AQ1475="1",BH1475,0)</f>
        <v>0</v>
      </c>
      <c r="AC1475" s="14">
        <f>IF(AQ1475="1",BI1475,0)</f>
        <v>0</v>
      </c>
      <c r="AD1475" s="14">
        <f>IF(AQ1475="7",BH1475,0)</f>
        <v>0</v>
      </c>
      <c r="AE1475" s="14">
        <f>IF(AQ1475="7",BI1475,0)</f>
        <v>0</v>
      </c>
      <c r="AF1475" s="14">
        <f>IF(AQ1475="2",BH1475,0)</f>
        <v>0</v>
      </c>
      <c r="AG1475" s="14">
        <f>IF(AQ1475="2",BI1475,0)</f>
        <v>0</v>
      </c>
      <c r="AH1475" s="14">
        <f>IF(AQ1475="0",BJ1475,0)</f>
        <v>0</v>
      </c>
      <c r="AI1475" s="15" t="s">
        <v>128</v>
      </c>
      <c r="AJ1475" s="14">
        <f>IF(AN1475=0,L1475,0)</f>
        <v>0</v>
      </c>
      <c r="AK1475" s="14">
        <f>IF(AN1475=15,L1475,0)</f>
        <v>0</v>
      </c>
      <c r="AL1475" s="14">
        <f>IF(AN1475=21,L1475,0)</f>
        <v>0</v>
      </c>
      <c r="AN1475" s="14">
        <v>21</v>
      </c>
      <c r="AO1475" s="92">
        <f>H1475*0</f>
        <v>0</v>
      </c>
      <c r="AP1475" s="92">
        <f>H1475*(1-0)</f>
        <v>0</v>
      </c>
      <c r="AQ1475" s="55" t="s">
        <v>2422</v>
      </c>
      <c r="AV1475" s="14">
        <f>AW1475+AX1475</f>
        <v>0</v>
      </c>
      <c r="AW1475" s="14">
        <f>G1475*AO1475</f>
        <v>0</v>
      </c>
      <c r="AX1475" s="14">
        <f>G1475*AP1475</f>
        <v>0</v>
      </c>
      <c r="AY1475" s="55" t="s">
        <v>259</v>
      </c>
      <c r="AZ1475" s="55" t="s">
        <v>5</v>
      </c>
      <c r="BA1475" s="15" t="s">
        <v>325</v>
      </c>
      <c r="BC1475" s="14">
        <f>AW1475+AX1475</f>
        <v>0</v>
      </c>
      <c r="BD1475" s="14">
        <f>H1475/(100-BE1475)*100</f>
        <v>0</v>
      </c>
      <c r="BE1475" s="14">
        <v>0</v>
      </c>
      <c r="BF1475" s="14">
        <f>O1475</f>
        <v>3.3</v>
      </c>
      <c r="BH1475" s="14">
        <f>G1475*AO1475</f>
        <v>0</v>
      </c>
      <c r="BI1475" s="14">
        <f>G1475*AP1475</f>
        <v>0</v>
      </c>
      <c r="BJ1475" s="14">
        <f>G1475*H1475</f>
        <v>0</v>
      </c>
      <c r="BK1475" s="14"/>
      <c r="BL1475" s="14">
        <v>11</v>
      </c>
      <c r="BW1475" s="14" t="str">
        <f>I1475</f>
        <v>21</v>
      </c>
    </row>
    <row r="1476" spans="1:75" ht="15" customHeight="1">
      <c r="A1476" s="32"/>
      <c r="D1476" s="3" t="s">
        <v>995</v>
      </c>
      <c r="E1476" s="28" t="s">
        <v>930</v>
      </c>
      <c r="G1476" s="27">
        <v>15.000000000000002</v>
      </c>
      <c r="P1476" s="33"/>
    </row>
    <row r="1477" spans="1:75" ht="15" customHeight="1">
      <c r="A1477" s="65" t="s">
        <v>1683</v>
      </c>
      <c r="B1477" s="26" t="s">
        <v>128</v>
      </c>
      <c r="C1477" s="26" t="s">
        <v>1790</v>
      </c>
      <c r="D1477" s="649" t="s">
        <v>599</v>
      </c>
      <c r="E1477" s="650"/>
      <c r="F1477" s="74" t="s">
        <v>2262</v>
      </c>
      <c r="G1477" s="74" t="s">
        <v>2262</v>
      </c>
      <c r="H1477" s="74" t="s">
        <v>2262</v>
      </c>
      <c r="I1477" s="74" t="s">
        <v>2262</v>
      </c>
      <c r="J1477" s="2">
        <f>SUM(J1478:J1478)</f>
        <v>0</v>
      </c>
      <c r="K1477" s="2">
        <f>SUM(K1478:K1478)</f>
        <v>0</v>
      </c>
      <c r="L1477" s="2">
        <f>SUM(L1478:L1478)</f>
        <v>0</v>
      </c>
      <c r="M1477" s="2">
        <f>SUM(M1478:M1478)</f>
        <v>0</v>
      </c>
      <c r="N1477" s="15" t="s">
        <v>1683</v>
      </c>
      <c r="O1477" s="2">
        <f>SUM(O1478:O1478)</f>
        <v>0</v>
      </c>
      <c r="P1477" s="47" t="s">
        <v>1683</v>
      </c>
      <c r="AI1477" s="15" t="s">
        <v>128</v>
      </c>
      <c r="AS1477" s="2">
        <f>SUM(AJ1478:AJ1478)</f>
        <v>0</v>
      </c>
      <c r="AT1477" s="2">
        <f>SUM(AK1478:AK1478)</f>
        <v>0</v>
      </c>
      <c r="AU1477" s="2">
        <f>SUM(AL1478:AL1478)</f>
        <v>0</v>
      </c>
    </row>
    <row r="1478" spans="1:75" ht="13.5" customHeight="1">
      <c r="A1478" s="21" t="s">
        <v>1008</v>
      </c>
      <c r="B1478" s="37" t="s">
        <v>128</v>
      </c>
      <c r="C1478" s="37" t="s">
        <v>836</v>
      </c>
      <c r="D1478" s="578" t="s">
        <v>160</v>
      </c>
      <c r="E1478" s="579"/>
      <c r="F1478" s="37" t="s">
        <v>2359</v>
      </c>
      <c r="G1478" s="14">
        <v>9.9</v>
      </c>
      <c r="H1478" s="569"/>
      <c r="I1478" s="55" t="s">
        <v>1720</v>
      </c>
      <c r="J1478" s="14">
        <f>G1478*AO1478</f>
        <v>0</v>
      </c>
      <c r="K1478" s="14">
        <f>G1478*AP1478</f>
        <v>0</v>
      </c>
      <c r="L1478" s="14">
        <f>G1478*H1478</f>
        <v>0</v>
      </c>
      <c r="M1478" s="14">
        <f>L1478*(1+BW1478/100)</f>
        <v>0</v>
      </c>
      <c r="N1478" s="14">
        <v>0</v>
      </c>
      <c r="O1478" s="14">
        <f>G1478*N1478</f>
        <v>0</v>
      </c>
      <c r="P1478" s="72" t="s">
        <v>1664</v>
      </c>
      <c r="Z1478" s="14">
        <f>IF(AQ1478="5",BJ1478,0)</f>
        <v>0</v>
      </c>
      <c r="AB1478" s="14">
        <f>IF(AQ1478="1",BH1478,0)</f>
        <v>0</v>
      </c>
      <c r="AC1478" s="14">
        <f>IF(AQ1478="1",BI1478,0)</f>
        <v>0</v>
      </c>
      <c r="AD1478" s="14">
        <f>IF(AQ1478="7",BH1478,0)</f>
        <v>0</v>
      </c>
      <c r="AE1478" s="14">
        <f>IF(AQ1478="7",BI1478,0)</f>
        <v>0</v>
      </c>
      <c r="AF1478" s="14">
        <f>IF(AQ1478="2",BH1478,0)</f>
        <v>0</v>
      </c>
      <c r="AG1478" s="14">
        <f>IF(AQ1478="2",BI1478,0)</f>
        <v>0</v>
      </c>
      <c r="AH1478" s="14">
        <f>IF(AQ1478="0",BJ1478,0)</f>
        <v>0</v>
      </c>
      <c r="AI1478" s="15" t="s">
        <v>128</v>
      </c>
      <c r="AJ1478" s="14">
        <f>IF(AN1478=0,L1478,0)</f>
        <v>0</v>
      </c>
      <c r="AK1478" s="14">
        <f>IF(AN1478=15,L1478,0)</f>
        <v>0</v>
      </c>
      <c r="AL1478" s="14">
        <f>IF(AN1478=21,L1478,0)</f>
        <v>0</v>
      </c>
      <c r="AN1478" s="14">
        <v>21</v>
      </c>
      <c r="AO1478" s="92">
        <f>H1478*0</f>
        <v>0</v>
      </c>
      <c r="AP1478" s="92">
        <f>H1478*(1-0)</f>
        <v>0</v>
      </c>
      <c r="AQ1478" s="55" t="s">
        <v>2422</v>
      </c>
      <c r="AV1478" s="14">
        <f>AW1478+AX1478</f>
        <v>0</v>
      </c>
      <c r="AW1478" s="14">
        <f>G1478*AO1478</f>
        <v>0</v>
      </c>
      <c r="AX1478" s="14">
        <f>G1478*AP1478</f>
        <v>0</v>
      </c>
      <c r="AY1478" s="55" t="s">
        <v>1229</v>
      </c>
      <c r="AZ1478" s="55" t="s">
        <v>5</v>
      </c>
      <c r="BA1478" s="15" t="s">
        <v>325</v>
      </c>
      <c r="BC1478" s="14">
        <f>AW1478+AX1478</f>
        <v>0</v>
      </c>
      <c r="BD1478" s="14">
        <f>H1478/(100-BE1478)*100</f>
        <v>0</v>
      </c>
      <c r="BE1478" s="14">
        <v>0</v>
      </c>
      <c r="BF1478" s="14">
        <f>O1478</f>
        <v>0</v>
      </c>
      <c r="BH1478" s="14">
        <f>G1478*AO1478</f>
        <v>0</v>
      </c>
      <c r="BI1478" s="14">
        <f>G1478*AP1478</f>
        <v>0</v>
      </c>
      <c r="BJ1478" s="14">
        <f>G1478*H1478</f>
        <v>0</v>
      </c>
      <c r="BK1478" s="14"/>
      <c r="BL1478" s="14">
        <v>12</v>
      </c>
      <c r="BW1478" s="14" t="str">
        <f>I1478</f>
        <v>21</v>
      </c>
    </row>
    <row r="1479" spans="1:75" ht="15" customHeight="1">
      <c r="A1479" s="32"/>
      <c r="D1479" s="3" t="s">
        <v>528</v>
      </c>
      <c r="E1479" s="28" t="s">
        <v>1139</v>
      </c>
      <c r="G1479" s="27">
        <v>9.9</v>
      </c>
      <c r="P1479" s="33"/>
    </row>
    <row r="1480" spans="1:75" ht="15" customHeight="1">
      <c r="A1480" s="65" t="s">
        <v>1683</v>
      </c>
      <c r="B1480" s="26" t="s">
        <v>128</v>
      </c>
      <c r="C1480" s="26" t="s">
        <v>705</v>
      </c>
      <c r="D1480" s="649" t="s">
        <v>17</v>
      </c>
      <c r="E1480" s="650"/>
      <c r="F1480" s="74" t="s">
        <v>2262</v>
      </c>
      <c r="G1480" s="74" t="s">
        <v>2262</v>
      </c>
      <c r="H1480" s="74" t="s">
        <v>2262</v>
      </c>
      <c r="I1480" s="74" t="s">
        <v>2262</v>
      </c>
      <c r="J1480" s="2">
        <f>SUM(J1481:J1483)</f>
        <v>0</v>
      </c>
      <c r="K1480" s="2">
        <f>SUM(K1481:K1483)</f>
        <v>0</v>
      </c>
      <c r="L1480" s="2">
        <f>SUM(L1481:L1483)</f>
        <v>0</v>
      </c>
      <c r="M1480" s="2">
        <f>SUM(M1481:M1483)</f>
        <v>0</v>
      </c>
      <c r="N1480" s="15" t="s">
        <v>1683</v>
      </c>
      <c r="O1480" s="2">
        <f>SUM(O1481:O1483)</f>
        <v>0</v>
      </c>
      <c r="P1480" s="47" t="s">
        <v>1683</v>
      </c>
      <c r="AI1480" s="15" t="s">
        <v>128</v>
      </c>
      <c r="AS1480" s="2">
        <f>SUM(AJ1481:AJ1483)</f>
        <v>0</v>
      </c>
      <c r="AT1480" s="2">
        <f>SUM(AK1481:AK1483)</f>
        <v>0</v>
      </c>
      <c r="AU1480" s="2">
        <f>SUM(AL1481:AL1483)</f>
        <v>0</v>
      </c>
    </row>
    <row r="1481" spans="1:75" ht="13.5" customHeight="1">
      <c r="A1481" s="21" t="s">
        <v>699</v>
      </c>
      <c r="B1481" s="37" t="s">
        <v>128</v>
      </c>
      <c r="C1481" s="37" t="s">
        <v>2080</v>
      </c>
      <c r="D1481" s="578" t="s">
        <v>1233</v>
      </c>
      <c r="E1481" s="579"/>
      <c r="F1481" s="37" t="s">
        <v>2359</v>
      </c>
      <c r="G1481" s="14">
        <v>33.5</v>
      </c>
      <c r="H1481" s="569"/>
      <c r="I1481" s="55" t="s">
        <v>1720</v>
      </c>
      <c r="J1481" s="14">
        <f>G1481*AO1481</f>
        <v>0</v>
      </c>
      <c r="K1481" s="14">
        <f>G1481*AP1481</f>
        <v>0</v>
      </c>
      <c r="L1481" s="14">
        <f>G1481*H1481</f>
        <v>0</v>
      </c>
      <c r="M1481" s="14">
        <f>L1481*(1+BW1481/100)</f>
        <v>0</v>
      </c>
      <c r="N1481" s="14">
        <v>0</v>
      </c>
      <c r="O1481" s="14">
        <f>G1481*N1481</f>
        <v>0</v>
      </c>
      <c r="P1481" s="72" t="s">
        <v>1664</v>
      </c>
      <c r="Z1481" s="14">
        <f>IF(AQ1481="5",BJ1481,0)</f>
        <v>0</v>
      </c>
      <c r="AB1481" s="14">
        <f>IF(AQ1481="1",BH1481,0)</f>
        <v>0</v>
      </c>
      <c r="AC1481" s="14">
        <f>IF(AQ1481="1",BI1481,0)</f>
        <v>0</v>
      </c>
      <c r="AD1481" s="14">
        <f>IF(AQ1481="7",BH1481,0)</f>
        <v>0</v>
      </c>
      <c r="AE1481" s="14">
        <f>IF(AQ1481="7",BI1481,0)</f>
        <v>0</v>
      </c>
      <c r="AF1481" s="14">
        <f>IF(AQ1481="2",BH1481,0)</f>
        <v>0</v>
      </c>
      <c r="AG1481" s="14">
        <f>IF(AQ1481="2",BI1481,0)</f>
        <v>0</v>
      </c>
      <c r="AH1481" s="14">
        <f>IF(AQ1481="0",BJ1481,0)</f>
        <v>0</v>
      </c>
      <c r="AI1481" s="15" t="s">
        <v>128</v>
      </c>
      <c r="AJ1481" s="14">
        <f>IF(AN1481=0,L1481,0)</f>
        <v>0</v>
      </c>
      <c r="AK1481" s="14">
        <f>IF(AN1481=15,L1481,0)</f>
        <v>0</v>
      </c>
      <c r="AL1481" s="14">
        <f>IF(AN1481=21,L1481,0)</f>
        <v>0</v>
      </c>
      <c r="AN1481" s="14">
        <v>21</v>
      </c>
      <c r="AO1481" s="92">
        <f>H1481*0</f>
        <v>0</v>
      </c>
      <c r="AP1481" s="92">
        <f>H1481*(1-0)</f>
        <v>0</v>
      </c>
      <c r="AQ1481" s="55" t="s">
        <v>2422</v>
      </c>
      <c r="AV1481" s="14">
        <f>AW1481+AX1481</f>
        <v>0</v>
      </c>
      <c r="AW1481" s="14">
        <f>G1481*AO1481</f>
        <v>0</v>
      </c>
      <c r="AX1481" s="14">
        <f>G1481*AP1481</f>
        <v>0</v>
      </c>
      <c r="AY1481" s="55" t="s">
        <v>2203</v>
      </c>
      <c r="AZ1481" s="55" t="s">
        <v>5</v>
      </c>
      <c r="BA1481" s="15" t="s">
        <v>325</v>
      </c>
      <c r="BC1481" s="14">
        <f>AW1481+AX1481</f>
        <v>0</v>
      </c>
      <c r="BD1481" s="14">
        <f>H1481/(100-BE1481)*100</f>
        <v>0</v>
      </c>
      <c r="BE1481" s="14">
        <v>0</v>
      </c>
      <c r="BF1481" s="14">
        <f>O1481</f>
        <v>0</v>
      </c>
      <c r="BH1481" s="14">
        <f>G1481*AO1481</f>
        <v>0</v>
      </c>
      <c r="BI1481" s="14">
        <f>G1481*AP1481</f>
        <v>0</v>
      </c>
      <c r="BJ1481" s="14">
        <f>G1481*H1481</f>
        <v>0</v>
      </c>
      <c r="BK1481" s="14"/>
      <c r="BL1481" s="14">
        <v>13</v>
      </c>
      <c r="BW1481" s="14" t="str">
        <f>I1481</f>
        <v>21</v>
      </c>
    </row>
    <row r="1482" spans="1:75" ht="15" customHeight="1">
      <c r="A1482" s="32"/>
      <c r="D1482" s="3" t="s">
        <v>1946</v>
      </c>
      <c r="E1482" s="28" t="s">
        <v>2510</v>
      </c>
      <c r="G1482" s="27">
        <v>33.5</v>
      </c>
      <c r="P1482" s="33"/>
    </row>
    <row r="1483" spans="1:75" ht="13.5" customHeight="1">
      <c r="A1483" s="21" t="s">
        <v>172</v>
      </c>
      <c r="B1483" s="37" t="s">
        <v>128</v>
      </c>
      <c r="C1483" s="37" t="s">
        <v>2088</v>
      </c>
      <c r="D1483" s="578" t="s">
        <v>2774</v>
      </c>
      <c r="E1483" s="579"/>
      <c r="F1483" s="37" t="s">
        <v>2359</v>
      </c>
      <c r="G1483" s="14">
        <v>7.1</v>
      </c>
      <c r="H1483" s="569"/>
      <c r="I1483" s="55" t="s">
        <v>1720</v>
      </c>
      <c r="J1483" s="14">
        <f>G1483*AO1483</f>
        <v>0</v>
      </c>
      <c r="K1483" s="14">
        <f>G1483*AP1483</f>
        <v>0</v>
      </c>
      <c r="L1483" s="14">
        <f>G1483*H1483</f>
        <v>0</v>
      </c>
      <c r="M1483" s="14">
        <f>L1483*(1+BW1483/100)</f>
        <v>0</v>
      </c>
      <c r="N1483" s="14">
        <v>0</v>
      </c>
      <c r="O1483" s="14">
        <f>G1483*N1483</f>
        <v>0</v>
      </c>
      <c r="P1483" s="72" t="s">
        <v>1664</v>
      </c>
      <c r="Z1483" s="14">
        <f>IF(AQ1483="5",BJ1483,0)</f>
        <v>0</v>
      </c>
      <c r="AB1483" s="14">
        <f>IF(AQ1483="1",BH1483,0)</f>
        <v>0</v>
      </c>
      <c r="AC1483" s="14">
        <f>IF(AQ1483="1",BI1483,0)</f>
        <v>0</v>
      </c>
      <c r="AD1483" s="14">
        <f>IF(AQ1483="7",BH1483,0)</f>
        <v>0</v>
      </c>
      <c r="AE1483" s="14">
        <f>IF(AQ1483="7",BI1483,0)</f>
        <v>0</v>
      </c>
      <c r="AF1483" s="14">
        <f>IF(AQ1483="2",BH1483,0)</f>
        <v>0</v>
      </c>
      <c r="AG1483" s="14">
        <f>IF(AQ1483="2",BI1483,0)</f>
        <v>0</v>
      </c>
      <c r="AH1483" s="14">
        <f>IF(AQ1483="0",BJ1483,0)</f>
        <v>0</v>
      </c>
      <c r="AI1483" s="15" t="s">
        <v>128</v>
      </c>
      <c r="AJ1483" s="14">
        <f>IF(AN1483=0,L1483,0)</f>
        <v>0</v>
      </c>
      <c r="AK1483" s="14">
        <f>IF(AN1483=15,L1483,0)</f>
        <v>0</v>
      </c>
      <c r="AL1483" s="14">
        <f>IF(AN1483=21,L1483,0)</f>
        <v>0</v>
      </c>
      <c r="AN1483" s="14">
        <v>21</v>
      </c>
      <c r="AO1483" s="92">
        <f>H1483*0</f>
        <v>0</v>
      </c>
      <c r="AP1483" s="92">
        <f>H1483*(1-0)</f>
        <v>0</v>
      </c>
      <c r="AQ1483" s="55" t="s">
        <v>2422</v>
      </c>
      <c r="AV1483" s="14">
        <f>AW1483+AX1483</f>
        <v>0</v>
      </c>
      <c r="AW1483" s="14">
        <f>G1483*AO1483</f>
        <v>0</v>
      </c>
      <c r="AX1483" s="14">
        <f>G1483*AP1483</f>
        <v>0</v>
      </c>
      <c r="AY1483" s="55" t="s">
        <v>2203</v>
      </c>
      <c r="AZ1483" s="55" t="s">
        <v>5</v>
      </c>
      <c r="BA1483" s="15" t="s">
        <v>325</v>
      </c>
      <c r="BC1483" s="14">
        <f>AW1483+AX1483</f>
        <v>0</v>
      </c>
      <c r="BD1483" s="14">
        <f>H1483/(100-BE1483)*100</f>
        <v>0</v>
      </c>
      <c r="BE1483" s="14">
        <v>0</v>
      </c>
      <c r="BF1483" s="14">
        <f>O1483</f>
        <v>0</v>
      </c>
      <c r="BH1483" s="14">
        <f>G1483*AO1483</f>
        <v>0</v>
      </c>
      <c r="BI1483" s="14">
        <f>G1483*AP1483</f>
        <v>0</v>
      </c>
      <c r="BJ1483" s="14">
        <f>G1483*H1483</f>
        <v>0</v>
      </c>
      <c r="BK1483" s="14"/>
      <c r="BL1483" s="14">
        <v>13</v>
      </c>
      <c r="BW1483" s="14" t="str">
        <f>I1483</f>
        <v>21</v>
      </c>
    </row>
    <row r="1484" spans="1:75" ht="15" customHeight="1">
      <c r="A1484" s="32"/>
      <c r="D1484" s="3" t="s">
        <v>380</v>
      </c>
      <c r="E1484" s="28" t="s">
        <v>2737</v>
      </c>
      <c r="G1484" s="27">
        <v>7.1000000000000005</v>
      </c>
      <c r="P1484" s="33"/>
    </row>
    <row r="1485" spans="1:75" ht="15" customHeight="1">
      <c r="A1485" s="65" t="s">
        <v>1683</v>
      </c>
      <c r="B1485" s="26" t="s">
        <v>128</v>
      </c>
      <c r="C1485" s="26" t="s">
        <v>957</v>
      </c>
      <c r="D1485" s="649" t="s">
        <v>2120</v>
      </c>
      <c r="E1485" s="650"/>
      <c r="F1485" s="74" t="s">
        <v>2262</v>
      </c>
      <c r="G1485" s="74" t="s">
        <v>2262</v>
      </c>
      <c r="H1485" s="74" t="s">
        <v>2262</v>
      </c>
      <c r="I1485" s="74" t="s">
        <v>2262</v>
      </c>
      <c r="J1485" s="2">
        <f>SUM(J1486:J1488)</f>
        <v>0</v>
      </c>
      <c r="K1485" s="2">
        <f>SUM(K1486:K1488)</f>
        <v>0</v>
      </c>
      <c r="L1485" s="2">
        <f>SUM(L1486:L1488)</f>
        <v>0</v>
      </c>
      <c r="M1485" s="2">
        <f>SUM(M1486:M1488)</f>
        <v>0</v>
      </c>
      <c r="N1485" s="15" t="s">
        <v>1683</v>
      </c>
      <c r="O1485" s="2">
        <f>SUM(O1486:O1488)</f>
        <v>7.7813999999999994E-2</v>
      </c>
      <c r="P1485" s="47" t="s">
        <v>1683</v>
      </c>
      <c r="AI1485" s="15" t="s">
        <v>128</v>
      </c>
      <c r="AS1485" s="2">
        <f>SUM(AJ1486:AJ1488)</f>
        <v>0</v>
      </c>
      <c r="AT1485" s="2">
        <f>SUM(AK1486:AK1488)</f>
        <v>0</v>
      </c>
      <c r="AU1485" s="2">
        <f>SUM(AL1486:AL1488)</f>
        <v>0</v>
      </c>
    </row>
    <row r="1486" spans="1:75" ht="13.5" customHeight="1">
      <c r="A1486" s="21" t="s">
        <v>403</v>
      </c>
      <c r="B1486" s="37" t="s">
        <v>128</v>
      </c>
      <c r="C1486" s="37" t="s">
        <v>2699</v>
      </c>
      <c r="D1486" s="578" t="s">
        <v>552</v>
      </c>
      <c r="E1486" s="579"/>
      <c r="F1486" s="37" t="s">
        <v>2398</v>
      </c>
      <c r="G1486" s="14">
        <v>78.599999999999994</v>
      </c>
      <c r="H1486" s="569"/>
      <c r="I1486" s="55" t="s">
        <v>1720</v>
      </c>
      <c r="J1486" s="14">
        <f>G1486*AO1486</f>
        <v>0</v>
      </c>
      <c r="K1486" s="14">
        <f>G1486*AP1486</f>
        <v>0</v>
      </c>
      <c r="L1486" s="14">
        <f>G1486*H1486</f>
        <v>0</v>
      </c>
      <c r="M1486" s="14">
        <f>L1486*(1+BW1486/100)</f>
        <v>0</v>
      </c>
      <c r="N1486" s="14">
        <v>9.8999999999999999E-4</v>
      </c>
      <c r="O1486" s="14">
        <f>G1486*N1486</f>
        <v>7.7813999999999994E-2</v>
      </c>
      <c r="P1486" s="72" t="s">
        <v>1664</v>
      </c>
      <c r="Z1486" s="14">
        <f>IF(AQ1486="5",BJ1486,0)</f>
        <v>0</v>
      </c>
      <c r="AB1486" s="14">
        <f>IF(AQ1486="1",BH1486,0)</f>
        <v>0</v>
      </c>
      <c r="AC1486" s="14">
        <f>IF(AQ1486="1",BI1486,0)</f>
        <v>0</v>
      </c>
      <c r="AD1486" s="14">
        <f>IF(AQ1486="7",BH1486,0)</f>
        <v>0</v>
      </c>
      <c r="AE1486" s="14">
        <f>IF(AQ1486="7",BI1486,0)</f>
        <v>0</v>
      </c>
      <c r="AF1486" s="14">
        <f>IF(AQ1486="2",BH1486,0)</f>
        <v>0</v>
      </c>
      <c r="AG1486" s="14">
        <f>IF(AQ1486="2",BI1486,0)</f>
        <v>0</v>
      </c>
      <c r="AH1486" s="14">
        <f>IF(AQ1486="0",BJ1486,0)</f>
        <v>0</v>
      </c>
      <c r="AI1486" s="15" t="s">
        <v>128</v>
      </c>
      <c r="AJ1486" s="14">
        <f>IF(AN1486=0,L1486,0)</f>
        <v>0</v>
      </c>
      <c r="AK1486" s="14">
        <f>IF(AN1486=15,L1486,0)</f>
        <v>0</v>
      </c>
      <c r="AL1486" s="14">
        <f>IF(AN1486=21,L1486,0)</f>
        <v>0</v>
      </c>
      <c r="AN1486" s="14">
        <v>21</v>
      </c>
      <c r="AO1486" s="92">
        <f>H1486*0.0932214765100671</f>
        <v>0</v>
      </c>
      <c r="AP1486" s="92">
        <f>H1486*(1-0.0932214765100671)</f>
        <v>0</v>
      </c>
      <c r="AQ1486" s="55" t="s">
        <v>2422</v>
      </c>
      <c r="AV1486" s="14">
        <f>AW1486+AX1486</f>
        <v>0</v>
      </c>
      <c r="AW1486" s="14">
        <f>G1486*AO1486</f>
        <v>0</v>
      </c>
      <c r="AX1486" s="14">
        <f>G1486*AP1486</f>
        <v>0</v>
      </c>
      <c r="AY1486" s="55" t="s">
        <v>1718</v>
      </c>
      <c r="AZ1486" s="55" t="s">
        <v>5</v>
      </c>
      <c r="BA1486" s="15" t="s">
        <v>325</v>
      </c>
      <c r="BC1486" s="14">
        <f>AW1486+AX1486</f>
        <v>0</v>
      </c>
      <c r="BD1486" s="14">
        <f>H1486/(100-BE1486)*100</f>
        <v>0</v>
      </c>
      <c r="BE1486" s="14">
        <v>0</v>
      </c>
      <c r="BF1486" s="14">
        <f>O1486</f>
        <v>7.7813999999999994E-2</v>
      </c>
      <c r="BH1486" s="14">
        <f>G1486*AO1486</f>
        <v>0</v>
      </c>
      <c r="BI1486" s="14">
        <f>G1486*AP1486</f>
        <v>0</v>
      </c>
      <c r="BJ1486" s="14">
        <f>G1486*H1486</f>
        <v>0</v>
      </c>
      <c r="BK1486" s="14"/>
      <c r="BL1486" s="14">
        <v>15</v>
      </c>
      <c r="BW1486" s="14" t="str">
        <f>I1486</f>
        <v>21</v>
      </c>
    </row>
    <row r="1487" spans="1:75" ht="15" customHeight="1">
      <c r="A1487" s="32"/>
      <c r="D1487" s="3" t="s">
        <v>2766</v>
      </c>
      <c r="E1487" s="28" t="s">
        <v>1683</v>
      </c>
      <c r="G1487" s="27">
        <v>78.600000000000009</v>
      </c>
      <c r="P1487" s="33"/>
    </row>
    <row r="1488" spans="1:75" ht="13.5" customHeight="1">
      <c r="A1488" s="21" t="s">
        <v>15</v>
      </c>
      <c r="B1488" s="37" t="s">
        <v>128</v>
      </c>
      <c r="C1488" s="37" t="s">
        <v>1645</v>
      </c>
      <c r="D1488" s="578" t="s">
        <v>2362</v>
      </c>
      <c r="E1488" s="579"/>
      <c r="F1488" s="37" t="s">
        <v>2398</v>
      </c>
      <c r="G1488" s="14">
        <v>78.599999999999994</v>
      </c>
      <c r="H1488" s="569"/>
      <c r="I1488" s="55" t="s">
        <v>1720</v>
      </c>
      <c r="J1488" s="14">
        <f>G1488*AO1488</f>
        <v>0</v>
      </c>
      <c r="K1488" s="14">
        <f>G1488*AP1488</f>
        <v>0</v>
      </c>
      <c r="L1488" s="14">
        <f>G1488*H1488</f>
        <v>0</v>
      </c>
      <c r="M1488" s="14">
        <f>L1488*(1+BW1488/100)</f>
        <v>0</v>
      </c>
      <c r="N1488" s="14">
        <v>0</v>
      </c>
      <c r="O1488" s="14">
        <f>G1488*N1488</f>
        <v>0</v>
      </c>
      <c r="P1488" s="72" t="s">
        <v>1664</v>
      </c>
      <c r="Z1488" s="14">
        <f>IF(AQ1488="5",BJ1488,0)</f>
        <v>0</v>
      </c>
      <c r="AB1488" s="14">
        <f>IF(AQ1488="1",BH1488,0)</f>
        <v>0</v>
      </c>
      <c r="AC1488" s="14">
        <f>IF(AQ1488="1",BI1488,0)</f>
        <v>0</v>
      </c>
      <c r="AD1488" s="14">
        <f>IF(AQ1488="7",BH1488,0)</f>
        <v>0</v>
      </c>
      <c r="AE1488" s="14">
        <f>IF(AQ1488="7",BI1488,0)</f>
        <v>0</v>
      </c>
      <c r="AF1488" s="14">
        <f>IF(AQ1488="2",BH1488,0)</f>
        <v>0</v>
      </c>
      <c r="AG1488" s="14">
        <f>IF(AQ1488="2",BI1488,0)</f>
        <v>0</v>
      </c>
      <c r="AH1488" s="14">
        <f>IF(AQ1488="0",BJ1488,0)</f>
        <v>0</v>
      </c>
      <c r="AI1488" s="15" t="s">
        <v>128</v>
      </c>
      <c r="AJ1488" s="14">
        <f>IF(AN1488=0,L1488,0)</f>
        <v>0</v>
      </c>
      <c r="AK1488" s="14">
        <f>IF(AN1488=15,L1488,0)</f>
        <v>0</v>
      </c>
      <c r="AL1488" s="14">
        <f>IF(AN1488=21,L1488,0)</f>
        <v>0</v>
      </c>
      <c r="AN1488" s="14">
        <v>21</v>
      </c>
      <c r="AO1488" s="92">
        <f>H1488*0</f>
        <v>0</v>
      </c>
      <c r="AP1488" s="92">
        <f>H1488*(1-0)</f>
        <v>0</v>
      </c>
      <c r="AQ1488" s="55" t="s">
        <v>2422</v>
      </c>
      <c r="AV1488" s="14">
        <f>AW1488+AX1488</f>
        <v>0</v>
      </c>
      <c r="AW1488" s="14">
        <f>G1488*AO1488</f>
        <v>0</v>
      </c>
      <c r="AX1488" s="14">
        <f>G1488*AP1488</f>
        <v>0</v>
      </c>
      <c r="AY1488" s="55" t="s">
        <v>1718</v>
      </c>
      <c r="AZ1488" s="55" t="s">
        <v>5</v>
      </c>
      <c r="BA1488" s="15" t="s">
        <v>325</v>
      </c>
      <c r="BC1488" s="14">
        <f>AW1488+AX1488</f>
        <v>0</v>
      </c>
      <c r="BD1488" s="14">
        <f>H1488/(100-BE1488)*100</f>
        <v>0</v>
      </c>
      <c r="BE1488" s="14">
        <v>0</v>
      </c>
      <c r="BF1488" s="14">
        <f>O1488</f>
        <v>0</v>
      </c>
      <c r="BH1488" s="14">
        <f>G1488*AO1488</f>
        <v>0</v>
      </c>
      <c r="BI1488" s="14">
        <f>G1488*AP1488</f>
        <v>0</v>
      </c>
      <c r="BJ1488" s="14">
        <f>G1488*H1488</f>
        <v>0</v>
      </c>
      <c r="BK1488" s="14"/>
      <c r="BL1488" s="14">
        <v>15</v>
      </c>
      <c r="BW1488" s="14" t="str">
        <f>I1488</f>
        <v>21</v>
      </c>
    </row>
    <row r="1489" spans="1:75" ht="15" customHeight="1">
      <c r="A1489" s="32"/>
      <c r="D1489" s="3" t="s">
        <v>2766</v>
      </c>
      <c r="E1489" s="28" t="s">
        <v>1683</v>
      </c>
      <c r="G1489" s="27">
        <v>78.600000000000009</v>
      </c>
      <c r="P1489" s="33"/>
    </row>
    <row r="1490" spans="1:75" ht="15" customHeight="1">
      <c r="A1490" s="65" t="s">
        <v>1683</v>
      </c>
      <c r="B1490" s="26" t="s">
        <v>128</v>
      </c>
      <c r="C1490" s="26" t="s">
        <v>226</v>
      </c>
      <c r="D1490" s="649" t="s">
        <v>2033</v>
      </c>
      <c r="E1490" s="650"/>
      <c r="F1490" s="74" t="s">
        <v>2262</v>
      </c>
      <c r="G1490" s="74" t="s">
        <v>2262</v>
      </c>
      <c r="H1490" s="74" t="s">
        <v>2262</v>
      </c>
      <c r="I1490" s="74" t="s">
        <v>2262</v>
      </c>
      <c r="J1490" s="2">
        <f>SUM(J1491:J1491)</f>
        <v>0</v>
      </c>
      <c r="K1490" s="2">
        <f>SUM(K1491:K1491)</f>
        <v>0</v>
      </c>
      <c r="L1490" s="2">
        <f>SUM(L1491:L1491)</f>
        <v>0</v>
      </c>
      <c r="M1490" s="2">
        <f>SUM(M1491:M1491)</f>
        <v>0</v>
      </c>
      <c r="N1490" s="15" t="s">
        <v>1683</v>
      </c>
      <c r="O1490" s="2">
        <f>SUM(O1491:O1491)</f>
        <v>0</v>
      </c>
      <c r="P1490" s="47" t="s">
        <v>1683</v>
      </c>
      <c r="AI1490" s="15" t="s">
        <v>128</v>
      </c>
      <c r="AS1490" s="2">
        <f>SUM(AJ1491:AJ1491)</f>
        <v>0</v>
      </c>
      <c r="AT1490" s="2">
        <f>SUM(AK1491:AK1491)</f>
        <v>0</v>
      </c>
      <c r="AU1490" s="2">
        <f>SUM(AL1491:AL1491)</f>
        <v>0</v>
      </c>
    </row>
    <row r="1491" spans="1:75" ht="13.5" customHeight="1">
      <c r="A1491" s="21" t="s">
        <v>2533</v>
      </c>
      <c r="B1491" s="37" t="s">
        <v>128</v>
      </c>
      <c r="C1491" s="37" t="s">
        <v>2090</v>
      </c>
      <c r="D1491" s="578" t="s">
        <v>1661</v>
      </c>
      <c r="E1491" s="579"/>
      <c r="F1491" s="37" t="s">
        <v>2359</v>
      </c>
      <c r="G1491" s="14">
        <v>14.1</v>
      </c>
      <c r="H1491" s="569"/>
      <c r="I1491" s="55" t="s">
        <v>1720</v>
      </c>
      <c r="J1491" s="14">
        <f>G1491*AO1491</f>
        <v>0</v>
      </c>
      <c r="K1491" s="14">
        <f>G1491*AP1491</f>
        <v>0</v>
      </c>
      <c r="L1491" s="14">
        <f>G1491*H1491</f>
        <v>0</v>
      </c>
      <c r="M1491" s="14">
        <f>L1491*(1+BW1491/100)</f>
        <v>0</v>
      </c>
      <c r="N1491" s="14">
        <v>0</v>
      </c>
      <c r="O1491" s="14">
        <f>G1491*N1491</f>
        <v>0</v>
      </c>
      <c r="P1491" s="72" t="s">
        <v>1664</v>
      </c>
      <c r="Z1491" s="14">
        <f>IF(AQ1491="5",BJ1491,0)</f>
        <v>0</v>
      </c>
      <c r="AB1491" s="14">
        <f>IF(AQ1491="1",BH1491,0)</f>
        <v>0</v>
      </c>
      <c r="AC1491" s="14">
        <f>IF(AQ1491="1",BI1491,0)</f>
        <v>0</v>
      </c>
      <c r="AD1491" s="14">
        <f>IF(AQ1491="7",BH1491,0)</f>
        <v>0</v>
      </c>
      <c r="AE1491" s="14">
        <f>IF(AQ1491="7",BI1491,0)</f>
        <v>0</v>
      </c>
      <c r="AF1491" s="14">
        <f>IF(AQ1491="2",BH1491,0)</f>
        <v>0</v>
      </c>
      <c r="AG1491" s="14">
        <f>IF(AQ1491="2",BI1491,0)</f>
        <v>0</v>
      </c>
      <c r="AH1491" s="14">
        <f>IF(AQ1491="0",BJ1491,0)</f>
        <v>0</v>
      </c>
      <c r="AI1491" s="15" t="s">
        <v>128</v>
      </c>
      <c r="AJ1491" s="14">
        <f>IF(AN1491=0,L1491,0)</f>
        <v>0</v>
      </c>
      <c r="AK1491" s="14">
        <f>IF(AN1491=15,L1491,0)</f>
        <v>0</v>
      </c>
      <c r="AL1491" s="14">
        <f>IF(AN1491=21,L1491,0)</f>
        <v>0</v>
      </c>
      <c r="AN1491" s="14">
        <v>21</v>
      </c>
      <c r="AO1491" s="92">
        <f>H1491*0</f>
        <v>0</v>
      </c>
      <c r="AP1491" s="92">
        <f>H1491*(1-0)</f>
        <v>0</v>
      </c>
      <c r="AQ1491" s="55" t="s">
        <v>2422</v>
      </c>
      <c r="AV1491" s="14">
        <f>AW1491+AX1491</f>
        <v>0</v>
      </c>
      <c r="AW1491" s="14">
        <f>G1491*AO1491</f>
        <v>0</v>
      </c>
      <c r="AX1491" s="14">
        <f>G1491*AP1491</f>
        <v>0</v>
      </c>
      <c r="AY1491" s="55" t="s">
        <v>2268</v>
      </c>
      <c r="AZ1491" s="55" t="s">
        <v>5</v>
      </c>
      <c r="BA1491" s="15" t="s">
        <v>325</v>
      </c>
      <c r="BC1491" s="14">
        <f>AW1491+AX1491</f>
        <v>0</v>
      </c>
      <c r="BD1491" s="14">
        <f>H1491/(100-BE1491)*100</f>
        <v>0</v>
      </c>
      <c r="BE1491" s="14">
        <v>0</v>
      </c>
      <c r="BF1491" s="14">
        <f>O1491</f>
        <v>0</v>
      </c>
      <c r="BH1491" s="14">
        <f>G1491*AO1491</f>
        <v>0</v>
      </c>
      <c r="BI1491" s="14">
        <f>G1491*AP1491</f>
        <v>0</v>
      </c>
      <c r="BJ1491" s="14">
        <f>G1491*H1491</f>
        <v>0</v>
      </c>
      <c r="BK1491" s="14"/>
      <c r="BL1491" s="14">
        <v>16</v>
      </c>
      <c r="BW1491" s="14" t="str">
        <f>I1491</f>
        <v>21</v>
      </c>
    </row>
    <row r="1492" spans="1:75" ht="15" customHeight="1">
      <c r="A1492" s="32"/>
      <c r="D1492" s="3" t="s">
        <v>915</v>
      </c>
      <c r="E1492" s="28" t="s">
        <v>1683</v>
      </c>
      <c r="G1492" s="27">
        <v>14.100000000000001</v>
      </c>
      <c r="P1492" s="33"/>
    </row>
    <row r="1493" spans="1:75" ht="15" customHeight="1">
      <c r="A1493" s="65" t="s">
        <v>1683</v>
      </c>
      <c r="B1493" s="26" t="s">
        <v>128</v>
      </c>
      <c r="C1493" s="26" t="s">
        <v>1691</v>
      </c>
      <c r="D1493" s="649" t="s">
        <v>317</v>
      </c>
      <c r="E1493" s="650"/>
      <c r="F1493" s="74" t="s">
        <v>2262</v>
      </c>
      <c r="G1493" s="74" t="s">
        <v>2262</v>
      </c>
      <c r="H1493" s="74" t="s">
        <v>2262</v>
      </c>
      <c r="I1493" s="74" t="s">
        <v>2262</v>
      </c>
      <c r="J1493" s="2">
        <f>SUM(J1494:J1498)</f>
        <v>0</v>
      </c>
      <c r="K1493" s="2">
        <f>SUM(K1494:K1498)</f>
        <v>0</v>
      </c>
      <c r="L1493" s="2">
        <f>SUM(L1494:L1498)</f>
        <v>0</v>
      </c>
      <c r="M1493" s="2">
        <f>SUM(M1494:M1498)</f>
        <v>0</v>
      </c>
      <c r="N1493" s="15" t="s">
        <v>1683</v>
      </c>
      <c r="O1493" s="2">
        <f>SUM(O1494:O1498)</f>
        <v>11.016</v>
      </c>
      <c r="P1493" s="47" t="s">
        <v>1683</v>
      </c>
      <c r="AI1493" s="15" t="s">
        <v>128</v>
      </c>
      <c r="AS1493" s="2">
        <f>SUM(AJ1494:AJ1498)</f>
        <v>0</v>
      </c>
      <c r="AT1493" s="2">
        <f>SUM(AK1494:AK1498)</f>
        <v>0</v>
      </c>
      <c r="AU1493" s="2">
        <f>SUM(AL1494:AL1498)</f>
        <v>0</v>
      </c>
    </row>
    <row r="1494" spans="1:75" ht="27" customHeight="1">
      <c r="A1494" s="21" t="s">
        <v>1123</v>
      </c>
      <c r="B1494" s="37" t="s">
        <v>128</v>
      </c>
      <c r="C1494" s="37" t="s">
        <v>2145</v>
      </c>
      <c r="D1494" s="578" t="s">
        <v>2448</v>
      </c>
      <c r="E1494" s="579"/>
      <c r="F1494" s="37" t="s">
        <v>2359</v>
      </c>
      <c r="G1494" s="14">
        <v>6.48</v>
      </c>
      <c r="H1494" s="569"/>
      <c r="I1494" s="55" t="s">
        <v>1720</v>
      </c>
      <c r="J1494" s="14">
        <f>G1494*AO1494</f>
        <v>0</v>
      </c>
      <c r="K1494" s="14">
        <f>G1494*AP1494</f>
        <v>0</v>
      </c>
      <c r="L1494" s="14">
        <f>G1494*H1494</f>
        <v>0</v>
      </c>
      <c r="M1494" s="14">
        <f>L1494*(1+BW1494/100)</f>
        <v>0</v>
      </c>
      <c r="N1494" s="14">
        <v>1.7</v>
      </c>
      <c r="O1494" s="14">
        <f>G1494*N1494</f>
        <v>11.016</v>
      </c>
      <c r="P1494" s="72" t="s">
        <v>1664</v>
      </c>
      <c r="Z1494" s="14">
        <f>IF(AQ1494="5",BJ1494,0)</f>
        <v>0</v>
      </c>
      <c r="AB1494" s="14">
        <f>IF(AQ1494="1",BH1494,0)</f>
        <v>0</v>
      </c>
      <c r="AC1494" s="14">
        <f>IF(AQ1494="1",BI1494,0)</f>
        <v>0</v>
      </c>
      <c r="AD1494" s="14">
        <f>IF(AQ1494="7",BH1494,0)</f>
        <v>0</v>
      </c>
      <c r="AE1494" s="14">
        <f>IF(AQ1494="7",BI1494,0)</f>
        <v>0</v>
      </c>
      <c r="AF1494" s="14">
        <f>IF(AQ1494="2",BH1494,0)</f>
        <v>0</v>
      </c>
      <c r="AG1494" s="14">
        <f>IF(AQ1494="2",BI1494,0)</f>
        <v>0</v>
      </c>
      <c r="AH1494" s="14">
        <f>IF(AQ1494="0",BJ1494,0)</f>
        <v>0</v>
      </c>
      <c r="AI1494" s="15" t="s">
        <v>128</v>
      </c>
      <c r="AJ1494" s="14">
        <f>IF(AN1494=0,L1494,0)</f>
        <v>0</v>
      </c>
      <c r="AK1494" s="14">
        <f>IF(AN1494=15,L1494,0)</f>
        <v>0</v>
      </c>
      <c r="AL1494" s="14">
        <f>IF(AN1494=21,L1494,0)</f>
        <v>0</v>
      </c>
      <c r="AN1494" s="14">
        <v>21</v>
      </c>
      <c r="AO1494" s="92">
        <f>H1494*0.503380393689644</f>
        <v>0</v>
      </c>
      <c r="AP1494" s="92">
        <f>H1494*(1-0.503380393689644)</f>
        <v>0</v>
      </c>
      <c r="AQ1494" s="55" t="s">
        <v>2422</v>
      </c>
      <c r="AV1494" s="14">
        <f>AW1494+AX1494</f>
        <v>0</v>
      </c>
      <c r="AW1494" s="14">
        <f>G1494*AO1494</f>
        <v>0</v>
      </c>
      <c r="AX1494" s="14">
        <f>G1494*AP1494</f>
        <v>0</v>
      </c>
      <c r="AY1494" s="55" t="s">
        <v>493</v>
      </c>
      <c r="AZ1494" s="55" t="s">
        <v>5</v>
      </c>
      <c r="BA1494" s="15" t="s">
        <v>325</v>
      </c>
      <c r="BC1494" s="14">
        <f>AW1494+AX1494</f>
        <v>0</v>
      </c>
      <c r="BD1494" s="14">
        <f>H1494/(100-BE1494)*100</f>
        <v>0</v>
      </c>
      <c r="BE1494" s="14">
        <v>0</v>
      </c>
      <c r="BF1494" s="14">
        <f>O1494</f>
        <v>11.016</v>
      </c>
      <c r="BH1494" s="14">
        <f>G1494*AO1494</f>
        <v>0</v>
      </c>
      <c r="BI1494" s="14">
        <f>G1494*AP1494</f>
        <v>0</v>
      </c>
      <c r="BJ1494" s="14">
        <f>G1494*H1494</f>
        <v>0</v>
      </c>
      <c r="BK1494" s="14"/>
      <c r="BL1494" s="14">
        <v>17</v>
      </c>
      <c r="BW1494" s="14" t="str">
        <f>I1494</f>
        <v>21</v>
      </c>
    </row>
    <row r="1495" spans="1:75" ht="15" customHeight="1">
      <c r="A1495" s="32"/>
      <c r="D1495" s="3" t="s">
        <v>318</v>
      </c>
      <c r="E1495" s="28" t="s">
        <v>1683</v>
      </c>
      <c r="G1495" s="27">
        <v>6.48</v>
      </c>
      <c r="P1495" s="33"/>
    </row>
    <row r="1496" spans="1:75" ht="13.5" customHeight="1">
      <c r="A1496" s="21" t="s">
        <v>760</v>
      </c>
      <c r="B1496" s="37" t="s">
        <v>128</v>
      </c>
      <c r="C1496" s="37" t="s">
        <v>1228</v>
      </c>
      <c r="D1496" s="578" t="s">
        <v>478</v>
      </c>
      <c r="E1496" s="579"/>
      <c r="F1496" s="37" t="s">
        <v>2359</v>
      </c>
      <c r="G1496" s="14">
        <v>26.49</v>
      </c>
      <c r="H1496" s="569"/>
      <c r="I1496" s="55" t="s">
        <v>1720</v>
      </c>
      <c r="J1496" s="14">
        <f>G1496*AO1496</f>
        <v>0</v>
      </c>
      <c r="K1496" s="14">
        <f>G1496*AP1496</f>
        <v>0</v>
      </c>
      <c r="L1496" s="14">
        <f>G1496*H1496</f>
        <v>0</v>
      </c>
      <c r="M1496" s="14">
        <f>L1496*(1+BW1496/100)</f>
        <v>0</v>
      </c>
      <c r="N1496" s="14">
        <v>0</v>
      </c>
      <c r="O1496" s="14">
        <f>G1496*N1496</f>
        <v>0</v>
      </c>
      <c r="P1496" s="72" t="s">
        <v>1664</v>
      </c>
      <c r="Z1496" s="14">
        <f>IF(AQ1496="5",BJ1496,0)</f>
        <v>0</v>
      </c>
      <c r="AB1496" s="14">
        <f>IF(AQ1496="1",BH1496,0)</f>
        <v>0</v>
      </c>
      <c r="AC1496" s="14">
        <f>IF(AQ1496="1",BI1496,0)</f>
        <v>0</v>
      </c>
      <c r="AD1496" s="14">
        <f>IF(AQ1496="7",BH1496,0)</f>
        <v>0</v>
      </c>
      <c r="AE1496" s="14">
        <f>IF(AQ1496="7",BI1496,0)</f>
        <v>0</v>
      </c>
      <c r="AF1496" s="14">
        <f>IF(AQ1496="2",BH1496,0)</f>
        <v>0</v>
      </c>
      <c r="AG1496" s="14">
        <f>IF(AQ1496="2",BI1496,0)</f>
        <v>0</v>
      </c>
      <c r="AH1496" s="14">
        <f>IF(AQ1496="0",BJ1496,0)</f>
        <v>0</v>
      </c>
      <c r="AI1496" s="15" t="s">
        <v>128</v>
      </c>
      <c r="AJ1496" s="14">
        <f>IF(AN1496=0,L1496,0)</f>
        <v>0</v>
      </c>
      <c r="AK1496" s="14">
        <f>IF(AN1496=15,L1496,0)</f>
        <v>0</v>
      </c>
      <c r="AL1496" s="14">
        <f>IF(AN1496=21,L1496,0)</f>
        <v>0</v>
      </c>
      <c r="AN1496" s="14">
        <v>21</v>
      </c>
      <c r="AO1496" s="92">
        <f>H1496*0</f>
        <v>0</v>
      </c>
      <c r="AP1496" s="92">
        <f>H1496*(1-0)</f>
        <v>0</v>
      </c>
      <c r="AQ1496" s="55" t="s">
        <v>2422</v>
      </c>
      <c r="AV1496" s="14">
        <f>AW1496+AX1496</f>
        <v>0</v>
      </c>
      <c r="AW1496" s="14">
        <f>G1496*AO1496</f>
        <v>0</v>
      </c>
      <c r="AX1496" s="14">
        <f>G1496*AP1496</f>
        <v>0</v>
      </c>
      <c r="AY1496" s="55" t="s">
        <v>493</v>
      </c>
      <c r="AZ1496" s="55" t="s">
        <v>5</v>
      </c>
      <c r="BA1496" s="15" t="s">
        <v>325</v>
      </c>
      <c r="BC1496" s="14">
        <f>AW1496+AX1496</f>
        <v>0</v>
      </c>
      <c r="BD1496" s="14">
        <f>H1496/(100-BE1496)*100</f>
        <v>0</v>
      </c>
      <c r="BE1496" s="14">
        <v>0</v>
      </c>
      <c r="BF1496" s="14">
        <f>O1496</f>
        <v>0</v>
      </c>
      <c r="BH1496" s="14">
        <f>G1496*AO1496</f>
        <v>0</v>
      </c>
      <c r="BI1496" s="14">
        <f>G1496*AP1496</f>
        <v>0</v>
      </c>
      <c r="BJ1496" s="14">
        <f>G1496*H1496</f>
        <v>0</v>
      </c>
      <c r="BK1496" s="14"/>
      <c r="BL1496" s="14">
        <v>17</v>
      </c>
      <c r="BW1496" s="14" t="str">
        <f>I1496</f>
        <v>21</v>
      </c>
    </row>
    <row r="1497" spans="1:75" ht="15" customHeight="1">
      <c r="A1497" s="32"/>
      <c r="D1497" s="3" t="s">
        <v>1133</v>
      </c>
      <c r="E1497" s="28" t="s">
        <v>1683</v>
      </c>
      <c r="G1497" s="27">
        <v>26.490000000000002</v>
      </c>
      <c r="P1497" s="33"/>
    </row>
    <row r="1498" spans="1:75" ht="13.5" customHeight="1">
      <c r="A1498" s="21" t="s">
        <v>2105</v>
      </c>
      <c r="B1498" s="37" t="s">
        <v>128</v>
      </c>
      <c r="C1498" s="37" t="s">
        <v>1780</v>
      </c>
      <c r="D1498" s="578" t="s">
        <v>1270</v>
      </c>
      <c r="E1498" s="579"/>
      <c r="F1498" s="37" t="s">
        <v>2359</v>
      </c>
      <c r="G1498" s="14">
        <v>26.49</v>
      </c>
      <c r="H1498" s="569"/>
      <c r="I1498" s="55" t="s">
        <v>1720</v>
      </c>
      <c r="J1498" s="14">
        <f>G1498*AO1498</f>
        <v>0</v>
      </c>
      <c r="K1498" s="14">
        <f>G1498*AP1498</f>
        <v>0</v>
      </c>
      <c r="L1498" s="14">
        <f>G1498*H1498</f>
        <v>0</v>
      </c>
      <c r="M1498" s="14">
        <f>L1498*(1+BW1498/100)</f>
        <v>0</v>
      </c>
      <c r="N1498" s="14">
        <v>0</v>
      </c>
      <c r="O1498" s="14">
        <f>G1498*N1498</f>
        <v>0</v>
      </c>
      <c r="P1498" s="72" t="s">
        <v>1664</v>
      </c>
      <c r="Z1498" s="14">
        <f>IF(AQ1498="5",BJ1498,0)</f>
        <v>0</v>
      </c>
      <c r="AB1498" s="14">
        <f>IF(AQ1498="1",BH1498,0)</f>
        <v>0</v>
      </c>
      <c r="AC1498" s="14">
        <f>IF(AQ1498="1",BI1498,0)</f>
        <v>0</v>
      </c>
      <c r="AD1498" s="14">
        <f>IF(AQ1498="7",BH1498,0)</f>
        <v>0</v>
      </c>
      <c r="AE1498" s="14">
        <f>IF(AQ1498="7",BI1498,0)</f>
        <v>0</v>
      </c>
      <c r="AF1498" s="14">
        <f>IF(AQ1498="2",BH1498,0)</f>
        <v>0</v>
      </c>
      <c r="AG1498" s="14">
        <f>IF(AQ1498="2",BI1498,0)</f>
        <v>0</v>
      </c>
      <c r="AH1498" s="14">
        <f>IF(AQ1498="0",BJ1498,0)</f>
        <v>0</v>
      </c>
      <c r="AI1498" s="15" t="s">
        <v>128</v>
      </c>
      <c r="AJ1498" s="14">
        <f>IF(AN1498=0,L1498,0)</f>
        <v>0</v>
      </c>
      <c r="AK1498" s="14">
        <f>IF(AN1498=15,L1498,0)</f>
        <v>0</v>
      </c>
      <c r="AL1498" s="14">
        <f>IF(AN1498=21,L1498,0)</f>
        <v>0</v>
      </c>
      <c r="AN1498" s="14">
        <v>21</v>
      </c>
      <c r="AO1498" s="92">
        <f>H1498*0</f>
        <v>0</v>
      </c>
      <c r="AP1498" s="92">
        <f>H1498*(1-0)</f>
        <v>0</v>
      </c>
      <c r="AQ1498" s="55" t="s">
        <v>2422</v>
      </c>
      <c r="AV1498" s="14">
        <f>AW1498+AX1498</f>
        <v>0</v>
      </c>
      <c r="AW1498" s="14">
        <f>G1498*AO1498</f>
        <v>0</v>
      </c>
      <c r="AX1498" s="14">
        <f>G1498*AP1498</f>
        <v>0</v>
      </c>
      <c r="AY1498" s="55" t="s">
        <v>493</v>
      </c>
      <c r="AZ1498" s="55" t="s">
        <v>5</v>
      </c>
      <c r="BA1498" s="15" t="s">
        <v>325</v>
      </c>
      <c r="BC1498" s="14">
        <f>AW1498+AX1498</f>
        <v>0</v>
      </c>
      <c r="BD1498" s="14">
        <f>H1498/(100-BE1498)*100</f>
        <v>0</v>
      </c>
      <c r="BE1498" s="14">
        <v>0</v>
      </c>
      <c r="BF1498" s="14">
        <f>O1498</f>
        <v>0</v>
      </c>
      <c r="BH1498" s="14">
        <f>G1498*AO1498</f>
        <v>0</v>
      </c>
      <c r="BI1498" s="14">
        <f>G1498*AP1498</f>
        <v>0</v>
      </c>
      <c r="BJ1498" s="14">
        <f>G1498*H1498</f>
        <v>0</v>
      </c>
      <c r="BK1498" s="14"/>
      <c r="BL1498" s="14">
        <v>17</v>
      </c>
      <c r="BW1498" s="14" t="str">
        <f>I1498</f>
        <v>21</v>
      </c>
    </row>
    <row r="1499" spans="1:75" ht="15" customHeight="1">
      <c r="A1499" s="32"/>
      <c r="D1499" s="3" t="s">
        <v>1133</v>
      </c>
      <c r="E1499" s="28" t="s">
        <v>1683</v>
      </c>
      <c r="G1499" s="27">
        <v>26.490000000000002</v>
      </c>
      <c r="P1499" s="33"/>
    </row>
    <row r="1500" spans="1:75" ht="15" customHeight="1">
      <c r="A1500" s="65" t="s">
        <v>1683</v>
      </c>
      <c r="B1500" s="26" t="s">
        <v>128</v>
      </c>
      <c r="C1500" s="26" t="s">
        <v>865</v>
      </c>
      <c r="D1500" s="649" t="s">
        <v>1889</v>
      </c>
      <c r="E1500" s="650"/>
      <c r="F1500" s="74" t="s">
        <v>2262</v>
      </c>
      <c r="G1500" s="74" t="s">
        <v>2262</v>
      </c>
      <c r="H1500" s="74" t="s">
        <v>2262</v>
      </c>
      <c r="I1500" s="74" t="s">
        <v>2262</v>
      </c>
      <c r="J1500" s="2">
        <f>SUM(J1501:J1501)</f>
        <v>0</v>
      </c>
      <c r="K1500" s="2">
        <f>SUM(K1501:K1501)</f>
        <v>0</v>
      </c>
      <c r="L1500" s="2">
        <f>SUM(L1501:L1501)</f>
        <v>0</v>
      </c>
      <c r="M1500" s="2">
        <f>SUM(M1501:M1501)</f>
        <v>0</v>
      </c>
      <c r="N1500" s="15" t="s">
        <v>1683</v>
      </c>
      <c r="O1500" s="2">
        <f>SUM(O1501:O1501)</f>
        <v>4.0840632000000001</v>
      </c>
      <c r="P1500" s="47" t="s">
        <v>1683</v>
      </c>
      <c r="AI1500" s="15" t="s">
        <v>128</v>
      </c>
      <c r="AS1500" s="2">
        <f>SUM(AJ1501:AJ1501)</f>
        <v>0</v>
      </c>
      <c r="AT1500" s="2">
        <f>SUM(AK1501:AK1501)</f>
        <v>0</v>
      </c>
      <c r="AU1500" s="2">
        <f>SUM(AL1501:AL1501)</f>
        <v>0</v>
      </c>
    </row>
    <row r="1501" spans="1:75" ht="13.5" customHeight="1">
      <c r="A1501" s="21" t="s">
        <v>1521</v>
      </c>
      <c r="B1501" s="37" t="s">
        <v>128</v>
      </c>
      <c r="C1501" s="37" t="s">
        <v>1734</v>
      </c>
      <c r="D1501" s="578" t="s">
        <v>714</v>
      </c>
      <c r="E1501" s="579"/>
      <c r="F1501" s="37" t="s">
        <v>2359</v>
      </c>
      <c r="G1501" s="14">
        <v>2.16</v>
      </c>
      <c r="H1501" s="569"/>
      <c r="I1501" s="55" t="s">
        <v>1720</v>
      </c>
      <c r="J1501" s="14">
        <f>G1501*AO1501</f>
        <v>0</v>
      </c>
      <c r="K1501" s="14">
        <f>G1501*AP1501</f>
        <v>0</v>
      </c>
      <c r="L1501" s="14">
        <f>G1501*H1501</f>
        <v>0</v>
      </c>
      <c r="M1501" s="14">
        <f>L1501*(1+BW1501/100)</f>
        <v>0</v>
      </c>
      <c r="N1501" s="14">
        <v>1.8907700000000001</v>
      </c>
      <c r="O1501" s="14">
        <f>G1501*N1501</f>
        <v>4.0840632000000001</v>
      </c>
      <c r="P1501" s="72" t="s">
        <v>1664</v>
      </c>
      <c r="Z1501" s="14">
        <f>IF(AQ1501="5",BJ1501,0)</f>
        <v>0</v>
      </c>
      <c r="AB1501" s="14">
        <f>IF(AQ1501="1",BH1501,0)</f>
        <v>0</v>
      </c>
      <c r="AC1501" s="14">
        <f>IF(AQ1501="1",BI1501,0)</f>
        <v>0</v>
      </c>
      <c r="AD1501" s="14">
        <f>IF(AQ1501="7",BH1501,0)</f>
        <v>0</v>
      </c>
      <c r="AE1501" s="14">
        <f>IF(AQ1501="7",BI1501,0)</f>
        <v>0</v>
      </c>
      <c r="AF1501" s="14">
        <f>IF(AQ1501="2",BH1501,0)</f>
        <v>0</v>
      </c>
      <c r="AG1501" s="14">
        <f>IF(AQ1501="2",BI1501,0)</f>
        <v>0</v>
      </c>
      <c r="AH1501" s="14">
        <f>IF(AQ1501="0",BJ1501,0)</f>
        <v>0</v>
      </c>
      <c r="AI1501" s="15" t="s">
        <v>128</v>
      </c>
      <c r="AJ1501" s="14">
        <f>IF(AN1501=0,L1501,0)</f>
        <v>0</v>
      </c>
      <c r="AK1501" s="14">
        <f>IF(AN1501=15,L1501,0)</f>
        <v>0</v>
      </c>
      <c r="AL1501" s="14">
        <f>IF(AN1501=21,L1501,0)</f>
        <v>0</v>
      </c>
      <c r="AN1501" s="14">
        <v>21</v>
      </c>
      <c r="AO1501" s="92">
        <f>H1501*0.480904558404558</f>
        <v>0</v>
      </c>
      <c r="AP1501" s="92">
        <f>H1501*(1-0.480904558404558)</f>
        <v>0</v>
      </c>
      <c r="AQ1501" s="55" t="s">
        <v>2422</v>
      </c>
      <c r="AV1501" s="14">
        <f>AW1501+AX1501</f>
        <v>0</v>
      </c>
      <c r="AW1501" s="14">
        <f>G1501*AO1501</f>
        <v>0</v>
      </c>
      <c r="AX1501" s="14">
        <f>G1501*AP1501</f>
        <v>0</v>
      </c>
      <c r="AY1501" s="55" t="s">
        <v>1186</v>
      </c>
      <c r="AZ1501" s="55" t="s">
        <v>103</v>
      </c>
      <c r="BA1501" s="15" t="s">
        <v>325</v>
      </c>
      <c r="BC1501" s="14">
        <f>AW1501+AX1501</f>
        <v>0</v>
      </c>
      <c r="BD1501" s="14">
        <f>H1501/(100-BE1501)*100</f>
        <v>0</v>
      </c>
      <c r="BE1501" s="14">
        <v>0</v>
      </c>
      <c r="BF1501" s="14">
        <f>O1501</f>
        <v>4.0840632000000001</v>
      </c>
      <c r="BH1501" s="14">
        <f>G1501*AO1501</f>
        <v>0</v>
      </c>
      <c r="BI1501" s="14">
        <f>G1501*AP1501</f>
        <v>0</v>
      </c>
      <c r="BJ1501" s="14">
        <f>G1501*H1501</f>
        <v>0</v>
      </c>
      <c r="BK1501" s="14"/>
      <c r="BL1501" s="14">
        <v>45</v>
      </c>
      <c r="BW1501" s="14" t="str">
        <f>I1501</f>
        <v>21</v>
      </c>
    </row>
    <row r="1502" spans="1:75" ht="15" customHeight="1">
      <c r="A1502" s="32"/>
      <c r="D1502" s="3" t="s">
        <v>623</v>
      </c>
      <c r="E1502" s="28" t="s">
        <v>600</v>
      </c>
      <c r="G1502" s="27">
        <v>2.16</v>
      </c>
      <c r="P1502" s="33"/>
    </row>
    <row r="1503" spans="1:75" ht="15" customHeight="1">
      <c r="A1503" s="65" t="s">
        <v>1683</v>
      </c>
      <c r="B1503" s="26" t="s">
        <v>128</v>
      </c>
      <c r="C1503" s="26" t="s">
        <v>1540</v>
      </c>
      <c r="D1503" s="649" t="s">
        <v>1622</v>
      </c>
      <c r="E1503" s="650"/>
      <c r="F1503" s="74" t="s">
        <v>2262</v>
      </c>
      <c r="G1503" s="74" t="s">
        <v>2262</v>
      </c>
      <c r="H1503" s="74" t="s">
        <v>2262</v>
      </c>
      <c r="I1503" s="74" t="s">
        <v>2262</v>
      </c>
      <c r="J1503" s="2">
        <f>SUM(J1504:J1506)</f>
        <v>0</v>
      </c>
      <c r="K1503" s="2">
        <f>SUM(K1504:K1506)</f>
        <v>0</v>
      </c>
      <c r="L1503" s="2">
        <f>SUM(L1504:L1506)</f>
        <v>0</v>
      </c>
      <c r="M1503" s="2">
        <f>SUM(M1504:M1506)</f>
        <v>0</v>
      </c>
      <c r="N1503" s="15" t="s">
        <v>1683</v>
      </c>
      <c r="O1503" s="2">
        <f>SUM(O1504:O1506)</f>
        <v>6.4499999999999993</v>
      </c>
      <c r="P1503" s="47" t="s">
        <v>1683</v>
      </c>
      <c r="AI1503" s="15" t="s">
        <v>128</v>
      </c>
      <c r="AS1503" s="2">
        <f>SUM(AJ1504:AJ1506)</f>
        <v>0</v>
      </c>
      <c r="AT1503" s="2">
        <f>SUM(AK1504:AK1506)</f>
        <v>0</v>
      </c>
      <c r="AU1503" s="2">
        <f>SUM(AL1504:AL1506)</f>
        <v>0</v>
      </c>
    </row>
    <row r="1504" spans="1:75" ht="13.5" customHeight="1">
      <c r="A1504" s="21" t="s">
        <v>2237</v>
      </c>
      <c r="B1504" s="37" t="s">
        <v>128</v>
      </c>
      <c r="C1504" s="37" t="s">
        <v>2610</v>
      </c>
      <c r="D1504" s="578" t="s">
        <v>683</v>
      </c>
      <c r="E1504" s="579"/>
      <c r="F1504" s="37" t="s">
        <v>2398</v>
      </c>
      <c r="G1504" s="14">
        <v>10</v>
      </c>
      <c r="H1504" s="569"/>
      <c r="I1504" s="55" t="s">
        <v>1720</v>
      </c>
      <c r="J1504" s="14">
        <f>G1504*AO1504</f>
        <v>0</v>
      </c>
      <c r="K1504" s="14">
        <f>G1504*AP1504</f>
        <v>0</v>
      </c>
      <c r="L1504" s="14">
        <f>G1504*H1504</f>
        <v>0</v>
      </c>
      <c r="M1504" s="14">
        <f>L1504*(1+BW1504/100)</f>
        <v>0</v>
      </c>
      <c r="N1504" s="14">
        <v>0.215</v>
      </c>
      <c r="O1504" s="14">
        <f>G1504*N1504</f>
        <v>2.15</v>
      </c>
      <c r="P1504" s="72" t="s">
        <v>1664</v>
      </c>
      <c r="Z1504" s="14">
        <f>IF(AQ1504="5",BJ1504,0)</f>
        <v>0</v>
      </c>
      <c r="AB1504" s="14">
        <f>IF(AQ1504="1",BH1504,0)</f>
        <v>0</v>
      </c>
      <c r="AC1504" s="14">
        <f>IF(AQ1504="1",BI1504,0)</f>
        <v>0</v>
      </c>
      <c r="AD1504" s="14">
        <f>IF(AQ1504="7",BH1504,0)</f>
        <v>0</v>
      </c>
      <c r="AE1504" s="14">
        <f>IF(AQ1504="7",BI1504,0)</f>
        <v>0</v>
      </c>
      <c r="AF1504" s="14">
        <f>IF(AQ1504="2",BH1504,0)</f>
        <v>0</v>
      </c>
      <c r="AG1504" s="14">
        <f>IF(AQ1504="2",BI1504,0)</f>
        <v>0</v>
      </c>
      <c r="AH1504" s="14">
        <f>IF(AQ1504="0",BJ1504,0)</f>
        <v>0</v>
      </c>
      <c r="AI1504" s="15" t="s">
        <v>128</v>
      </c>
      <c r="AJ1504" s="14">
        <f>IF(AN1504=0,L1504,0)</f>
        <v>0</v>
      </c>
      <c r="AK1504" s="14">
        <f>IF(AN1504=15,L1504,0)</f>
        <v>0</v>
      </c>
      <c r="AL1504" s="14">
        <f>IF(AN1504=21,L1504,0)</f>
        <v>0</v>
      </c>
      <c r="AN1504" s="14">
        <v>21</v>
      </c>
      <c r="AO1504" s="92">
        <f>H1504*0.783663904929283</f>
        <v>0</v>
      </c>
      <c r="AP1504" s="92">
        <f>H1504*(1-0.783663904929283)</f>
        <v>0</v>
      </c>
      <c r="AQ1504" s="55" t="s">
        <v>2422</v>
      </c>
      <c r="AV1504" s="14">
        <f>AW1504+AX1504</f>
        <v>0</v>
      </c>
      <c r="AW1504" s="14">
        <f>G1504*AO1504</f>
        <v>0</v>
      </c>
      <c r="AX1504" s="14">
        <f>G1504*AP1504</f>
        <v>0</v>
      </c>
      <c r="AY1504" s="55" t="s">
        <v>2562</v>
      </c>
      <c r="AZ1504" s="55" t="s">
        <v>1920</v>
      </c>
      <c r="BA1504" s="15" t="s">
        <v>325</v>
      </c>
      <c r="BC1504" s="14">
        <f>AW1504+AX1504</f>
        <v>0</v>
      </c>
      <c r="BD1504" s="14">
        <f>H1504/(100-BE1504)*100</f>
        <v>0</v>
      </c>
      <c r="BE1504" s="14">
        <v>0</v>
      </c>
      <c r="BF1504" s="14">
        <f>O1504</f>
        <v>2.15</v>
      </c>
      <c r="BH1504" s="14">
        <f>G1504*AO1504</f>
        <v>0</v>
      </c>
      <c r="BI1504" s="14">
        <f>G1504*AP1504</f>
        <v>0</v>
      </c>
      <c r="BJ1504" s="14">
        <f>G1504*H1504</f>
        <v>0</v>
      </c>
      <c r="BK1504" s="14"/>
      <c r="BL1504" s="14">
        <v>56</v>
      </c>
      <c r="BW1504" s="14" t="str">
        <f>I1504</f>
        <v>21</v>
      </c>
    </row>
    <row r="1505" spans="1:75" ht="15" customHeight="1">
      <c r="A1505" s="32"/>
      <c r="D1505" s="3" t="s">
        <v>1416</v>
      </c>
      <c r="E1505" s="28" t="s">
        <v>1683</v>
      </c>
      <c r="G1505" s="27">
        <v>10</v>
      </c>
      <c r="P1505" s="33"/>
    </row>
    <row r="1506" spans="1:75" ht="13.5" customHeight="1">
      <c r="A1506" s="21" t="s">
        <v>2601</v>
      </c>
      <c r="B1506" s="37" t="s">
        <v>128</v>
      </c>
      <c r="C1506" s="37" t="s">
        <v>140</v>
      </c>
      <c r="D1506" s="578" t="s">
        <v>974</v>
      </c>
      <c r="E1506" s="579"/>
      <c r="F1506" s="37" t="s">
        <v>2398</v>
      </c>
      <c r="G1506" s="14">
        <v>10</v>
      </c>
      <c r="H1506" s="569"/>
      <c r="I1506" s="55" t="s">
        <v>1720</v>
      </c>
      <c r="J1506" s="14">
        <f>G1506*AO1506</f>
        <v>0</v>
      </c>
      <c r="K1506" s="14">
        <f>G1506*AP1506</f>
        <v>0</v>
      </c>
      <c r="L1506" s="14">
        <f>G1506*H1506</f>
        <v>0</v>
      </c>
      <c r="M1506" s="14">
        <f>L1506*(1+BW1506/100)</f>
        <v>0</v>
      </c>
      <c r="N1506" s="14">
        <v>0.43</v>
      </c>
      <c r="O1506" s="14">
        <f>G1506*N1506</f>
        <v>4.3</v>
      </c>
      <c r="P1506" s="72" t="s">
        <v>1664</v>
      </c>
      <c r="Z1506" s="14">
        <f>IF(AQ1506="5",BJ1506,0)</f>
        <v>0</v>
      </c>
      <c r="AB1506" s="14">
        <f>IF(AQ1506="1",BH1506,0)</f>
        <v>0</v>
      </c>
      <c r="AC1506" s="14">
        <f>IF(AQ1506="1",BI1506,0)</f>
        <v>0</v>
      </c>
      <c r="AD1506" s="14">
        <f>IF(AQ1506="7",BH1506,0)</f>
        <v>0</v>
      </c>
      <c r="AE1506" s="14">
        <f>IF(AQ1506="7",BI1506,0)</f>
        <v>0</v>
      </c>
      <c r="AF1506" s="14">
        <f>IF(AQ1506="2",BH1506,0)</f>
        <v>0</v>
      </c>
      <c r="AG1506" s="14">
        <f>IF(AQ1506="2",BI1506,0)</f>
        <v>0</v>
      </c>
      <c r="AH1506" s="14">
        <f>IF(AQ1506="0",BJ1506,0)</f>
        <v>0</v>
      </c>
      <c r="AI1506" s="15" t="s">
        <v>128</v>
      </c>
      <c r="AJ1506" s="14">
        <f>IF(AN1506=0,L1506,0)</f>
        <v>0</v>
      </c>
      <c r="AK1506" s="14">
        <f>IF(AN1506=15,L1506,0)</f>
        <v>0</v>
      </c>
      <c r="AL1506" s="14">
        <f>IF(AN1506=21,L1506,0)</f>
        <v>0</v>
      </c>
      <c r="AN1506" s="14">
        <v>21</v>
      </c>
      <c r="AO1506" s="92">
        <f>H1506*0.880467207260199</f>
        <v>0</v>
      </c>
      <c r="AP1506" s="92">
        <f>H1506*(1-0.880467207260199)</f>
        <v>0</v>
      </c>
      <c r="AQ1506" s="55" t="s">
        <v>2422</v>
      </c>
      <c r="AV1506" s="14">
        <f>AW1506+AX1506</f>
        <v>0</v>
      </c>
      <c r="AW1506" s="14">
        <f>G1506*AO1506</f>
        <v>0</v>
      </c>
      <c r="AX1506" s="14">
        <f>G1506*AP1506</f>
        <v>0</v>
      </c>
      <c r="AY1506" s="55" t="s">
        <v>2562</v>
      </c>
      <c r="AZ1506" s="55" t="s">
        <v>1920</v>
      </c>
      <c r="BA1506" s="15" t="s">
        <v>325</v>
      </c>
      <c r="BC1506" s="14">
        <f>AW1506+AX1506</f>
        <v>0</v>
      </c>
      <c r="BD1506" s="14">
        <f>H1506/(100-BE1506)*100</f>
        <v>0</v>
      </c>
      <c r="BE1506" s="14">
        <v>0</v>
      </c>
      <c r="BF1506" s="14">
        <f>O1506</f>
        <v>4.3</v>
      </c>
      <c r="BH1506" s="14">
        <f>G1506*AO1506</f>
        <v>0</v>
      </c>
      <c r="BI1506" s="14">
        <f>G1506*AP1506</f>
        <v>0</v>
      </c>
      <c r="BJ1506" s="14">
        <f>G1506*H1506</f>
        <v>0</v>
      </c>
      <c r="BK1506" s="14"/>
      <c r="BL1506" s="14">
        <v>56</v>
      </c>
      <c r="BW1506" s="14" t="str">
        <f>I1506</f>
        <v>21</v>
      </c>
    </row>
    <row r="1507" spans="1:75" ht="15" customHeight="1">
      <c r="A1507" s="32"/>
      <c r="D1507" s="3" t="s">
        <v>1416</v>
      </c>
      <c r="E1507" s="28" t="s">
        <v>1683</v>
      </c>
      <c r="G1507" s="27">
        <v>10</v>
      </c>
      <c r="P1507" s="33"/>
    </row>
    <row r="1508" spans="1:75" ht="15" customHeight="1">
      <c r="A1508" s="65" t="s">
        <v>1683</v>
      </c>
      <c r="B1508" s="26" t="s">
        <v>128</v>
      </c>
      <c r="C1508" s="26" t="s">
        <v>2315</v>
      </c>
      <c r="D1508" s="649" t="s">
        <v>1232</v>
      </c>
      <c r="E1508" s="650"/>
      <c r="F1508" s="74" t="s">
        <v>2262</v>
      </c>
      <c r="G1508" s="74" t="s">
        <v>2262</v>
      </c>
      <c r="H1508" s="74" t="s">
        <v>2262</v>
      </c>
      <c r="I1508" s="74" t="s">
        <v>2262</v>
      </c>
      <c r="J1508" s="2">
        <f>SUM(J1509:J1513)</f>
        <v>0</v>
      </c>
      <c r="K1508" s="2">
        <f>SUM(K1509:K1513)</f>
        <v>0</v>
      </c>
      <c r="L1508" s="2">
        <f>SUM(L1509:L1513)</f>
        <v>0</v>
      </c>
      <c r="M1508" s="2">
        <f>SUM(M1509:M1513)</f>
        <v>0</v>
      </c>
      <c r="N1508" s="15" t="s">
        <v>1683</v>
      </c>
      <c r="O1508" s="2">
        <f>SUM(O1509:O1513)</f>
        <v>7.0271999999999997</v>
      </c>
      <c r="P1508" s="47" t="s">
        <v>1683</v>
      </c>
      <c r="AI1508" s="15" t="s">
        <v>128</v>
      </c>
      <c r="AS1508" s="2">
        <f>SUM(AJ1509:AJ1513)</f>
        <v>0</v>
      </c>
      <c r="AT1508" s="2">
        <f>SUM(AK1509:AK1513)</f>
        <v>0</v>
      </c>
      <c r="AU1508" s="2">
        <f>SUM(AL1509:AL1513)</f>
        <v>0</v>
      </c>
    </row>
    <row r="1509" spans="1:75" ht="13.5" customHeight="1">
      <c r="A1509" s="21" t="s">
        <v>846</v>
      </c>
      <c r="B1509" s="37" t="s">
        <v>128</v>
      </c>
      <c r="C1509" s="37" t="s">
        <v>1167</v>
      </c>
      <c r="D1509" s="578" t="s">
        <v>452</v>
      </c>
      <c r="E1509" s="579"/>
      <c r="F1509" s="37" t="s">
        <v>2398</v>
      </c>
      <c r="G1509" s="14">
        <v>15</v>
      </c>
      <c r="H1509" s="569"/>
      <c r="I1509" s="55" t="s">
        <v>1720</v>
      </c>
      <c r="J1509" s="14">
        <f>G1509*AO1509</f>
        <v>0</v>
      </c>
      <c r="K1509" s="14">
        <f>G1509*AP1509</f>
        <v>0</v>
      </c>
      <c r="L1509" s="14">
        <f>G1509*H1509</f>
        <v>0</v>
      </c>
      <c r="M1509" s="14">
        <f>L1509*(1+BW1509/100)</f>
        <v>0</v>
      </c>
      <c r="N1509" s="14">
        <v>0.18151999999999999</v>
      </c>
      <c r="O1509" s="14">
        <f>G1509*N1509</f>
        <v>2.7227999999999999</v>
      </c>
      <c r="P1509" s="72" t="s">
        <v>1664</v>
      </c>
      <c r="Z1509" s="14">
        <f>IF(AQ1509="5",BJ1509,0)</f>
        <v>0</v>
      </c>
      <c r="AB1509" s="14">
        <f>IF(AQ1509="1",BH1509,0)</f>
        <v>0</v>
      </c>
      <c r="AC1509" s="14">
        <f>IF(AQ1509="1",BI1509,0)</f>
        <v>0</v>
      </c>
      <c r="AD1509" s="14">
        <f>IF(AQ1509="7",BH1509,0)</f>
        <v>0</v>
      </c>
      <c r="AE1509" s="14">
        <f>IF(AQ1509="7",BI1509,0)</f>
        <v>0</v>
      </c>
      <c r="AF1509" s="14">
        <f>IF(AQ1509="2",BH1509,0)</f>
        <v>0</v>
      </c>
      <c r="AG1509" s="14">
        <f>IF(AQ1509="2",BI1509,0)</f>
        <v>0</v>
      </c>
      <c r="AH1509" s="14">
        <f>IF(AQ1509="0",BJ1509,0)</f>
        <v>0</v>
      </c>
      <c r="AI1509" s="15" t="s">
        <v>128</v>
      </c>
      <c r="AJ1509" s="14">
        <f>IF(AN1509=0,L1509,0)</f>
        <v>0</v>
      </c>
      <c r="AK1509" s="14">
        <f>IF(AN1509=15,L1509,0)</f>
        <v>0</v>
      </c>
      <c r="AL1509" s="14">
        <f>IF(AN1509=21,L1509,0)</f>
        <v>0</v>
      </c>
      <c r="AN1509" s="14">
        <v>21</v>
      </c>
      <c r="AO1509" s="92">
        <f>H1509*0.602332808058792</f>
        <v>0</v>
      </c>
      <c r="AP1509" s="92">
        <f>H1509*(1-0.602332808058792)</f>
        <v>0</v>
      </c>
      <c r="AQ1509" s="55" t="s">
        <v>2422</v>
      </c>
      <c r="AV1509" s="14">
        <f>AW1509+AX1509</f>
        <v>0</v>
      </c>
      <c r="AW1509" s="14">
        <f>G1509*AO1509</f>
        <v>0</v>
      </c>
      <c r="AX1509" s="14">
        <f>G1509*AP1509</f>
        <v>0</v>
      </c>
      <c r="AY1509" s="55" t="s">
        <v>973</v>
      </c>
      <c r="AZ1509" s="55" t="s">
        <v>1920</v>
      </c>
      <c r="BA1509" s="15" t="s">
        <v>325</v>
      </c>
      <c r="BC1509" s="14">
        <f>AW1509+AX1509</f>
        <v>0</v>
      </c>
      <c r="BD1509" s="14">
        <f>H1509/(100-BE1509)*100</f>
        <v>0</v>
      </c>
      <c r="BE1509" s="14">
        <v>0</v>
      </c>
      <c r="BF1509" s="14">
        <f>O1509</f>
        <v>2.7227999999999999</v>
      </c>
      <c r="BH1509" s="14">
        <f>G1509*AO1509</f>
        <v>0</v>
      </c>
      <c r="BI1509" s="14">
        <f>G1509*AP1509</f>
        <v>0</v>
      </c>
      <c r="BJ1509" s="14">
        <f>G1509*H1509</f>
        <v>0</v>
      </c>
      <c r="BK1509" s="14"/>
      <c r="BL1509" s="14">
        <v>57</v>
      </c>
      <c r="BW1509" s="14" t="str">
        <f>I1509</f>
        <v>21</v>
      </c>
    </row>
    <row r="1510" spans="1:75" ht="15" customHeight="1">
      <c r="A1510" s="32"/>
      <c r="D1510" s="3" t="s">
        <v>957</v>
      </c>
      <c r="E1510" s="28" t="s">
        <v>1683</v>
      </c>
      <c r="G1510" s="27">
        <v>15.000000000000002</v>
      </c>
      <c r="P1510" s="33"/>
    </row>
    <row r="1511" spans="1:75" ht="13.5" customHeight="1">
      <c r="A1511" s="21" t="s">
        <v>2624</v>
      </c>
      <c r="B1511" s="37" t="s">
        <v>128</v>
      </c>
      <c r="C1511" s="37" t="s">
        <v>2771</v>
      </c>
      <c r="D1511" s="578" t="s">
        <v>1493</v>
      </c>
      <c r="E1511" s="579"/>
      <c r="F1511" s="37" t="s">
        <v>2398</v>
      </c>
      <c r="G1511" s="14">
        <v>15</v>
      </c>
      <c r="H1511" s="569"/>
      <c r="I1511" s="55" t="s">
        <v>1720</v>
      </c>
      <c r="J1511" s="14">
        <f>G1511*AO1511</f>
        <v>0</v>
      </c>
      <c r="K1511" s="14">
        <f>G1511*AP1511</f>
        <v>0</v>
      </c>
      <c r="L1511" s="14">
        <f>G1511*H1511</f>
        <v>0</v>
      </c>
      <c r="M1511" s="14">
        <f>L1511*(1+BW1511/100)</f>
        <v>0</v>
      </c>
      <c r="N1511" s="14">
        <v>0.12966</v>
      </c>
      <c r="O1511" s="14">
        <f>G1511*N1511</f>
        <v>1.9449000000000001</v>
      </c>
      <c r="P1511" s="72" t="s">
        <v>1664</v>
      </c>
      <c r="Z1511" s="14">
        <f>IF(AQ1511="5",BJ1511,0)</f>
        <v>0</v>
      </c>
      <c r="AB1511" s="14">
        <f>IF(AQ1511="1",BH1511,0)</f>
        <v>0</v>
      </c>
      <c r="AC1511" s="14">
        <f>IF(AQ1511="1",BI1511,0)</f>
        <v>0</v>
      </c>
      <c r="AD1511" s="14">
        <f>IF(AQ1511="7",BH1511,0)</f>
        <v>0</v>
      </c>
      <c r="AE1511" s="14">
        <f>IF(AQ1511="7",BI1511,0)</f>
        <v>0</v>
      </c>
      <c r="AF1511" s="14">
        <f>IF(AQ1511="2",BH1511,0)</f>
        <v>0</v>
      </c>
      <c r="AG1511" s="14">
        <f>IF(AQ1511="2",BI1511,0)</f>
        <v>0</v>
      </c>
      <c r="AH1511" s="14">
        <f>IF(AQ1511="0",BJ1511,0)</f>
        <v>0</v>
      </c>
      <c r="AI1511" s="15" t="s">
        <v>128</v>
      </c>
      <c r="AJ1511" s="14">
        <f>IF(AN1511=0,L1511,0)</f>
        <v>0</v>
      </c>
      <c r="AK1511" s="14">
        <f>IF(AN1511=15,L1511,0)</f>
        <v>0</v>
      </c>
      <c r="AL1511" s="14">
        <f>IF(AN1511=21,L1511,0)</f>
        <v>0</v>
      </c>
      <c r="AN1511" s="14">
        <v>21</v>
      </c>
      <c r="AO1511" s="92">
        <f>H1511*0.602011952191235</f>
        <v>0</v>
      </c>
      <c r="AP1511" s="92">
        <f>H1511*(1-0.602011952191235)</f>
        <v>0</v>
      </c>
      <c r="AQ1511" s="55" t="s">
        <v>2422</v>
      </c>
      <c r="AV1511" s="14">
        <f>AW1511+AX1511</f>
        <v>0</v>
      </c>
      <c r="AW1511" s="14">
        <f>G1511*AO1511</f>
        <v>0</v>
      </c>
      <c r="AX1511" s="14">
        <f>G1511*AP1511</f>
        <v>0</v>
      </c>
      <c r="AY1511" s="55" t="s">
        <v>973</v>
      </c>
      <c r="AZ1511" s="55" t="s">
        <v>1920</v>
      </c>
      <c r="BA1511" s="15" t="s">
        <v>325</v>
      </c>
      <c r="BC1511" s="14">
        <f>AW1511+AX1511</f>
        <v>0</v>
      </c>
      <c r="BD1511" s="14">
        <f>H1511/(100-BE1511)*100</f>
        <v>0</v>
      </c>
      <c r="BE1511" s="14">
        <v>0</v>
      </c>
      <c r="BF1511" s="14">
        <f>O1511</f>
        <v>1.9449000000000001</v>
      </c>
      <c r="BH1511" s="14">
        <f>G1511*AO1511</f>
        <v>0</v>
      </c>
      <c r="BI1511" s="14">
        <f>G1511*AP1511</f>
        <v>0</v>
      </c>
      <c r="BJ1511" s="14">
        <f>G1511*H1511</f>
        <v>0</v>
      </c>
      <c r="BK1511" s="14"/>
      <c r="BL1511" s="14">
        <v>57</v>
      </c>
      <c r="BW1511" s="14" t="str">
        <f>I1511</f>
        <v>21</v>
      </c>
    </row>
    <row r="1512" spans="1:75" ht="15" customHeight="1">
      <c r="A1512" s="32"/>
      <c r="D1512" s="3" t="s">
        <v>957</v>
      </c>
      <c r="E1512" s="28" t="s">
        <v>1683</v>
      </c>
      <c r="G1512" s="27">
        <v>15.000000000000002</v>
      </c>
      <c r="P1512" s="33"/>
    </row>
    <row r="1513" spans="1:75" ht="13.5" customHeight="1">
      <c r="A1513" s="21" t="s">
        <v>94</v>
      </c>
      <c r="B1513" s="37" t="s">
        <v>128</v>
      </c>
      <c r="C1513" s="37" t="s">
        <v>876</v>
      </c>
      <c r="D1513" s="578" t="s">
        <v>2209</v>
      </c>
      <c r="E1513" s="579"/>
      <c r="F1513" s="37" t="s">
        <v>2398</v>
      </c>
      <c r="G1513" s="14">
        <v>13</v>
      </c>
      <c r="H1513" s="569"/>
      <c r="I1513" s="55" t="s">
        <v>1720</v>
      </c>
      <c r="J1513" s="14">
        <f>G1513*AO1513</f>
        <v>0</v>
      </c>
      <c r="K1513" s="14">
        <f>G1513*AP1513</f>
        <v>0</v>
      </c>
      <c r="L1513" s="14">
        <f>G1513*H1513</f>
        <v>0</v>
      </c>
      <c r="M1513" s="14">
        <f>L1513*(1+BW1513/100)</f>
        <v>0</v>
      </c>
      <c r="N1513" s="14">
        <v>0.18149999999999999</v>
      </c>
      <c r="O1513" s="14">
        <f>G1513*N1513</f>
        <v>2.3594999999999997</v>
      </c>
      <c r="P1513" s="72" t="s">
        <v>1664</v>
      </c>
      <c r="Z1513" s="14">
        <f>IF(AQ1513="5",BJ1513,0)</f>
        <v>0</v>
      </c>
      <c r="AB1513" s="14">
        <f>IF(AQ1513="1",BH1513,0)</f>
        <v>0</v>
      </c>
      <c r="AC1513" s="14">
        <f>IF(AQ1513="1",BI1513,0)</f>
        <v>0</v>
      </c>
      <c r="AD1513" s="14">
        <f>IF(AQ1513="7",BH1513,0)</f>
        <v>0</v>
      </c>
      <c r="AE1513" s="14">
        <f>IF(AQ1513="7",BI1513,0)</f>
        <v>0</v>
      </c>
      <c r="AF1513" s="14">
        <f>IF(AQ1513="2",BH1513,0)</f>
        <v>0</v>
      </c>
      <c r="AG1513" s="14">
        <f>IF(AQ1513="2",BI1513,0)</f>
        <v>0</v>
      </c>
      <c r="AH1513" s="14">
        <f>IF(AQ1513="0",BJ1513,0)</f>
        <v>0</v>
      </c>
      <c r="AI1513" s="15" t="s">
        <v>128</v>
      </c>
      <c r="AJ1513" s="14">
        <f>IF(AN1513=0,L1513,0)</f>
        <v>0</v>
      </c>
      <c r="AK1513" s="14">
        <f>IF(AN1513=15,L1513,0)</f>
        <v>0</v>
      </c>
      <c r="AL1513" s="14">
        <f>IF(AN1513=21,L1513,0)</f>
        <v>0</v>
      </c>
      <c r="AN1513" s="14">
        <v>21</v>
      </c>
      <c r="AO1513" s="92">
        <f>H1513*0.287402135231317</f>
        <v>0</v>
      </c>
      <c r="AP1513" s="92">
        <f>H1513*(1-0.287402135231317)</f>
        <v>0</v>
      </c>
      <c r="AQ1513" s="55" t="s">
        <v>2422</v>
      </c>
      <c r="AV1513" s="14">
        <f>AW1513+AX1513</f>
        <v>0</v>
      </c>
      <c r="AW1513" s="14">
        <f>G1513*AO1513</f>
        <v>0</v>
      </c>
      <c r="AX1513" s="14">
        <f>G1513*AP1513</f>
        <v>0</v>
      </c>
      <c r="AY1513" s="55" t="s">
        <v>973</v>
      </c>
      <c r="AZ1513" s="55" t="s">
        <v>1920</v>
      </c>
      <c r="BA1513" s="15" t="s">
        <v>325</v>
      </c>
      <c r="BC1513" s="14">
        <f>AW1513+AX1513</f>
        <v>0</v>
      </c>
      <c r="BD1513" s="14">
        <f>H1513/(100-BE1513)*100</f>
        <v>0</v>
      </c>
      <c r="BE1513" s="14">
        <v>0</v>
      </c>
      <c r="BF1513" s="14">
        <f>O1513</f>
        <v>2.3594999999999997</v>
      </c>
      <c r="BH1513" s="14">
        <f>G1513*AO1513</f>
        <v>0</v>
      </c>
      <c r="BI1513" s="14">
        <f>G1513*AP1513</f>
        <v>0</v>
      </c>
      <c r="BJ1513" s="14">
        <f>G1513*H1513</f>
        <v>0</v>
      </c>
      <c r="BK1513" s="14"/>
      <c r="BL1513" s="14">
        <v>57</v>
      </c>
      <c r="BW1513" s="14" t="str">
        <f>I1513</f>
        <v>21</v>
      </c>
    </row>
    <row r="1514" spans="1:75" ht="15" customHeight="1">
      <c r="A1514" s="32"/>
      <c r="D1514" s="3" t="s">
        <v>705</v>
      </c>
      <c r="E1514" s="28" t="s">
        <v>998</v>
      </c>
      <c r="G1514" s="27">
        <v>13.000000000000002</v>
      </c>
      <c r="P1514" s="33"/>
    </row>
    <row r="1515" spans="1:75" ht="15" customHeight="1">
      <c r="A1515" s="65" t="s">
        <v>1683</v>
      </c>
      <c r="B1515" s="26" t="s">
        <v>128</v>
      </c>
      <c r="C1515" s="26" t="s">
        <v>2204</v>
      </c>
      <c r="D1515" s="649" t="s">
        <v>1502</v>
      </c>
      <c r="E1515" s="650"/>
      <c r="F1515" s="74" t="s">
        <v>2262</v>
      </c>
      <c r="G1515" s="74" t="s">
        <v>2262</v>
      </c>
      <c r="H1515" s="74" t="s">
        <v>2262</v>
      </c>
      <c r="I1515" s="74" t="s">
        <v>2262</v>
      </c>
      <c r="J1515" s="2">
        <f>SUM(J1516:J1518)</f>
        <v>0</v>
      </c>
      <c r="K1515" s="2">
        <f>SUM(K1516:K1518)</f>
        <v>0</v>
      </c>
      <c r="L1515" s="2">
        <f>SUM(L1516:L1518)</f>
        <v>0</v>
      </c>
      <c r="M1515" s="2">
        <f>SUM(M1516:M1518)</f>
        <v>0</v>
      </c>
      <c r="N1515" s="15" t="s">
        <v>1683</v>
      </c>
      <c r="O1515" s="2">
        <f>SUM(O1516:O1518)</f>
        <v>1.711E-2</v>
      </c>
      <c r="P1515" s="47" t="s">
        <v>1683</v>
      </c>
      <c r="AI1515" s="15" t="s">
        <v>128</v>
      </c>
      <c r="AS1515" s="2">
        <f>SUM(AJ1516:AJ1518)</f>
        <v>0</v>
      </c>
      <c r="AT1515" s="2">
        <f>SUM(AK1516:AK1518)</f>
        <v>0</v>
      </c>
      <c r="AU1515" s="2">
        <f>SUM(AL1516:AL1518)</f>
        <v>0</v>
      </c>
    </row>
    <row r="1516" spans="1:75" ht="13.5" customHeight="1">
      <c r="A1516" s="21" t="s">
        <v>2277</v>
      </c>
      <c r="B1516" s="37" t="s">
        <v>128</v>
      </c>
      <c r="C1516" s="37" t="s">
        <v>1275</v>
      </c>
      <c r="D1516" s="578" t="s">
        <v>2311</v>
      </c>
      <c r="E1516" s="579"/>
      <c r="F1516" s="37" t="s">
        <v>595</v>
      </c>
      <c r="G1516" s="14">
        <v>1</v>
      </c>
      <c r="H1516" s="569"/>
      <c r="I1516" s="55" t="s">
        <v>1720</v>
      </c>
      <c r="J1516" s="14">
        <f>G1516*AO1516</f>
        <v>0</v>
      </c>
      <c r="K1516" s="14">
        <f>G1516*AP1516</f>
        <v>0</v>
      </c>
      <c r="L1516" s="14">
        <f>G1516*H1516</f>
        <v>0</v>
      </c>
      <c r="M1516" s="14">
        <f>L1516*(1+BW1516/100)</f>
        <v>0</v>
      </c>
      <c r="N1516" s="14">
        <v>1.6000000000000001E-3</v>
      </c>
      <c r="O1516" s="14">
        <f>G1516*N1516</f>
        <v>1.6000000000000001E-3</v>
      </c>
      <c r="P1516" s="72" t="s">
        <v>1664</v>
      </c>
      <c r="Z1516" s="14">
        <f>IF(AQ1516="5",BJ1516,0)</f>
        <v>0</v>
      </c>
      <c r="AB1516" s="14">
        <f>IF(AQ1516="1",BH1516,0)</f>
        <v>0</v>
      </c>
      <c r="AC1516" s="14">
        <f>IF(AQ1516="1",BI1516,0)</f>
        <v>0</v>
      </c>
      <c r="AD1516" s="14">
        <f>IF(AQ1516="7",BH1516,0)</f>
        <v>0</v>
      </c>
      <c r="AE1516" s="14">
        <f>IF(AQ1516="7",BI1516,0)</f>
        <v>0</v>
      </c>
      <c r="AF1516" s="14">
        <f>IF(AQ1516="2",BH1516,0)</f>
        <v>0</v>
      </c>
      <c r="AG1516" s="14">
        <f>IF(AQ1516="2",BI1516,0)</f>
        <v>0</v>
      </c>
      <c r="AH1516" s="14">
        <f>IF(AQ1516="0",BJ1516,0)</f>
        <v>0</v>
      </c>
      <c r="AI1516" s="15" t="s">
        <v>128</v>
      </c>
      <c r="AJ1516" s="14">
        <f>IF(AN1516=0,L1516,0)</f>
        <v>0</v>
      </c>
      <c r="AK1516" s="14">
        <f>IF(AN1516=15,L1516,0)</f>
        <v>0</v>
      </c>
      <c r="AL1516" s="14">
        <f>IF(AN1516=21,L1516,0)</f>
        <v>0</v>
      </c>
      <c r="AN1516" s="14">
        <v>21</v>
      </c>
      <c r="AO1516" s="92">
        <f>H1516*0.975291899441341</f>
        <v>0</v>
      </c>
      <c r="AP1516" s="92">
        <f>H1516*(1-0.975291899441341)</f>
        <v>0</v>
      </c>
      <c r="AQ1516" s="55" t="s">
        <v>2435</v>
      </c>
      <c r="AV1516" s="14">
        <f>AW1516+AX1516</f>
        <v>0</v>
      </c>
      <c r="AW1516" s="14">
        <f>G1516*AO1516</f>
        <v>0</v>
      </c>
      <c r="AX1516" s="14">
        <f>G1516*AP1516</f>
        <v>0</v>
      </c>
      <c r="AY1516" s="55" t="s">
        <v>1543</v>
      </c>
      <c r="AZ1516" s="55" t="s">
        <v>2781</v>
      </c>
      <c r="BA1516" s="15" t="s">
        <v>325</v>
      </c>
      <c r="BC1516" s="14">
        <f>AW1516+AX1516</f>
        <v>0</v>
      </c>
      <c r="BD1516" s="14">
        <f>H1516/(100-BE1516)*100</f>
        <v>0</v>
      </c>
      <c r="BE1516" s="14">
        <v>0</v>
      </c>
      <c r="BF1516" s="14">
        <f>O1516</f>
        <v>1.6000000000000001E-3</v>
      </c>
      <c r="BH1516" s="14">
        <f>G1516*AO1516</f>
        <v>0</v>
      </c>
      <c r="BI1516" s="14">
        <f>G1516*AP1516</f>
        <v>0</v>
      </c>
      <c r="BJ1516" s="14">
        <f>G1516*H1516</f>
        <v>0</v>
      </c>
      <c r="BK1516" s="14"/>
      <c r="BL1516" s="14">
        <v>722</v>
      </c>
      <c r="BW1516" s="14" t="str">
        <f>I1516</f>
        <v>21</v>
      </c>
    </row>
    <row r="1517" spans="1:75" ht="15" customHeight="1">
      <c r="A1517" s="32"/>
      <c r="D1517" s="3" t="s">
        <v>2422</v>
      </c>
      <c r="E1517" s="28" t="s">
        <v>1683</v>
      </c>
      <c r="G1517" s="27">
        <v>1</v>
      </c>
      <c r="P1517" s="33"/>
    </row>
    <row r="1518" spans="1:75" ht="13.5" customHeight="1">
      <c r="A1518" s="21" t="s">
        <v>459</v>
      </c>
      <c r="B1518" s="37" t="s">
        <v>128</v>
      </c>
      <c r="C1518" s="37" t="s">
        <v>767</v>
      </c>
      <c r="D1518" s="578" t="s">
        <v>464</v>
      </c>
      <c r="E1518" s="579"/>
      <c r="F1518" s="37" t="s">
        <v>595</v>
      </c>
      <c r="G1518" s="14">
        <v>1</v>
      </c>
      <c r="H1518" s="569"/>
      <c r="I1518" s="55" t="s">
        <v>1720</v>
      </c>
      <c r="J1518" s="14">
        <f>G1518*AO1518</f>
        <v>0</v>
      </c>
      <c r="K1518" s="14">
        <f>G1518*AP1518</f>
        <v>0</v>
      </c>
      <c r="L1518" s="14">
        <f>G1518*H1518</f>
        <v>0</v>
      </c>
      <c r="M1518" s="14">
        <f>L1518*(1+BW1518/100)</f>
        <v>0</v>
      </c>
      <c r="N1518" s="14">
        <v>1.5509999999999999E-2</v>
      </c>
      <c r="O1518" s="14">
        <f>G1518*N1518</f>
        <v>1.5509999999999999E-2</v>
      </c>
      <c r="P1518" s="72" t="s">
        <v>1664</v>
      </c>
      <c r="Z1518" s="14">
        <f>IF(AQ1518="5",BJ1518,0)</f>
        <v>0</v>
      </c>
      <c r="AB1518" s="14">
        <f>IF(AQ1518="1",BH1518,0)</f>
        <v>0</v>
      </c>
      <c r="AC1518" s="14">
        <f>IF(AQ1518="1",BI1518,0)</f>
        <v>0</v>
      </c>
      <c r="AD1518" s="14">
        <f>IF(AQ1518="7",BH1518,0)</f>
        <v>0</v>
      </c>
      <c r="AE1518" s="14">
        <f>IF(AQ1518="7",BI1518,0)</f>
        <v>0</v>
      </c>
      <c r="AF1518" s="14">
        <f>IF(AQ1518="2",BH1518,0)</f>
        <v>0</v>
      </c>
      <c r="AG1518" s="14">
        <f>IF(AQ1518="2",BI1518,0)</f>
        <v>0</v>
      </c>
      <c r="AH1518" s="14">
        <f>IF(AQ1518="0",BJ1518,0)</f>
        <v>0</v>
      </c>
      <c r="AI1518" s="15" t="s">
        <v>128</v>
      </c>
      <c r="AJ1518" s="14">
        <f>IF(AN1518=0,L1518,0)</f>
        <v>0</v>
      </c>
      <c r="AK1518" s="14">
        <f>IF(AN1518=15,L1518,0)</f>
        <v>0</v>
      </c>
      <c r="AL1518" s="14">
        <f>IF(AN1518=21,L1518,0)</f>
        <v>0</v>
      </c>
      <c r="AN1518" s="14">
        <v>21</v>
      </c>
      <c r="AO1518" s="92">
        <f>H1518*0.94201096932413</f>
        <v>0</v>
      </c>
      <c r="AP1518" s="92">
        <f>H1518*(1-0.94201096932413)</f>
        <v>0</v>
      </c>
      <c r="AQ1518" s="55" t="s">
        <v>2435</v>
      </c>
      <c r="AV1518" s="14">
        <f>AW1518+AX1518</f>
        <v>0</v>
      </c>
      <c r="AW1518" s="14">
        <f>G1518*AO1518</f>
        <v>0</v>
      </c>
      <c r="AX1518" s="14">
        <f>G1518*AP1518</f>
        <v>0</v>
      </c>
      <c r="AY1518" s="55" t="s">
        <v>1543</v>
      </c>
      <c r="AZ1518" s="55" t="s">
        <v>2781</v>
      </c>
      <c r="BA1518" s="15" t="s">
        <v>325</v>
      </c>
      <c r="BC1518" s="14">
        <f>AW1518+AX1518</f>
        <v>0</v>
      </c>
      <c r="BD1518" s="14">
        <f>H1518/(100-BE1518)*100</f>
        <v>0</v>
      </c>
      <c r="BE1518" s="14">
        <v>0</v>
      </c>
      <c r="BF1518" s="14">
        <f>O1518</f>
        <v>1.5509999999999999E-2</v>
      </c>
      <c r="BH1518" s="14">
        <f>G1518*AO1518</f>
        <v>0</v>
      </c>
      <c r="BI1518" s="14">
        <f>G1518*AP1518</f>
        <v>0</v>
      </c>
      <c r="BJ1518" s="14">
        <f>G1518*H1518</f>
        <v>0</v>
      </c>
      <c r="BK1518" s="14"/>
      <c r="BL1518" s="14">
        <v>722</v>
      </c>
      <c r="BW1518" s="14" t="str">
        <f>I1518</f>
        <v>21</v>
      </c>
    </row>
    <row r="1519" spans="1:75" ht="15" customHeight="1">
      <c r="A1519" s="32"/>
      <c r="D1519" s="3" t="s">
        <v>2422</v>
      </c>
      <c r="E1519" s="28" t="s">
        <v>1683</v>
      </c>
      <c r="G1519" s="27">
        <v>1</v>
      </c>
      <c r="P1519" s="33"/>
    </row>
    <row r="1520" spans="1:75" ht="15" customHeight="1">
      <c r="A1520" s="65" t="s">
        <v>1683</v>
      </c>
      <c r="B1520" s="26" t="s">
        <v>128</v>
      </c>
      <c r="C1520" s="26" t="s">
        <v>111</v>
      </c>
      <c r="D1520" s="649" t="s">
        <v>189</v>
      </c>
      <c r="E1520" s="650"/>
      <c r="F1520" s="74" t="s">
        <v>2262</v>
      </c>
      <c r="G1520" s="74" t="s">
        <v>2262</v>
      </c>
      <c r="H1520" s="74" t="s">
        <v>2262</v>
      </c>
      <c r="I1520" s="74" t="s">
        <v>2262</v>
      </c>
      <c r="J1520" s="2">
        <f>SUM(J1521:J1528)</f>
        <v>0</v>
      </c>
      <c r="K1520" s="2">
        <f>SUM(K1521:K1528)</f>
        <v>0</v>
      </c>
      <c r="L1520" s="2">
        <f>SUM(L1521:L1528)</f>
        <v>0</v>
      </c>
      <c r="M1520" s="2">
        <f>SUM(M1521:M1528)</f>
        <v>0</v>
      </c>
      <c r="N1520" s="15" t="s">
        <v>1683</v>
      </c>
      <c r="O1520" s="2">
        <f>SUM(O1521:O1528)</f>
        <v>3.1916E-2</v>
      </c>
      <c r="P1520" s="47" t="s">
        <v>1683</v>
      </c>
      <c r="AI1520" s="15" t="s">
        <v>128</v>
      </c>
      <c r="AS1520" s="2">
        <f>SUM(AJ1521:AJ1528)</f>
        <v>0</v>
      </c>
      <c r="AT1520" s="2">
        <f>SUM(AK1521:AK1528)</f>
        <v>0</v>
      </c>
      <c r="AU1520" s="2">
        <f>SUM(AL1521:AL1528)</f>
        <v>0</v>
      </c>
    </row>
    <row r="1521" spans="1:75" ht="13.5" customHeight="1">
      <c r="A1521" s="21" t="s">
        <v>1594</v>
      </c>
      <c r="B1521" s="37" t="s">
        <v>128</v>
      </c>
      <c r="C1521" s="37" t="s">
        <v>1437</v>
      </c>
      <c r="D1521" s="578" t="s">
        <v>2127</v>
      </c>
      <c r="E1521" s="579"/>
      <c r="F1521" s="37" t="s">
        <v>2019</v>
      </c>
      <c r="G1521" s="14">
        <v>18</v>
      </c>
      <c r="H1521" s="569"/>
      <c r="I1521" s="55" t="s">
        <v>1720</v>
      </c>
      <c r="J1521" s="14">
        <f>G1521*AO1521</f>
        <v>0</v>
      </c>
      <c r="K1521" s="14">
        <f>G1521*AP1521</f>
        <v>0</v>
      </c>
      <c r="L1521" s="14">
        <f>G1521*H1521</f>
        <v>0</v>
      </c>
      <c r="M1521" s="14">
        <f>L1521*(1+BW1521/100)</f>
        <v>0</v>
      </c>
      <c r="N1521" s="14">
        <v>0</v>
      </c>
      <c r="O1521" s="14">
        <f>G1521*N1521</f>
        <v>0</v>
      </c>
      <c r="P1521" s="72" t="s">
        <v>1664</v>
      </c>
      <c r="Z1521" s="14">
        <f>IF(AQ1521="5",BJ1521,0)</f>
        <v>0</v>
      </c>
      <c r="AB1521" s="14">
        <f>IF(AQ1521="1",BH1521,0)</f>
        <v>0</v>
      </c>
      <c r="AC1521" s="14">
        <f>IF(AQ1521="1",BI1521,0)</f>
        <v>0</v>
      </c>
      <c r="AD1521" s="14">
        <f>IF(AQ1521="7",BH1521,0)</f>
        <v>0</v>
      </c>
      <c r="AE1521" s="14">
        <f>IF(AQ1521="7",BI1521,0)</f>
        <v>0</v>
      </c>
      <c r="AF1521" s="14">
        <f>IF(AQ1521="2",BH1521,0)</f>
        <v>0</v>
      </c>
      <c r="AG1521" s="14">
        <f>IF(AQ1521="2",BI1521,0)</f>
        <v>0</v>
      </c>
      <c r="AH1521" s="14">
        <f>IF(AQ1521="0",BJ1521,0)</f>
        <v>0</v>
      </c>
      <c r="AI1521" s="15" t="s">
        <v>128</v>
      </c>
      <c r="AJ1521" s="14">
        <f>IF(AN1521=0,L1521,0)</f>
        <v>0</v>
      </c>
      <c r="AK1521" s="14">
        <f>IF(AN1521=15,L1521,0)</f>
        <v>0</v>
      </c>
      <c r="AL1521" s="14">
        <f>IF(AN1521=21,L1521,0)</f>
        <v>0</v>
      </c>
      <c r="AN1521" s="14">
        <v>21</v>
      </c>
      <c r="AO1521" s="92">
        <f>H1521*0</f>
        <v>0</v>
      </c>
      <c r="AP1521" s="92">
        <f>H1521*(1-0)</f>
        <v>0</v>
      </c>
      <c r="AQ1521" s="55" t="s">
        <v>2422</v>
      </c>
      <c r="AV1521" s="14">
        <f>AW1521+AX1521</f>
        <v>0</v>
      </c>
      <c r="AW1521" s="14">
        <f>G1521*AO1521</f>
        <v>0</v>
      </c>
      <c r="AX1521" s="14">
        <f>G1521*AP1521</f>
        <v>0</v>
      </c>
      <c r="AY1521" s="55" t="s">
        <v>169</v>
      </c>
      <c r="AZ1521" s="55" t="s">
        <v>627</v>
      </c>
      <c r="BA1521" s="15" t="s">
        <v>325</v>
      </c>
      <c r="BC1521" s="14">
        <f>AW1521+AX1521</f>
        <v>0</v>
      </c>
      <c r="BD1521" s="14">
        <f>H1521/(100-BE1521)*100</f>
        <v>0</v>
      </c>
      <c r="BE1521" s="14">
        <v>0</v>
      </c>
      <c r="BF1521" s="14">
        <f>O1521</f>
        <v>0</v>
      </c>
      <c r="BH1521" s="14">
        <f>G1521*AO1521</f>
        <v>0</v>
      </c>
      <c r="BI1521" s="14">
        <f>G1521*AP1521</f>
        <v>0</v>
      </c>
      <c r="BJ1521" s="14">
        <f>G1521*H1521</f>
        <v>0</v>
      </c>
      <c r="BK1521" s="14"/>
      <c r="BL1521" s="14">
        <v>87</v>
      </c>
      <c r="BW1521" s="14" t="str">
        <f>I1521</f>
        <v>21</v>
      </c>
    </row>
    <row r="1522" spans="1:75" ht="15" customHeight="1">
      <c r="A1522" s="32"/>
      <c r="D1522" s="3" t="s">
        <v>1940</v>
      </c>
      <c r="E1522" s="28" t="s">
        <v>1683</v>
      </c>
      <c r="G1522" s="27">
        <v>18</v>
      </c>
      <c r="P1522" s="33"/>
    </row>
    <row r="1523" spans="1:75" ht="13.5" customHeight="1">
      <c r="A1523" s="20" t="s">
        <v>2336</v>
      </c>
      <c r="B1523" s="84" t="s">
        <v>128</v>
      </c>
      <c r="C1523" s="84" t="s">
        <v>147</v>
      </c>
      <c r="D1523" s="653" t="s">
        <v>1389</v>
      </c>
      <c r="E1523" s="654"/>
      <c r="F1523" s="84" t="s">
        <v>2019</v>
      </c>
      <c r="G1523" s="6">
        <v>19.8</v>
      </c>
      <c r="H1523" s="570"/>
      <c r="I1523" s="18" t="s">
        <v>1720</v>
      </c>
      <c r="J1523" s="6">
        <f>G1523*AO1523</f>
        <v>0</v>
      </c>
      <c r="K1523" s="6">
        <f>G1523*AP1523</f>
        <v>0</v>
      </c>
      <c r="L1523" s="6">
        <f>G1523*H1523</f>
        <v>0</v>
      </c>
      <c r="M1523" s="6">
        <f>L1523*(1+BW1523/100)</f>
        <v>0</v>
      </c>
      <c r="N1523" s="6">
        <v>1.47E-3</v>
      </c>
      <c r="O1523" s="6">
        <f>G1523*N1523</f>
        <v>2.9106E-2</v>
      </c>
      <c r="P1523" s="109" t="s">
        <v>1664</v>
      </c>
      <c r="Z1523" s="14">
        <f>IF(AQ1523="5",BJ1523,0)</f>
        <v>0</v>
      </c>
      <c r="AB1523" s="14">
        <f>IF(AQ1523="1",BH1523,0)</f>
        <v>0</v>
      </c>
      <c r="AC1523" s="14">
        <f>IF(AQ1523="1",BI1523,0)</f>
        <v>0</v>
      </c>
      <c r="AD1523" s="14">
        <f>IF(AQ1523="7",BH1523,0)</f>
        <v>0</v>
      </c>
      <c r="AE1523" s="14">
        <f>IF(AQ1523="7",BI1523,0)</f>
        <v>0</v>
      </c>
      <c r="AF1523" s="14">
        <f>IF(AQ1523="2",BH1523,0)</f>
        <v>0</v>
      </c>
      <c r="AG1523" s="14">
        <f>IF(AQ1523="2",BI1523,0)</f>
        <v>0</v>
      </c>
      <c r="AH1523" s="14">
        <f>IF(AQ1523="0",BJ1523,0)</f>
        <v>0</v>
      </c>
      <c r="AI1523" s="15" t="s">
        <v>128</v>
      </c>
      <c r="AJ1523" s="6">
        <f>IF(AN1523=0,L1523,0)</f>
        <v>0</v>
      </c>
      <c r="AK1523" s="6">
        <f>IF(AN1523=15,L1523,0)</f>
        <v>0</v>
      </c>
      <c r="AL1523" s="6">
        <f>IF(AN1523=21,L1523,0)</f>
        <v>0</v>
      </c>
      <c r="AN1523" s="14">
        <v>21</v>
      </c>
      <c r="AO1523" s="92">
        <f>H1523*1</f>
        <v>0</v>
      </c>
      <c r="AP1523" s="92">
        <f>H1523*(1-1)</f>
        <v>0</v>
      </c>
      <c r="AQ1523" s="18" t="s">
        <v>2422</v>
      </c>
      <c r="AV1523" s="14">
        <f>AW1523+AX1523</f>
        <v>0</v>
      </c>
      <c r="AW1523" s="14">
        <f>G1523*AO1523</f>
        <v>0</v>
      </c>
      <c r="AX1523" s="14">
        <f>G1523*AP1523</f>
        <v>0</v>
      </c>
      <c r="AY1523" s="55" t="s">
        <v>169</v>
      </c>
      <c r="AZ1523" s="55" t="s">
        <v>627</v>
      </c>
      <c r="BA1523" s="15" t="s">
        <v>325</v>
      </c>
      <c r="BC1523" s="14">
        <f>AW1523+AX1523</f>
        <v>0</v>
      </c>
      <c r="BD1523" s="14">
        <f>H1523/(100-BE1523)*100</f>
        <v>0</v>
      </c>
      <c r="BE1523" s="14">
        <v>0</v>
      </c>
      <c r="BF1523" s="14">
        <f>O1523</f>
        <v>2.9106E-2</v>
      </c>
      <c r="BH1523" s="6">
        <f>G1523*AO1523</f>
        <v>0</v>
      </c>
      <c r="BI1523" s="6">
        <f>G1523*AP1523</f>
        <v>0</v>
      </c>
      <c r="BJ1523" s="6">
        <f>G1523*H1523</f>
        <v>0</v>
      </c>
      <c r="BK1523" s="6"/>
      <c r="BL1523" s="14">
        <v>87</v>
      </c>
      <c r="BW1523" s="14" t="str">
        <f>I1523</f>
        <v>21</v>
      </c>
    </row>
    <row r="1524" spans="1:75" ht="15" customHeight="1">
      <c r="A1524" s="32"/>
      <c r="D1524" s="3" t="s">
        <v>1940</v>
      </c>
      <c r="E1524" s="28" t="s">
        <v>1683</v>
      </c>
      <c r="G1524" s="27">
        <v>18</v>
      </c>
      <c r="P1524" s="33"/>
    </row>
    <row r="1525" spans="1:75" ht="15" customHeight="1">
      <c r="A1525" s="32"/>
      <c r="D1525" s="3" t="s">
        <v>383</v>
      </c>
      <c r="E1525" s="28" t="s">
        <v>1683</v>
      </c>
      <c r="G1525" s="27">
        <v>1.8</v>
      </c>
      <c r="P1525" s="33"/>
    </row>
    <row r="1526" spans="1:75" ht="13.5" customHeight="1">
      <c r="A1526" s="21" t="s">
        <v>2129</v>
      </c>
      <c r="B1526" s="37" t="s">
        <v>128</v>
      </c>
      <c r="C1526" s="37" t="s">
        <v>650</v>
      </c>
      <c r="D1526" s="578" t="s">
        <v>350</v>
      </c>
      <c r="E1526" s="579"/>
      <c r="F1526" s="37" t="s">
        <v>595</v>
      </c>
      <c r="G1526" s="14">
        <v>1</v>
      </c>
      <c r="H1526" s="569"/>
      <c r="I1526" s="55" t="s">
        <v>1720</v>
      </c>
      <c r="J1526" s="14">
        <f>G1526*AO1526</f>
        <v>0</v>
      </c>
      <c r="K1526" s="14">
        <f>G1526*AP1526</f>
        <v>0</v>
      </c>
      <c r="L1526" s="14">
        <f>G1526*H1526</f>
        <v>0</v>
      </c>
      <c r="M1526" s="14">
        <f>L1526*(1+BW1526/100)</f>
        <v>0</v>
      </c>
      <c r="N1526" s="14">
        <v>0</v>
      </c>
      <c r="O1526" s="14">
        <f>G1526*N1526</f>
        <v>0</v>
      </c>
      <c r="P1526" s="72" t="s">
        <v>921</v>
      </c>
      <c r="Z1526" s="14">
        <f>IF(AQ1526="5",BJ1526,0)</f>
        <v>0</v>
      </c>
      <c r="AB1526" s="14">
        <f>IF(AQ1526="1",BH1526,0)</f>
        <v>0</v>
      </c>
      <c r="AC1526" s="14">
        <f>IF(AQ1526="1",BI1526,0)</f>
        <v>0</v>
      </c>
      <c r="AD1526" s="14">
        <f>IF(AQ1526="7",BH1526,0)</f>
        <v>0</v>
      </c>
      <c r="AE1526" s="14">
        <f>IF(AQ1526="7",BI1526,0)</f>
        <v>0</v>
      </c>
      <c r="AF1526" s="14">
        <f>IF(AQ1526="2",BH1526,0)</f>
        <v>0</v>
      </c>
      <c r="AG1526" s="14">
        <f>IF(AQ1526="2",BI1526,0)</f>
        <v>0</v>
      </c>
      <c r="AH1526" s="14">
        <f>IF(AQ1526="0",BJ1526,0)</f>
        <v>0</v>
      </c>
      <c r="AI1526" s="15" t="s">
        <v>128</v>
      </c>
      <c r="AJ1526" s="14">
        <f>IF(AN1526=0,L1526,0)</f>
        <v>0</v>
      </c>
      <c r="AK1526" s="14">
        <f>IF(AN1526=15,L1526,0)</f>
        <v>0</v>
      </c>
      <c r="AL1526" s="14">
        <f>IF(AN1526=21,L1526,0)</f>
        <v>0</v>
      </c>
      <c r="AN1526" s="14">
        <v>21</v>
      </c>
      <c r="AO1526" s="92">
        <f>H1526*0</f>
        <v>0</v>
      </c>
      <c r="AP1526" s="92">
        <f>H1526*(1-0)</f>
        <v>0</v>
      </c>
      <c r="AQ1526" s="55" t="s">
        <v>2422</v>
      </c>
      <c r="AV1526" s="14">
        <f>AW1526+AX1526</f>
        <v>0</v>
      </c>
      <c r="AW1526" s="14">
        <f>G1526*AO1526</f>
        <v>0</v>
      </c>
      <c r="AX1526" s="14">
        <f>G1526*AP1526</f>
        <v>0</v>
      </c>
      <c r="AY1526" s="55" t="s">
        <v>169</v>
      </c>
      <c r="AZ1526" s="55" t="s">
        <v>627</v>
      </c>
      <c r="BA1526" s="15" t="s">
        <v>325</v>
      </c>
      <c r="BC1526" s="14">
        <f>AW1526+AX1526</f>
        <v>0</v>
      </c>
      <c r="BD1526" s="14">
        <f>H1526/(100-BE1526)*100</f>
        <v>0</v>
      </c>
      <c r="BE1526" s="14">
        <v>0</v>
      </c>
      <c r="BF1526" s="14">
        <f>O1526</f>
        <v>0</v>
      </c>
      <c r="BH1526" s="14">
        <f>G1526*AO1526</f>
        <v>0</v>
      </c>
      <c r="BI1526" s="14">
        <f>G1526*AP1526</f>
        <v>0</v>
      </c>
      <c r="BJ1526" s="14">
        <f>G1526*H1526</f>
        <v>0</v>
      </c>
      <c r="BK1526" s="14"/>
      <c r="BL1526" s="14">
        <v>87</v>
      </c>
      <c r="BW1526" s="14" t="str">
        <f>I1526</f>
        <v>21</v>
      </c>
    </row>
    <row r="1527" spans="1:75" ht="15" customHeight="1">
      <c r="A1527" s="32"/>
      <c r="D1527" s="3" t="s">
        <v>2422</v>
      </c>
      <c r="E1527" s="28" t="s">
        <v>1683</v>
      </c>
      <c r="G1527" s="27">
        <v>1</v>
      </c>
      <c r="P1527" s="33"/>
    </row>
    <row r="1528" spans="1:75" ht="13.5" customHeight="1">
      <c r="A1528" s="20" t="s">
        <v>2744</v>
      </c>
      <c r="B1528" s="84" t="s">
        <v>128</v>
      </c>
      <c r="C1528" s="84" t="s">
        <v>2508</v>
      </c>
      <c r="D1528" s="653" t="s">
        <v>2688</v>
      </c>
      <c r="E1528" s="654"/>
      <c r="F1528" s="84" t="s">
        <v>595</v>
      </c>
      <c r="G1528" s="6">
        <v>1</v>
      </c>
      <c r="H1528" s="570"/>
      <c r="I1528" s="18" t="s">
        <v>1720</v>
      </c>
      <c r="J1528" s="6">
        <f>G1528*AO1528</f>
        <v>0</v>
      </c>
      <c r="K1528" s="6">
        <f>G1528*AP1528</f>
        <v>0</v>
      </c>
      <c r="L1528" s="6">
        <f>G1528*H1528</f>
        <v>0</v>
      </c>
      <c r="M1528" s="6">
        <f>L1528*(1+BW1528/100)</f>
        <v>0</v>
      </c>
      <c r="N1528" s="6">
        <v>2.81E-3</v>
      </c>
      <c r="O1528" s="6">
        <f>G1528*N1528</f>
        <v>2.81E-3</v>
      </c>
      <c r="P1528" s="109" t="s">
        <v>1664</v>
      </c>
      <c r="Z1528" s="14">
        <f>IF(AQ1528="5",BJ1528,0)</f>
        <v>0</v>
      </c>
      <c r="AB1528" s="14">
        <f>IF(AQ1528="1",BH1528,0)</f>
        <v>0</v>
      </c>
      <c r="AC1528" s="14">
        <f>IF(AQ1528="1",BI1528,0)</f>
        <v>0</v>
      </c>
      <c r="AD1528" s="14">
        <f>IF(AQ1528="7",BH1528,0)</f>
        <v>0</v>
      </c>
      <c r="AE1528" s="14">
        <f>IF(AQ1528="7",BI1528,0)</f>
        <v>0</v>
      </c>
      <c r="AF1528" s="14">
        <f>IF(AQ1528="2",BH1528,0)</f>
        <v>0</v>
      </c>
      <c r="AG1528" s="14">
        <f>IF(AQ1528="2",BI1528,0)</f>
        <v>0</v>
      </c>
      <c r="AH1528" s="14">
        <f>IF(AQ1528="0",BJ1528,0)</f>
        <v>0</v>
      </c>
      <c r="AI1528" s="15" t="s">
        <v>128</v>
      </c>
      <c r="AJ1528" s="6">
        <f>IF(AN1528=0,L1528,0)</f>
        <v>0</v>
      </c>
      <c r="AK1528" s="6">
        <f>IF(AN1528=15,L1528,0)</f>
        <v>0</v>
      </c>
      <c r="AL1528" s="6">
        <f>IF(AN1528=21,L1528,0)</f>
        <v>0</v>
      </c>
      <c r="AN1528" s="14">
        <v>21</v>
      </c>
      <c r="AO1528" s="92">
        <f>H1528*1</f>
        <v>0</v>
      </c>
      <c r="AP1528" s="92">
        <f>H1528*(1-1)</f>
        <v>0</v>
      </c>
      <c r="AQ1528" s="18" t="s">
        <v>2422</v>
      </c>
      <c r="AV1528" s="14">
        <f>AW1528+AX1528</f>
        <v>0</v>
      </c>
      <c r="AW1528" s="14">
        <f>G1528*AO1528</f>
        <v>0</v>
      </c>
      <c r="AX1528" s="14">
        <f>G1528*AP1528</f>
        <v>0</v>
      </c>
      <c r="AY1528" s="55" t="s">
        <v>169</v>
      </c>
      <c r="AZ1528" s="55" t="s">
        <v>627</v>
      </c>
      <c r="BA1528" s="15" t="s">
        <v>325</v>
      </c>
      <c r="BC1528" s="14">
        <f>AW1528+AX1528</f>
        <v>0</v>
      </c>
      <c r="BD1528" s="14">
        <f>H1528/(100-BE1528)*100</f>
        <v>0</v>
      </c>
      <c r="BE1528" s="14">
        <v>0</v>
      </c>
      <c r="BF1528" s="14">
        <f>O1528</f>
        <v>2.81E-3</v>
      </c>
      <c r="BH1528" s="6">
        <f>G1528*AO1528</f>
        <v>0</v>
      </c>
      <c r="BI1528" s="6">
        <f>G1528*AP1528</f>
        <v>0</v>
      </c>
      <c r="BJ1528" s="6">
        <f>G1528*H1528</f>
        <v>0</v>
      </c>
      <c r="BK1528" s="6"/>
      <c r="BL1528" s="14">
        <v>87</v>
      </c>
      <c r="BW1528" s="14" t="str">
        <f>I1528</f>
        <v>21</v>
      </c>
    </row>
    <row r="1529" spans="1:75" ht="15" customHeight="1">
      <c r="A1529" s="32"/>
      <c r="D1529" s="3" t="s">
        <v>2422</v>
      </c>
      <c r="E1529" s="28" t="s">
        <v>2256</v>
      </c>
      <c r="G1529" s="27">
        <v>1</v>
      </c>
      <c r="P1529" s="33"/>
    </row>
    <row r="1530" spans="1:75" ht="15" customHeight="1">
      <c r="A1530" s="65" t="s">
        <v>1683</v>
      </c>
      <c r="B1530" s="26" t="s">
        <v>128</v>
      </c>
      <c r="C1530" s="26" t="s">
        <v>2603</v>
      </c>
      <c r="D1530" s="649" t="s">
        <v>1569</v>
      </c>
      <c r="E1530" s="650"/>
      <c r="F1530" s="74" t="s">
        <v>2262</v>
      </c>
      <c r="G1530" s="74" t="s">
        <v>2262</v>
      </c>
      <c r="H1530" s="74" t="s">
        <v>2262</v>
      </c>
      <c r="I1530" s="74" t="s">
        <v>2262</v>
      </c>
      <c r="J1530" s="2">
        <f>SUM(J1531:J1561)</f>
        <v>0</v>
      </c>
      <c r="K1530" s="2">
        <f>SUM(K1531:K1561)</f>
        <v>0</v>
      </c>
      <c r="L1530" s="2">
        <f>SUM(L1531:L1561)</f>
        <v>0</v>
      </c>
      <c r="M1530" s="2">
        <f>SUM(M1531:M1561)</f>
        <v>0</v>
      </c>
      <c r="N1530" s="15" t="s">
        <v>1683</v>
      </c>
      <c r="O1530" s="2">
        <f>SUM(O1531:O1561)</f>
        <v>6.0480020000000003</v>
      </c>
      <c r="P1530" s="47" t="s">
        <v>1683</v>
      </c>
      <c r="AI1530" s="15" t="s">
        <v>128</v>
      </c>
      <c r="AS1530" s="2">
        <f>SUM(AJ1531:AJ1561)</f>
        <v>0</v>
      </c>
      <c r="AT1530" s="2">
        <f>SUM(AK1531:AK1561)</f>
        <v>0</v>
      </c>
      <c r="AU1530" s="2">
        <f>SUM(AL1531:AL1561)</f>
        <v>0</v>
      </c>
    </row>
    <row r="1531" spans="1:75" ht="13.5" customHeight="1">
      <c r="A1531" s="21" t="s">
        <v>1324</v>
      </c>
      <c r="B1531" s="37" t="s">
        <v>128</v>
      </c>
      <c r="C1531" s="37" t="s">
        <v>1844</v>
      </c>
      <c r="D1531" s="578" t="s">
        <v>728</v>
      </c>
      <c r="E1531" s="579"/>
      <c r="F1531" s="37" t="s">
        <v>595</v>
      </c>
      <c r="G1531" s="14">
        <v>2</v>
      </c>
      <c r="H1531" s="569"/>
      <c r="I1531" s="55" t="s">
        <v>1720</v>
      </c>
      <c r="J1531" s="14">
        <f>G1531*AO1531</f>
        <v>0</v>
      </c>
      <c r="K1531" s="14">
        <f>G1531*AP1531</f>
        <v>0</v>
      </c>
      <c r="L1531" s="14">
        <f>G1531*H1531</f>
        <v>0</v>
      </c>
      <c r="M1531" s="14">
        <f>L1531*(1+BW1531/100)</f>
        <v>0</v>
      </c>
      <c r="N1531" s="14">
        <v>2.1000000000000001E-4</v>
      </c>
      <c r="O1531" s="14">
        <f>G1531*N1531</f>
        <v>4.2000000000000002E-4</v>
      </c>
      <c r="P1531" s="72" t="s">
        <v>1664</v>
      </c>
      <c r="Z1531" s="14">
        <f>IF(AQ1531="5",BJ1531,0)</f>
        <v>0</v>
      </c>
      <c r="AB1531" s="14">
        <f>IF(AQ1531="1",BH1531,0)</f>
        <v>0</v>
      </c>
      <c r="AC1531" s="14">
        <f>IF(AQ1531="1",BI1531,0)</f>
        <v>0</v>
      </c>
      <c r="AD1531" s="14">
        <f>IF(AQ1531="7",BH1531,0)</f>
        <v>0</v>
      </c>
      <c r="AE1531" s="14">
        <f>IF(AQ1531="7",BI1531,0)</f>
        <v>0</v>
      </c>
      <c r="AF1531" s="14">
        <f>IF(AQ1531="2",BH1531,0)</f>
        <v>0</v>
      </c>
      <c r="AG1531" s="14">
        <f>IF(AQ1531="2",BI1531,0)</f>
        <v>0</v>
      </c>
      <c r="AH1531" s="14">
        <f>IF(AQ1531="0",BJ1531,0)</f>
        <v>0</v>
      </c>
      <c r="AI1531" s="15" t="s">
        <v>128</v>
      </c>
      <c r="AJ1531" s="14">
        <f>IF(AN1531=0,L1531,0)</f>
        <v>0</v>
      </c>
      <c r="AK1531" s="14">
        <f>IF(AN1531=15,L1531,0)</f>
        <v>0</v>
      </c>
      <c r="AL1531" s="14">
        <f>IF(AN1531=21,L1531,0)</f>
        <v>0</v>
      </c>
      <c r="AN1531" s="14">
        <v>21</v>
      </c>
      <c r="AO1531" s="92">
        <f>H1531*0.34869562008782</f>
        <v>0</v>
      </c>
      <c r="AP1531" s="92">
        <f>H1531*(1-0.34869562008782)</f>
        <v>0</v>
      </c>
      <c r="AQ1531" s="55" t="s">
        <v>2422</v>
      </c>
      <c r="AV1531" s="14">
        <f>AW1531+AX1531</f>
        <v>0</v>
      </c>
      <c r="AW1531" s="14">
        <f>G1531*AO1531</f>
        <v>0</v>
      </c>
      <c r="AX1531" s="14">
        <f>G1531*AP1531</f>
        <v>0</v>
      </c>
      <c r="AY1531" s="55" t="s">
        <v>203</v>
      </c>
      <c r="AZ1531" s="55" t="s">
        <v>627</v>
      </c>
      <c r="BA1531" s="15" t="s">
        <v>325</v>
      </c>
      <c r="BC1531" s="14">
        <f>AW1531+AX1531</f>
        <v>0</v>
      </c>
      <c r="BD1531" s="14">
        <f>H1531/(100-BE1531)*100</f>
        <v>0</v>
      </c>
      <c r="BE1531" s="14">
        <v>0</v>
      </c>
      <c r="BF1531" s="14">
        <f>O1531</f>
        <v>4.2000000000000002E-4</v>
      </c>
      <c r="BH1531" s="14">
        <f>G1531*AO1531</f>
        <v>0</v>
      </c>
      <c r="BI1531" s="14">
        <f>G1531*AP1531</f>
        <v>0</v>
      </c>
      <c r="BJ1531" s="14">
        <f>G1531*H1531</f>
        <v>0</v>
      </c>
      <c r="BK1531" s="14"/>
      <c r="BL1531" s="14">
        <v>89</v>
      </c>
      <c r="BW1531" s="14" t="str">
        <f>I1531</f>
        <v>21</v>
      </c>
    </row>
    <row r="1532" spans="1:75" ht="15" customHeight="1">
      <c r="A1532" s="32"/>
      <c r="D1532" s="3" t="s">
        <v>1676</v>
      </c>
      <c r="E1532" s="28" t="s">
        <v>1683</v>
      </c>
      <c r="G1532" s="27">
        <v>2</v>
      </c>
      <c r="P1532" s="33"/>
    </row>
    <row r="1533" spans="1:75" ht="13.5" customHeight="1">
      <c r="A1533" s="21" t="s">
        <v>732</v>
      </c>
      <c r="B1533" s="37" t="s">
        <v>128</v>
      </c>
      <c r="C1533" s="37" t="s">
        <v>458</v>
      </c>
      <c r="D1533" s="578" t="s">
        <v>2450</v>
      </c>
      <c r="E1533" s="579"/>
      <c r="F1533" s="37" t="s">
        <v>2019</v>
      </c>
      <c r="G1533" s="14">
        <v>20</v>
      </c>
      <c r="H1533" s="569"/>
      <c r="I1533" s="55" t="s">
        <v>1720</v>
      </c>
      <c r="J1533" s="14">
        <f>G1533*AO1533</f>
        <v>0</v>
      </c>
      <c r="K1533" s="14">
        <f>G1533*AP1533</f>
        <v>0</v>
      </c>
      <c r="L1533" s="14">
        <f>G1533*H1533</f>
        <v>0</v>
      </c>
      <c r="M1533" s="14">
        <f>L1533*(1+BW1533/100)</f>
        <v>0</v>
      </c>
      <c r="N1533" s="14">
        <v>0</v>
      </c>
      <c r="O1533" s="14">
        <f>G1533*N1533</f>
        <v>0</v>
      </c>
      <c r="P1533" s="72" t="s">
        <v>1664</v>
      </c>
      <c r="Z1533" s="14">
        <f>IF(AQ1533="5",BJ1533,0)</f>
        <v>0</v>
      </c>
      <c r="AB1533" s="14">
        <f>IF(AQ1533="1",BH1533,0)</f>
        <v>0</v>
      </c>
      <c r="AC1533" s="14">
        <f>IF(AQ1533="1",BI1533,0)</f>
        <v>0</v>
      </c>
      <c r="AD1533" s="14">
        <f>IF(AQ1533="7",BH1533,0)</f>
        <v>0</v>
      </c>
      <c r="AE1533" s="14">
        <f>IF(AQ1533="7",BI1533,0)</f>
        <v>0</v>
      </c>
      <c r="AF1533" s="14">
        <f>IF(AQ1533="2",BH1533,0)</f>
        <v>0</v>
      </c>
      <c r="AG1533" s="14">
        <f>IF(AQ1533="2",BI1533,0)</f>
        <v>0</v>
      </c>
      <c r="AH1533" s="14">
        <f>IF(AQ1533="0",BJ1533,0)</f>
        <v>0</v>
      </c>
      <c r="AI1533" s="15" t="s">
        <v>128</v>
      </c>
      <c r="AJ1533" s="14">
        <f>IF(AN1533=0,L1533,0)</f>
        <v>0</v>
      </c>
      <c r="AK1533" s="14">
        <f>IF(AN1533=15,L1533,0)</f>
        <v>0</v>
      </c>
      <c r="AL1533" s="14">
        <f>IF(AN1533=21,L1533,0)</f>
        <v>0</v>
      </c>
      <c r="AN1533" s="14">
        <v>21</v>
      </c>
      <c r="AO1533" s="92">
        <f>H1533*0.322424242424242</f>
        <v>0</v>
      </c>
      <c r="AP1533" s="92">
        <f>H1533*(1-0.322424242424242)</f>
        <v>0</v>
      </c>
      <c r="AQ1533" s="55" t="s">
        <v>2422</v>
      </c>
      <c r="AV1533" s="14">
        <f>AW1533+AX1533</f>
        <v>0</v>
      </c>
      <c r="AW1533" s="14">
        <f>G1533*AO1533</f>
        <v>0</v>
      </c>
      <c r="AX1533" s="14">
        <f>G1533*AP1533</f>
        <v>0</v>
      </c>
      <c r="AY1533" s="55" t="s">
        <v>203</v>
      </c>
      <c r="AZ1533" s="55" t="s">
        <v>627</v>
      </c>
      <c r="BA1533" s="15" t="s">
        <v>325</v>
      </c>
      <c r="BC1533" s="14">
        <f>AW1533+AX1533</f>
        <v>0</v>
      </c>
      <c r="BD1533" s="14">
        <f>H1533/(100-BE1533)*100</f>
        <v>0</v>
      </c>
      <c r="BE1533" s="14">
        <v>0</v>
      </c>
      <c r="BF1533" s="14">
        <f>O1533</f>
        <v>0</v>
      </c>
      <c r="BH1533" s="14">
        <f>G1533*AO1533</f>
        <v>0</v>
      </c>
      <c r="BI1533" s="14">
        <f>G1533*AP1533</f>
        <v>0</v>
      </c>
      <c r="BJ1533" s="14">
        <f>G1533*H1533</f>
        <v>0</v>
      </c>
      <c r="BK1533" s="14"/>
      <c r="BL1533" s="14">
        <v>89</v>
      </c>
      <c r="BW1533" s="14" t="str">
        <f>I1533</f>
        <v>21</v>
      </c>
    </row>
    <row r="1534" spans="1:75" ht="15" customHeight="1">
      <c r="A1534" s="32"/>
      <c r="D1534" s="3" t="s">
        <v>118</v>
      </c>
      <c r="E1534" s="28" t="s">
        <v>1683</v>
      </c>
      <c r="G1534" s="27">
        <v>20</v>
      </c>
      <c r="P1534" s="33"/>
    </row>
    <row r="1535" spans="1:75" ht="13.5" customHeight="1">
      <c r="A1535" s="21" t="s">
        <v>945</v>
      </c>
      <c r="B1535" s="37" t="s">
        <v>128</v>
      </c>
      <c r="C1535" s="37" t="s">
        <v>2627</v>
      </c>
      <c r="D1535" s="578" t="s">
        <v>1024</v>
      </c>
      <c r="E1535" s="579"/>
      <c r="F1535" s="37" t="s">
        <v>2019</v>
      </c>
      <c r="G1535" s="14">
        <v>20</v>
      </c>
      <c r="H1535" s="569"/>
      <c r="I1535" s="55" t="s">
        <v>1720</v>
      </c>
      <c r="J1535" s="14">
        <f>G1535*AO1535</f>
        <v>0</v>
      </c>
      <c r="K1535" s="14">
        <f>G1535*AP1535</f>
        <v>0</v>
      </c>
      <c r="L1535" s="14">
        <f>G1535*H1535</f>
        <v>0</v>
      </c>
      <c r="M1535" s="14">
        <f>L1535*(1+BW1535/100)</f>
        <v>0</v>
      </c>
      <c r="N1535" s="14">
        <v>5.0000000000000002E-5</v>
      </c>
      <c r="O1535" s="14">
        <f>G1535*N1535</f>
        <v>1E-3</v>
      </c>
      <c r="P1535" s="72" t="s">
        <v>1664</v>
      </c>
      <c r="Z1535" s="14">
        <f>IF(AQ1535="5",BJ1535,0)</f>
        <v>0</v>
      </c>
      <c r="AB1535" s="14">
        <f>IF(AQ1535="1",BH1535,0)</f>
        <v>0</v>
      </c>
      <c r="AC1535" s="14">
        <f>IF(AQ1535="1",BI1535,0)</f>
        <v>0</v>
      </c>
      <c r="AD1535" s="14">
        <f>IF(AQ1535="7",BH1535,0)</f>
        <v>0</v>
      </c>
      <c r="AE1535" s="14">
        <f>IF(AQ1535="7",BI1535,0)</f>
        <v>0</v>
      </c>
      <c r="AF1535" s="14">
        <f>IF(AQ1535="2",BH1535,0)</f>
        <v>0</v>
      </c>
      <c r="AG1535" s="14">
        <f>IF(AQ1535="2",BI1535,0)</f>
        <v>0</v>
      </c>
      <c r="AH1535" s="14">
        <f>IF(AQ1535="0",BJ1535,0)</f>
        <v>0</v>
      </c>
      <c r="AI1535" s="15" t="s">
        <v>128</v>
      </c>
      <c r="AJ1535" s="14">
        <f>IF(AN1535=0,L1535,0)</f>
        <v>0</v>
      </c>
      <c r="AK1535" s="14">
        <f>IF(AN1535=15,L1535,0)</f>
        <v>0</v>
      </c>
      <c r="AL1535" s="14">
        <f>IF(AN1535=21,L1535,0)</f>
        <v>0</v>
      </c>
      <c r="AN1535" s="14">
        <v>21</v>
      </c>
      <c r="AO1535" s="92">
        <f>H1535*0.494463667820069</f>
        <v>0</v>
      </c>
      <c r="AP1535" s="92">
        <f>H1535*(1-0.494463667820069)</f>
        <v>0</v>
      </c>
      <c r="AQ1535" s="55" t="s">
        <v>2422</v>
      </c>
      <c r="AV1535" s="14">
        <f>AW1535+AX1535</f>
        <v>0</v>
      </c>
      <c r="AW1535" s="14">
        <f>G1535*AO1535</f>
        <v>0</v>
      </c>
      <c r="AX1535" s="14">
        <f>G1535*AP1535</f>
        <v>0</v>
      </c>
      <c r="AY1535" s="55" t="s">
        <v>203</v>
      </c>
      <c r="AZ1535" s="55" t="s">
        <v>627</v>
      </c>
      <c r="BA1535" s="15" t="s">
        <v>325</v>
      </c>
      <c r="BC1535" s="14">
        <f>AW1535+AX1535</f>
        <v>0</v>
      </c>
      <c r="BD1535" s="14">
        <f>H1535/(100-BE1535)*100</f>
        <v>0</v>
      </c>
      <c r="BE1535" s="14">
        <v>0</v>
      </c>
      <c r="BF1535" s="14">
        <f>O1535</f>
        <v>1E-3</v>
      </c>
      <c r="BH1535" s="14">
        <f>G1535*AO1535</f>
        <v>0</v>
      </c>
      <c r="BI1535" s="14">
        <f>G1535*AP1535</f>
        <v>0</v>
      </c>
      <c r="BJ1535" s="14">
        <f>G1535*H1535</f>
        <v>0</v>
      </c>
      <c r="BK1535" s="14"/>
      <c r="BL1535" s="14">
        <v>89</v>
      </c>
      <c r="BW1535" s="14" t="str">
        <f>I1535</f>
        <v>21</v>
      </c>
    </row>
    <row r="1536" spans="1:75" ht="15" customHeight="1">
      <c r="A1536" s="32"/>
      <c r="D1536" s="3" t="s">
        <v>118</v>
      </c>
      <c r="E1536" s="28" t="s">
        <v>1683</v>
      </c>
      <c r="G1536" s="27">
        <v>20</v>
      </c>
      <c r="P1536" s="33"/>
    </row>
    <row r="1537" spans="1:75" ht="13.5" customHeight="1">
      <c r="A1537" s="21" t="s">
        <v>1557</v>
      </c>
      <c r="B1537" s="37" t="s">
        <v>128</v>
      </c>
      <c r="C1537" s="37" t="s">
        <v>1190</v>
      </c>
      <c r="D1537" s="578" t="s">
        <v>1772</v>
      </c>
      <c r="E1537" s="579"/>
      <c r="F1537" s="37" t="s">
        <v>595</v>
      </c>
      <c r="G1537" s="14">
        <v>1</v>
      </c>
      <c r="H1537" s="569"/>
      <c r="I1537" s="55" t="s">
        <v>1720</v>
      </c>
      <c r="J1537" s="14">
        <f>G1537*AO1537</f>
        <v>0</v>
      </c>
      <c r="K1537" s="14">
        <f>G1537*AP1537</f>
        <v>0</v>
      </c>
      <c r="L1537" s="14">
        <f>G1537*H1537</f>
        <v>0</v>
      </c>
      <c r="M1537" s="14">
        <f>L1537*(1+BW1537/100)</f>
        <v>0</v>
      </c>
      <c r="N1537" s="14">
        <v>0.40105000000000002</v>
      </c>
      <c r="O1537" s="14">
        <f>G1537*N1537</f>
        <v>0.40105000000000002</v>
      </c>
      <c r="P1537" s="72" t="s">
        <v>1664</v>
      </c>
      <c r="Z1537" s="14">
        <f>IF(AQ1537="5",BJ1537,0)</f>
        <v>0</v>
      </c>
      <c r="AB1537" s="14">
        <f>IF(AQ1537="1",BH1537,0)</f>
        <v>0</v>
      </c>
      <c r="AC1537" s="14">
        <f>IF(AQ1537="1",BI1537,0)</f>
        <v>0</v>
      </c>
      <c r="AD1537" s="14">
        <f>IF(AQ1537="7",BH1537,0)</f>
        <v>0</v>
      </c>
      <c r="AE1537" s="14">
        <f>IF(AQ1537="7",BI1537,0)</f>
        <v>0</v>
      </c>
      <c r="AF1537" s="14">
        <f>IF(AQ1537="2",BH1537,0)</f>
        <v>0</v>
      </c>
      <c r="AG1537" s="14">
        <f>IF(AQ1537="2",BI1537,0)</f>
        <v>0</v>
      </c>
      <c r="AH1537" s="14">
        <f>IF(AQ1537="0",BJ1537,0)</f>
        <v>0</v>
      </c>
      <c r="AI1537" s="15" t="s">
        <v>128</v>
      </c>
      <c r="AJ1537" s="14">
        <f>IF(AN1537=0,L1537,0)</f>
        <v>0</v>
      </c>
      <c r="AK1537" s="14">
        <f>IF(AN1537=15,L1537,0)</f>
        <v>0</v>
      </c>
      <c r="AL1537" s="14">
        <f>IF(AN1537=21,L1537,0)</f>
        <v>0</v>
      </c>
      <c r="AN1537" s="14">
        <v>21</v>
      </c>
      <c r="AO1537" s="92">
        <f>H1537*0.610654047365793</f>
        <v>0</v>
      </c>
      <c r="AP1537" s="92">
        <f>H1537*(1-0.610654047365793)</f>
        <v>0</v>
      </c>
      <c r="AQ1537" s="55" t="s">
        <v>2422</v>
      </c>
      <c r="AV1537" s="14">
        <f>AW1537+AX1537</f>
        <v>0</v>
      </c>
      <c r="AW1537" s="14">
        <f>G1537*AO1537</f>
        <v>0</v>
      </c>
      <c r="AX1537" s="14">
        <f>G1537*AP1537</f>
        <v>0</v>
      </c>
      <c r="AY1537" s="55" t="s">
        <v>203</v>
      </c>
      <c r="AZ1537" s="55" t="s">
        <v>627</v>
      </c>
      <c r="BA1537" s="15" t="s">
        <v>325</v>
      </c>
      <c r="BC1537" s="14">
        <f>AW1537+AX1537</f>
        <v>0</v>
      </c>
      <c r="BD1537" s="14">
        <f>H1537/(100-BE1537)*100</f>
        <v>0</v>
      </c>
      <c r="BE1537" s="14">
        <v>0</v>
      </c>
      <c r="BF1537" s="14">
        <f>O1537</f>
        <v>0.40105000000000002</v>
      </c>
      <c r="BH1537" s="14">
        <f>G1537*AO1537</f>
        <v>0</v>
      </c>
      <c r="BI1537" s="14">
        <f>G1537*AP1537</f>
        <v>0</v>
      </c>
      <c r="BJ1537" s="14">
        <f>G1537*H1537</f>
        <v>0</v>
      </c>
      <c r="BK1537" s="14"/>
      <c r="BL1537" s="14">
        <v>89</v>
      </c>
      <c r="BW1537" s="14" t="str">
        <f>I1537</f>
        <v>21</v>
      </c>
    </row>
    <row r="1538" spans="1:75" ht="15" customHeight="1">
      <c r="A1538" s="32"/>
      <c r="D1538" s="3" t="s">
        <v>2422</v>
      </c>
      <c r="E1538" s="28" t="s">
        <v>1683</v>
      </c>
      <c r="G1538" s="27">
        <v>1</v>
      </c>
      <c r="P1538" s="33"/>
    </row>
    <row r="1539" spans="1:75" ht="13.5" customHeight="1">
      <c r="A1539" s="20" t="s">
        <v>1081</v>
      </c>
      <c r="B1539" s="84" t="s">
        <v>128</v>
      </c>
      <c r="C1539" s="84" t="s">
        <v>2372</v>
      </c>
      <c r="D1539" s="653" t="s">
        <v>1823</v>
      </c>
      <c r="E1539" s="654"/>
      <c r="F1539" s="84" t="s">
        <v>595</v>
      </c>
      <c r="G1539" s="6">
        <v>1</v>
      </c>
      <c r="H1539" s="570"/>
      <c r="I1539" s="18" t="s">
        <v>1720</v>
      </c>
      <c r="J1539" s="6">
        <f>G1539*AO1539</f>
        <v>0</v>
      </c>
      <c r="K1539" s="6">
        <f>G1539*AP1539</f>
        <v>0</v>
      </c>
      <c r="L1539" s="6">
        <f>G1539*H1539</f>
        <v>0</v>
      </c>
      <c r="M1539" s="6">
        <f>L1539*(1+BW1539/100)</f>
        <v>0</v>
      </c>
      <c r="N1539" s="6">
        <v>6.4000000000000001E-2</v>
      </c>
      <c r="O1539" s="6">
        <f>G1539*N1539</f>
        <v>6.4000000000000001E-2</v>
      </c>
      <c r="P1539" s="109" t="s">
        <v>921</v>
      </c>
      <c r="Z1539" s="14">
        <f>IF(AQ1539="5",BJ1539,0)</f>
        <v>0</v>
      </c>
      <c r="AB1539" s="14">
        <f>IF(AQ1539="1",BH1539,0)</f>
        <v>0</v>
      </c>
      <c r="AC1539" s="14">
        <f>IF(AQ1539="1",BI1539,0)</f>
        <v>0</v>
      </c>
      <c r="AD1539" s="14">
        <f>IF(AQ1539="7",BH1539,0)</f>
        <v>0</v>
      </c>
      <c r="AE1539" s="14">
        <f>IF(AQ1539="7",BI1539,0)</f>
        <v>0</v>
      </c>
      <c r="AF1539" s="14">
        <f>IF(AQ1539="2",BH1539,0)</f>
        <v>0</v>
      </c>
      <c r="AG1539" s="14">
        <f>IF(AQ1539="2",BI1539,0)</f>
        <v>0</v>
      </c>
      <c r="AH1539" s="14">
        <f>IF(AQ1539="0",BJ1539,0)</f>
        <v>0</v>
      </c>
      <c r="AI1539" s="15" t="s">
        <v>128</v>
      </c>
      <c r="AJ1539" s="6">
        <f>IF(AN1539=0,L1539,0)</f>
        <v>0</v>
      </c>
      <c r="AK1539" s="6">
        <f>IF(AN1539=15,L1539,0)</f>
        <v>0</v>
      </c>
      <c r="AL1539" s="6">
        <f>IF(AN1539=21,L1539,0)</f>
        <v>0</v>
      </c>
      <c r="AN1539" s="14">
        <v>21</v>
      </c>
      <c r="AO1539" s="92">
        <f>H1539*1</f>
        <v>0</v>
      </c>
      <c r="AP1539" s="92">
        <f>H1539*(1-1)</f>
        <v>0</v>
      </c>
      <c r="AQ1539" s="18" t="s">
        <v>2422</v>
      </c>
      <c r="AV1539" s="14">
        <f>AW1539+AX1539</f>
        <v>0</v>
      </c>
      <c r="AW1539" s="14">
        <f>G1539*AO1539</f>
        <v>0</v>
      </c>
      <c r="AX1539" s="14">
        <f>G1539*AP1539</f>
        <v>0</v>
      </c>
      <c r="AY1539" s="55" t="s">
        <v>203</v>
      </c>
      <c r="AZ1539" s="55" t="s">
        <v>627</v>
      </c>
      <c r="BA1539" s="15" t="s">
        <v>325</v>
      </c>
      <c r="BC1539" s="14">
        <f>AW1539+AX1539</f>
        <v>0</v>
      </c>
      <c r="BD1539" s="14">
        <f>H1539/(100-BE1539)*100</f>
        <v>0</v>
      </c>
      <c r="BE1539" s="14">
        <v>0</v>
      </c>
      <c r="BF1539" s="14">
        <f>O1539</f>
        <v>6.4000000000000001E-2</v>
      </c>
      <c r="BH1539" s="6">
        <f>G1539*AO1539</f>
        <v>0</v>
      </c>
      <c r="BI1539" s="6">
        <f>G1539*AP1539</f>
        <v>0</v>
      </c>
      <c r="BJ1539" s="6">
        <f>G1539*H1539</f>
        <v>0</v>
      </c>
      <c r="BK1539" s="6"/>
      <c r="BL1539" s="14">
        <v>89</v>
      </c>
      <c r="BW1539" s="14" t="str">
        <f>I1539</f>
        <v>21</v>
      </c>
    </row>
    <row r="1540" spans="1:75" ht="15" customHeight="1">
      <c r="A1540" s="32"/>
      <c r="D1540" s="3" t="s">
        <v>2422</v>
      </c>
      <c r="E1540" s="28" t="s">
        <v>1202</v>
      </c>
      <c r="G1540" s="27">
        <v>1</v>
      </c>
      <c r="P1540" s="33"/>
    </row>
    <row r="1541" spans="1:75" ht="13.5" customHeight="1">
      <c r="A1541" s="21" t="s">
        <v>2416</v>
      </c>
      <c r="B1541" s="37" t="s">
        <v>128</v>
      </c>
      <c r="C1541" s="37" t="s">
        <v>2501</v>
      </c>
      <c r="D1541" s="578" t="s">
        <v>88</v>
      </c>
      <c r="E1541" s="579"/>
      <c r="F1541" s="37" t="s">
        <v>2359</v>
      </c>
      <c r="G1541" s="14">
        <v>2.15</v>
      </c>
      <c r="H1541" s="569"/>
      <c r="I1541" s="55" t="s">
        <v>1720</v>
      </c>
      <c r="J1541" s="14">
        <f>G1541*AO1541</f>
        <v>0</v>
      </c>
      <c r="K1541" s="14">
        <f>G1541*AP1541</f>
        <v>0</v>
      </c>
      <c r="L1541" s="14">
        <f>G1541*H1541</f>
        <v>0</v>
      </c>
      <c r="M1541" s="14">
        <f>L1541*(1+BW1541/100)</f>
        <v>0</v>
      </c>
      <c r="N1541" s="14">
        <v>2.5249999999999999</v>
      </c>
      <c r="O1541" s="14">
        <f>G1541*N1541</f>
        <v>5.42875</v>
      </c>
      <c r="P1541" s="72" t="s">
        <v>1664</v>
      </c>
      <c r="Z1541" s="14">
        <f>IF(AQ1541="5",BJ1541,0)</f>
        <v>0</v>
      </c>
      <c r="AB1541" s="14">
        <f>IF(AQ1541="1",BH1541,0)</f>
        <v>0</v>
      </c>
      <c r="AC1541" s="14">
        <f>IF(AQ1541="1",BI1541,0)</f>
        <v>0</v>
      </c>
      <c r="AD1541" s="14">
        <f>IF(AQ1541="7",BH1541,0)</f>
        <v>0</v>
      </c>
      <c r="AE1541" s="14">
        <f>IF(AQ1541="7",BI1541,0)</f>
        <v>0</v>
      </c>
      <c r="AF1541" s="14">
        <f>IF(AQ1541="2",BH1541,0)</f>
        <v>0</v>
      </c>
      <c r="AG1541" s="14">
        <f>IF(AQ1541="2",BI1541,0)</f>
        <v>0</v>
      </c>
      <c r="AH1541" s="14">
        <f>IF(AQ1541="0",BJ1541,0)</f>
        <v>0</v>
      </c>
      <c r="AI1541" s="15" t="s">
        <v>128</v>
      </c>
      <c r="AJ1541" s="14">
        <f>IF(AN1541=0,L1541,0)</f>
        <v>0</v>
      </c>
      <c r="AK1541" s="14">
        <f>IF(AN1541=15,L1541,0)</f>
        <v>0</v>
      </c>
      <c r="AL1541" s="14">
        <f>IF(AN1541=21,L1541,0)</f>
        <v>0</v>
      </c>
      <c r="AN1541" s="14">
        <v>21</v>
      </c>
      <c r="AO1541" s="92">
        <f>H1541*0.847345472011842</f>
        <v>0</v>
      </c>
      <c r="AP1541" s="92">
        <f>H1541*(1-0.847345472011842)</f>
        <v>0</v>
      </c>
      <c r="AQ1541" s="55" t="s">
        <v>2422</v>
      </c>
      <c r="AV1541" s="14">
        <f>AW1541+AX1541</f>
        <v>0</v>
      </c>
      <c r="AW1541" s="14">
        <f>G1541*AO1541</f>
        <v>0</v>
      </c>
      <c r="AX1541" s="14">
        <f>G1541*AP1541</f>
        <v>0</v>
      </c>
      <c r="AY1541" s="55" t="s">
        <v>203</v>
      </c>
      <c r="AZ1541" s="55" t="s">
        <v>627</v>
      </c>
      <c r="BA1541" s="15" t="s">
        <v>325</v>
      </c>
      <c r="BC1541" s="14">
        <f>AW1541+AX1541</f>
        <v>0</v>
      </c>
      <c r="BD1541" s="14">
        <f>H1541/(100-BE1541)*100</f>
        <v>0</v>
      </c>
      <c r="BE1541" s="14">
        <v>0</v>
      </c>
      <c r="BF1541" s="14">
        <f>O1541</f>
        <v>5.42875</v>
      </c>
      <c r="BH1541" s="14">
        <f>G1541*AO1541</f>
        <v>0</v>
      </c>
      <c r="BI1541" s="14">
        <f>G1541*AP1541</f>
        <v>0</v>
      </c>
      <c r="BJ1541" s="14">
        <f>G1541*H1541</f>
        <v>0</v>
      </c>
      <c r="BK1541" s="14"/>
      <c r="BL1541" s="14">
        <v>89</v>
      </c>
      <c r="BW1541" s="14" t="str">
        <f>I1541</f>
        <v>21</v>
      </c>
    </row>
    <row r="1542" spans="1:75" ht="15" customHeight="1">
      <c r="A1542" s="32"/>
      <c r="D1542" s="3" t="s">
        <v>1727</v>
      </c>
      <c r="E1542" s="28" t="s">
        <v>486</v>
      </c>
      <c r="G1542" s="27">
        <v>2.1500000000000004</v>
      </c>
      <c r="P1542" s="33"/>
    </row>
    <row r="1543" spans="1:75" ht="13.5" customHeight="1">
      <c r="A1543" s="20" t="s">
        <v>2356</v>
      </c>
      <c r="B1543" s="84" t="s">
        <v>128</v>
      </c>
      <c r="C1543" s="84" t="s">
        <v>2645</v>
      </c>
      <c r="D1543" s="653" t="s">
        <v>2516</v>
      </c>
      <c r="E1543" s="654"/>
      <c r="F1543" s="84" t="s">
        <v>595</v>
      </c>
      <c r="G1543" s="6">
        <v>1.23</v>
      </c>
      <c r="H1543" s="570"/>
      <c r="I1543" s="18" t="s">
        <v>1720</v>
      </c>
      <c r="J1543" s="6">
        <f>G1543*AO1543</f>
        <v>0</v>
      </c>
      <c r="K1543" s="6">
        <f>G1543*AP1543</f>
        <v>0</v>
      </c>
      <c r="L1543" s="6">
        <f>G1543*H1543</f>
        <v>0</v>
      </c>
      <c r="M1543" s="6">
        <f>L1543*(1+BW1543/100)</f>
        <v>0</v>
      </c>
      <c r="N1543" s="6">
        <v>3.2399999999999998E-2</v>
      </c>
      <c r="O1543" s="6">
        <f>G1543*N1543</f>
        <v>3.9851999999999999E-2</v>
      </c>
      <c r="P1543" s="109" t="s">
        <v>1664</v>
      </c>
      <c r="Z1543" s="14">
        <f>IF(AQ1543="5",BJ1543,0)</f>
        <v>0</v>
      </c>
      <c r="AB1543" s="14">
        <f>IF(AQ1543="1",BH1543,0)</f>
        <v>0</v>
      </c>
      <c r="AC1543" s="14">
        <f>IF(AQ1543="1",BI1543,0)</f>
        <v>0</v>
      </c>
      <c r="AD1543" s="14">
        <f>IF(AQ1543="7",BH1543,0)</f>
        <v>0</v>
      </c>
      <c r="AE1543" s="14">
        <f>IF(AQ1543="7",BI1543,0)</f>
        <v>0</v>
      </c>
      <c r="AF1543" s="14">
        <f>IF(AQ1543="2",BH1543,0)</f>
        <v>0</v>
      </c>
      <c r="AG1543" s="14">
        <f>IF(AQ1543="2",BI1543,0)</f>
        <v>0</v>
      </c>
      <c r="AH1543" s="14">
        <f>IF(AQ1543="0",BJ1543,0)</f>
        <v>0</v>
      </c>
      <c r="AI1543" s="15" t="s">
        <v>128</v>
      </c>
      <c r="AJ1543" s="6">
        <f>IF(AN1543=0,L1543,0)</f>
        <v>0</v>
      </c>
      <c r="AK1543" s="6">
        <f>IF(AN1543=15,L1543,0)</f>
        <v>0</v>
      </c>
      <c r="AL1543" s="6">
        <f>IF(AN1543=21,L1543,0)</f>
        <v>0</v>
      </c>
      <c r="AN1543" s="14">
        <v>21</v>
      </c>
      <c r="AO1543" s="92">
        <f>H1543*1</f>
        <v>0</v>
      </c>
      <c r="AP1543" s="92">
        <f>H1543*(1-1)</f>
        <v>0</v>
      </c>
      <c r="AQ1543" s="18" t="s">
        <v>2422</v>
      </c>
      <c r="AV1543" s="14">
        <f>AW1543+AX1543</f>
        <v>0</v>
      </c>
      <c r="AW1543" s="14">
        <f>G1543*AO1543</f>
        <v>0</v>
      </c>
      <c r="AX1543" s="14">
        <f>G1543*AP1543</f>
        <v>0</v>
      </c>
      <c r="AY1543" s="55" t="s">
        <v>203</v>
      </c>
      <c r="AZ1543" s="55" t="s">
        <v>627</v>
      </c>
      <c r="BA1543" s="15" t="s">
        <v>325</v>
      </c>
      <c r="BC1543" s="14">
        <f>AW1543+AX1543</f>
        <v>0</v>
      </c>
      <c r="BD1543" s="14">
        <f>H1543/(100-BE1543)*100</f>
        <v>0</v>
      </c>
      <c r="BE1543" s="14">
        <v>0</v>
      </c>
      <c r="BF1543" s="14">
        <f>O1543</f>
        <v>3.9851999999999999E-2</v>
      </c>
      <c r="BH1543" s="6">
        <f>G1543*AO1543</f>
        <v>0</v>
      </c>
      <c r="BI1543" s="6">
        <f>G1543*AP1543</f>
        <v>0</v>
      </c>
      <c r="BJ1543" s="6">
        <f>G1543*H1543</f>
        <v>0</v>
      </c>
      <c r="BK1543" s="6"/>
      <c r="BL1543" s="14">
        <v>89</v>
      </c>
      <c r="BW1543" s="14" t="str">
        <f>I1543</f>
        <v>21</v>
      </c>
    </row>
    <row r="1544" spans="1:75" ht="15" customHeight="1">
      <c r="A1544" s="32"/>
      <c r="D1544" s="3" t="s">
        <v>2422</v>
      </c>
      <c r="E1544" s="28" t="s">
        <v>1683</v>
      </c>
      <c r="G1544" s="27">
        <v>1</v>
      </c>
      <c r="P1544" s="33"/>
    </row>
    <row r="1545" spans="1:75" ht="13.5" customHeight="1">
      <c r="A1545" s="21" t="s">
        <v>313</v>
      </c>
      <c r="B1545" s="37" t="s">
        <v>128</v>
      </c>
      <c r="C1545" s="37" t="s">
        <v>1466</v>
      </c>
      <c r="D1545" s="578" t="s">
        <v>969</v>
      </c>
      <c r="E1545" s="579"/>
      <c r="F1545" s="37" t="s">
        <v>595</v>
      </c>
      <c r="G1545" s="14">
        <v>1</v>
      </c>
      <c r="H1545" s="569"/>
      <c r="I1545" s="55" t="s">
        <v>1720</v>
      </c>
      <c r="J1545" s="14">
        <f>G1545*AO1545</f>
        <v>0</v>
      </c>
      <c r="K1545" s="14">
        <f>G1545*AP1545</f>
        <v>0</v>
      </c>
      <c r="L1545" s="14">
        <f>G1545*H1545</f>
        <v>0</v>
      </c>
      <c r="M1545" s="14">
        <f>L1545*(1+BW1545/100)</f>
        <v>0</v>
      </c>
      <c r="N1545" s="14">
        <v>2.0000000000000002E-5</v>
      </c>
      <c r="O1545" s="14">
        <f>G1545*N1545</f>
        <v>2.0000000000000002E-5</v>
      </c>
      <c r="P1545" s="72" t="s">
        <v>1664</v>
      </c>
      <c r="Z1545" s="14">
        <f>IF(AQ1545="5",BJ1545,0)</f>
        <v>0</v>
      </c>
      <c r="AB1545" s="14">
        <f>IF(AQ1545="1",BH1545,0)</f>
        <v>0</v>
      </c>
      <c r="AC1545" s="14">
        <f>IF(AQ1545="1",BI1545,0)</f>
        <v>0</v>
      </c>
      <c r="AD1545" s="14">
        <f>IF(AQ1545="7",BH1545,0)</f>
        <v>0</v>
      </c>
      <c r="AE1545" s="14">
        <f>IF(AQ1545="7",BI1545,0)</f>
        <v>0</v>
      </c>
      <c r="AF1545" s="14">
        <f>IF(AQ1545="2",BH1545,0)</f>
        <v>0</v>
      </c>
      <c r="AG1545" s="14">
        <f>IF(AQ1545="2",BI1545,0)</f>
        <v>0</v>
      </c>
      <c r="AH1545" s="14">
        <f>IF(AQ1545="0",BJ1545,0)</f>
        <v>0</v>
      </c>
      <c r="AI1545" s="15" t="s">
        <v>128</v>
      </c>
      <c r="AJ1545" s="14">
        <f>IF(AN1545=0,L1545,0)</f>
        <v>0</v>
      </c>
      <c r="AK1545" s="14">
        <f>IF(AN1545=15,L1545,0)</f>
        <v>0</v>
      </c>
      <c r="AL1545" s="14">
        <f>IF(AN1545=21,L1545,0)</f>
        <v>0</v>
      </c>
      <c r="AN1545" s="14">
        <v>21</v>
      </c>
      <c r="AO1545" s="92">
        <f>H1545*0.0134969325153374</f>
        <v>0</v>
      </c>
      <c r="AP1545" s="92">
        <f>H1545*(1-0.0134969325153374)</f>
        <v>0</v>
      </c>
      <c r="AQ1545" s="55" t="s">
        <v>2422</v>
      </c>
      <c r="AV1545" s="14">
        <f>AW1545+AX1545</f>
        <v>0</v>
      </c>
      <c r="AW1545" s="14">
        <f>G1545*AO1545</f>
        <v>0</v>
      </c>
      <c r="AX1545" s="14">
        <f>G1545*AP1545</f>
        <v>0</v>
      </c>
      <c r="AY1545" s="55" t="s">
        <v>203</v>
      </c>
      <c r="AZ1545" s="55" t="s">
        <v>627</v>
      </c>
      <c r="BA1545" s="15" t="s">
        <v>325</v>
      </c>
      <c r="BC1545" s="14">
        <f>AW1545+AX1545</f>
        <v>0</v>
      </c>
      <c r="BD1545" s="14">
        <f>H1545/(100-BE1545)*100</f>
        <v>0</v>
      </c>
      <c r="BE1545" s="14">
        <v>0</v>
      </c>
      <c r="BF1545" s="14">
        <f>O1545</f>
        <v>2.0000000000000002E-5</v>
      </c>
      <c r="BH1545" s="14">
        <f>G1545*AO1545</f>
        <v>0</v>
      </c>
      <c r="BI1545" s="14">
        <f>G1545*AP1545</f>
        <v>0</v>
      </c>
      <c r="BJ1545" s="14">
        <f>G1545*H1545</f>
        <v>0</v>
      </c>
      <c r="BK1545" s="14"/>
      <c r="BL1545" s="14">
        <v>89</v>
      </c>
      <c r="BW1545" s="14" t="str">
        <f>I1545</f>
        <v>21</v>
      </c>
    </row>
    <row r="1546" spans="1:75" ht="15" customHeight="1">
      <c r="A1546" s="32"/>
      <c r="D1546" s="3" t="s">
        <v>2422</v>
      </c>
      <c r="E1546" s="28" t="s">
        <v>1683</v>
      </c>
      <c r="G1546" s="27">
        <v>1</v>
      </c>
      <c r="P1546" s="33"/>
    </row>
    <row r="1547" spans="1:75" ht="13.5" customHeight="1">
      <c r="A1547" s="20" t="s">
        <v>1020</v>
      </c>
      <c r="B1547" s="84" t="s">
        <v>128</v>
      </c>
      <c r="C1547" s="84" t="s">
        <v>1080</v>
      </c>
      <c r="D1547" s="653" t="s">
        <v>1765</v>
      </c>
      <c r="E1547" s="654"/>
      <c r="F1547" s="84" t="s">
        <v>595</v>
      </c>
      <c r="G1547" s="6">
        <v>1</v>
      </c>
      <c r="H1547" s="570"/>
      <c r="I1547" s="18" t="s">
        <v>1720</v>
      </c>
      <c r="J1547" s="6">
        <f>G1547*AO1547</f>
        <v>0</v>
      </c>
      <c r="K1547" s="6">
        <f>G1547*AP1547</f>
        <v>0</v>
      </c>
      <c r="L1547" s="6">
        <f>G1547*H1547</f>
        <v>0</v>
      </c>
      <c r="M1547" s="6">
        <f>L1547*(1+BW1547/100)</f>
        <v>0</v>
      </c>
      <c r="N1547" s="6">
        <v>1.5200000000000001E-3</v>
      </c>
      <c r="O1547" s="6">
        <f>G1547*N1547</f>
        <v>1.5200000000000001E-3</v>
      </c>
      <c r="P1547" s="109" t="s">
        <v>1664</v>
      </c>
      <c r="Z1547" s="14">
        <f>IF(AQ1547="5",BJ1547,0)</f>
        <v>0</v>
      </c>
      <c r="AB1547" s="14">
        <f>IF(AQ1547="1",BH1547,0)</f>
        <v>0</v>
      </c>
      <c r="AC1547" s="14">
        <f>IF(AQ1547="1",BI1547,0)</f>
        <v>0</v>
      </c>
      <c r="AD1547" s="14">
        <f>IF(AQ1547="7",BH1547,0)</f>
        <v>0</v>
      </c>
      <c r="AE1547" s="14">
        <f>IF(AQ1547="7",BI1547,0)</f>
        <v>0</v>
      </c>
      <c r="AF1547" s="14">
        <f>IF(AQ1547="2",BH1547,0)</f>
        <v>0</v>
      </c>
      <c r="AG1547" s="14">
        <f>IF(AQ1547="2",BI1547,0)</f>
        <v>0</v>
      </c>
      <c r="AH1547" s="14">
        <f>IF(AQ1547="0",BJ1547,0)</f>
        <v>0</v>
      </c>
      <c r="AI1547" s="15" t="s">
        <v>128</v>
      </c>
      <c r="AJ1547" s="6">
        <f>IF(AN1547=0,L1547,0)</f>
        <v>0</v>
      </c>
      <c r="AK1547" s="6">
        <f>IF(AN1547=15,L1547,0)</f>
        <v>0</v>
      </c>
      <c r="AL1547" s="6">
        <f>IF(AN1547=21,L1547,0)</f>
        <v>0</v>
      </c>
      <c r="AN1547" s="14">
        <v>21</v>
      </c>
      <c r="AO1547" s="92">
        <f>H1547*1</f>
        <v>0</v>
      </c>
      <c r="AP1547" s="92">
        <f>H1547*(1-1)</f>
        <v>0</v>
      </c>
      <c r="AQ1547" s="18" t="s">
        <v>2422</v>
      </c>
      <c r="AV1547" s="14">
        <f>AW1547+AX1547</f>
        <v>0</v>
      </c>
      <c r="AW1547" s="14">
        <f>G1547*AO1547</f>
        <v>0</v>
      </c>
      <c r="AX1547" s="14">
        <f>G1547*AP1547</f>
        <v>0</v>
      </c>
      <c r="AY1547" s="55" t="s">
        <v>203</v>
      </c>
      <c r="AZ1547" s="55" t="s">
        <v>627</v>
      </c>
      <c r="BA1547" s="15" t="s">
        <v>325</v>
      </c>
      <c r="BC1547" s="14">
        <f>AW1547+AX1547</f>
        <v>0</v>
      </c>
      <c r="BD1547" s="14">
        <f>H1547/(100-BE1547)*100</f>
        <v>0</v>
      </c>
      <c r="BE1547" s="14">
        <v>0</v>
      </c>
      <c r="BF1547" s="14">
        <f>O1547</f>
        <v>1.5200000000000001E-3</v>
      </c>
      <c r="BH1547" s="6">
        <f>G1547*AO1547</f>
        <v>0</v>
      </c>
      <c r="BI1547" s="6">
        <f>G1547*AP1547</f>
        <v>0</v>
      </c>
      <c r="BJ1547" s="6">
        <f>G1547*H1547</f>
        <v>0</v>
      </c>
      <c r="BK1547" s="6"/>
      <c r="BL1547" s="14">
        <v>89</v>
      </c>
      <c r="BW1547" s="14" t="str">
        <f>I1547</f>
        <v>21</v>
      </c>
    </row>
    <row r="1548" spans="1:75" ht="15" customHeight="1">
      <c r="A1548" s="32"/>
      <c r="D1548" s="3" t="s">
        <v>2422</v>
      </c>
      <c r="E1548" s="28" t="s">
        <v>779</v>
      </c>
      <c r="G1548" s="27">
        <v>1</v>
      </c>
      <c r="P1548" s="33"/>
    </row>
    <row r="1549" spans="1:75" ht="13.5" customHeight="1">
      <c r="A1549" s="20" t="s">
        <v>1277</v>
      </c>
      <c r="B1549" s="84" t="s">
        <v>128</v>
      </c>
      <c r="C1549" s="84" t="s">
        <v>884</v>
      </c>
      <c r="D1549" s="653" t="s">
        <v>1332</v>
      </c>
      <c r="E1549" s="654"/>
      <c r="F1549" s="84" t="s">
        <v>595</v>
      </c>
      <c r="G1549" s="6">
        <v>1</v>
      </c>
      <c r="H1549" s="570"/>
      <c r="I1549" s="18" t="s">
        <v>1720</v>
      </c>
      <c r="J1549" s="6">
        <f>G1549*AO1549</f>
        <v>0</v>
      </c>
      <c r="K1549" s="6">
        <f>G1549*AP1549</f>
        <v>0</v>
      </c>
      <c r="L1549" s="6">
        <f>G1549*H1549</f>
        <v>0</v>
      </c>
      <c r="M1549" s="6">
        <f>L1549*(1+BW1549/100)</f>
        <v>0</v>
      </c>
      <c r="N1549" s="6">
        <v>4.3E-3</v>
      </c>
      <c r="O1549" s="6">
        <f>G1549*N1549</f>
        <v>4.3E-3</v>
      </c>
      <c r="P1549" s="109" t="s">
        <v>1664</v>
      </c>
      <c r="Z1549" s="14">
        <f>IF(AQ1549="5",BJ1549,0)</f>
        <v>0</v>
      </c>
      <c r="AB1549" s="14">
        <f>IF(AQ1549="1",BH1549,0)</f>
        <v>0</v>
      </c>
      <c r="AC1549" s="14">
        <f>IF(AQ1549="1",BI1549,0)</f>
        <v>0</v>
      </c>
      <c r="AD1549" s="14">
        <f>IF(AQ1549="7",BH1549,0)</f>
        <v>0</v>
      </c>
      <c r="AE1549" s="14">
        <f>IF(AQ1549="7",BI1549,0)</f>
        <v>0</v>
      </c>
      <c r="AF1549" s="14">
        <f>IF(AQ1549="2",BH1549,0)</f>
        <v>0</v>
      </c>
      <c r="AG1549" s="14">
        <f>IF(AQ1549="2",BI1549,0)</f>
        <v>0</v>
      </c>
      <c r="AH1549" s="14">
        <f>IF(AQ1549="0",BJ1549,0)</f>
        <v>0</v>
      </c>
      <c r="AI1549" s="15" t="s">
        <v>128</v>
      </c>
      <c r="AJ1549" s="6">
        <f>IF(AN1549=0,L1549,0)</f>
        <v>0</v>
      </c>
      <c r="AK1549" s="6">
        <f>IF(AN1549=15,L1549,0)</f>
        <v>0</v>
      </c>
      <c r="AL1549" s="6">
        <f>IF(AN1549=21,L1549,0)</f>
        <v>0</v>
      </c>
      <c r="AN1549" s="14">
        <v>21</v>
      </c>
      <c r="AO1549" s="92">
        <f>H1549*1</f>
        <v>0</v>
      </c>
      <c r="AP1549" s="92">
        <f>H1549*(1-1)</f>
        <v>0</v>
      </c>
      <c r="AQ1549" s="18" t="s">
        <v>2422</v>
      </c>
      <c r="AV1549" s="14">
        <f>AW1549+AX1549</f>
        <v>0</v>
      </c>
      <c r="AW1549" s="14">
        <f>G1549*AO1549</f>
        <v>0</v>
      </c>
      <c r="AX1549" s="14">
        <f>G1549*AP1549</f>
        <v>0</v>
      </c>
      <c r="AY1549" s="55" t="s">
        <v>203</v>
      </c>
      <c r="AZ1549" s="55" t="s">
        <v>627</v>
      </c>
      <c r="BA1549" s="15" t="s">
        <v>325</v>
      </c>
      <c r="BC1549" s="14">
        <f>AW1549+AX1549</f>
        <v>0</v>
      </c>
      <c r="BD1549" s="14">
        <f>H1549/(100-BE1549)*100</f>
        <v>0</v>
      </c>
      <c r="BE1549" s="14">
        <v>0</v>
      </c>
      <c r="BF1549" s="14">
        <f>O1549</f>
        <v>4.3E-3</v>
      </c>
      <c r="BH1549" s="6">
        <f>G1549*AO1549</f>
        <v>0</v>
      </c>
      <c r="BI1549" s="6">
        <f>G1549*AP1549</f>
        <v>0</v>
      </c>
      <c r="BJ1549" s="6">
        <f>G1549*H1549</f>
        <v>0</v>
      </c>
      <c r="BK1549" s="6"/>
      <c r="BL1549" s="14">
        <v>89</v>
      </c>
      <c r="BW1549" s="14" t="str">
        <f>I1549</f>
        <v>21</v>
      </c>
    </row>
    <row r="1550" spans="1:75" ht="15" customHeight="1">
      <c r="A1550" s="32"/>
      <c r="D1550" s="3" t="s">
        <v>2422</v>
      </c>
      <c r="E1550" s="28" t="s">
        <v>1683</v>
      </c>
      <c r="G1550" s="27">
        <v>1</v>
      </c>
      <c r="P1550" s="33"/>
    </row>
    <row r="1551" spans="1:75" ht="13.5" customHeight="1">
      <c r="A1551" s="21" t="s">
        <v>1002</v>
      </c>
      <c r="B1551" s="37" t="s">
        <v>128</v>
      </c>
      <c r="C1551" s="37" t="s">
        <v>2457</v>
      </c>
      <c r="D1551" s="578" t="s">
        <v>1364</v>
      </c>
      <c r="E1551" s="579"/>
      <c r="F1551" s="37" t="s">
        <v>595</v>
      </c>
      <c r="G1551" s="14">
        <v>1</v>
      </c>
      <c r="H1551" s="569"/>
      <c r="I1551" s="55" t="s">
        <v>1720</v>
      </c>
      <c r="J1551" s="14">
        <f>G1551*AO1551</f>
        <v>0</v>
      </c>
      <c r="K1551" s="14">
        <f>G1551*AP1551</f>
        <v>0</v>
      </c>
      <c r="L1551" s="14">
        <f>G1551*H1551</f>
        <v>0</v>
      </c>
      <c r="M1551" s="14">
        <f>L1551*(1+BW1551/100)</f>
        <v>0</v>
      </c>
      <c r="N1551" s="14">
        <v>6.3829999999999998E-2</v>
      </c>
      <c r="O1551" s="14">
        <f>G1551*N1551</f>
        <v>6.3829999999999998E-2</v>
      </c>
      <c r="P1551" s="72" t="s">
        <v>1664</v>
      </c>
      <c r="Z1551" s="14">
        <f>IF(AQ1551="5",BJ1551,0)</f>
        <v>0</v>
      </c>
      <c r="AB1551" s="14">
        <f>IF(AQ1551="1",BH1551,0)</f>
        <v>0</v>
      </c>
      <c r="AC1551" s="14">
        <f>IF(AQ1551="1",BI1551,0)</f>
        <v>0</v>
      </c>
      <c r="AD1551" s="14">
        <f>IF(AQ1551="7",BH1551,0)</f>
        <v>0</v>
      </c>
      <c r="AE1551" s="14">
        <f>IF(AQ1551="7",BI1551,0)</f>
        <v>0</v>
      </c>
      <c r="AF1551" s="14">
        <f>IF(AQ1551="2",BH1551,0)</f>
        <v>0</v>
      </c>
      <c r="AG1551" s="14">
        <f>IF(AQ1551="2",BI1551,0)</f>
        <v>0</v>
      </c>
      <c r="AH1551" s="14">
        <f>IF(AQ1551="0",BJ1551,0)</f>
        <v>0</v>
      </c>
      <c r="AI1551" s="15" t="s">
        <v>128</v>
      </c>
      <c r="AJ1551" s="14">
        <f>IF(AN1551=0,L1551,0)</f>
        <v>0</v>
      </c>
      <c r="AK1551" s="14">
        <f>IF(AN1551=15,L1551,0)</f>
        <v>0</v>
      </c>
      <c r="AL1551" s="14">
        <f>IF(AN1551=21,L1551,0)</f>
        <v>0</v>
      </c>
      <c r="AN1551" s="14">
        <v>21</v>
      </c>
      <c r="AO1551" s="92">
        <f>H1551*0.272309197651663</f>
        <v>0</v>
      </c>
      <c r="AP1551" s="92">
        <f>H1551*(1-0.272309197651663)</f>
        <v>0</v>
      </c>
      <c r="AQ1551" s="55" t="s">
        <v>2422</v>
      </c>
      <c r="AV1551" s="14">
        <f>AW1551+AX1551</f>
        <v>0</v>
      </c>
      <c r="AW1551" s="14">
        <f>G1551*AO1551</f>
        <v>0</v>
      </c>
      <c r="AX1551" s="14">
        <f>G1551*AP1551</f>
        <v>0</v>
      </c>
      <c r="AY1551" s="55" t="s">
        <v>203</v>
      </c>
      <c r="AZ1551" s="55" t="s">
        <v>627</v>
      </c>
      <c r="BA1551" s="15" t="s">
        <v>325</v>
      </c>
      <c r="BC1551" s="14">
        <f>AW1551+AX1551</f>
        <v>0</v>
      </c>
      <c r="BD1551" s="14">
        <f>H1551/(100-BE1551)*100</f>
        <v>0</v>
      </c>
      <c r="BE1551" s="14">
        <v>0</v>
      </c>
      <c r="BF1551" s="14">
        <f>O1551</f>
        <v>6.3829999999999998E-2</v>
      </c>
      <c r="BH1551" s="14">
        <f>G1551*AO1551</f>
        <v>0</v>
      </c>
      <c r="BI1551" s="14">
        <f>G1551*AP1551</f>
        <v>0</v>
      </c>
      <c r="BJ1551" s="14">
        <f>G1551*H1551</f>
        <v>0</v>
      </c>
      <c r="BK1551" s="14"/>
      <c r="BL1551" s="14">
        <v>89</v>
      </c>
      <c r="BW1551" s="14" t="str">
        <f>I1551</f>
        <v>21</v>
      </c>
    </row>
    <row r="1552" spans="1:75" ht="15" customHeight="1">
      <c r="A1552" s="32"/>
      <c r="D1552" s="3" t="s">
        <v>2422</v>
      </c>
      <c r="E1552" s="28" t="s">
        <v>1683</v>
      </c>
      <c r="G1552" s="27">
        <v>1</v>
      </c>
      <c r="P1552" s="33"/>
    </row>
    <row r="1553" spans="1:75" ht="13.5" customHeight="1">
      <c r="A1553" s="20" t="s">
        <v>1517</v>
      </c>
      <c r="B1553" s="84" t="s">
        <v>128</v>
      </c>
      <c r="C1553" s="84" t="s">
        <v>927</v>
      </c>
      <c r="D1553" s="653" t="s">
        <v>2583</v>
      </c>
      <c r="E1553" s="654"/>
      <c r="F1553" s="84" t="s">
        <v>595</v>
      </c>
      <c r="G1553" s="6">
        <v>1</v>
      </c>
      <c r="H1553" s="570"/>
      <c r="I1553" s="18" t="s">
        <v>1720</v>
      </c>
      <c r="J1553" s="6">
        <f>G1553*AO1553</f>
        <v>0</v>
      </c>
      <c r="K1553" s="6">
        <f>G1553*AP1553</f>
        <v>0</v>
      </c>
      <c r="L1553" s="6">
        <f>G1553*H1553</f>
        <v>0</v>
      </c>
      <c r="M1553" s="6">
        <f>L1553*(1+BW1553/100)</f>
        <v>0</v>
      </c>
      <c r="N1553" s="6">
        <v>8.0000000000000002E-3</v>
      </c>
      <c r="O1553" s="6">
        <f>G1553*N1553</f>
        <v>8.0000000000000002E-3</v>
      </c>
      <c r="P1553" s="109" t="s">
        <v>1664</v>
      </c>
      <c r="Z1553" s="14">
        <f>IF(AQ1553="5",BJ1553,0)</f>
        <v>0</v>
      </c>
      <c r="AB1553" s="14">
        <f>IF(AQ1553="1",BH1553,0)</f>
        <v>0</v>
      </c>
      <c r="AC1553" s="14">
        <f>IF(AQ1553="1",BI1553,0)</f>
        <v>0</v>
      </c>
      <c r="AD1553" s="14">
        <f>IF(AQ1553="7",BH1553,0)</f>
        <v>0</v>
      </c>
      <c r="AE1553" s="14">
        <f>IF(AQ1553="7",BI1553,0)</f>
        <v>0</v>
      </c>
      <c r="AF1553" s="14">
        <f>IF(AQ1553="2",BH1553,0)</f>
        <v>0</v>
      </c>
      <c r="AG1553" s="14">
        <f>IF(AQ1553="2",BI1553,0)</f>
        <v>0</v>
      </c>
      <c r="AH1553" s="14">
        <f>IF(AQ1553="0",BJ1553,0)</f>
        <v>0</v>
      </c>
      <c r="AI1553" s="15" t="s">
        <v>128</v>
      </c>
      <c r="AJ1553" s="6">
        <f>IF(AN1553=0,L1553,0)</f>
        <v>0</v>
      </c>
      <c r="AK1553" s="6">
        <f>IF(AN1553=15,L1553,0)</f>
        <v>0</v>
      </c>
      <c r="AL1553" s="6">
        <f>IF(AN1553=21,L1553,0)</f>
        <v>0</v>
      </c>
      <c r="AN1553" s="14">
        <v>21</v>
      </c>
      <c r="AO1553" s="92">
        <f>H1553*1</f>
        <v>0</v>
      </c>
      <c r="AP1553" s="92">
        <f>H1553*(1-1)</f>
        <v>0</v>
      </c>
      <c r="AQ1553" s="18" t="s">
        <v>2422</v>
      </c>
      <c r="AV1553" s="14">
        <f>AW1553+AX1553</f>
        <v>0</v>
      </c>
      <c r="AW1553" s="14">
        <f>G1553*AO1553</f>
        <v>0</v>
      </c>
      <c r="AX1553" s="14">
        <f>G1553*AP1553</f>
        <v>0</v>
      </c>
      <c r="AY1553" s="55" t="s">
        <v>203</v>
      </c>
      <c r="AZ1553" s="55" t="s">
        <v>627</v>
      </c>
      <c r="BA1553" s="15" t="s">
        <v>325</v>
      </c>
      <c r="BC1553" s="14">
        <f>AW1553+AX1553</f>
        <v>0</v>
      </c>
      <c r="BD1553" s="14">
        <f>H1553/(100-BE1553)*100</f>
        <v>0</v>
      </c>
      <c r="BE1553" s="14">
        <v>0</v>
      </c>
      <c r="BF1553" s="14">
        <f>O1553</f>
        <v>8.0000000000000002E-3</v>
      </c>
      <c r="BH1553" s="6">
        <f>G1553*AO1553</f>
        <v>0</v>
      </c>
      <c r="BI1553" s="6">
        <f>G1553*AP1553</f>
        <v>0</v>
      </c>
      <c r="BJ1553" s="6">
        <f>G1553*H1553</f>
        <v>0</v>
      </c>
      <c r="BK1553" s="6"/>
      <c r="BL1553" s="14">
        <v>89</v>
      </c>
      <c r="BW1553" s="14" t="str">
        <f>I1553</f>
        <v>21</v>
      </c>
    </row>
    <row r="1554" spans="1:75" ht="15" customHeight="1">
      <c r="A1554" s="32"/>
      <c r="D1554" s="3" t="s">
        <v>2422</v>
      </c>
      <c r="E1554" s="28" t="s">
        <v>1683</v>
      </c>
      <c r="G1554" s="27">
        <v>1</v>
      </c>
      <c r="P1554" s="33"/>
    </row>
    <row r="1555" spans="1:75" ht="13.5" customHeight="1">
      <c r="A1555" s="21" t="s">
        <v>2289</v>
      </c>
      <c r="B1555" s="37" t="s">
        <v>128</v>
      </c>
      <c r="C1555" s="37" t="s">
        <v>1747</v>
      </c>
      <c r="D1555" s="578" t="s">
        <v>815</v>
      </c>
      <c r="E1555" s="579"/>
      <c r="F1555" s="37" t="s">
        <v>2019</v>
      </c>
      <c r="G1555" s="14">
        <v>20</v>
      </c>
      <c r="H1555" s="569"/>
      <c r="I1555" s="55" t="s">
        <v>1720</v>
      </c>
      <c r="J1555" s="14">
        <f>G1555*AO1555</f>
        <v>0</v>
      </c>
      <c r="K1555" s="14">
        <f>G1555*AP1555</f>
        <v>0</v>
      </c>
      <c r="L1555" s="14">
        <f>G1555*H1555</f>
        <v>0</v>
      </c>
      <c r="M1555" s="14">
        <f>L1555*(1+BW1555/100)</f>
        <v>0</v>
      </c>
      <c r="N1555" s="14">
        <v>0</v>
      </c>
      <c r="O1555" s="14">
        <f>G1555*N1555</f>
        <v>0</v>
      </c>
      <c r="P1555" s="72" t="s">
        <v>1664</v>
      </c>
      <c r="Z1555" s="14">
        <f>IF(AQ1555="5",BJ1555,0)</f>
        <v>0</v>
      </c>
      <c r="AB1555" s="14">
        <f>IF(AQ1555="1",BH1555,0)</f>
        <v>0</v>
      </c>
      <c r="AC1555" s="14">
        <f>IF(AQ1555="1",BI1555,0)</f>
        <v>0</v>
      </c>
      <c r="AD1555" s="14">
        <f>IF(AQ1555="7",BH1555,0)</f>
        <v>0</v>
      </c>
      <c r="AE1555" s="14">
        <f>IF(AQ1555="7",BI1555,0)</f>
        <v>0</v>
      </c>
      <c r="AF1555" s="14">
        <f>IF(AQ1555="2",BH1555,0)</f>
        <v>0</v>
      </c>
      <c r="AG1555" s="14">
        <f>IF(AQ1555="2",BI1555,0)</f>
        <v>0</v>
      </c>
      <c r="AH1555" s="14">
        <f>IF(AQ1555="0",BJ1555,0)</f>
        <v>0</v>
      </c>
      <c r="AI1555" s="15" t="s">
        <v>128</v>
      </c>
      <c r="AJ1555" s="14">
        <f>IF(AN1555=0,L1555,0)</f>
        <v>0</v>
      </c>
      <c r="AK1555" s="14">
        <f>IF(AN1555=15,L1555,0)</f>
        <v>0</v>
      </c>
      <c r="AL1555" s="14">
        <f>IF(AN1555=21,L1555,0)</f>
        <v>0</v>
      </c>
      <c r="AN1555" s="14">
        <v>21</v>
      </c>
      <c r="AO1555" s="92">
        <f>H1555*0.0056565170297268</f>
        <v>0</v>
      </c>
      <c r="AP1555" s="92">
        <f>H1555*(1-0.0056565170297268)</f>
        <v>0</v>
      </c>
      <c r="AQ1555" s="55" t="s">
        <v>2422</v>
      </c>
      <c r="AV1555" s="14">
        <f>AW1555+AX1555</f>
        <v>0</v>
      </c>
      <c r="AW1555" s="14">
        <f>G1555*AO1555</f>
        <v>0</v>
      </c>
      <c r="AX1555" s="14">
        <f>G1555*AP1555</f>
        <v>0</v>
      </c>
      <c r="AY1555" s="55" t="s">
        <v>203</v>
      </c>
      <c r="AZ1555" s="55" t="s">
        <v>627</v>
      </c>
      <c r="BA1555" s="15" t="s">
        <v>325</v>
      </c>
      <c r="BC1555" s="14">
        <f>AW1555+AX1555</f>
        <v>0</v>
      </c>
      <c r="BD1555" s="14">
        <f>H1555/(100-BE1555)*100</f>
        <v>0</v>
      </c>
      <c r="BE1555" s="14">
        <v>0</v>
      </c>
      <c r="BF1555" s="14">
        <f>O1555</f>
        <v>0</v>
      </c>
      <c r="BH1555" s="14">
        <f>G1555*AO1555</f>
        <v>0</v>
      </c>
      <c r="BI1555" s="14">
        <f>G1555*AP1555</f>
        <v>0</v>
      </c>
      <c r="BJ1555" s="14">
        <f>G1555*H1555</f>
        <v>0</v>
      </c>
      <c r="BK1555" s="14"/>
      <c r="BL1555" s="14">
        <v>89</v>
      </c>
      <c r="BW1555" s="14" t="str">
        <f>I1555</f>
        <v>21</v>
      </c>
    </row>
    <row r="1556" spans="1:75" ht="15" customHeight="1">
      <c r="A1556" s="32"/>
      <c r="D1556" s="3" t="s">
        <v>118</v>
      </c>
      <c r="E1556" s="28" t="s">
        <v>1683</v>
      </c>
      <c r="G1556" s="27">
        <v>20</v>
      </c>
      <c r="P1556" s="33"/>
    </row>
    <row r="1557" spans="1:75" ht="13.5" customHeight="1">
      <c r="A1557" s="21" t="s">
        <v>907</v>
      </c>
      <c r="B1557" s="37" t="s">
        <v>128</v>
      </c>
      <c r="C1557" s="37" t="s">
        <v>2281</v>
      </c>
      <c r="D1557" s="578" t="s">
        <v>2514</v>
      </c>
      <c r="E1557" s="579"/>
      <c r="F1557" s="37" t="s">
        <v>2019</v>
      </c>
      <c r="G1557" s="14">
        <v>20</v>
      </c>
      <c r="H1557" s="569"/>
      <c r="I1557" s="55" t="s">
        <v>1720</v>
      </c>
      <c r="J1557" s="14">
        <f>G1557*AO1557</f>
        <v>0</v>
      </c>
      <c r="K1557" s="14">
        <f>G1557*AP1557</f>
        <v>0</v>
      </c>
      <c r="L1557" s="14">
        <f>G1557*H1557</f>
        <v>0</v>
      </c>
      <c r="M1557" s="14">
        <f>L1557*(1+BW1557/100)</f>
        <v>0</v>
      </c>
      <c r="N1557" s="14">
        <v>0</v>
      </c>
      <c r="O1557" s="14">
        <f>G1557*N1557</f>
        <v>0</v>
      </c>
      <c r="P1557" s="72" t="s">
        <v>1664</v>
      </c>
      <c r="Z1557" s="14">
        <f>IF(AQ1557="5",BJ1557,0)</f>
        <v>0</v>
      </c>
      <c r="AB1557" s="14">
        <f>IF(AQ1557="1",BH1557,0)</f>
        <v>0</v>
      </c>
      <c r="AC1557" s="14">
        <f>IF(AQ1557="1",BI1557,0)</f>
        <v>0</v>
      </c>
      <c r="AD1557" s="14">
        <f>IF(AQ1557="7",BH1557,0)</f>
        <v>0</v>
      </c>
      <c r="AE1557" s="14">
        <f>IF(AQ1557="7",BI1557,0)</f>
        <v>0</v>
      </c>
      <c r="AF1557" s="14">
        <f>IF(AQ1557="2",BH1557,0)</f>
        <v>0</v>
      </c>
      <c r="AG1557" s="14">
        <f>IF(AQ1557="2",BI1557,0)</f>
        <v>0</v>
      </c>
      <c r="AH1557" s="14">
        <f>IF(AQ1557="0",BJ1557,0)</f>
        <v>0</v>
      </c>
      <c r="AI1557" s="15" t="s">
        <v>128</v>
      </c>
      <c r="AJ1557" s="14">
        <f>IF(AN1557=0,L1557,0)</f>
        <v>0</v>
      </c>
      <c r="AK1557" s="14">
        <f>IF(AN1557=15,L1557,0)</f>
        <v>0</v>
      </c>
      <c r="AL1557" s="14">
        <f>IF(AN1557=21,L1557,0)</f>
        <v>0</v>
      </c>
      <c r="AN1557" s="14">
        <v>21</v>
      </c>
      <c r="AO1557" s="92">
        <f>H1557*0.0239934932899553</f>
        <v>0</v>
      </c>
      <c r="AP1557" s="92">
        <f>H1557*(1-0.0239934932899553)</f>
        <v>0</v>
      </c>
      <c r="AQ1557" s="55" t="s">
        <v>2422</v>
      </c>
      <c r="AV1557" s="14">
        <f>AW1557+AX1557</f>
        <v>0</v>
      </c>
      <c r="AW1557" s="14">
        <f>G1557*AO1557</f>
        <v>0</v>
      </c>
      <c r="AX1557" s="14">
        <f>G1557*AP1557</f>
        <v>0</v>
      </c>
      <c r="AY1557" s="55" t="s">
        <v>203</v>
      </c>
      <c r="AZ1557" s="55" t="s">
        <v>627</v>
      </c>
      <c r="BA1557" s="15" t="s">
        <v>325</v>
      </c>
      <c r="BC1557" s="14">
        <f>AW1557+AX1557</f>
        <v>0</v>
      </c>
      <c r="BD1557" s="14">
        <f>H1557/(100-BE1557)*100</f>
        <v>0</v>
      </c>
      <c r="BE1557" s="14">
        <v>0</v>
      </c>
      <c r="BF1557" s="14">
        <f>O1557</f>
        <v>0</v>
      </c>
      <c r="BH1557" s="14">
        <f>G1557*AO1557</f>
        <v>0</v>
      </c>
      <c r="BI1557" s="14">
        <f>G1557*AP1557</f>
        <v>0</v>
      </c>
      <c r="BJ1557" s="14">
        <f>G1557*H1557</f>
        <v>0</v>
      </c>
      <c r="BK1557" s="14"/>
      <c r="BL1557" s="14">
        <v>89</v>
      </c>
      <c r="BW1557" s="14" t="str">
        <f>I1557</f>
        <v>21</v>
      </c>
    </row>
    <row r="1558" spans="1:75" ht="15" customHeight="1">
      <c r="A1558" s="32"/>
      <c r="D1558" s="3" t="s">
        <v>118</v>
      </c>
      <c r="E1558" s="28" t="s">
        <v>1683</v>
      </c>
      <c r="G1558" s="27">
        <v>20</v>
      </c>
      <c r="P1558" s="33"/>
    </row>
    <row r="1559" spans="1:75" ht="13.5" customHeight="1">
      <c r="A1559" s="21" t="s">
        <v>799</v>
      </c>
      <c r="B1559" s="37" t="s">
        <v>128</v>
      </c>
      <c r="C1559" s="37" t="s">
        <v>704</v>
      </c>
      <c r="D1559" s="578" t="s">
        <v>2113</v>
      </c>
      <c r="E1559" s="579"/>
      <c r="F1559" s="37" t="s">
        <v>2643</v>
      </c>
      <c r="G1559" s="14">
        <v>1</v>
      </c>
      <c r="H1559" s="569"/>
      <c r="I1559" s="55" t="s">
        <v>1720</v>
      </c>
      <c r="J1559" s="14">
        <f>G1559*AO1559</f>
        <v>0</v>
      </c>
      <c r="K1559" s="14">
        <f>G1559*AP1559</f>
        <v>0</v>
      </c>
      <c r="L1559" s="14">
        <f>G1559*H1559</f>
        <v>0</v>
      </c>
      <c r="M1559" s="14">
        <f>L1559*(1+BW1559/100)</f>
        <v>0</v>
      </c>
      <c r="N1559" s="14">
        <v>3.5029999999999999E-2</v>
      </c>
      <c r="O1559" s="14">
        <f>G1559*N1559</f>
        <v>3.5029999999999999E-2</v>
      </c>
      <c r="P1559" s="72" t="s">
        <v>1664</v>
      </c>
      <c r="Z1559" s="14">
        <f>IF(AQ1559="5",BJ1559,0)</f>
        <v>0</v>
      </c>
      <c r="AB1559" s="14">
        <f>IF(AQ1559="1",BH1559,0)</f>
        <v>0</v>
      </c>
      <c r="AC1559" s="14">
        <f>IF(AQ1559="1",BI1559,0)</f>
        <v>0</v>
      </c>
      <c r="AD1559" s="14">
        <f>IF(AQ1559="7",BH1559,0)</f>
        <v>0</v>
      </c>
      <c r="AE1559" s="14">
        <f>IF(AQ1559="7",BI1559,0)</f>
        <v>0</v>
      </c>
      <c r="AF1559" s="14">
        <f>IF(AQ1559="2",BH1559,0)</f>
        <v>0</v>
      </c>
      <c r="AG1559" s="14">
        <f>IF(AQ1559="2",BI1559,0)</f>
        <v>0</v>
      </c>
      <c r="AH1559" s="14">
        <f>IF(AQ1559="0",BJ1559,0)</f>
        <v>0</v>
      </c>
      <c r="AI1559" s="15" t="s">
        <v>128</v>
      </c>
      <c r="AJ1559" s="14">
        <f>IF(AN1559=0,L1559,0)</f>
        <v>0</v>
      </c>
      <c r="AK1559" s="14">
        <f>IF(AN1559=15,L1559,0)</f>
        <v>0</v>
      </c>
      <c r="AL1559" s="14">
        <f>IF(AN1559=21,L1559,0)</f>
        <v>0</v>
      </c>
      <c r="AN1559" s="14">
        <v>21</v>
      </c>
      <c r="AO1559" s="92">
        <f>H1559*0.461472277227723</f>
        <v>0</v>
      </c>
      <c r="AP1559" s="92">
        <f>H1559*(1-0.461472277227723)</f>
        <v>0</v>
      </c>
      <c r="AQ1559" s="55" t="s">
        <v>2422</v>
      </c>
      <c r="AV1559" s="14">
        <f>AW1559+AX1559</f>
        <v>0</v>
      </c>
      <c r="AW1559" s="14">
        <f>G1559*AO1559</f>
        <v>0</v>
      </c>
      <c r="AX1559" s="14">
        <f>G1559*AP1559</f>
        <v>0</v>
      </c>
      <c r="AY1559" s="55" t="s">
        <v>203</v>
      </c>
      <c r="AZ1559" s="55" t="s">
        <v>627</v>
      </c>
      <c r="BA1559" s="15" t="s">
        <v>325</v>
      </c>
      <c r="BC1559" s="14">
        <f>AW1559+AX1559</f>
        <v>0</v>
      </c>
      <c r="BD1559" s="14">
        <f>H1559/(100-BE1559)*100</f>
        <v>0</v>
      </c>
      <c r="BE1559" s="14">
        <v>0</v>
      </c>
      <c r="BF1559" s="14">
        <f>O1559</f>
        <v>3.5029999999999999E-2</v>
      </c>
      <c r="BH1559" s="14">
        <f>G1559*AO1559</f>
        <v>0</v>
      </c>
      <c r="BI1559" s="14">
        <f>G1559*AP1559</f>
        <v>0</v>
      </c>
      <c r="BJ1559" s="14">
        <f>G1559*H1559</f>
        <v>0</v>
      </c>
      <c r="BK1559" s="14"/>
      <c r="BL1559" s="14">
        <v>89</v>
      </c>
      <c r="BW1559" s="14" t="str">
        <f>I1559</f>
        <v>21</v>
      </c>
    </row>
    <row r="1560" spans="1:75" ht="15" customHeight="1">
      <c r="A1560" s="32"/>
      <c r="D1560" s="3" t="s">
        <v>2422</v>
      </c>
      <c r="E1560" s="28" t="s">
        <v>1683</v>
      </c>
      <c r="G1560" s="27">
        <v>1</v>
      </c>
      <c r="P1560" s="33"/>
    </row>
    <row r="1561" spans="1:75" ht="13.5" customHeight="1">
      <c r="A1561" s="21" t="s">
        <v>1236</v>
      </c>
      <c r="B1561" s="37" t="s">
        <v>128</v>
      </c>
      <c r="C1561" s="37" t="s">
        <v>758</v>
      </c>
      <c r="D1561" s="578" t="s">
        <v>1960</v>
      </c>
      <c r="E1561" s="579"/>
      <c r="F1561" s="37" t="s">
        <v>595</v>
      </c>
      <c r="G1561" s="14">
        <v>1</v>
      </c>
      <c r="H1561" s="569"/>
      <c r="I1561" s="55" t="s">
        <v>1720</v>
      </c>
      <c r="J1561" s="14">
        <f>G1561*AO1561</f>
        <v>0</v>
      </c>
      <c r="K1561" s="14">
        <f>G1561*AP1561</f>
        <v>0</v>
      </c>
      <c r="L1561" s="14">
        <f>G1561*H1561</f>
        <v>0</v>
      </c>
      <c r="M1561" s="14">
        <f>L1561*(1+BW1561/100)</f>
        <v>0</v>
      </c>
      <c r="N1561" s="14">
        <v>2.3000000000000001E-4</v>
      </c>
      <c r="O1561" s="14">
        <f>G1561*N1561</f>
        <v>2.3000000000000001E-4</v>
      </c>
      <c r="P1561" s="72" t="s">
        <v>921</v>
      </c>
      <c r="Z1561" s="14">
        <f>IF(AQ1561="5",BJ1561,0)</f>
        <v>0</v>
      </c>
      <c r="AB1561" s="14">
        <f>IF(AQ1561="1",BH1561,0)</f>
        <v>0</v>
      </c>
      <c r="AC1561" s="14">
        <f>IF(AQ1561="1",BI1561,0)</f>
        <v>0</v>
      </c>
      <c r="AD1561" s="14">
        <f>IF(AQ1561="7",BH1561,0)</f>
        <v>0</v>
      </c>
      <c r="AE1561" s="14">
        <f>IF(AQ1561="7",BI1561,0)</f>
        <v>0</v>
      </c>
      <c r="AF1561" s="14">
        <f>IF(AQ1561="2",BH1561,0)</f>
        <v>0</v>
      </c>
      <c r="AG1561" s="14">
        <f>IF(AQ1561="2",BI1561,0)</f>
        <v>0</v>
      </c>
      <c r="AH1561" s="14">
        <f>IF(AQ1561="0",BJ1561,0)</f>
        <v>0</v>
      </c>
      <c r="AI1561" s="15" t="s">
        <v>128</v>
      </c>
      <c r="AJ1561" s="14">
        <f>IF(AN1561=0,L1561,0)</f>
        <v>0</v>
      </c>
      <c r="AK1561" s="14">
        <f>IF(AN1561=15,L1561,0)</f>
        <v>0</v>
      </c>
      <c r="AL1561" s="14">
        <f>IF(AN1561=21,L1561,0)</f>
        <v>0</v>
      </c>
      <c r="AN1561" s="14">
        <v>21</v>
      </c>
      <c r="AO1561" s="92">
        <f>H1561*0.601017653708606</f>
        <v>0</v>
      </c>
      <c r="AP1561" s="92">
        <f>H1561*(1-0.601017653708606)</f>
        <v>0</v>
      </c>
      <c r="AQ1561" s="55" t="s">
        <v>2422</v>
      </c>
      <c r="AV1561" s="14">
        <f>AW1561+AX1561</f>
        <v>0</v>
      </c>
      <c r="AW1561" s="14">
        <f>G1561*AO1561</f>
        <v>0</v>
      </c>
      <c r="AX1561" s="14">
        <f>G1561*AP1561</f>
        <v>0</v>
      </c>
      <c r="AY1561" s="55" t="s">
        <v>203</v>
      </c>
      <c r="AZ1561" s="55" t="s">
        <v>627</v>
      </c>
      <c r="BA1561" s="15" t="s">
        <v>325</v>
      </c>
      <c r="BC1561" s="14">
        <f>AW1561+AX1561</f>
        <v>0</v>
      </c>
      <c r="BD1561" s="14">
        <f>H1561/(100-BE1561)*100</f>
        <v>0</v>
      </c>
      <c r="BE1561" s="14">
        <v>0</v>
      </c>
      <c r="BF1561" s="14">
        <f>O1561</f>
        <v>2.3000000000000001E-4</v>
      </c>
      <c r="BH1561" s="14">
        <f>G1561*AO1561</f>
        <v>0</v>
      </c>
      <c r="BI1561" s="14">
        <f>G1561*AP1561</f>
        <v>0</v>
      </c>
      <c r="BJ1561" s="14">
        <f>G1561*H1561</f>
        <v>0</v>
      </c>
      <c r="BK1561" s="14"/>
      <c r="BL1561" s="14">
        <v>89</v>
      </c>
      <c r="BW1561" s="14" t="str">
        <f>I1561</f>
        <v>21</v>
      </c>
    </row>
    <row r="1562" spans="1:75" ht="15" customHeight="1">
      <c r="A1562" s="32"/>
      <c r="D1562" s="3" t="s">
        <v>2422</v>
      </c>
      <c r="E1562" s="28" t="s">
        <v>1683</v>
      </c>
      <c r="G1562" s="27">
        <v>1</v>
      </c>
      <c r="P1562" s="33"/>
    </row>
    <row r="1563" spans="1:75" ht="15" customHeight="1">
      <c r="A1563" s="65" t="s">
        <v>1683</v>
      </c>
      <c r="B1563" s="26" t="s">
        <v>128</v>
      </c>
      <c r="C1563" s="26" t="s">
        <v>107</v>
      </c>
      <c r="D1563" s="649" t="s">
        <v>877</v>
      </c>
      <c r="E1563" s="650"/>
      <c r="F1563" s="74" t="s">
        <v>2262</v>
      </c>
      <c r="G1563" s="74" t="s">
        <v>2262</v>
      </c>
      <c r="H1563" s="74" t="s">
        <v>2262</v>
      </c>
      <c r="I1563" s="74" t="s">
        <v>2262</v>
      </c>
      <c r="J1563" s="2">
        <f>SUM(J1564:J1566)</f>
        <v>0</v>
      </c>
      <c r="K1563" s="2">
        <f>SUM(K1564:K1566)</f>
        <v>0</v>
      </c>
      <c r="L1563" s="2">
        <f>SUM(L1564:L1566)</f>
        <v>0</v>
      </c>
      <c r="M1563" s="2">
        <f>SUM(M1564:M1566)</f>
        <v>0</v>
      </c>
      <c r="N1563" s="15" t="s">
        <v>1683</v>
      </c>
      <c r="O1563" s="2">
        <f>SUM(O1564:O1566)</f>
        <v>1.6000000000000001E-3</v>
      </c>
      <c r="P1563" s="47" t="s">
        <v>1683</v>
      </c>
      <c r="AI1563" s="15" t="s">
        <v>128</v>
      </c>
      <c r="AS1563" s="2">
        <f>SUM(AJ1564:AJ1566)</f>
        <v>0</v>
      </c>
      <c r="AT1563" s="2">
        <f>SUM(AK1564:AK1566)</f>
        <v>0</v>
      </c>
      <c r="AU1563" s="2">
        <f>SUM(AL1564:AL1566)</f>
        <v>0</v>
      </c>
    </row>
    <row r="1564" spans="1:75" ht="13.5" customHeight="1">
      <c r="A1564" s="21" t="s">
        <v>1975</v>
      </c>
      <c r="B1564" s="37" t="s">
        <v>128</v>
      </c>
      <c r="C1564" s="37" t="s">
        <v>31</v>
      </c>
      <c r="D1564" s="578" t="s">
        <v>2494</v>
      </c>
      <c r="E1564" s="579"/>
      <c r="F1564" s="37" t="s">
        <v>2019</v>
      </c>
      <c r="G1564" s="14">
        <v>16</v>
      </c>
      <c r="H1564" s="569"/>
      <c r="I1564" s="55" t="s">
        <v>1720</v>
      </c>
      <c r="J1564" s="14">
        <f>G1564*AO1564</f>
        <v>0</v>
      </c>
      <c r="K1564" s="14">
        <f>G1564*AP1564</f>
        <v>0</v>
      </c>
      <c r="L1564" s="14">
        <f>G1564*H1564</f>
        <v>0</v>
      </c>
      <c r="M1564" s="14">
        <f>L1564*(1+BW1564/100)</f>
        <v>0</v>
      </c>
      <c r="N1564" s="14">
        <v>0</v>
      </c>
      <c r="O1564" s="14">
        <f>G1564*N1564</f>
        <v>0</v>
      </c>
      <c r="P1564" s="72" t="s">
        <v>1664</v>
      </c>
      <c r="Z1564" s="14">
        <f>IF(AQ1564="5",BJ1564,0)</f>
        <v>0</v>
      </c>
      <c r="AB1564" s="14">
        <f>IF(AQ1564="1",BH1564,0)</f>
        <v>0</v>
      </c>
      <c r="AC1564" s="14">
        <f>IF(AQ1564="1",BI1564,0)</f>
        <v>0</v>
      </c>
      <c r="AD1564" s="14">
        <f>IF(AQ1564="7",BH1564,0)</f>
        <v>0</v>
      </c>
      <c r="AE1564" s="14">
        <f>IF(AQ1564="7",BI1564,0)</f>
        <v>0</v>
      </c>
      <c r="AF1564" s="14">
        <f>IF(AQ1564="2",BH1564,0)</f>
        <v>0</v>
      </c>
      <c r="AG1564" s="14">
        <f>IF(AQ1564="2",BI1564,0)</f>
        <v>0</v>
      </c>
      <c r="AH1564" s="14">
        <f>IF(AQ1564="0",BJ1564,0)</f>
        <v>0</v>
      </c>
      <c r="AI1564" s="15" t="s">
        <v>128</v>
      </c>
      <c r="AJ1564" s="14">
        <f>IF(AN1564=0,L1564,0)</f>
        <v>0</v>
      </c>
      <c r="AK1564" s="14">
        <f>IF(AN1564=15,L1564,0)</f>
        <v>0</v>
      </c>
      <c r="AL1564" s="14">
        <f>IF(AN1564=21,L1564,0)</f>
        <v>0</v>
      </c>
      <c r="AN1564" s="14">
        <v>21</v>
      </c>
      <c r="AO1564" s="92">
        <f>H1564*0.563818166540627</f>
        <v>0</v>
      </c>
      <c r="AP1564" s="92">
        <f>H1564*(1-0.563818166540627)</f>
        <v>0</v>
      </c>
      <c r="AQ1564" s="55" t="s">
        <v>2422</v>
      </c>
      <c r="AV1564" s="14">
        <f>AW1564+AX1564</f>
        <v>0</v>
      </c>
      <c r="AW1564" s="14">
        <f>G1564*AO1564</f>
        <v>0</v>
      </c>
      <c r="AX1564" s="14">
        <f>G1564*AP1564</f>
        <v>0</v>
      </c>
      <c r="AY1564" s="55" t="s">
        <v>2380</v>
      </c>
      <c r="AZ1564" s="55" t="s">
        <v>1111</v>
      </c>
      <c r="BA1564" s="15" t="s">
        <v>325</v>
      </c>
      <c r="BC1564" s="14">
        <f>AW1564+AX1564</f>
        <v>0</v>
      </c>
      <c r="BD1564" s="14">
        <f>H1564/(100-BE1564)*100</f>
        <v>0</v>
      </c>
      <c r="BE1564" s="14">
        <v>0</v>
      </c>
      <c r="BF1564" s="14">
        <f>O1564</f>
        <v>0</v>
      </c>
      <c r="BH1564" s="14">
        <f>G1564*AO1564</f>
        <v>0</v>
      </c>
      <c r="BI1564" s="14">
        <f>G1564*AP1564</f>
        <v>0</v>
      </c>
      <c r="BJ1564" s="14">
        <f>G1564*H1564</f>
        <v>0</v>
      </c>
      <c r="BK1564" s="14"/>
      <c r="BL1564" s="14">
        <v>91</v>
      </c>
      <c r="BW1564" s="14" t="str">
        <f>I1564</f>
        <v>21</v>
      </c>
    </row>
    <row r="1565" spans="1:75" ht="15" customHeight="1">
      <c r="A1565" s="32"/>
      <c r="D1565" s="3" t="s">
        <v>65</v>
      </c>
      <c r="E1565" s="28" t="s">
        <v>1683</v>
      </c>
      <c r="G1565" s="27">
        <v>16</v>
      </c>
      <c r="P1565" s="33"/>
    </row>
    <row r="1566" spans="1:75" ht="13.5" customHeight="1">
      <c r="A1566" s="21" t="s">
        <v>826</v>
      </c>
      <c r="B1566" s="37" t="s">
        <v>128</v>
      </c>
      <c r="C1566" s="37" t="s">
        <v>1371</v>
      </c>
      <c r="D1566" s="578" t="s">
        <v>771</v>
      </c>
      <c r="E1566" s="579"/>
      <c r="F1566" s="37" t="s">
        <v>2019</v>
      </c>
      <c r="G1566" s="14">
        <v>16</v>
      </c>
      <c r="H1566" s="569"/>
      <c r="I1566" s="55" t="s">
        <v>1720</v>
      </c>
      <c r="J1566" s="14">
        <f>G1566*AO1566</f>
        <v>0</v>
      </c>
      <c r="K1566" s="14">
        <f>G1566*AP1566</f>
        <v>0</v>
      </c>
      <c r="L1566" s="14">
        <f>G1566*H1566</f>
        <v>0</v>
      </c>
      <c r="M1566" s="14">
        <f>L1566*(1+BW1566/100)</f>
        <v>0</v>
      </c>
      <c r="N1566" s="14">
        <v>1E-4</v>
      </c>
      <c r="O1566" s="14">
        <f>G1566*N1566</f>
        <v>1.6000000000000001E-3</v>
      </c>
      <c r="P1566" s="72" t="s">
        <v>1664</v>
      </c>
      <c r="Z1566" s="14">
        <f>IF(AQ1566="5",BJ1566,0)</f>
        <v>0</v>
      </c>
      <c r="AB1566" s="14">
        <f>IF(AQ1566="1",BH1566,0)</f>
        <v>0</v>
      </c>
      <c r="AC1566" s="14">
        <f>IF(AQ1566="1",BI1566,0)</f>
        <v>0</v>
      </c>
      <c r="AD1566" s="14">
        <f>IF(AQ1566="7",BH1566,0)</f>
        <v>0</v>
      </c>
      <c r="AE1566" s="14">
        <f>IF(AQ1566="7",BI1566,0)</f>
        <v>0</v>
      </c>
      <c r="AF1566" s="14">
        <f>IF(AQ1566="2",BH1566,0)</f>
        <v>0</v>
      </c>
      <c r="AG1566" s="14">
        <f>IF(AQ1566="2",BI1566,0)</f>
        <v>0</v>
      </c>
      <c r="AH1566" s="14">
        <f>IF(AQ1566="0",BJ1566,0)</f>
        <v>0</v>
      </c>
      <c r="AI1566" s="15" t="s">
        <v>128</v>
      </c>
      <c r="AJ1566" s="14">
        <f>IF(AN1566=0,L1566,0)</f>
        <v>0</v>
      </c>
      <c r="AK1566" s="14">
        <f>IF(AN1566=15,L1566,0)</f>
        <v>0</v>
      </c>
      <c r="AL1566" s="14">
        <f>IF(AN1566=21,L1566,0)</f>
        <v>0</v>
      </c>
      <c r="AN1566" s="14">
        <v>21</v>
      </c>
      <c r="AO1566" s="92">
        <f>H1566*0.104916462063597</f>
        <v>0</v>
      </c>
      <c r="AP1566" s="92">
        <f>H1566*(1-0.104916462063597)</f>
        <v>0</v>
      </c>
      <c r="AQ1566" s="55" t="s">
        <v>2422</v>
      </c>
      <c r="AV1566" s="14">
        <f>AW1566+AX1566</f>
        <v>0</v>
      </c>
      <c r="AW1566" s="14">
        <f>G1566*AO1566</f>
        <v>0</v>
      </c>
      <c r="AX1566" s="14">
        <f>G1566*AP1566</f>
        <v>0</v>
      </c>
      <c r="AY1566" s="55" t="s">
        <v>2380</v>
      </c>
      <c r="AZ1566" s="55" t="s">
        <v>1111</v>
      </c>
      <c r="BA1566" s="15" t="s">
        <v>325</v>
      </c>
      <c r="BC1566" s="14">
        <f>AW1566+AX1566</f>
        <v>0</v>
      </c>
      <c r="BD1566" s="14">
        <f>H1566/(100-BE1566)*100</f>
        <v>0</v>
      </c>
      <c r="BE1566" s="14">
        <v>0</v>
      </c>
      <c r="BF1566" s="14">
        <f>O1566</f>
        <v>1.6000000000000001E-3</v>
      </c>
      <c r="BH1566" s="14">
        <f>G1566*AO1566</f>
        <v>0</v>
      </c>
      <c r="BI1566" s="14">
        <f>G1566*AP1566</f>
        <v>0</v>
      </c>
      <c r="BJ1566" s="14">
        <f>G1566*H1566</f>
        <v>0</v>
      </c>
      <c r="BK1566" s="14"/>
      <c r="BL1566" s="14">
        <v>91</v>
      </c>
      <c r="BW1566" s="14" t="str">
        <f>I1566</f>
        <v>21</v>
      </c>
    </row>
    <row r="1567" spans="1:75" ht="15" customHeight="1">
      <c r="A1567" s="32"/>
      <c r="D1567" s="3" t="s">
        <v>226</v>
      </c>
      <c r="E1567" s="28" t="s">
        <v>1683</v>
      </c>
      <c r="G1567" s="27">
        <v>16</v>
      </c>
      <c r="P1567" s="33"/>
    </row>
    <row r="1568" spans="1:75" ht="15" customHeight="1">
      <c r="A1568" s="65" t="s">
        <v>1683</v>
      </c>
      <c r="B1568" s="26" t="s">
        <v>128</v>
      </c>
      <c r="C1568" s="26" t="s">
        <v>1379</v>
      </c>
      <c r="D1568" s="649" t="s">
        <v>1316</v>
      </c>
      <c r="E1568" s="650"/>
      <c r="F1568" s="74" t="s">
        <v>2262</v>
      </c>
      <c r="G1568" s="74" t="s">
        <v>2262</v>
      </c>
      <c r="H1568" s="74" t="s">
        <v>2262</v>
      </c>
      <c r="I1568" s="74" t="s">
        <v>2262</v>
      </c>
      <c r="J1568" s="2">
        <f>SUM(J1569:J1569)</f>
        <v>0</v>
      </c>
      <c r="K1568" s="2">
        <f>SUM(K1569:K1569)</f>
        <v>0</v>
      </c>
      <c r="L1568" s="2">
        <f>SUM(L1569:L1569)</f>
        <v>0</v>
      </c>
      <c r="M1568" s="2">
        <f>SUM(M1569:M1569)</f>
        <v>0</v>
      </c>
      <c r="N1568" s="15" t="s">
        <v>1683</v>
      </c>
      <c r="O1568" s="2">
        <f>SUM(O1569:O1569)</f>
        <v>0</v>
      </c>
      <c r="P1568" s="47" t="s">
        <v>1683</v>
      </c>
      <c r="AI1568" s="15" t="s">
        <v>128</v>
      </c>
      <c r="AS1568" s="2">
        <f>SUM(AJ1569:AJ1569)</f>
        <v>0</v>
      </c>
      <c r="AT1568" s="2">
        <f>SUM(AK1569:AK1569)</f>
        <v>0</v>
      </c>
      <c r="AU1568" s="2">
        <f>SUM(AL1569:AL1569)</f>
        <v>0</v>
      </c>
    </row>
    <row r="1569" spans="1:75" ht="13.5" customHeight="1">
      <c r="A1569" s="21" t="s">
        <v>2036</v>
      </c>
      <c r="B1569" s="37" t="s">
        <v>128</v>
      </c>
      <c r="C1569" s="37" t="s">
        <v>2136</v>
      </c>
      <c r="D1569" s="578" t="s">
        <v>1652</v>
      </c>
      <c r="E1569" s="579"/>
      <c r="F1569" s="37" t="s">
        <v>1130</v>
      </c>
      <c r="G1569" s="14">
        <v>34.75</v>
      </c>
      <c r="H1569" s="569"/>
      <c r="I1569" s="55" t="s">
        <v>1720</v>
      </c>
      <c r="J1569" s="14">
        <f>G1569*AO1569</f>
        <v>0</v>
      </c>
      <c r="K1569" s="14">
        <f>G1569*AP1569</f>
        <v>0</v>
      </c>
      <c r="L1569" s="14">
        <f>G1569*H1569</f>
        <v>0</v>
      </c>
      <c r="M1569" s="14">
        <f>L1569*(1+BW1569/100)</f>
        <v>0</v>
      </c>
      <c r="N1569" s="14">
        <v>0</v>
      </c>
      <c r="O1569" s="14">
        <f>G1569*N1569</f>
        <v>0</v>
      </c>
      <c r="P1569" s="72" t="s">
        <v>1664</v>
      </c>
      <c r="Z1569" s="14">
        <f>IF(AQ1569="5",BJ1569,0)</f>
        <v>0</v>
      </c>
      <c r="AB1569" s="14">
        <f>IF(AQ1569="1",BH1569,0)</f>
        <v>0</v>
      </c>
      <c r="AC1569" s="14">
        <f>IF(AQ1569="1",BI1569,0)</f>
        <v>0</v>
      </c>
      <c r="AD1569" s="14">
        <f>IF(AQ1569="7",BH1569,0)</f>
        <v>0</v>
      </c>
      <c r="AE1569" s="14">
        <f>IF(AQ1569="7",BI1569,0)</f>
        <v>0</v>
      </c>
      <c r="AF1569" s="14">
        <f>IF(AQ1569="2",BH1569,0)</f>
        <v>0</v>
      </c>
      <c r="AG1569" s="14">
        <f>IF(AQ1569="2",BI1569,0)</f>
        <v>0</v>
      </c>
      <c r="AH1569" s="14">
        <f>IF(AQ1569="0",BJ1569,0)</f>
        <v>0</v>
      </c>
      <c r="AI1569" s="15" t="s">
        <v>128</v>
      </c>
      <c r="AJ1569" s="14">
        <f>IF(AN1569=0,L1569,0)</f>
        <v>0</v>
      </c>
      <c r="AK1569" s="14">
        <f>IF(AN1569=15,L1569,0)</f>
        <v>0</v>
      </c>
      <c r="AL1569" s="14">
        <f>IF(AN1569=21,L1569,0)</f>
        <v>0</v>
      </c>
      <c r="AN1569" s="14">
        <v>21</v>
      </c>
      <c r="AO1569" s="92">
        <f>H1569*0</f>
        <v>0</v>
      </c>
      <c r="AP1569" s="92">
        <f>H1569*(1-0)</f>
        <v>0</v>
      </c>
      <c r="AQ1569" s="55" t="s">
        <v>1287</v>
      </c>
      <c r="AV1569" s="14">
        <f>AW1569+AX1569</f>
        <v>0</v>
      </c>
      <c r="AW1569" s="14">
        <f>G1569*AO1569</f>
        <v>0</v>
      </c>
      <c r="AX1569" s="14">
        <f>G1569*AP1569</f>
        <v>0</v>
      </c>
      <c r="AY1569" s="55" t="s">
        <v>746</v>
      </c>
      <c r="AZ1569" s="55" t="s">
        <v>1111</v>
      </c>
      <c r="BA1569" s="15" t="s">
        <v>325</v>
      </c>
      <c r="BC1569" s="14">
        <f>AW1569+AX1569</f>
        <v>0</v>
      </c>
      <c r="BD1569" s="14">
        <f>H1569/(100-BE1569)*100</f>
        <v>0</v>
      </c>
      <c r="BE1569" s="14">
        <v>0</v>
      </c>
      <c r="BF1569" s="14">
        <f>O1569</f>
        <v>0</v>
      </c>
      <c r="BH1569" s="14">
        <f>G1569*AO1569</f>
        <v>0</v>
      </c>
      <c r="BI1569" s="14">
        <f>G1569*AP1569</f>
        <v>0</v>
      </c>
      <c r="BJ1569" s="14">
        <f>G1569*H1569</f>
        <v>0</v>
      </c>
      <c r="BK1569" s="14"/>
      <c r="BL1569" s="14"/>
      <c r="BW1569" s="14" t="str">
        <f>I1569</f>
        <v>21</v>
      </c>
    </row>
    <row r="1570" spans="1:75" ht="15" customHeight="1">
      <c r="A1570" s="32"/>
      <c r="D1570" s="3" t="s">
        <v>1864</v>
      </c>
      <c r="E1570" s="28" t="s">
        <v>1683</v>
      </c>
      <c r="G1570" s="27">
        <v>34.75</v>
      </c>
      <c r="P1570" s="33"/>
    </row>
    <row r="1571" spans="1:75" ht="15" customHeight="1">
      <c r="A1571" s="65" t="s">
        <v>1683</v>
      </c>
      <c r="B1571" s="26" t="s">
        <v>128</v>
      </c>
      <c r="C1571" s="26" t="s">
        <v>804</v>
      </c>
      <c r="D1571" s="649" t="s">
        <v>1036</v>
      </c>
      <c r="E1571" s="650"/>
      <c r="F1571" s="74" t="s">
        <v>2262</v>
      </c>
      <c r="G1571" s="74" t="s">
        <v>2262</v>
      </c>
      <c r="H1571" s="74" t="s">
        <v>2262</v>
      </c>
      <c r="I1571" s="74" t="s">
        <v>2262</v>
      </c>
      <c r="J1571" s="2">
        <f>SUM(J1572:J1574)</f>
        <v>0</v>
      </c>
      <c r="K1571" s="2">
        <f>SUM(K1572:K1574)</f>
        <v>0</v>
      </c>
      <c r="L1571" s="2">
        <f>SUM(L1572:L1574)</f>
        <v>0</v>
      </c>
      <c r="M1571" s="2">
        <f>SUM(M1572:M1574)</f>
        <v>0</v>
      </c>
      <c r="N1571" s="15" t="s">
        <v>1683</v>
      </c>
      <c r="O1571" s="2">
        <f>SUM(O1572:O1574)</f>
        <v>0</v>
      </c>
      <c r="P1571" s="47" t="s">
        <v>1683</v>
      </c>
      <c r="AI1571" s="15" t="s">
        <v>128</v>
      </c>
      <c r="AS1571" s="2">
        <f>SUM(AJ1572:AJ1574)</f>
        <v>0</v>
      </c>
      <c r="AT1571" s="2">
        <f>SUM(AK1572:AK1574)</f>
        <v>0</v>
      </c>
      <c r="AU1571" s="2">
        <f>SUM(AL1572:AL1574)</f>
        <v>0</v>
      </c>
    </row>
    <row r="1572" spans="1:75" ht="13.5" customHeight="1">
      <c r="A1572" s="21" t="s">
        <v>2330</v>
      </c>
      <c r="B1572" s="37" t="s">
        <v>128</v>
      </c>
      <c r="C1572" s="37" t="s">
        <v>427</v>
      </c>
      <c r="D1572" s="578" t="s">
        <v>2528</v>
      </c>
      <c r="E1572" s="579"/>
      <c r="F1572" s="37" t="s">
        <v>1130</v>
      </c>
      <c r="G1572" s="14">
        <v>25.38</v>
      </c>
      <c r="H1572" s="569"/>
      <c r="I1572" s="55" t="s">
        <v>1720</v>
      </c>
      <c r="J1572" s="14">
        <f>G1572*AO1572</f>
        <v>0</v>
      </c>
      <c r="K1572" s="14">
        <f>G1572*AP1572</f>
        <v>0</v>
      </c>
      <c r="L1572" s="14">
        <f>G1572*H1572</f>
        <v>0</v>
      </c>
      <c r="M1572" s="14">
        <f>L1572*(1+BW1572/100)</f>
        <v>0</v>
      </c>
      <c r="N1572" s="14">
        <v>0</v>
      </c>
      <c r="O1572" s="14">
        <f>G1572*N1572</f>
        <v>0</v>
      </c>
      <c r="P1572" s="72" t="s">
        <v>1664</v>
      </c>
      <c r="Z1572" s="14">
        <f>IF(AQ1572="5",BJ1572,0)</f>
        <v>0</v>
      </c>
      <c r="AB1572" s="14">
        <f>IF(AQ1572="1",BH1572,0)</f>
        <v>0</v>
      </c>
      <c r="AC1572" s="14">
        <f>IF(AQ1572="1",BI1572,0)</f>
        <v>0</v>
      </c>
      <c r="AD1572" s="14">
        <f>IF(AQ1572="7",BH1572,0)</f>
        <v>0</v>
      </c>
      <c r="AE1572" s="14">
        <f>IF(AQ1572="7",BI1572,0)</f>
        <v>0</v>
      </c>
      <c r="AF1572" s="14">
        <f>IF(AQ1572="2",BH1572,0)</f>
        <v>0</v>
      </c>
      <c r="AG1572" s="14">
        <f>IF(AQ1572="2",BI1572,0)</f>
        <v>0</v>
      </c>
      <c r="AH1572" s="14">
        <f>IF(AQ1572="0",BJ1572,0)</f>
        <v>0</v>
      </c>
      <c r="AI1572" s="15" t="s">
        <v>128</v>
      </c>
      <c r="AJ1572" s="14">
        <f>IF(AN1572=0,L1572,0)</f>
        <v>0</v>
      </c>
      <c r="AK1572" s="14">
        <f>IF(AN1572=15,L1572,0)</f>
        <v>0</v>
      </c>
      <c r="AL1572" s="14">
        <f>IF(AN1572=21,L1572,0)</f>
        <v>0</v>
      </c>
      <c r="AN1572" s="14">
        <v>21</v>
      </c>
      <c r="AO1572" s="92">
        <f>H1572*0</f>
        <v>0</v>
      </c>
      <c r="AP1572" s="92">
        <f>H1572*(1-0)</f>
        <v>0</v>
      </c>
      <c r="AQ1572" s="55" t="s">
        <v>1287</v>
      </c>
      <c r="AV1572" s="14">
        <f>AW1572+AX1572</f>
        <v>0</v>
      </c>
      <c r="AW1572" s="14">
        <f>G1572*AO1572</f>
        <v>0</v>
      </c>
      <c r="AX1572" s="14">
        <f>G1572*AP1572</f>
        <v>0</v>
      </c>
      <c r="AY1572" s="55" t="s">
        <v>992</v>
      </c>
      <c r="AZ1572" s="55" t="s">
        <v>1111</v>
      </c>
      <c r="BA1572" s="15" t="s">
        <v>325</v>
      </c>
      <c r="BC1572" s="14">
        <f>AW1572+AX1572</f>
        <v>0</v>
      </c>
      <c r="BD1572" s="14">
        <f>H1572/(100-BE1572)*100</f>
        <v>0</v>
      </c>
      <c r="BE1572" s="14">
        <v>0</v>
      </c>
      <c r="BF1572" s="14">
        <f>O1572</f>
        <v>0</v>
      </c>
      <c r="BH1572" s="14">
        <f>G1572*AO1572</f>
        <v>0</v>
      </c>
      <c r="BI1572" s="14">
        <f>G1572*AP1572</f>
        <v>0</v>
      </c>
      <c r="BJ1572" s="14">
        <f>G1572*H1572</f>
        <v>0</v>
      </c>
      <c r="BK1572" s="14"/>
      <c r="BL1572" s="14"/>
      <c r="BW1572" s="14" t="str">
        <f>I1572</f>
        <v>21</v>
      </c>
    </row>
    <row r="1573" spans="1:75" ht="15" customHeight="1">
      <c r="A1573" s="32"/>
      <c r="D1573" s="3" t="s">
        <v>824</v>
      </c>
      <c r="E1573" s="28" t="s">
        <v>1683</v>
      </c>
      <c r="G1573" s="27">
        <v>25.380000000000003</v>
      </c>
      <c r="P1573" s="33"/>
    </row>
    <row r="1574" spans="1:75" ht="27" customHeight="1">
      <c r="A1574" s="21" t="s">
        <v>997</v>
      </c>
      <c r="B1574" s="37" t="s">
        <v>128</v>
      </c>
      <c r="C1574" s="37" t="s">
        <v>789</v>
      </c>
      <c r="D1574" s="578" t="s">
        <v>1443</v>
      </c>
      <c r="E1574" s="579"/>
      <c r="F1574" s="37" t="s">
        <v>1130</v>
      </c>
      <c r="G1574" s="14">
        <v>3.3</v>
      </c>
      <c r="H1574" s="569"/>
      <c r="I1574" s="55" t="s">
        <v>1720</v>
      </c>
      <c r="J1574" s="14">
        <f>G1574*AO1574</f>
        <v>0</v>
      </c>
      <c r="K1574" s="14">
        <f>G1574*AP1574</f>
        <v>0</v>
      </c>
      <c r="L1574" s="14">
        <f>G1574*H1574</f>
        <v>0</v>
      </c>
      <c r="M1574" s="14">
        <f>L1574*(1+BW1574/100)</f>
        <v>0</v>
      </c>
      <c r="N1574" s="14">
        <v>0</v>
      </c>
      <c r="O1574" s="14">
        <f>G1574*N1574</f>
        <v>0</v>
      </c>
      <c r="P1574" s="72" t="s">
        <v>1664</v>
      </c>
      <c r="Z1574" s="14">
        <f>IF(AQ1574="5",BJ1574,0)</f>
        <v>0</v>
      </c>
      <c r="AB1574" s="14">
        <f>IF(AQ1574="1",BH1574,0)</f>
        <v>0</v>
      </c>
      <c r="AC1574" s="14">
        <f>IF(AQ1574="1",BI1574,0)</f>
        <v>0</v>
      </c>
      <c r="AD1574" s="14">
        <f>IF(AQ1574="7",BH1574,0)</f>
        <v>0</v>
      </c>
      <c r="AE1574" s="14">
        <f>IF(AQ1574="7",BI1574,0)</f>
        <v>0</v>
      </c>
      <c r="AF1574" s="14">
        <f>IF(AQ1574="2",BH1574,0)</f>
        <v>0</v>
      </c>
      <c r="AG1574" s="14">
        <f>IF(AQ1574="2",BI1574,0)</f>
        <v>0</v>
      </c>
      <c r="AH1574" s="14">
        <f>IF(AQ1574="0",BJ1574,0)</f>
        <v>0</v>
      </c>
      <c r="AI1574" s="15" t="s">
        <v>128</v>
      </c>
      <c r="AJ1574" s="14">
        <f>IF(AN1574=0,L1574,0)</f>
        <v>0</v>
      </c>
      <c r="AK1574" s="14">
        <f>IF(AN1574=15,L1574,0)</f>
        <v>0</v>
      </c>
      <c r="AL1574" s="14">
        <f>IF(AN1574=21,L1574,0)</f>
        <v>0</v>
      </c>
      <c r="AN1574" s="14">
        <v>21</v>
      </c>
      <c r="AO1574" s="92">
        <f>H1574*0</f>
        <v>0</v>
      </c>
      <c r="AP1574" s="92">
        <f>H1574*(1-0)</f>
        <v>0</v>
      </c>
      <c r="AQ1574" s="55" t="s">
        <v>1287</v>
      </c>
      <c r="AV1574" s="14">
        <f>AW1574+AX1574</f>
        <v>0</v>
      </c>
      <c r="AW1574" s="14">
        <f>G1574*AO1574</f>
        <v>0</v>
      </c>
      <c r="AX1574" s="14">
        <f>G1574*AP1574</f>
        <v>0</v>
      </c>
      <c r="AY1574" s="55" t="s">
        <v>992</v>
      </c>
      <c r="AZ1574" s="55" t="s">
        <v>1111</v>
      </c>
      <c r="BA1574" s="15" t="s">
        <v>325</v>
      </c>
      <c r="BC1574" s="14">
        <f>AW1574+AX1574</f>
        <v>0</v>
      </c>
      <c r="BD1574" s="14">
        <f>H1574/(100-BE1574)*100</f>
        <v>0</v>
      </c>
      <c r="BE1574" s="14">
        <v>0</v>
      </c>
      <c r="BF1574" s="14">
        <f>O1574</f>
        <v>0</v>
      </c>
      <c r="BH1574" s="14">
        <f>G1574*AO1574</f>
        <v>0</v>
      </c>
      <c r="BI1574" s="14">
        <f>G1574*AP1574</f>
        <v>0</v>
      </c>
      <c r="BJ1574" s="14">
        <f>G1574*H1574</f>
        <v>0</v>
      </c>
      <c r="BK1574" s="14"/>
      <c r="BL1574" s="14"/>
      <c r="BW1574" s="14" t="str">
        <f>I1574</f>
        <v>21</v>
      </c>
    </row>
    <row r="1575" spans="1:75" ht="15" customHeight="1">
      <c r="A1575" s="32"/>
      <c r="D1575" s="3" t="s">
        <v>115</v>
      </c>
      <c r="E1575" s="28" t="s">
        <v>1683</v>
      </c>
      <c r="G1575" s="27">
        <v>3.3000000000000003</v>
      </c>
      <c r="P1575" s="33"/>
    </row>
    <row r="1576" spans="1:75" ht="15" customHeight="1">
      <c r="A1576" s="70" t="s">
        <v>1683</v>
      </c>
      <c r="B1576" s="40" t="s">
        <v>279</v>
      </c>
      <c r="C1576" s="40" t="s">
        <v>1683</v>
      </c>
      <c r="D1576" s="647" t="s">
        <v>1485</v>
      </c>
      <c r="E1576" s="648"/>
      <c r="F1576" s="22" t="s">
        <v>2262</v>
      </c>
      <c r="G1576" s="22" t="s">
        <v>2262</v>
      </c>
      <c r="H1576" s="22" t="s">
        <v>2262</v>
      </c>
      <c r="I1576" s="22" t="s">
        <v>2262</v>
      </c>
      <c r="J1576" s="89">
        <f>J1577</f>
        <v>0</v>
      </c>
      <c r="K1576" s="89">
        <f>K1577</f>
        <v>0</v>
      </c>
      <c r="L1576" s="89">
        <f>L1577</f>
        <v>0</v>
      </c>
      <c r="M1576" s="89">
        <f>M1577</f>
        <v>0</v>
      </c>
      <c r="N1576" s="61" t="s">
        <v>1683</v>
      </c>
      <c r="O1576" s="89">
        <f>O1577</f>
        <v>8.2453949999999985</v>
      </c>
      <c r="P1576" s="1" t="s">
        <v>1683</v>
      </c>
    </row>
    <row r="1577" spans="1:75" ht="15" customHeight="1">
      <c r="A1577" s="65" t="s">
        <v>1683</v>
      </c>
      <c r="B1577" s="26" t="s">
        <v>279</v>
      </c>
      <c r="C1577" s="26" t="s">
        <v>1512</v>
      </c>
      <c r="D1577" s="649" t="s">
        <v>2590</v>
      </c>
      <c r="E1577" s="650"/>
      <c r="F1577" s="74" t="s">
        <v>2262</v>
      </c>
      <c r="G1577" s="74" t="s">
        <v>2262</v>
      </c>
      <c r="H1577" s="74" t="s">
        <v>2262</v>
      </c>
      <c r="I1577" s="74" t="s">
        <v>2262</v>
      </c>
      <c r="J1577" s="2">
        <f>SUM(J1578:J1588)</f>
        <v>0</v>
      </c>
      <c r="K1577" s="2">
        <f>SUM(K1578:K1588)</f>
        <v>0</v>
      </c>
      <c r="L1577" s="2">
        <f>SUM(L1578:L1588)</f>
        <v>0</v>
      </c>
      <c r="M1577" s="2">
        <f>SUM(M1578:M1588)</f>
        <v>0</v>
      </c>
      <c r="N1577" s="15" t="s">
        <v>1683</v>
      </c>
      <c r="O1577" s="2">
        <f>SUM(O1578:O1588)</f>
        <v>8.2453949999999985</v>
      </c>
      <c r="P1577" s="47" t="s">
        <v>1683</v>
      </c>
      <c r="AI1577" s="15" t="s">
        <v>279</v>
      </c>
      <c r="AS1577" s="2">
        <f>SUM(AJ1578:AJ1588)</f>
        <v>0</v>
      </c>
      <c r="AT1577" s="2">
        <f>SUM(AK1578:AK1588)</f>
        <v>0</v>
      </c>
      <c r="AU1577" s="2">
        <f>SUM(AL1578:AL1588)</f>
        <v>0</v>
      </c>
    </row>
    <row r="1578" spans="1:75" ht="27" customHeight="1">
      <c r="A1578" s="21" t="s">
        <v>2721</v>
      </c>
      <c r="B1578" s="37" t="s">
        <v>279</v>
      </c>
      <c r="C1578" s="37" t="s">
        <v>1532</v>
      </c>
      <c r="D1578" s="578" t="s">
        <v>1385</v>
      </c>
      <c r="E1578" s="579"/>
      <c r="F1578" s="37" t="s">
        <v>2019</v>
      </c>
      <c r="G1578" s="14">
        <v>468</v>
      </c>
      <c r="H1578" s="569"/>
      <c r="I1578" s="55" t="s">
        <v>1720</v>
      </c>
      <c r="J1578" s="14">
        <f>G1578*AO1578</f>
        <v>0</v>
      </c>
      <c r="K1578" s="14">
        <f>G1578*AP1578</f>
        <v>0</v>
      </c>
      <c r="L1578" s="14">
        <f>G1578*H1578</f>
        <v>0</v>
      </c>
      <c r="M1578" s="14">
        <f>L1578*(1+BW1578/100)</f>
        <v>0</v>
      </c>
      <c r="N1578" s="14">
        <v>7.5399999999999998E-3</v>
      </c>
      <c r="O1578" s="14">
        <f>G1578*N1578</f>
        <v>3.5287199999999999</v>
      </c>
      <c r="P1578" s="72" t="s">
        <v>1664</v>
      </c>
      <c r="Z1578" s="14">
        <f>IF(AQ1578="5",BJ1578,0)</f>
        <v>0</v>
      </c>
      <c r="AB1578" s="14">
        <f>IF(AQ1578="1",BH1578,0)</f>
        <v>0</v>
      </c>
      <c r="AC1578" s="14">
        <f>IF(AQ1578="1",BI1578,0)</f>
        <v>0</v>
      </c>
      <c r="AD1578" s="14">
        <f>IF(AQ1578="7",BH1578,0)</f>
        <v>0</v>
      </c>
      <c r="AE1578" s="14">
        <f>IF(AQ1578="7",BI1578,0)</f>
        <v>0</v>
      </c>
      <c r="AF1578" s="14">
        <f>IF(AQ1578="2",BH1578,0)</f>
        <v>0</v>
      </c>
      <c r="AG1578" s="14">
        <f>IF(AQ1578="2",BI1578,0)</f>
        <v>0</v>
      </c>
      <c r="AH1578" s="14">
        <f>IF(AQ1578="0",BJ1578,0)</f>
        <v>0</v>
      </c>
      <c r="AI1578" s="15" t="s">
        <v>279</v>
      </c>
      <c r="AJ1578" s="14">
        <f>IF(AN1578=0,L1578,0)</f>
        <v>0</v>
      </c>
      <c r="AK1578" s="14">
        <f>IF(AN1578=15,L1578,0)</f>
        <v>0</v>
      </c>
      <c r="AL1578" s="14">
        <f>IF(AN1578=21,L1578,0)</f>
        <v>0</v>
      </c>
      <c r="AN1578" s="14">
        <v>21</v>
      </c>
      <c r="AO1578" s="92">
        <f>H1578*0.227257575252508</f>
        <v>0</v>
      </c>
      <c r="AP1578" s="92">
        <f>H1578*(1-0.227257575252508)</f>
        <v>0</v>
      </c>
      <c r="AQ1578" s="55" t="s">
        <v>2435</v>
      </c>
      <c r="AV1578" s="14">
        <f>AW1578+AX1578</f>
        <v>0</v>
      </c>
      <c r="AW1578" s="14">
        <f>G1578*AO1578</f>
        <v>0</v>
      </c>
      <c r="AX1578" s="14">
        <f>G1578*AP1578</f>
        <v>0</v>
      </c>
      <c r="AY1578" s="55" t="s">
        <v>1526</v>
      </c>
      <c r="AZ1578" s="55" t="s">
        <v>2134</v>
      </c>
      <c r="BA1578" s="15" t="s">
        <v>534</v>
      </c>
      <c r="BC1578" s="14">
        <f>AW1578+AX1578</f>
        <v>0</v>
      </c>
      <c r="BD1578" s="14">
        <f>H1578/(100-BE1578)*100</f>
        <v>0</v>
      </c>
      <c r="BE1578" s="14">
        <v>0</v>
      </c>
      <c r="BF1578" s="14">
        <f>O1578</f>
        <v>3.5287199999999999</v>
      </c>
      <c r="BH1578" s="14">
        <f>G1578*AO1578</f>
        <v>0</v>
      </c>
      <c r="BI1578" s="14">
        <f>G1578*AP1578</f>
        <v>0</v>
      </c>
      <c r="BJ1578" s="14">
        <f>G1578*H1578</f>
        <v>0</v>
      </c>
      <c r="BK1578" s="14"/>
      <c r="BL1578" s="14">
        <v>762</v>
      </c>
      <c r="BW1578" s="14" t="str">
        <f>I1578</f>
        <v>21</v>
      </c>
    </row>
    <row r="1579" spans="1:75" ht="15" customHeight="1">
      <c r="A1579" s="32"/>
      <c r="D1579" s="3" t="s">
        <v>2035</v>
      </c>
      <c r="E1579" s="28" t="s">
        <v>858</v>
      </c>
      <c r="G1579" s="27">
        <v>468.00000000000006</v>
      </c>
      <c r="P1579" s="33"/>
    </row>
    <row r="1580" spans="1:75" ht="27" customHeight="1">
      <c r="A1580" s="21" t="s">
        <v>543</v>
      </c>
      <c r="B1580" s="37" t="s">
        <v>279</v>
      </c>
      <c r="C1580" s="37" t="s">
        <v>504</v>
      </c>
      <c r="D1580" s="578" t="s">
        <v>2650</v>
      </c>
      <c r="E1580" s="579"/>
      <c r="F1580" s="37" t="s">
        <v>2019</v>
      </c>
      <c r="G1580" s="14">
        <v>156</v>
      </c>
      <c r="H1580" s="569"/>
      <c r="I1580" s="55" t="s">
        <v>1720</v>
      </c>
      <c r="J1580" s="14">
        <f>G1580*AO1580</f>
        <v>0</v>
      </c>
      <c r="K1580" s="14">
        <f>G1580*AP1580</f>
        <v>0</v>
      </c>
      <c r="L1580" s="14">
        <f>G1580*H1580</f>
        <v>0</v>
      </c>
      <c r="M1580" s="14">
        <f>L1580*(1+BW1580/100)</f>
        <v>0</v>
      </c>
      <c r="N1580" s="14">
        <v>1.205E-2</v>
      </c>
      <c r="O1580" s="14">
        <f>G1580*N1580</f>
        <v>1.8797999999999999</v>
      </c>
      <c r="P1580" s="72" t="s">
        <v>1664</v>
      </c>
      <c r="Z1580" s="14">
        <f>IF(AQ1580="5",BJ1580,0)</f>
        <v>0</v>
      </c>
      <c r="AB1580" s="14">
        <f>IF(AQ1580="1",BH1580,0)</f>
        <v>0</v>
      </c>
      <c r="AC1580" s="14">
        <f>IF(AQ1580="1",BI1580,0)</f>
        <v>0</v>
      </c>
      <c r="AD1580" s="14">
        <f>IF(AQ1580="7",BH1580,0)</f>
        <v>0</v>
      </c>
      <c r="AE1580" s="14">
        <f>IF(AQ1580="7",BI1580,0)</f>
        <v>0</v>
      </c>
      <c r="AF1580" s="14">
        <f>IF(AQ1580="2",BH1580,0)</f>
        <v>0</v>
      </c>
      <c r="AG1580" s="14">
        <f>IF(AQ1580="2",BI1580,0)</f>
        <v>0</v>
      </c>
      <c r="AH1580" s="14">
        <f>IF(AQ1580="0",BJ1580,0)</f>
        <v>0</v>
      </c>
      <c r="AI1580" s="15" t="s">
        <v>279</v>
      </c>
      <c r="AJ1580" s="14">
        <f>IF(AN1580=0,L1580,0)</f>
        <v>0</v>
      </c>
      <c r="AK1580" s="14">
        <f>IF(AN1580=15,L1580,0)</f>
        <v>0</v>
      </c>
      <c r="AL1580" s="14">
        <f>IF(AN1580=21,L1580,0)</f>
        <v>0</v>
      </c>
      <c r="AN1580" s="14">
        <v>21</v>
      </c>
      <c r="AO1580" s="92">
        <f>H1580*0.281792240364437</f>
        <v>0</v>
      </c>
      <c r="AP1580" s="92">
        <f>H1580*(1-0.281792240364437)</f>
        <v>0</v>
      </c>
      <c r="AQ1580" s="55" t="s">
        <v>2435</v>
      </c>
      <c r="AV1580" s="14">
        <f>AW1580+AX1580</f>
        <v>0</v>
      </c>
      <c r="AW1580" s="14">
        <f>G1580*AO1580</f>
        <v>0</v>
      </c>
      <c r="AX1580" s="14">
        <f>G1580*AP1580</f>
        <v>0</v>
      </c>
      <c r="AY1580" s="55" t="s">
        <v>1526</v>
      </c>
      <c r="AZ1580" s="55" t="s">
        <v>2134</v>
      </c>
      <c r="BA1580" s="15" t="s">
        <v>534</v>
      </c>
      <c r="BC1580" s="14">
        <f>AW1580+AX1580</f>
        <v>0</v>
      </c>
      <c r="BD1580" s="14">
        <f>H1580/(100-BE1580)*100</f>
        <v>0</v>
      </c>
      <c r="BE1580" s="14">
        <v>0</v>
      </c>
      <c r="BF1580" s="14">
        <f>O1580</f>
        <v>1.8797999999999999</v>
      </c>
      <c r="BH1580" s="14">
        <f>G1580*AO1580</f>
        <v>0</v>
      </c>
      <c r="BI1580" s="14">
        <f>G1580*AP1580</f>
        <v>0</v>
      </c>
      <c r="BJ1580" s="14">
        <f>G1580*H1580</f>
        <v>0</v>
      </c>
      <c r="BK1580" s="14"/>
      <c r="BL1580" s="14">
        <v>762</v>
      </c>
      <c r="BW1580" s="14" t="str">
        <f>I1580</f>
        <v>21</v>
      </c>
    </row>
    <row r="1581" spans="1:75" ht="15" customHeight="1">
      <c r="A1581" s="32"/>
      <c r="D1581" s="3" t="s">
        <v>76</v>
      </c>
      <c r="E1581" s="28" t="s">
        <v>1893</v>
      </c>
      <c r="G1581" s="27">
        <v>156</v>
      </c>
      <c r="P1581" s="33"/>
    </row>
    <row r="1582" spans="1:75" ht="27" customHeight="1">
      <c r="A1582" s="21" t="s">
        <v>2445</v>
      </c>
      <c r="B1582" s="37" t="s">
        <v>279</v>
      </c>
      <c r="C1582" s="37" t="s">
        <v>1257</v>
      </c>
      <c r="D1582" s="578" t="s">
        <v>1927</v>
      </c>
      <c r="E1582" s="579"/>
      <c r="F1582" s="37" t="s">
        <v>2019</v>
      </c>
      <c r="G1582" s="14">
        <v>162.5</v>
      </c>
      <c r="H1582" s="569"/>
      <c r="I1582" s="55" t="s">
        <v>1720</v>
      </c>
      <c r="J1582" s="14">
        <f>G1582*AO1582</f>
        <v>0</v>
      </c>
      <c r="K1582" s="14">
        <f>G1582*AP1582</f>
        <v>0</v>
      </c>
      <c r="L1582" s="14">
        <f>G1582*H1582</f>
        <v>0</v>
      </c>
      <c r="M1582" s="14">
        <f>L1582*(1+BW1582/100)</f>
        <v>0</v>
      </c>
      <c r="N1582" s="14">
        <v>1.205E-2</v>
      </c>
      <c r="O1582" s="14">
        <f>G1582*N1582</f>
        <v>1.9581249999999999</v>
      </c>
      <c r="P1582" s="72" t="s">
        <v>1664</v>
      </c>
      <c r="Z1582" s="14">
        <f>IF(AQ1582="5",BJ1582,0)</f>
        <v>0</v>
      </c>
      <c r="AB1582" s="14">
        <f>IF(AQ1582="1",BH1582,0)</f>
        <v>0</v>
      </c>
      <c r="AC1582" s="14">
        <f>IF(AQ1582="1",BI1582,0)</f>
        <v>0</v>
      </c>
      <c r="AD1582" s="14">
        <f>IF(AQ1582="7",BH1582,0)</f>
        <v>0</v>
      </c>
      <c r="AE1582" s="14">
        <f>IF(AQ1582="7",BI1582,0)</f>
        <v>0</v>
      </c>
      <c r="AF1582" s="14">
        <f>IF(AQ1582="2",BH1582,0)</f>
        <v>0</v>
      </c>
      <c r="AG1582" s="14">
        <f>IF(AQ1582="2",BI1582,0)</f>
        <v>0</v>
      </c>
      <c r="AH1582" s="14">
        <f>IF(AQ1582="0",BJ1582,0)</f>
        <v>0</v>
      </c>
      <c r="AI1582" s="15" t="s">
        <v>279</v>
      </c>
      <c r="AJ1582" s="14">
        <f>IF(AN1582=0,L1582,0)</f>
        <v>0</v>
      </c>
      <c r="AK1582" s="14">
        <f>IF(AN1582=15,L1582,0)</f>
        <v>0</v>
      </c>
      <c r="AL1582" s="14">
        <f>IF(AN1582=21,L1582,0)</f>
        <v>0</v>
      </c>
      <c r="AN1582" s="14">
        <v>21</v>
      </c>
      <c r="AO1582" s="92">
        <f>H1582*0.327022222222222</f>
        <v>0</v>
      </c>
      <c r="AP1582" s="92">
        <f>H1582*(1-0.327022222222222)</f>
        <v>0</v>
      </c>
      <c r="AQ1582" s="55" t="s">
        <v>2435</v>
      </c>
      <c r="AV1582" s="14">
        <f>AW1582+AX1582</f>
        <v>0</v>
      </c>
      <c r="AW1582" s="14">
        <f>G1582*AO1582</f>
        <v>0</v>
      </c>
      <c r="AX1582" s="14">
        <f>G1582*AP1582</f>
        <v>0</v>
      </c>
      <c r="AY1582" s="55" t="s">
        <v>1526</v>
      </c>
      <c r="AZ1582" s="55" t="s">
        <v>2134</v>
      </c>
      <c r="BA1582" s="15" t="s">
        <v>534</v>
      </c>
      <c r="BC1582" s="14">
        <f>AW1582+AX1582</f>
        <v>0</v>
      </c>
      <c r="BD1582" s="14">
        <f>H1582/(100-BE1582)*100</f>
        <v>0</v>
      </c>
      <c r="BE1582" s="14">
        <v>0</v>
      </c>
      <c r="BF1582" s="14">
        <f>O1582</f>
        <v>1.9581249999999999</v>
      </c>
      <c r="BH1582" s="14">
        <f>G1582*AO1582</f>
        <v>0</v>
      </c>
      <c r="BI1582" s="14">
        <f>G1582*AP1582</f>
        <v>0</v>
      </c>
      <c r="BJ1582" s="14">
        <f>G1582*H1582</f>
        <v>0</v>
      </c>
      <c r="BK1582" s="14"/>
      <c r="BL1582" s="14">
        <v>762</v>
      </c>
      <c r="BW1582" s="14" t="str">
        <f>I1582</f>
        <v>21</v>
      </c>
    </row>
    <row r="1583" spans="1:75" ht="15" customHeight="1">
      <c r="A1583" s="32"/>
      <c r="D1583" s="3" t="s">
        <v>1884</v>
      </c>
      <c r="E1583" s="28" t="s">
        <v>685</v>
      </c>
      <c r="G1583" s="27">
        <v>162.5</v>
      </c>
      <c r="P1583" s="33"/>
    </row>
    <row r="1584" spans="1:75" ht="13.5" customHeight="1">
      <c r="A1584" s="21" t="s">
        <v>790</v>
      </c>
      <c r="B1584" s="37" t="s">
        <v>279</v>
      </c>
      <c r="C1584" s="37" t="s">
        <v>893</v>
      </c>
      <c r="D1584" s="578" t="s">
        <v>2730</v>
      </c>
      <c r="E1584" s="579"/>
      <c r="F1584" s="37" t="s">
        <v>2359</v>
      </c>
      <c r="G1584" s="14">
        <v>25</v>
      </c>
      <c r="H1584" s="569"/>
      <c r="I1584" s="55" t="s">
        <v>1720</v>
      </c>
      <c r="J1584" s="14">
        <f>G1584*AO1584</f>
        <v>0</v>
      </c>
      <c r="K1584" s="14">
        <f>G1584*AP1584</f>
        <v>0</v>
      </c>
      <c r="L1584" s="14">
        <f>G1584*H1584</f>
        <v>0</v>
      </c>
      <c r="M1584" s="14">
        <f>L1584*(1+BW1584/100)</f>
        <v>0</v>
      </c>
      <c r="N1584" s="14">
        <v>2.3570000000000001E-2</v>
      </c>
      <c r="O1584" s="14">
        <f>G1584*N1584</f>
        <v>0.58925000000000005</v>
      </c>
      <c r="P1584" s="72" t="s">
        <v>1664</v>
      </c>
      <c r="Z1584" s="14">
        <f>IF(AQ1584="5",BJ1584,0)</f>
        <v>0</v>
      </c>
      <c r="AB1584" s="14">
        <f>IF(AQ1584="1",BH1584,0)</f>
        <v>0</v>
      </c>
      <c r="AC1584" s="14">
        <f>IF(AQ1584="1",BI1584,0)</f>
        <v>0</v>
      </c>
      <c r="AD1584" s="14">
        <f>IF(AQ1584="7",BH1584,0)</f>
        <v>0</v>
      </c>
      <c r="AE1584" s="14">
        <f>IF(AQ1584="7",BI1584,0)</f>
        <v>0</v>
      </c>
      <c r="AF1584" s="14">
        <f>IF(AQ1584="2",BH1584,0)</f>
        <v>0</v>
      </c>
      <c r="AG1584" s="14">
        <f>IF(AQ1584="2",BI1584,0)</f>
        <v>0</v>
      </c>
      <c r="AH1584" s="14">
        <f>IF(AQ1584="0",BJ1584,0)</f>
        <v>0</v>
      </c>
      <c r="AI1584" s="15" t="s">
        <v>279</v>
      </c>
      <c r="AJ1584" s="14">
        <f>IF(AN1584=0,L1584,0)</f>
        <v>0</v>
      </c>
      <c r="AK1584" s="14">
        <f>IF(AN1584=15,L1584,0)</f>
        <v>0</v>
      </c>
      <c r="AL1584" s="14">
        <f>IF(AN1584=21,L1584,0)</f>
        <v>0</v>
      </c>
      <c r="AN1584" s="14">
        <v>21</v>
      </c>
      <c r="AO1584" s="92">
        <f>H1584*1</f>
        <v>0</v>
      </c>
      <c r="AP1584" s="92">
        <f>H1584*(1-1)</f>
        <v>0</v>
      </c>
      <c r="AQ1584" s="55" t="s">
        <v>2435</v>
      </c>
      <c r="AV1584" s="14">
        <f>AW1584+AX1584</f>
        <v>0</v>
      </c>
      <c r="AW1584" s="14">
        <f>G1584*AO1584</f>
        <v>0</v>
      </c>
      <c r="AX1584" s="14">
        <f>G1584*AP1584</f>
        <v>0</v>
      </c>
      <c r="AY1584" s="55" t="s">
        <v>1526</v>
      </c>
      <c r="AZ1584" s="55" t="s">
        <v>2134</v>
      </c>
      <c r="BA1584" s="15" t="s">
        <v>534</v>
      </c>
      <c r="BC1584" s="14">
        <f>AW1584+AX1584</f>
        <v>0</v>
      </c>
      <c r="BD1584" s="14">
        <f>H1584/(100-BE1584)*100</f>
        <v>0</v>
      </c>
      <c r="BE1584" s="14">
        <v>0</v>
      </c>
      <c r="BF1584" s="14">
        <f>O1584</f>
        <v>0.58925000000000005</v>
      </c>
      <c r="BH1584" s="14">
        <f>G1584*AO1584</f>
        <v>0</v>
      </c>
      <c r="BI1584" s="14">
        <f>G1584*AP1584</f>
        <v>0</v>
      </c>
      <c r="BJ1584" s="14">
        <f>G1584*H1584</f>
        <v>0</v>
      </c>
      <c r="BK1584" s="14"/>
      <c r="BL1584" s="14">
        <v>762</v>
      </c>
      <c r="BW1584" s="14" t="str">
        <f>I1584</f>
        <v>21</v>
      </c>
    </row>
    <row r="1585" spans="1:75" ht="15" customHeight="1">
      <c r="A1585" s="32"/>
      <c r="D1585" s="3" t="s">
        <v>593</v>
      </c>
      <c r="E1585" s="28" t="s">
        <v>1683</v>
      </c>
      <c r="G1585" s="27">
        <v>25.000000000000004</v>
      </c>
      <c r="P1585" s="33"/>
    </row>
    <row r="1586" spans="1:75" ht="27" customHeight="1">
      <c r="A1586" s="21" t="s">
        <v>1312</v>
      </c>
      <c r="B1586" s="37" t="s">
        <v>279</v>
      </c>
      <c r="C1586" s="37" t="s">
        <v>1198</v>
      </c>
      <c r="D1586" s="578" t="s">
        <v>563</v>
      </c>
      <c r="E1586" s="579"/>
      <c r="F1586" s="37" t="s">
        <v>2019</v>
      </c>
      <c r="G1586" s="14">
        <v>150</v>
      </c>
      <c r="H1586" s="569"/>
      <c r="I1586" s="55" t="s">
        <v>1720</v>
      </c>
      <c r="J1586" s="14">
        <f>G1586*AO1586</f>
        <v>0</v>
      </c>
      <c r="K1586" s="14">
        <f>G1586*AP1586</f>
        <v>0</v>
      </c>
      <c r="L1586" s="14">
        <f>G1586*H1586</f>
        <v>0</v>
      </c>
      <c r="M1586" s="14">
        <f>L1586*(1+BW1586/100)</f>
        <v>0</v>
      </c>
      <c r="N1586" s="14">
        <v>1.9300000000000001E-3</v>
      </c>
      <c r="O1586" s="14">
        <f>G1586*N1586</f>
        <v>0.28950000000000004</v>
      </c>
      <c r="P1586" s="72" t="s">
        <v>1664</v>
      </c>
      <c r="Z1586" s="14">
        <f>IF(AQ1586="5",BJ1586,0)</f>
        <v>0</v>
      </c>
      <c r="AB1586" s="14">
        <f>IF(AQ1586="1",BH1586,0)</f>
        <v>0</v>
      </c>
      <c r="AC1586" s="14">
        <f>IF(AQ1586="1",BI1586,0)</f>
        <v>0</v>
      </c>
      <c r="AD1586" s="14">
        <f>IF(AQ1586="7",BH1586,0)</f>
        <v>0</v>
      </c>
      <c r="AE1586" s="14">
        <f>IF(AQ1586="7",BI1586,0)</f>
        <v>0</v>
      </c>
      <c r="AF1586" s="14">
        <f>IF(AQ1586="2",BH1586,0)</f>
        <v>0</v>
      </c>
      <c r="AG1586" s="14">
        <f>IF(AQ1586="2",BI1586,0)</f>
        <v>0</v>
      </c>
      <c r="AH1586" s="14">
        <f>IF(AQ1586="0",BJ1586,0)</f>
        <v>0</v>
      </c>
      <c r="AI1586" s="15" t="s">
        <v>279</v>
      </c>
      <c r="AJ1586" s="14">
        <f>IF(AN1586=0,L1586,0)</f>
        <v>0</v>
      </c>
      <c r="AK1586" s="14">
        <f>IF(AN1586=15,L1586,0)</f>
        <v>0</v>
      </c>
      <c r="AL1586" s="14">
        <f>IF(AN1586=21,L1586,0)</f>
        <v>0</v>
      </c>
      <c r="AN1586" s="14">
        <v>21</v>
      </c>
      <c r="AO1586" s="92">
        <f>H1586*0.312894219832489</f>
        <v>0</v>
      </c>
      <c r="AP1586" s="92">
        <f>H1586*(1-0.312894219832489)</f>
        <v>0</v>
      </c>
      <c r="AQ1586" s="55" t="s">
        <v>2435</v>
      </c>
      <c r="AV1586" s="14">
        <f>AW1586+AX1586</f>
        <v>0</v>
      </c>
      <c r="AW1586" s="14">
        <f>G1586*AO1586</f>
        <v>0</v>
      </c>
      <c r="AX1586" s="14">
        <f>G1586*AP1586</f>
        <v>0</v>
      </c>
      <c r="AY1586" s="55" t="s">
        <v>1526</v>
      </c>
      <c r="AZ1586" s="55" t="s">
        <v>2134</v>
      </c>
      <c r="BA1586" s="15" t="s">
        <v>534</v>
      </c>
      <c r="BC1586" s="14">
        <f>AW1586+AX1586</f>
        <v>0</v>
      </c>
      <c r="BD1586" s="14">
        <f>H1586/(100-BE1586)*100</f>
        <v>0</v>
      </c>
      <c r="BE1586" s="14">
        <v>0</v>
      </c>
      <c r="BF1586" s="14">
        <f>O1586</f>
        <v>0.28950000000000004</v>
      </c>
      <c r="BH1586" s="14">
        <f>G1586*AO1586</f>
        <v>0</v>
      </c>
      <c r="BI1586" s="14">
        <f>G1586*AP1586</f>
        <v>0</v>
      </c>
      <c r="BJ1586" s="14">
        <f>G1586*H1586</f>
        <v>0</v>
      </c>
      <c r="BK1586" s="14"/>
      <c r="BL1586" s="14">
        <v>762</v>
      </c>
      <c r="BW1586" s="14" t="str">
        <f>I1586</f>
        <v>21</v>
      </c>
    </row>
    <row r="1587" spans="1:75" ht="15" customHeight="1">
      <c r="A1587" s="32"/>
      <c r="D1587" s="3" t="s">
        <v>989</v>
      </c>
      <c r="E1587" s="28" t="s">
        <v>1683</v>
      </c>
      <c r="G1587" s="27">
        <v>150</v>
      </c>
      <c r="P1587" s="33"/>
    </row>
    <row r="1588" spans="1:75" ht="40.5" customHeight="1">
      <c r="A1588" s="21" t="s">
        <v>1541</v>
      </c>
      <c r="B1588" s="37" t="s">
        <v>279</v>
      </c>
      <c r="C1588" s="37" t="s">
        <v>2155</v>
      </c>
      <c r="D1588" s="578" t="s">
        <v>1361</v>
      </c>
      <c r="E1588" s="579"/>
      <c r="F1588" s="37" t="s">
        <v>2398</v>
      </c>
      <c r="G1588" s="14">
        <v>442</v>
      </c>
      <c r="H1588" s="569"/>
      <c r="I1588" s="55" t="s">
        <v>1720</v>
      </c>
      <c r="J1588" s="14">
        <f>G1588*AO1588</f>
        <v>0</v>
      </c>
      <c r="K1588" s="14">
        <f>G1588*AP1588</f>
        <v>0</v>
      </c>
      <c r="L1588" s="14">
        <f>G1588*H1588</f>
        <v>0</v>
      </c>
      <c r="M1588" s="14">
        <f>L1588*(1+BW1588/100)</f>
        <v>0</v>
      </c>
      <c r="N1588" s="14">
        <v>0</v>
      </c>
      <c r="O1588" s="14">
        <f>G1588*N1588</f>
        <v>0</v>
      </c>
      <c r="P1588" s="72" t="s">
        <v>921</v>
      </c>
      <c r="Z1588" s="14">
        <f>IF(AQ1588="5",BJ1588,0)</f>
        <v>0</v>
      </c>
      <c r="AB1588" s="14">
        <f>IF(AQ1588="1",BH1588,0)</f>
        <v>0</v>
      </c>
      <c r="AC1588" s="14">
        <f>IF(AQ1588="1",BI1588,0)</f>
        <v>0</v>
      </c>
      <c r="AD1588" s="14">
        <f>IF(AQ1588="7",BH1588,0)</f>
        <v>0</v>
      </c>
      <c r="AE1588" s="14">
        <f>IF(AQ1588="7",BI1588,0)</f>
        <v>0</v>
      </c>
      <c r="AF1588" s="14">
        <f>IF(AQ1588="2",BH1588,0)</f>
        <v>0</v>
      </c>
      <c r="AG1588" s="14">
        <f>IF(AQ1588="2",BI1588,0)</f>
        <v>0</v>
      </c>
      <c r="AH1588" s="14">
        <f>IF(AQ1588="0",BJ1588,0)</f>
        <v>0</v>
      </c>
      <c r="AI1588" s="15" t="s">
        <v>279</v>
      </c>
      <c r="AJ1588" s="14">
        <f>IF(AN1588=0,L1588,0)</f>
        <v>0</v>
      </c>
      <c r="AK1588" s="14">
        <f>IF(AN1588=15,L1588,0)</f>
        <v>0</v>
      </c>
      <c r="AL1588" s="14">
        <f>IF(AN1588=21,L1588,0)</f>
        <v>0</v>
      </c>
      <c r="AN1588" s="14">
        <v>21</v>
      </c>
      <c r="AO1588" s="92">
        <f>H1588*0.545169491525424</f>
        <v>0</v>
      </c>
      <c r="AP1588" s="92">
        <f>H1588*(1-0.545169491525424)</f>
        <v>0</v>
      </c>
      <c r="AQ1588" s="55" t="s">
        <v>2435</v>
      </c>
      <c r="AV1588" s="14">
        <f>AW1588+AX1588</f>
        <v>0</v>
      </c>
      <c r="AW1588" s="14">
        <f>G1588*AO1588</f>
        <v>0</v>
      </c>
      <c r="AX1588" s="14">
        <f>G1588*AP1588</f>
        <v>0</v>
      </c>
      <c r="AY1588" s="55" t="s">
        <v>1526</v>
      </c>
      <c r="AZ1588" s="55" t="s">
        <v>2134</v>
      </c>
      <c r="BA1588" s="15" t="s">
        <v>534</v>
      </c>
      <c r="BC1588" s="14">
        <f>AW1588+AX1588</f>
        <v>0</v>
      </c>
      <c r="BD1588" s="14">
        <f>H1588/(100-BE1588)*100</f>
        <v>0</v>
      </c>
      <c r="BE1588" s="14">
        <v>0</v>
      </c>
      <c r="BF1588" s="14">
        <f>O1588</f>
        <v>0</v>
      </c>
      <c r="BH1588" s="14">
        <f>G1588*AO1588</f>
        <v>0</v>
      </c>
      <c r="BI1588" s="14">
        <f>G1588*AP1588</f>
        <v>0</v>
      </c>
      <c r="BJ1588" s="14">
        <f>G1588*H1588</f>
        <v>0</v>
      </c>
      <c r="BK1588" s="14"/>
      <c r="BL1588" s="14">
        <v>762</v>
      </c>
      <c r="BW1588" s="14" t="str">
        <f>I1588</f>
        <v>21</v>
      </c>
    </row>
    <row r="1589" spans="1:75" ht="15" customHeight="1">
      <c r="A1589" s="110"/>
      <c r="B1589" s="82"/>
      <c r="C1589" s="82"/>
      <c r="D1589" s="52" t="s">
        <v>1041</v>
      </c>
      <c r="E1589" s="16" t="s">
        <v>2213</v>
      </c>
      <c r="F1589" s="82"/>
      <c r="G1589" s="101">
        <v>442.00000000000006</v>
      </c>
      <c r="H1589" s="82"/>
      <c r="I1589" s="82"/>
      <c r="J1589" s="82"/>
      <c r="K1589" s="82"/>
      <c r="L1589" s="82"/>
      <c r="M1589" s="82"/>
      <c r="N1589" s="82"/>
      <c r="O1589" s="82"/>
      <c r="P1589" s="38"/>
    </row>
    <row r="1590" spans="1:75" ht="15" customHeight="1">
      <c r="J1590" s="597" t="s">
        <v>1926</v>
      </c>
      <c r="K1590" s="597"/>
      <c r="L1590" s="57">
        <f>L13+L35+L40+L43+L48+L85+L91+L107+L110+L115+L119+L124+L132+L142+L153+L159+L162+L167+L171+L174+L184+L192+L195+L202+L205+L228+L233+L246+L268+L295+L313+L317+L320+L335+L338+L416+L450+L485+L509+L521+L560+L611+L641+L647+L656+L667+L672+L677+L682+L693+L696+L699+L702+L705+L708+L711+L714+L717+L720+L723+L726+L729+L732+L742+L756+L765+L777+L787+L790+L804+L812+L829+L843+L862+L941+L960+L1005+L1028+L1047+L1053+L1066+L1071+L1080+L1085+L1088+L1091+L1094+L1097+L1100+L1103+L1106+L1110+L1114+L1118+L1122+L1125+L1130+L1133+L1140+L1143+L1182+L1265+L1270+L1273+L1342+L1353+L1356+L1359+L1362+L1366+L1370+L1374+L1381+L1390+L1393+L1398+L1410+L1415+L1418+L1448+L1465+L1468+L1472+L1477+L1480+L1485+L1490+L1493+L1500+L1503+L1508+L1515+L1520+L1530+L1563+L1568+L1571+L1577</f>
        <v>0</v>
      </c>
      <c r="M1590" s="57">
        <f>M13+M35+M40+M43+M48+M85+M91+M107+M110+M115+M119+M124+M132+M142+M153+M159+M162+M167+M171+M174+M184+M192+M195+M202+M205+M228+M233+M246+M268+M295+M313+M317+M320+M335+M338+M416+M450+M485+M509+M521+M560+M611+M641+M647+M656+M667+M672+M677+M682+M693+M696+M699+M702+M705+M708+M711+M714+M717+M720+M723+M726+M729+M732+M742+M756+M765+M777+M787+M790+M804+M812+M829+M843+M862+M941+M960+M1005+M1028+M1047+M1053+M1066+M1071+M1080+M1085+M1088+M1091+M1094+M1097+M1100+M1103+M1106+M1110+M1114+M1118+M1122+M1125+M1130+M1133+M1140+M1143+M1182+M1265+M1270+M1273+M1342+M1353+M1356+M1359+M1362+M1366+M1370+M1374+M1381+M1390+M1393+M1398+M1410+M1415+M1418+M1448+M1465+M1468+M1472+M1477+M1480+M1485+M1490+M1493+M1500+M1503+M1508+M1515+M1520+M1530+M1563+M1568+M1571+M1577</f>
        <v>0</v>
      </c>
    </row>
    <row r="1591" spans="1:75" ht="15" customHeight="1">
      <c r="A1591" s="102" t="s">
        <v>212</v>
      </c>
    </row>
    <row r="1592" spans="1:75" ht="12.75" customHeight="1">
      <c r="A1592" s="578" t="s">
        <v>1683</v>
      </c>
      <c r="B1592" s="579"/>
      <c r="C1592" s="579"/>
      <c r="D1592" s="579"/>
      <c r="E1592" s="579"/>
      <c r="F1592" s="579"/>
      <c r="G1592" s="579"/>
      <c r="H1592" s="579"/>
      <c r="I1592" s="579"/>
      <c r="J1592" s="579"/>
      <c r="K1592" s="579"/>
      <c r="L1592" s="579"/>
      <c r="M1592" s="579"/>
      <c r="N1592" s="579"/>
      <c r="O1592" s="579"/>
      <c r="P1592" s="579"/>
    </row>
  </sheetData>
  <mergeCells count="819">
    <mergeCell ref="D1584:E1584"/>
    <mergeCell ref="D1586:E1586"/>
    <mergeCell ref="D1588:E1588"/>
    <mergeCell ref="J1590:K1590"/>
    <mergeCell ref="A1592:P1592"/>
    <mergeCell ref="D1574:E1574"/>
    <mergeCell ref="D1576:E1576"/>
    <mergeCell ref="D1577:E1577"/>
    <mergeCell ref="D1578:E1578"/>
    <mergeCell ref="D1580:E1580"/>
    <mergeCell ref="D1582:E1582"/>
    <mergeCell ref="D1564:E1564"/>
    <mergeCell ref="D1566:E1566"/>
    <mergeCell ref="D1568:E1568"/>
    <mergeCell ref="D1569:E1569"/>
    <mergeCell ref="D1571:E1571"/>
    <mergeCell ref="D1572:E1572"/>
    <mergeCell ref="D1553:E1553"/>
    <mergeCell ref="D1555:E1555"/>
    <mergeCell ref="D1557:E1557"/>
    <mergeCell ref="D1559:E1559"/>
    <mergeCell ref="D1561:E1561"/>
    <mergeCell ref="D1563:E1563"/>
    <mergeCell ref="D1541:E1541"/>
    <mergeCell ref="D1543:E1543"/>
    <mergeCell ref="D1545:E1545"/>
    <mergeCell ref="D1547:E1547"/>
    <mergeCell ref="D1549:E1549"/>
    <mergeCell ref="D1551:E1551"/>
    <mergeCell ref="D1530:E1530"/>
    <mergeCell ref="D1531:E1531"/>
    <mergeCell ref="D1533:E1533"/>
    <mergeCell ref="D1535:E1535"/>
    <mergeCell ref="D1537:E1537"/>
    <mergeCell ref="D1539:E1539"/>
    <mergeCell ref="D1518:E1518"/>
    <mergeCell ref="D1520:E1520"/>
    <mergeCell ref="D1521:E1521"/>
    <mergeCell ref="D1523:E1523"/>
    <mergeCell ref="D1526:E1526"/>
    <mergeCell ref="D1528:E1528"/>
    <mergeCell ref="D1508:E1508"/>
    <mergeCell ref="D1509:E1509"/>
    <mergeCell ref="D1511:E1511"/>
    <mergeCell ref="D1513:E1513"/>
    <mergeCell ref="D1515:E1515"/>
    <mergeCell ref="D1516:E1516"/>
    <mergeCell ref="D1498:E1498"/>
    <mergeCell ref="D1500:E1500"/>
    <mergeCell ref="D1501:E1501"/>
    <mergeCell ref="D1503:E1503"/>
    <mergeCell ref="D1504:E1504"/>
    <mergeCell ref="D1506:E1506"/>
    <mergeCell ref="D1488:E1488"/>
    <mergeCell ref="D1490:E1490"/>
    <mergeCell ref="D1491:E1491"/>
    <mergeCell ref="D1493:E1493"/>
    <mergeCell ref="D1494:E1494"/>
    <mergeCell ref="D1496:E1496"/>
    <mergeCell ref="D1478:E1478"/>
    <mergeCell ref="D1480:E1480"/>
    <mergeCell ref="D1481:E1481"/>
    <mergeCell ref="D1483:E1483"/>
    <mergeCell ref="D1485:E1485"/>
    <mergeCell ref="D1486:E1486"/>
    <mergeCell ref="D1469:E1469"/>
    <mergeCell ref="D1471:E1471"/>
    <mergeCell ref="D1472:E1472"/>
    <mergeCell ref="D1473:E1473"/>
    <mergeCell ref="D1475:E1475"/>
    <mergeCell ref="D1477:E1477"/>
    <mergeCell ref="D1459:E1459"/>
    <mergeCell ref="D1461:E1461"/>
    <mergeCell ref="D1463:E1463"/>
    <mergeCell ref="D1465:E1465"/>
    <mergeCell ref="D1466:E1466"/>
    <mergeCell ref="D1468:E1468"/>
    <mergeCell ref="D1448:E1448"/>
    <mergeCell ref="D1449:E1449"/>
    <mergeCell ref="D1451:E1451"/>
    <mergeCell ref="D1453:E1453"/>
    <mergeCell ref="D1455:E1455"/>
    <mergeCell ref="D1457:E1457"/>
    <mergeCell ref="D1436:E1436"/>
    <mergeCell ref="D1438:E1438"/>
    <mergeCell ref="D1440:E1440"/>
    <mergeCell ref="D1442:E1442"/>
    <mergeCell ref="D1444:E1444"/>
    <mergeCell ref="D1446:E1446"/>
    <mergeCell ref="D1421:E1421"/>
    <mergeCell ref="D1424:E1424"/>
    <mergeCell ref="D1427:E1427"/>
    <mergeCell ref="D1430:E1430"/>
    <mergeCell ref="D1432:E1432"/>
    <mergeCell ref="D1434:E1434"/>
    <mergeCell ref="D1411:E1411"/>
    <mergeCell ref="D1413:E1413"/>
    <mergeCell ref="D1415:E1415"/>
    <mergeCell ref="D1416:E1416"/>
    <mergeCell ref="D1418:E1418"/>
    <mergeCell ref="D1419:E1419"/>
    <mergeCell ref="D1399:E1399"/>
    <mergeCell ref="D1401:E1401"/>
    <mergeCell ref="D1403:E1403"/>
    <mergeCell ref="D1406:E1406"/>
    <mergeCell ref="D1408:E1408"/>
    <mergeCell ref="D1410:E1410"/>
    <mergeCell ref="D1390:E1390"/>
    <mergeCell ref="D1391:E1391"/>
    <mergeCell ref="D1393:E1393"/>
    <mergeCell ref="D1394:E1394"/>
    <mergeCell ref="D1396:E1396"/>
    <mergeCell ref="D1398:E1398"/>
    <mergeCell ref="D1379:E1379"/>
    <mergeCell ref="D1381:E1381"/>
    <mergeCell ref="D1382:E1382"/>
    <mergeCell ref="D1384:E1384"/>
    <mergeCell ref="D1386:E1386"/>
    <mergeCell ref="D1388:E1388"/>
    <mergeCell ref="D1370:E1370"/>
    <mergeCell ref="D1371:E1371"/>
    <mergeCell ref="D1373:E1373"/>
    <mergeCell ref="D1374:E1374"/>
    <mergeCell ref="D1375:E1375"/>
    <mergeCell ref="D1377:E1377"/>
    <mergeCell ref="D1362:E1362"/>
    <mergeCell ref="D1363:E1363"/>
    <mergeCell ref="D1365:E1365"/>
    <mergeCell ref="D1366:E1366"/>
    <mergeCell ref="D1367:E1367"/>
    <mergeCell ref="D1369:E1369"/>
    <mergeCell ref="D1353:E1353"/>
    <mergeCell ref="D1354:E1354"/>
    <mergeCell ref="D1356:E1356"/>
    <mergeCell ref="D1357:E1357"/>
    <mergeCell ref="D1359:E1359"/>
    <mergeCell ref="D1360:E1360"/>
    <mergeCell ref="D1342:E1342"/>
    <mergeCell ref="D1343:E1343"/>
    <mergeCell ref="D1345:E1345"/>
    <mergeCell ref="D1347:E1347"/>
    <mergeCell ref="D1349:E1349"/>
    <mergeCell ref="D1351:E1351"/>
    <mergeCell ref="D1330:E1330"/>
    <mergeCell ref="D1332:E1332"/>
    <mergeCell ref="D1334:E1334"/>
    <mergeCell ref="D1336:E1336"/>
    <mergeCell ref="D1338:E1338"/>
    <mergeCell ref="D1340:E1340"/>
    <mergeCell ref="D1318:E1318"/>
    <mergeCell ref="D1320:E1320"/>
    <mergeCell ref="D1322:E1322"/>
    <mergeCell ref="D1324:E1324"/>
    <mergeCell ref="D1326:E1326"/>
    <mergeCell ref="D1328:E1328"/>
    <mergeCell ref="D1306:E1306"/>
    <mergeCell ref="D1308:E1308"/>
    <mergeCell ref="D1310:E1310"/>
    <mergeCell ref="D1312:E1312"/>
    <mergeCell ref="D1314:E1314"/>
    <mergeCell ref="D1316:E1316"/>
    <mergeCell ref="D1294:E1294"/>
    <mergeCell ref="D1296:E1296"/>
    <mergeCell ref="D1298:E1298"/>
    <mergeCell ref="D1300:E1300"/>
    <mergeCell ref="D1302:E1302"/>
    <mergeCell ref="D1304:E1304"/>
    <mergeCell ref="D1282:E1282"/>
    <mergeCell ref="D1284:E1284"/>
    <mergeCell ref="D1286:E1286"/>
    <mergeCell ref="D1288:E1288"/>
    <mergeCell ref="D1290:E1290"/>
    <mergeCell ref="D1292:E1292"/>
    <mergeCell ref="D1271:E1271"/>
    <mergeCell ref="D1273:E1273"/>
    <mergeCell ref="D1274:E1274"/>
    <mergeCell ref="D1276:E1276"/>
    <mergeCell ref="D1278:E1278"/>
    <mergeCell ref="D1280:E1280"/>
    <mergeCell ref="D1261:E1261"/>
    <mergeCell ref="D1263:E1263"/>
    <mergeCell ref="D1265:E1265"/>
    <mergeCell ref="D1266:E1266"/>
    <mergeCell ref="D1268:E1268"/>
    <mergeCell ref="D1270:E1270"/>
    <mergeCell ref="D1248:E1248"/>
    <mergeCell ref="D1251:E1251"/>
    <mergeCell ref="D1253:E1253"/>
    <mergeCell ref="D1255:E1255"/>
    <mergeCell ref="D1257:E1257"/>
    <mergeCell ref="D1259:E1259"/>
    <mergeCell ref="D1237:E1237"/>
    <mergeCell ref="D1239:E1239"/>
    <mergeCell ref="D1241:E1241"/>
    <mergeCell ref="D1243:E1243"/>
    <mergeCell ref="D1245:E1245"/>
    <mergeCell ref="D1246:E1246"/>
    <mergeCell ref="D1225:E1225"/>
    <mergeCell ref="D1227:E1227"/>
    <mergeCell ref="D1229:E1229"/>
    <mergeCell ref="D1231:E1231"/>
    <mergeCell ref="D1233:E1233"/>
    <mergeCell ref="D1235:E1235"/>
    <mergeCell ref="D1213:E1213"/>
    <mergeCell ref="D1215:E1215"/>
    <mergeCell ref="D1217:E1217"/>
    <mergeCell ref="D1219:E1219"/>
    <mergeCell ref="D1221:E1221"/>
    <mergeCell ref="D1223:E1223"/>
    <mergeCell ref="D1201:E1201"/>
    <mergeCell ref="D1203:E1203"/>
    <mergeCell ref="D1205:E1205"/>
    <mergeCell ref="D1207:E1207"/>
    <mergeCell ref="D1209:E1209"/>
    <mergeCell ref="D1211:E1211"/>
    <mergeCell ref="D1189:E1189"/>
    <mergeCell ref="D1191:E1191"/>
    <mergeCell ref="D1193:E1193"/>
    <mergeCell ref="D1195:E1195"/>
    <mergeCell ref="D1197:E1197"/>
    <mergeCell ref="D1199:E1199"/>
    <mergeCell ref="D1178:E1178"/>
    <mergeCell ref="D1180:E1180"/>
    <mergeCell ref="D1182:E1182"/>
    <mergeCell ref="D1183:E1183"/>
    <mergeCell ref="D1185:E1185"/>
    <mergeCell ref="D1187:E1187"/>
    <mergeCell ref="D1166:E1166"/>
    <mergeCell ref="D1168:E1168"/>
    <mergeCell ref="D1170:E1170"/>
    <mergeCell ref="D1172:E1172"/>
    <mergeCell ref="D1174:E1174"/>
    <mergeCell ref="D1176:E1176"/>
    <mergeCell ref="D1154:E1154"/>
    <mergeCell ref="D1156:E1156"/>
    <mergeCell ref="D1158:E1158"/>
    <mergeCell ref="D1160:E1160"/>
    <mergeCell ref="D1162:E1162"/>
    <mergeCell ref="D1164:E1164"/>
    <mergeCell ref="D1143:E1143"/>
    <mergeCell ref="D1144:E1144"/>
    <mergeCell ref="D1146:E1146"/>
    <mergeCell ref="D1148:E1148"/>
    <mergeCell ref="D1150:E1150"/>
    <mergeCell ref="D1152:E1152"/>
    <mergeCell ref="D1133:E1133"/>
    <mergeCell ref="D1134:E1134"/>
    <mergeCell ref="D1136:E1136"/>
    <mergeCell ref="D1138:E1138"/>
    <mergeCell ref="D1140:E1140"/>
    <mergeCell ref="D1141:E1141"/>
    <mergeCell ref="D1123:E1123"/>
    <mergeCell ref="D1125:E1125"/>
    <mergeCell ref="D1126:E1126"/>
    <mergeCell ref="D1128:E1128"/>
    <mergeCell ref="D1130:E1130"/>
    <mergeCell ref="D1131:E1131"/>
    <mergeCell ref="D1115:E1115"/>
    <mergeCell ref="D1117:E1117"/>
    <mergeCell ref="D1118:E1118"/>
    <mergeCell ref="D1119:E1119"/>
    <mergeCell ref="D1121:E1121"/>
    <mergeCell ref="D1122:E1122"/>
    <mergeCell ref="D1107:E1107"/>
    <mergeCell ref="D1109:E1109"/>
    <mergeCell ref="D1110:E1110"/>
    <mergeCell ref="D1111:E1111"/>
    <mergeCell ref="D1113:E1113"/>
    <mergeCell ref="D1114:E1114"/>
    <mergeCell ref="D1098:E1098"/>
    <mergeCell ref="D1100:E1100"/>
    <mergeCell ref="D1101:E1101"/>
    <mergeCell ref="D1103:E1103"/>
    <mergeCell ref="D1104:E1104"/>
    <mergeCell ref="D1106:E1106"/>
    <mergeCell ref="D1089:E1089"/>
    <mergeCell ref="D1091:E1091"/>
    <mergeCell ref="D1092:E1092"/>
    <mergeCell ref="D1094:E1094"/>
    <mergeCell ref="D1095:E1095"/>
    <mergeCell ref="D1097:E1097"/>
    <mergeCell ref="D1080:E1080"/>
    <mergeCell ref="D1081:E1081"/>
    <mergeCell ref="D1083:E1083"/>
    <mergeCell ref="D1085:E1085"/>
    <mergeCell ref="D1086:E1086"/>
    <mergeCell ref="D1088:E1088"/>
    <mergeCell ref="D1067:E1067"/>
    <mergeCell ref="D1069:E1069"/>
    <mergeCell ref="D1071:E1071"/>
    <mergeCell ref="D1072:E1072"/>
    <mergeCell ref="D1074:E1074"/>
    <mergeCell ref="D1076:E1076"/>
    <mergeCell ref="D1054:E1054"/>
    <mergeCell ref="D1056:E1056"/>
    <mergeCell ref="D1059:E1059"/>
    <mergeCell ref="D1061:E1061"/>
    <mergeCell ref="D1063:E1063"/>
    <mergeCell ref="D1066:E1066"/>
    <mergeCell ref="D1043:E1043"/>
    <mergeCell ref="D1045:E1045"/>
    <mergeCell ref="D1047:E1047"/>
    <mergeCell ref="D1048:E1048"/>
    <mergeCell ref="D1050:E1050"/>
    <mergeCell ref="D1053:E1053"/>
    <mergeCell ref="D1031:E1031"/>
    <mergeCell ref="D1033:E1033"/>
    <mergeCell ref="D1035:E1035"/>
    <mergeCell ref="D1037:E1037"/>
    <mergeCell ref="D1039:E1039"/>
    <mergeCell ref="D1041:E1041"/>
    <mergeCell ref="D1020:E1020"/>
    <mergeCell ref="D1022:E1022"/>
    <mergeCell ref="D1024:E1024"/>
    <mergeCell ref="D1026:E1026"/>
    <mergeCell ref="D1028:E1028"/>
    <mergeCell ref="D1029:E1029"/>
    <mergeCell ref="D1008:E1008"/>
    <mergeCell ref="D1010:E1010"/>
    <mergeCell ref="D1012:E1012"/>
    <mergeCell ref="D1014:E1014"/>
    <mergeCell ref="D1016:E1016"/>
    <mergeCell ref="D1018:E1018"/>
    <mergeCell ref="D997:E997"/>
    <mergeCell ref="D999:E999"/>
    <mergeCell ref="D1001:E1001"/>
    <mergeCell ref="D1003:E1003"/>
    <mergeCell ref="D1005:E1005"/>
    <mergeCell ref="D1006:E1006"/>
    <mergeCell ref="D983:E983"/>
    <mergeCell ref="D985:E985"/>
    <mergeCell ref="D987:E987"/>
    <mergeCell ref="D990:E990"/>
    <mergeCell ref="D993:E993"/>
    <mergeCell ref="D995:E995"/>
    <mergeCell ref="D972:E972"/>
    <mergeCell ref="D974:E974"/>
    <mergeCell ref="D975:E975"/>
    <mergeCell ref="D977:E977"/>
    <mergeCell ref="D979:E979"/>
    <mergeCell ref="D981:E981"/>
    <mergeCell ref="D958:E958"/>
    <mergeCell ref="D960:E960"/>
    <mergeCell ref="D961:E961"/>
    <mergeCell ref="D964:E964"/>
    <mergeCell ref="D967:E967"/>
    <mergeCell ref="D970:E970"/>
    <mergeCell ref="D944:E944"/>
    <mergeCell ref="D947:E947"/>
    <mergeCell ref="D950:E950"/>
    <mergeCell ref="D952:E952"/>
    <mergeCell ref="D954:E954"/>
    <mergeCell ref="D956:E956"/>
    <mergeCell ref="D931:E931"/>
    <mergeCell ref="D934:E934"/>
    <mergeCell ref="D937:E937"/>
    <mergeCell ref="D939:E939"/>
    <mergeCell ref="D941:E941"/>
    <mergeCell ref="D942:E942"/>
    <mergeCell ref="D915:E915"/>
    <mergeCell ref="D917:E917"/>
    <mergeCell ref="D919:E919"/>
    <mergeCell ref="D922:E922"/>
    <mergeCell ref="D925:E925"/>
    <mergeCell ref="D928:E928"/>
    <mergeCell ref="D902:E902"/>
    <mergeCell ref="D904:E904"/>
    <mergeCell ref="D906:E906"/>
    <mergeCell ref="D908:E908"/>
    <mergeCell ref="D911:E911"/>
    <mergeCell ref="D913:E913"/>
    <mergeCell ref="D883:E883"/>
    <mergeCell ref="D886:E886"/>
    <mergeCell ref="D889:E889"/>
    <mergeCell ref="D891:E891"/>
    <mergeCell ref="D896:E896"/>
    <mergeCell ref="D899:E899"/>
    <mergeCell ref="D862:E862"/>
    <mergeCell ref="D863:E863"/>
    <mergeCell ref="D868:E868"/>
    <mergeCell ref="D873:E873"/>
    <mergeCell ref="D878:E878"/>
    <mergeCell ref="D880:E880"/>
    <mergeCell ref="D848:E848"/>
    <mergeCell ref="D850:E850"/>
    <mergeCell ref="D853:E853"/>
    <mergeCell ref="D855:E855"/>
    <mergeCell ref="D857:E857"/>
    <mergeCell ref="D859:E859"/>
    <mergeCell ref="D832:E832"/>
    <mergeCell ref="D835:E835"/>
    <mergeCell ref="D838:E838"/>
    <mergeCell ref="D840:E840"/>
    <mergeCell ref="D843:E843"/>
    <mergeCell ref="D844:E844"/>
    <mergeCell ref="D821:E821"/>
    <mergeCell ref="D823:E823"/>
    <mergeCell ref="D825:E825"/>
    <mergeCell ref="D827:E827"/>
    <mergeCell ref="D829:E829"/>
    <mergeCell ref="D830:E830"/>
    <mergeCell ref="D810:E810"/>
    <mergeCell ref="D812:E812"/>
    <mergeCell ref="D813:E813"/>
    <mergeCell ref="D815:E815"/>
    <mergeCell ref="D817:E817"/>
    <mergeCell ref="D819:E819"/>
    <mergeCell ref="D798:E798"/>
    <mergeCell ref="D800:E800"/>
    <mergeCell ref="D802:E802"/>
    <mergeCell ref="D804:E804"/>
    <mergeCell ref="D805:E805"/>
    <mergeCell ref="D807:E807"/>
    <mergeCell ref="D787:E787"/>
    <mergeCell ref="D788:E788"/>
    <mergeCell ref="D790:E790"/>
    <mergeCell ref="D791:E791"/>
    <mergeCell ref="D794:E794"/>
    <mergeCell ref="D796:E796"/>
    <mergeCell ref="D774:E774"/>
    <mergeCell ref="D777:E777"/>
    <mergeCell ref="D778:E778"/>
    <mergeCell ref="D781:E781"/>
    <mergeCell ref="D783:E783"/>
    <mergeCell ref="D785:E785"/>
    <mergeCell ref="D757:E757"/>
    <mergeCell ref="D763:E763"/>
    <mergeCell ref="D765:E765"/>
    <mergeCell ref="D766:E766"/>
    <mergeCell ref="D769:E769"/>
    <mergeCell ref="D772:E772"/>
    <mergeCell ref="D743:E743"/>
    <mergeCell ref="D745:E745"/>
    <mergeCell ref="D747:E747"/>
    <mergeCell ref="D750:E750"/>
    <mergeCell ref="D753:E753"/>
    <mergeCell ref="D756:E756"/>
    <mergeCell ref="D733:E733"/>
    <mergeCell ref="D735:E735"/>
    <mergeCell ref="D737:E737"/>
    <mergeCell ref="D739:E739"/>
    <mergeCell ref="D741:E741"/>
    <mergeCell ref="D742:E742"/>
    <mergeCell ref="D724:E724"/>
    <mergeCell ref="D726:E726"/>
    <mergeCell ref="D727:E727"/>
    <mergeCell ref="D729:E729"/>
    <mergeCell ref="D730:E730"/>
    <mergeCell ref="D732:E732"/>
    <mergeCell ref="D715:E715"/>
    <mergeCell ref="D717:E717"/>
    <mergeCell ref="D718:E718"/>
    <mergeCell ref="D720:E720"/>
    <mergeCell ref="D721:E721"/>
    <mergeCell ref="D723:E723"/>
    <mergeCell ref="D706:E706"/>
    <mergeCell ref="D708:E708"/>
    <mergeCell ref="D709:E709"/>
    <mergeCell ref="D711:E711"/>
    <mergeCell ref="D712:E712"/>
    <mergeCell ref="D714:E714"/>
    <mergeCell ref="D697:E697"/>
    <mergeCell ref="D699:E699"/>
    <mergeCell ref="D700:E700"/>
    <mergeCell ref="D702:E702"/>
    <mergeCell ref="D703:E703"/>
    <mergeCell ref="D705:E705"/>
    <mergeCell ref="D687:E687"/>
    <mergeCell ref="D689:E689"/>
    <mergeCell ref="D691:E691"/>
    <mergeCell ref="D693:E693"/>
    <mergeCell ref="D694:E694"/>
    <mergeCell ref="D696:E696"/>
    <mergeCell ref="D677:E677"/>
    <mergeCell ref="D678:E678"/>
    <mergeCell ref="D680:E680"/>
    <mergeCell ref="D682:E682"/>
    <mergeCell ref="D683:E683"/>
    <mergeCell ref="D685:E685"/>
    <mergeCell ref="D665:E665"/>
    <mergeCell ref="D667:E667"/>
    <mergeCell ref="D668:E668"/>
    <mergeCell ref="D672:E672"/>
    <mergeCell ref="D673:E673"/>
    <mergeCell ref="D675:E675"/>
    <mergeCell ref="D652:E652"/>
    <mergeCell ref="D654:E654"/>
    <mergeCell ref="D656:E656"/>
    <mergeCell ref="D657:E657"/>
    <mergeCell ref="D660:E660"/>
    <mergeCell ref="D663:E663"/>
    <mergeCell ref="D670:E670"/>
    <mergeCell ref="D641:E641"/>
    <mergeCell ref="D642:E642"/>
    <mergeCell ref="D645:E645"/>
    <mergeCell ref="D647:E647"/>
    <mergeCell ref="D648:E648"/>
    <mergeCell ref="D650:E650"/>
    <mergeCell ref="D629:E629"/>
    <mergeCell ref="D631:E631"/>
    <mergeCell ref="D633:E633"/>
    <mergeCell ref="D635:E635"/>
    <mergeCell ref="D637:E637"/>
    <mergeCell ref="D639:E639"/>
    <mergeCell ref="D615:E615"/>
    <mergeCell ref="D618:E618"/>
    <mergeCell ref="D620:E620"/>
    <mergeCell ref="D623:E623"/>
    <mergeCell ref="D625:E625"/>
    <mergeCell ref="D627:E627"/>
    <mergeCell ref="D601:E601"/>
    <mergeCell ref="D603:E603"/>
    <mergeCell ref="D606:E606"/>
    <mergeCell ref="D609:E609"/>
    <mergeCell ref="D611:E611"/>
    <mergeCell ref="D612:E612"/>
    <mergeCell ref="D588:E588"/>
    <mergeCell ref="D590:E590"/>
    <mergeCell ref="D592:E592"/>
    <mergeCell ref="D594:E594"/>
    <mergeCell ref="D597:E597"/>
    <mergeCell ref="D599:E599"/>
    <mergeCell ref="D574:E574"/>
    <mergeCell ref="D577:E577"/>
    <mergeCell ref="D579:E579"/>
    <mergeCell ref="D581:E581"/>
    <mergeCell ref="D584:E584"/>
    <mergeCell ref="D586:E586"/>
    <mergeCell ref="D558:E558"/>
    <mergeCell ref="D560:E560"/>
    <mergeCell ref="D561:E561"/>
    <mergeCell ref="D566:E566"/>
    <mergeCell ref="D569:E569"/>
    <mergeCell ref="D572:E572"/>
    <mergeCell ref="D543:E543"/>
    <mergeCell ref="D546:E546"/>
    <mergeCell ref="D549:E549"/>
    <mergeCell ref="D551:E551"/>
    <mergeCell ref="D553:E553"/>
    <mergeCell ref="D556:E556"/>
    <mergeCell ref="D530:E530"/>
    <mergeCell ref="D532:E532"/>
    <mergeCell ref="D534:E534"/>
    <mergeCell ref="D536:E536"/>
    <mergeCell ref="D538:E538"/>
    <mergeCell ref="D541:E541"/>
    <mergeCell ref="D519:E519"/>
    <mergeCell ref="D521:E521"/>
    <mergeCell ref="D522:E522"/>
    <mergeCell ref="D524:E524"/>
    <mergeCell ref="D526:E526"/>
    <mergeCell ref="D528:E528"/>
    <mergeCell ref="D505:E505"/>
    <mergeCell ref="D507:E507"/>
    <mergeCell ref="D509:E509"/>
    <mergeCell ref="D510:E510"/>
    <mergeCell ref="D513:E513"/>
    <mergeCell ref="D515:E515"/>
    <mergeCell ref="D488:E488"/>
    <mergeCell ref="D491:E491"/>
    <mergeCell ref="D493:E493"/>
    <mergeCell ref="D496:E496"/>
    <mergeCell ref="D499:E499"/>
    <mergeCell ref="D502:E502"/>
    <mergeCell ref="D475:E475"/>
    <mergeCell ref="D477:E477"/>
    <mergeCell ref="D480:E480"/>
    <mergeCell ref="D482:E482"/>
    <mergeCell ref="D485:E485"/>
    <mergeCell ref="D486:E486"/>
    <mergeCell ref="D458:E458"/>
    <mergeCell ref="D461:E461"/>
    <mergeCell ref="D464:E464"/>
    <mergeCell ref="D467:E467"/>
    <mergeCell ref="D470:E470"/>
    <mergeCell ref="D472:E472"/>
    <mergeCell ref="D446:E446"/>
    <mergeCell ref="D448:E448"/>
    <mergeCell ref="D450:E450"/>
    <mergeCell ref="D451:E451"/>
    <mergeCell ref="D453:E453"/>
    <mergeCell ref="D456:E456"/>
    <mergeCell ref="D432:E432"/>
    <mergeCell ref="D434:E434"/>
    <mergeCell ref="D437:E437"/>
    <mergeCell ref="D439:E439"/>
    <mergeCell ref="D441:E441"/>
    <mergeCell ref="D443:E443"/>
    <mergeCell ref="D416:E416"/>
    <mergeCell ref="D417:E417"/>
    <mergeCell ref="D421:E421"/>
    <mergeCell ref="D424:E424"/>
    <mergeCell ref="D427:E427"/>
    <mergeCell ref="D429:E429"/>
    <mergeCell ref="D404:E404"/>
    <mergeCell ref="D406:E406"/>
    <mergeCell ref="D408:E408"/>
    <mergeCell ref="D410:E410"/>
    <mergeCell ref="D412:E412"/>
    <mergeCell ref="D414:E414"/>
    <mergeCell ref="D392:E392"/>
    <mergeCell ref="D394:E394"/>
    <mergeCell ref="D396:E396"/>
    <mergeCell ref="D398:E398"/>
    <mergeCell ref="D400:E400"/>
    <mergeCell ref="D402:E402"/>
    <mergeCell ref="D377:E377"/>
    <mergeCell ref="D379:E379"/>
    <mergeCell ref="D381:E381"/>
    <mergeCell ref="D386:E386"/>
    <mergeCell ref="D388:E388"/>
    <mergeCell ref="D390:E390"/>
    <mergeCell ref="D365:E365"/>
    <mergeCell ref="D367:E367"/>
    <mergeCell ref="D369:E369"/>
    <mergeCell ref="D371:E371"/>
    <mergeCell ref="D373:E373"/>
    <mergeCell ref="D375:E375"/>
    <mergeCell ref="D353:E353"/>
    <mergeCell ref="D355:E355"/>
    <mergeCell ref="D357:E357"/>
    <mergeCell ref="D359:E359"/>
    <mergeCell ref="D361:E361"/>
    <mergeCell ref="D363:E363"/>
    <mergeCell ref="D341:E341"/>
    <mergeCell ref="D343:E343"/>
    <mergeCell ref="D345:E345"/>
    <mergeCell ref="D347:E347"/>
    <mergeCell ref="D349:E349"/>
    <mergeCell ref="D351:E351"/>
    <mergeCell ref="D331:E331"/>
    <mergeCell ref="D333:E333"/>
    <mergeCell ref="D335:E335"/>
    <mergeCell ref="D336:E336"/>
    <mergeCell ref="D338:E338"/>
    <mergeCell ref="D339:E339"/>
    <mergeCell ref="D318:E318"/>
    <mergeCell ref="D320:E320"/>
    <mergeCell ref="D321:E321"/>
    <mergeCell ref="D324:E324"/>
    <mergeCell ref="D326:E326"/>
    <mergeCell ref="D329:E329"/>
    <mergeCell ref="D307:E307"/>
    <mergeCell ref="D309:E309"/>
    <mergeCell ref="D311:E311"/>
    <mergeCell ref="D313:E313"/>
    <mergeCell ref="D314:E314"/>
    <mergeCell ref="D317:E317"/>
    <mergeCell ref="D295:E295"/>
    <mergeCell ref="D296:E296"/>
    <mergeCell ref="D299:E299"/>
    <mergeCell ref="D301:E301"/>
    <mergeCell ref="D303:E303"/>
    <mergeCell ref="D305:E305"/>
    <mergeCell ref="D281:E281"/>
    <mergeCell ref="D283:E283"/>
    <mergeCell ref="D285:E285"/>
    <mergeCell ref="D287:E287"/>
    <mergeCell ref="D290:E290"/>
    <mergeCell ref="D292:E292"/>
    <mergeCell ref="D268:E268"/>
    <mergeCell ref="D269:E269"/>
    <mergeCell ref="D272:E272"/>
    <mergeCell ref="D275:E275"/>
    <mergeCell ref="D277:E277"/>
    <mergeCell ref="D279:E279"/>
    <mergeCell ref="D251:E251"/>
    <mergeCell ref="D254:E254"/>
    <mergeCell ref="D256:E256"/>
    <mergeCell ref="D258:E258"/>
    <mergeCell ref="D260:E260"/>
    <mergeCell ref="D265:E265"/>
    <mergeCell ref="D234:E234"/>
    <mergeCell ref="D237:E237"/>
    <mergeCell ref="D240:E240"/>
    <mergeCell ref="D243:E243"/>
    <mergeCell ref="D246:E246"/>
    <mergeCell ref="D247:E247"/>
    <mergeCell ref="D224:E224"/>
    <mergeCell ref="D226:E226"/>
    <mergeCell ref="D228:E228"/>
    <mergeCell ref="D229:E229"/>
    <mergeCell ref="D231:E231"/>
    <mergeCell ref="D233:E233"/>
    <mergeCell ref="D212:E212"/>
    <mergeCell ref="D214:E214"/>
    <mergeCell ref="D216:E216"/>
    <mergeCell ref="D218:E218"/>
    <mergeCell ref="D220:E220"/>
    <mergeCell ref="D222:E222"/>
    <mergeCell ref="D199:E199"/>
    <mergeCell ref="D202:E202"/>
    <mergeCell ref="D203:E203"/>
    <mergeCell ref="D205:E205"/>
    <mergeCell ref="D206:E206"/>
    <mergeCell ref="D209:E209"/>
    <mergeCell ref="D185:E185"/>
    <mergeCell ref="D188:E188"/>
    <mergeCell ref="D192:E192"/>
    <mergeCell ref="D193:E193"/>
    <mergeCell ref="D195:E195"/>
    <mergeCell ref="D196:E196"/>
    <mergeCell ref="D175:E175"/>
    <mergeCell ref="D177:E177"/>
    <mergeCell ref="D179:E179"/>
    <mergeCell ref="D181:E181"/>
    <mergeCell ref="D183:E183"/>
    <mergeCell ref="D184:E184"/>
    <mergeCell ref="D165:E165"/>
    <mergeCell ref="D167:E167"/>
    <mergeCell ref="D168:E168"/>
    <mergeCell ref="D171:E171"/>
    <mergeCell ref="D172:E172"/>
    <mergeCell ref="D174:E174"/>
    <mergeCell ref="D154:E154"/>
    <mergeCell ref="D156:E156"/>
    <mergeCell ref="D159:E159"/>
    <mergeCell ref="D160:E160"/>
    <mergeCell ref="D162:E162"/>
    <mergeCell ref="D163:E163"/>
    <mergeCell ref="D142:E142"/>
    <mergeCell ref="D143:E143"/>
    <mergeCell ref="D145:E145"/>
    <mergeCell ref="D148:E148"/>
    <mergeCell ref="D150:E150"/>
    <mergeCell ref="D153:E153"/>
    <mergeCell ref="D130:E130"/>
    <mergeCell ref="D132:E132"/>
    <mergeCell ref="D133:E133"/>
    <mergeCell ref="D135:E135"/>
    <mergeCell ref="D137:E137"/>
    <mergeCell ref="D139:E139"/>
    <mergeCell ref="D119:E119"/>
    <mergeCell ref="D120:E120"/>
    <mergeCell ref="D122:E122"/>
    <mergeCell ref="D124:E124"/>
    <mergeCell ref="D125:E125"/>
    <mergeCell ref="D128:E128"/>
    <mergeCell ref="D108:E108"/>
    <mergeCell ref="D110:E110"/>
    <mergeCell ref="D111:E111"/>
    <mergeCell ref="D113:E113"/>
    <mergeCell ref="D115:E115"/>
    <mergeCell ref="D116:E116"/>
    <mergeCell ref="D98:E98"/>
    <mergeCell ref="D100:E100"/>
    <mergeCell ref="D102:E102"/>
    <mergeCell ref="D104:E104"/>
    <mergeCell ref="D106:E106"/>
    <mergeCell ref="D107:E107"/>
    <mergeCell ref="D86:E86"/>
    <mergeCell ref="D88:E88"/>
    <mergeCell ref="D91:E91"/>
    <mergeCell ref="D92:E92"/>
    <mergeCell ref="D94:E94"/>
    <mergeCell ref="D96:E96"/>
    <mergeCell ref="D73:E73"/>
    <mergeCell ref="D75:E75"/>
    <mergeCell ref="D77:E77"/>
    <mergeCell ref="D80:E80"/>
    <mergeCell ref="D82:E82"/>
    <mergeCell ref="D85:E85"/>
    <mergeCell ref="D60:E60"/>
    <mergeCell ref="D62:E62"/>
    <mergeCell ref="D65:E65"/>
    <mergeCell ref="D67:E67"/>
    <mergeCell ref="D69:E69"/>
    <mergeCell ref="D71:E71"/>
    <mergeCell ref="D48:E48"/>
    <mergeCell ref="D49:E49"/>
    <mergeCell ref="D52:E52"/>
    <mergeCell ref="D33:E33"/>
    <mergeCell ref="D35:E35"/>
    <mergeCell ref="D36:E36"/>
    <mergeCell ref="D38:E38"/>
    <mergeCell ref="D40:E40"/>
    <mergeCell ref="D41:E41"/>
    <mergeCell ref="J10:L10"/>
    <mergeCell ref="N10:O10"/>
    <mergeCell ref="D12:E12"/>
    <mergeCell ref="D13:E13"/>
    <mergeCell ref="D14:E14"/>
    <mergeCell ref="D10:E10"/>
    <mergeCell ref="D43:E43"/>
    <mergeCell ref="D44:E44"/>
    <mergeCell ref="D46:E46"/>
    <mergeCell ref="F4:F5"/>
    <mergeCell ref="F6:F7"/>
    <mergeCell ref="D21:E21"/>
    <mergeCell ref="D23:E23"/>
    <mergeCell ref="D25:E25"/>
    <mergeCell ref="D27:E27"/>
    <mergeCell ref="D29:E29"/>
    <mergeCell ref="D31:E31"/>
    <mergeCell ref="D11:E11"/>
    <mergeCell ref="D1078:E1078"/>
    <mergeCell ref="A1:P1"/>
    <mergeCell ref="A2:B3"/>
    <mergeCell ref="A4:B5"/>
    <mergeCell ref="A6:B7"/>
    <mergeCell ref="A8:B9"/>
    <mergeCell ref="E2:E3"/>
    <mergeCell ref="E4:E5"/>
    <mergeCell ref="E6:E7"/>
    <mergeCell ref="E8:E9"/>
    <mergeCell ref="G2:H3"/>
    <mergeCell ref="F8:F9"/>
    <mergeCell ref="I2:P3"/>
    <mergeCell ref="I4:P5"/>
    <mergeCell ref="I6:P7"/>
    <mergeCell ref="I8:P9"/>
    <mergeCell ref="G4:H5"/>
    <mergeCell ref="G6:H7"/>
    <mergeCell ref="G8:H9"/>
    <mergeCell ref="C2:D3"/>
    <mergeCell ref="C4:D5"/>
    <mergeCell ref="C6:D7"/>
    <mergeCell ref="C8:D9"/>
    <mergeCell ref="F2:F3"/>
  </mergeCells>
  <pageMargins left="0.27559055118110237" right="0.15748031496062992" top="0.27559055118110237" bottom="0.19685039370078741" header="0" footer="0"/>
  <pageSetup paperSize="9" scale="50" firstPageNumber="0" fitToHeight="0" orientation="landscape" useFirstPageNumber="1" r:id="rId1"/>
  <headerFooter alignWithMargins="0"/>
  <rowBreaks count="21" manualBreakCount="21">
    <brk id="47" max="15" man="1"/>
    <brk id="105" max="15" man="1"/>
    <brk id="182" max="15" man="1"/>
    <brk id="227" max="15" man="1"/>
    <brk id="294" max="15" man="1"/>
    <brk id="337" max="15" man="1"/>
    <brk id="393" max="15" man="1"/>
    <brk id="449" max="15" man="1"/>
    <brk id="520" max="15" man="1"/>
    <brk id="580" max="15" man="1"/>
    <brk id="646" max="15" man="1"/>
    <brk id="725" max="15" man="1"/>
    <brk id="740" max="15" man="1"/>
    <brk id="803" max="15" man="1"/>
    <brk id="861" max="15" man="1"/>
    <brk id="927" max="15" man="1"/>
    <brk id="1004" max="15" man="1"/>
    <brk id="1084" max="15" man="1"/>
    <brk id="1120" max="15" man="1"/>
    <brk id="1181" max="15" man="1"/>
    <brk id="1264" max="15" man="1"/>
  </rowBreaks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J45"/>
  <sheetViews>
    <sheetView zoomScaleNormal="100" workbookViewId="0">
      <selection activeCell="K30" sqref="K30"/>
    </sheetView>
  </sheetViews>
  <sheetFormatPr defaultRowHeight="15"/>
  <cols>
    <col min="1" max="1" width="58.75" customWidth="1"/>
    <col min="2" max="2" width="28.25" customWidth="1"/>
    <col min="3" max="3" width="26.75" customWidth="1"/>
    <col min="4" max="4" width="42.75" customWidth="1"/>
    <col min="9" max="9" width="12.75" customWidth="1"/>
    <col min="10" max="10" width="13.25" customWidth="1"/>
  </cols>
  <sheetData>
    <row r="1" spans="1:10">
      <c r="A1" s="112" t="s">
        <v>2789</v>
      </c>
      <c r="B1" s="113" t="s">
        <v>2790</v>
      </c>
      <c r="C1" s="113" t="s">
        <v>2791</v>
      </c>
      <c r="D1" s="113" t="s">
        <v>2792</v>
      </c>
    </row>
    <row r="2" spans="1:10">
      <c r="A2" s="114" t="s">
        <v>2793</v>
      </c>
      <c r="B2" s="115"/>
      <c r="C2" s="115"/>
      <c r="D2" s="115"/>
    </row>
    <row r="3" spans="1:10">
      <c r="A3" s="116" t="s">
        <v>2794</v>
      </c>
      <c r="B3" s="117">
        <f>'ROZPOČET VZT'!F313+'ROZPOČET VZT'!F355+'ROZPOČET VZT'!F69+'ROZPOČET VZT'!F120+'ROZPOČET VZT'!F191+'ROZPOČET VZT'!F241+'ROZPOČET VZT'!F274</f>
        <v>0</v>
      </c>
      <c r="C3" s="117">
        <f>'ROZPOČET VZT'!H313+'ROZPOČET VZT'!H355+'ROZPOČET VZT'!H69+'ROZPOČET VZT'!H120+'ROZPOČET VZT'!H191+'ROZPOČET VZT'!H241+'ROZPOČET VZT'!H274</f>
        <v>0</v>
      </c>
      <c r="D3" s="117"/>
    </row>
    <row r="4" spans="1:10">
      <c r="A4" s="116" t="s">
        <v>1932</v>
      </c>
      <c r="B4" s="117"/>
      <c r="C4" s="117">
        <f>0 + 0</f>
        <v>0</v>
      </c>
      <c r="D4" s="117"/>
    </row>
    <row r="5" spans="1:10">
      <c r="A5" s="118" t="s">
        <v>2795</v>
      </c>
      <c r="B5" s="119">
        <f>B3</f>
        <v>0</v>
      </c>
      <c r="C5" s="119">
        <f>C3 + C4</f>
        <v>0</v>
      </c>
      <c r="D5" s="119"/>
    </row>
    <row r="6" spans="1:10">
      <c r="A6" s="116" t="str">
        <f>CONCATENATE("Doprava ",[1]Parametry!B16," % z dodávky zařízení")</f>
        <v>Doprava 6 % z dodávky zařízení</v>
      </c>
      <c r="B6" s="117">
        <f>B3 * 6/100</f>
        <v>0</v>
      </c>
      <c r="C6" s="117"/>
      <c r="D6" s="117"/>
    </row>
    <row r="7" spans="1:10">
      <c r="A7" s="116" t="str">
        <f>CONCATENATE("Přesun ",[1]Parametry!B17," Kč/kg: Cena, Hmotnost")</f>
        <v>Přesun 5 Kč/kg: Cena, Hmotnost</v>
      </c>
      <c r="B7" s="117"/>
      <c r="C7" s="117">
        <f>('ROZPOČET VZT'!L313+'ROZPOČET VZT'!L355+'ROZPOČET VZT'!L69+'ROZPOČET VZT'!L120+'ROZPOČET VZT'!L191+'ROZPOČET VZT'!L241+'ROZPOČET VZT'!L274+'ROZPOČET VZT'!L355)*J7</f>
        <v>0</v>
      </c>
      <c r="D7" s="117">
        <f>('ROZPOČET VZT'!L313+'ROZPOČET VZT'!L355+'ROZPOČET VZT'!L69+'ROZPOČET VZT'!L120+'ROZPOČET VZT'!L191+'ROZPOČET VZT'!L241+'ROZPOČET VZT'!L274+'ROZPOČET VZT'!L355)</f>
        <v>12634.83</v>
      </c>
      <c r="F7" s="567" t="s">
        <v>3736</v>
      </c>
      <c r="J7" s="568"/>
    </row>
    <row r="8" spans="1:10">
      <c r="A8" s="116" t="str">
        <f>CONCATENATE("PPV ",[1]Parametry!B18," % z montáže a nátěrů zařízení")</f>
        <v>PPV 5 % z montáže a nátěrů zařízení</v>
      </c>
      <c r="B8" s="117"/>
      <c r="C8" s="117">
        <f>C5 * 5/100</f>
        <v>0</v>
      </c>
      <c r="D8" s="117"/>
    </row>
    <row r="9" spans="1:10" ht="20.25">
      <c r="A9" s="120" t="str">
        <f>CONCATENATE("Zednické výpomoci ",[1]Parametry!B19," % z montáže a nátěrů zařízení")</f>
        <v>Zednické výpomoci 1.6 % z montáže a nátěrů zařízení</v>
      </c>
      <c r="B9" s="117"/>
      <c r="C9" s="117">
        <f>C5 * 1.6/100</f>
        <v>0</v>
      </c>
      <c r="D9" s="117"/>
    </row>
    <row r="10" spans="1:10">
      <c r="A10" s="118" t="s">
        <v>2796</v>
      </c>
      <c r="B10" s="119">
        <f>B5 + B6</f>
        <v>0</v>
      </c>
      <c r="C10" s="119">
        <f>C5 + C7 + C8 + C9</f>
        <v>0</v>
      </c>
      <c r="D10" s="119"/>
    </row>
    <row r="11" spans="1:10">
      <c r="A11" s="116" t="s">
        <v>2797</v>
      </c>
      <c r="B11" s="117"/>
      <c r="C11" s="117">
        <f>'ROZPOČET VZT'!F365+'ROZPOČET VZT'!H365</f>
        <v>0</v>
      </c>
      <c r="D11" s="117"/>
    </row>
    <row r="12" spans="1:10">
      <c r="A12" s="118" t="s">
        <v>2798</v>
      </c>
      <c r="B12" s="119"/>
      <c r="C12" s="119">
        <f>C10 + C11</f>
        <v>0</v>
      </c>
      <c r="D12" s="119"/>
    </row>
    <row r="13" spans="1:10">
      <c r="A13" s="116" t="s">
        <v>2799</v>
      </c>
      <c r="B13" s="117"/>
      <c r="C13" s="117">
        <f>0 + 0</f>
        <v>0</v>
      </c>
      <c r="D13" s="117"/>
    </row>
    <row r="14" spans="1:10">
      <c r="A14" s="116" t="s">
        <v>2096</v>
      </c>
      <c r="B14" s="117"/>
      <c r="C14" s="117">
        <f>0 + 0</f>
        <v>0</v>
      </c>
      <c r="D14" s="117"/>
    </row>
    <row r="15" spans="1:10">
      <c r="A15" s="116" t="s">
        <v>2800</v>
      </c>
      <c r="B15" s="117"/>
      <c r="C15" s="117">
        <f>0 + 0</f>
        <v>0</v>
      </c>
      <c r="D15" s="117"/>
    </row>
    <row r="16" spans="1:10">
      <c r="A16" s="116" t="s">
        <v>2801</v>
      </c>
      <c r="B16" s="117"/>
      <c r="C16" s="117">
        <f>0 + 0</f>
        <v>0</v>
      </c>
      <c r="D16" s="117"/>
    </row>
    <row r="17" spans="1:4">
      <c r="A17" s="114" t="s">
        <v>2802</v>
      </c>
      <c r="B17" s="115">
        <f>B10</f>
        <v>0</v>
      </c>
      <c r="C17" s="115">
        <f>C12 + C13 + C14 + C15 + C16</f>
        <v>0</v>
      </c>
      <c r="D17" s="115"/>
    </row>
    <row r="18" spans="1:4">
      <c r="A18" s="116" t="s">
        <v>1683</v>
      </c>
      <c r="B18" s="117"/>
      <c r="C18" s="117"/>
      <c r="D18" s="117"/>
    </row>
    <row r="19" spans="1:4">
      <c r="A19" s="114" t="s">
        <v>2803</v>
      </c>
      <c r="B19" s="115"/>
      <c r="C19" s="115"/>
      <c r="D19" s="115"/>
    </row>
    <row r="20" spans="1:4">
      <c r="A20" s="120" t="str">
        <f>CONCATENATE("GZS ",[1]Parametry!B21," % z montážních nákladů, lešení a izolací")</f>
        <v>GZS 0 % z montážních nákladů, lešení a izolací</v>
      </c>
      <c r="B20" s="117"/>
      <c r="C20" s="117">
        <v>0</v>
      </c>
      <c r="D20" s="117"/>
    </row>
    <row r="21" spans="1:4">
      <c r="A21" s="116" t="str">
        <f>CONCATENATE("Provozní vlivy ",[1]Parametry!B22," % z montážních nákladů")</f>
        <v>Provozní vlivy 0 % z montážních nákladů</v>
      </c>
      <c r="B21" s="117"/>
      <c r="C21" s="117">
        <v>0</v>
      </c>
      <c r="D21" s="117"/>
    </row>
    <row r="22" spans="1:4">
      <c r="A22" s="114" t="s">
        <v>2804</v>
      </c>
      <c r="B22" s="115"/>
      <c r="C22" s="115">
        <f>C20 + C21</f>
        <v>0</v>
      </c>
      <c r="D22" s="115"/>
    </row>
    <row r="23" spans="1:4" ht="20.25">
      <c r="A23" s="120" t="str">
        <f>CONCATENATE("Provozní náklady - Komplexní zkoušky ",[1]Parametry!B20," % z montáže zařízení")</f>
        <v>Provozní náklady - Komplexní zkoušky 0 % z montáže zařízení</v>
      </c>
      <c r="B23" s="117"/>
      <c r="C23" s="117">
        <v>0</v>
      </c>
      <c r="D23" s="117"/>
    </row>
    <row r="24" spans="1:4">
      <c r="A24" s="116" t="s">
        <v>2805</v>
      </c>
      <c r="B24" s="117"/>
      <c r="C24" s="117">
        <v>0</v>
      </c>
      <c r="D24" s="117"/>
    </row>
    <row r="25" spans="1:4">
      <c r="A25" s="116" t="s">
        <v>1683</v>
      </c>
      <c r="B25" s="117"/>
      <c r="C25" s="117"/>
      <c r="D25" s="117"/>
    </row>
    <row r="26" spans="1:4">
      <c r="A26" s="121" t="s">
        <v>2806</v>
      </c>
      <c r="B26" s="122"/>
      <c r="C26" s="122">
        <f>B17 + C17 + C22 + C23 + C24</f>
        <v>0</v>
      </c>
      <c r="D26" s="122"/>
    </row>
    <row r="27" spans="1:4">
      <c r="A27" s="116" t="str">
        <f>CONCATENATE("Základ a hodnota DPH ",[1]Parametry!B29," %")</f>
        <v>Základ a hodnota DPH 21 %</v>
      </c>
      <c r="B27" s="117" t="s">
        <v>2262</v>
      </c>
      <c r="C27" s="117" t="s">
        <v>2262</v>
      </c>
      <c r="D27" s="117"/>
    </row>
    <row r="28" spans="1:4">
      <c r="A28" s="116" t="str">
        <f>CONCATENATE("Základ a hodnota DPH ",[1]Parametry!B30," %")</f>
        <v>Základ a hodnota DPH 15 %</v>
      </c>
      <c r="B28" s="117" t="s">
        <v>2262</v>
      </c>
      <c r="C28" s="117" t="s">
        <v>2262</v>
      </c>
      <c r="D28" s="117"/>
    </row>
    <row r="29" spans="1:4">
      <c r="A29" s="121" t="s">
        <v>2807</v>
      </c>
      <c r="B29" s="122"/>
      <c r="C29" s="122" t="s">
        <v>2262</v>
      </c>
      <c r="D29" s="122"/>
    </row>
    <row r="30" spans="1:4">
      <c r="A30" s="116" t="s">
        <v>1683</v>
      </c>
      <c r="B30" s="117"/>
      <c r="C30" s="117"/>
      <c r="D30" s="117"/>
    </row>
    <row r="31" spans="1:4" ht="23.25">
      <c r="A31" s="114" t="s">
        <v>2808</v>
      </c>
      <c r="B31" s="123" t="s">
        <v>2809</v>
      </c>
      <c r="C31" s="123" t="s">
        <v>457</v>
      </c>
      <c r="D31" s="124" t="s">
        <v>2810</v>
      </c>
    </row>
    <row r="32" spans="1:4">
      <c r="A32" s="116" t="s">
        <v>2811</v>
      </c>
      <c r="B32" s="117">
        <f>'ROZPOČET VZT'!F69</f>
        <v>0</v>
      </c>
      <c r="C32" s="117">
        <f>'ROZPOČET VZT'!H69</f>
        <v>0</v>
      </c>
      <c r="D32" s="117">
        <f>'ROZPOČET VZT'!L69</f>
        <v>6250.1899999999987</v>
      </c>
    </row>
    <row r="33" spans="1:4">
      <c r="A33" s="116" t="s">
        <v>2812</v>
      </c>
      <c r="B33" s="117">
        <f>'ROZPOČET VZT'!F120</f>
        <v>0</v>
      </c>
      <c r="C33" s="117">
        <f>'ROZPOČET VZT'!H120</f>
        <v>0</v>
      </c>
      <c r="D33" s="117">
        <f>'ROZPOČET VZT'!L120</f>
        <v>2534.4</v>
      </c>
    </row>
    <row r="34" spans="1:4">
      <c r="A34" s="116" t="s">
        <v>2813</v>
      </c>
      <c r="B34" s="117">
        <f>'ROZPOČET VZT'!F191</f>
        <v>0</v>
      </c>
      <c r="C34" s="117">
        <f>'ROZPOČET VZT'!H191</f>
        <v>0</v>
      </c>
      <c r="D34" s="117">
        <f>'ROZPOČET VZT'!L191</f>
        <v>2169.86</v>
      </c>
    </row>
    <row r="35" spans="1:4">
      <c r="A35" s="116" t="s">
        <v>2814</v>
      </c>
      <c r="B35" s="117">
        <f>'ROZPOČET VZT'!F241</f>
        <v>0</v>
      </c>
      <c r="C35" s="117">
        <f>'ROZPOČET VZT'!H241</f>
        <v>0</v>
      </c>
      <c r="D35" s="117">
        <f>'ROZPOČET VZT'!L241</f>
        <v>529.64</v>
      </c>
    </row>
    <row r="36" spans="1:4">
      <c r="A36" s="116" t="s">
        <v>2815</v>
      </c>
      <c r="B36" s="117">
        <f>'ROZPOČET VZT'!F274</f>
        <v>0</v>
      </c>
      <c r="C36" s="117">
        <f>'ROZPOČET VZT'!H274</f>
        <v>0</v>
      </c>
      <c r="D36" s="117">
        <f>'ROZPOČET VZT'!L274</f>
        <v>290.10000000000002</v>
      </c>
    </row>
    <row r="37" spans="1:4">
      <c r="A37" s="116" t="s">
        <v>2816</v>
      </c>
      <c r="B37" s="117">
        <f>'ROZPOČET VZT'!F313</f>
        <v>0</v>
      </c>
      <c r="C37" s="117">
        <f>'ROZPOČET VZT'!H313</f>
        <v>0</v>
      </c>
      <c r="D37" s="117">
        <f>'ROZPOČET VZT'!L313</f>
        <v>271.08000000000004</v>
      </c>
    </row>
    <row r="38" spans="1:4">
      <c r="A38" s="116" t="s">
        <v>2817</v>
      </c>
      <c r="B38" s="117">
        <f>'ROZPOČET VZT'!F355</f>
        <v>0</v>
      </c>
      <c r="C38" s="117">
        <f>'ROZPOČET VZT'!H355</f>
        <v>0</v>
      </c>
      <c r="D38" s="117">
        <f>'ROZPOČET VZT'!L355</f>
        <v>294.78000000000003</v>
      </c>
    </row>
    <row r="39" spans="1:4">
      <c r="A39" s="116" t="s">
        <v>2818</v>
      </c>
      <c r="B39" s="117">
        <f>'ROZPOČET VZT'!F365</f>
        <v>0</v>
      </c>
      <c r="C39" s="117">
        <f>'ROZPOČET VZT'!H365</f>
        <v>0</v>
      </c>
      <c r="D39" s="117">
        <f>'ROZPOČET VZT'!L365</f>
        <v>0</v>
      </c>
    </row>
    <row r="40" spans="1:4">
      <c r="A40" s="125"/>
      <c r="B40" s="126"/>
      <c r="C40" s="126"/>
      <c r="D40" s="126"/>
    </row>
    <row r="41" spans="1:4">
      <c r="A41" s="125"/>
      <c r="B41" s="126"/>
      <c r="C41" s="126"/>
      <c r="D41" s="126"/>
    </row>
    <row r="42" spans="1:4">
      <c r="A42" s="127" t="s">
        <v>2819</v>
      </c>
      <c r="B42" s="128">
        <f>B17</f>
        <v>0</v>
      </c>
      <c r="C42" s="126"/>
      <c r="D42" s="126"/>
    </row>
    <row r="43" spans="1:4">
      <c r="A43" s="127" t="s">
        <v>2820</v>
      </c>
      <c r="B43" s="126"/>
      <c r="C43" s="128">
        <f>C17</f>
        <v>0</v>
      </c>
      <c r="D43" s="126"/>
    </row>
    <row r="44" spans="1:4">
      <c r="A44" s="125"/>
      <c r="B44" s="126"/>
      <c r="C44" s="126"/>
      <c r="D44" s="126"/>
    </row>
    <row r="45" spans="1:4">
      <c r="A45" s="129" t="s">
        <v>2821</v>
      </c>
      <c r="B45" s="126"/>
      <c r="C45" s="130">
        <f>B42+C43</f>
        <v>0</v>
      </c>
      <c r="D45" s="126"/>
    </row>
  </sheetData>
  <pageMargins left="0.7" right="0.7" top="0.89" bottom="0.26" header="0.3" footer="0.18"/>
  <pageSetup paperSize="9" orientation="landscape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L376"/>
  <sheetViews>
    <sheetView zoomScaleNormal="100" workbookViewId="0">
      <selection activeCell="I377" sqref="I377"/>
    </sheetView>
  </sheetViews>
  <sheetFormatPr defaultRowHeight="15"/>
  <cols>
    <col min="2" max="2" width="182.75" style="134" customWidth="1"/>
    <col min="4" max="4" width="14.75" customWidth="1"/>
    <col min="5" max="5" width="30.25" customWidth="1"/>
    <col min="6" max="6" width="20.5" customWidth="1"/>
    <col min="7" max="7" width="22.5" customWidth="1"/>
    <col min="8" max="8" width="23.5" customWidth="1"/>
    <col min="9" max="9" width="17.5" customWidth="1"/>
    <col min="10" max="10" width="34" customWidth="1"/>
    <col min="11" max="11" width="23.25" customWidth="1"/>
    <col min="12" max="12" width="37.25" customWidth="1"/>
  </cols>
  <sheetData>
    <row r="1" spans="1:12">
      <c r="A1" s="131" t="s">
        <v>2822</v>
      </c>
      <c r="B1" s="132" t="s">
        <v>2789</v>
      </c>
      <c r="C1" s="131" t="s">
        <v>2823</v>
      </c>
      <c r="D1" s="133" t="s">
        <v>2824</v>
      </c>
      <c r="E1" s="133" t="s">
        <v>2809</v>
      </c>
      <c r="F1" s="133" t="s">
        <v>2825</v>
      </c>
      <c r="G1" s="133" t="s">
        <v>457</v>
      </c>
      <c r="H1" s="133" t="s">
        <v>2798</v>
      </c>
      <c r="I1" s="133" t="s">
        <v>2826</v>
      </c>
      <c r="J1" s="133" t="s">
        <v>2827</v>
      </c>
      <c r="K1" s="133" t="s">
        <v>2828</v>
      </c>
      <c r="L1" s="133" t="s">
        <v>2829</v>
      </c>
    </row>
    <row r="2" spans="1:12">
      <c r="A2" s="131" t="s">
        <v>1683</v>
      </c>
      <c r="B2" s="132" t="s">
        <v>2811</v>
      </c>
      <c r="C2" s="131" t="s">
        <v>1683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2">
      <c r="A3" s="131" t="s">
        <v>1683</v>
      </c>
      <c r="B3" s="132" t="s">
        <v>2830</v>
      </c>
      <c r="C3" s="131" t="s">
        <v>1683</v>
      </c>
      <c r="D3" s="133"/>
      <c r="E3" s="133"/>
      <c r="F3" s="133"/>
      <c r="G3" s="133"/>
      <c r="H3" s="133"/>
      <c r="I3" s="133"/>
      <c r="J3" s="133"/>
      <c r="K3" s="133"/>
      <c r="L3" s="133"/>
    </row>
    <row r="4" spans="1:12" ht="90">
      <c r="A4" s="131" t="s">
        <v>2831</v>
      </c>
      <c r="B4" s="132" t="s">
        <v>2832</v>
      </c>
      <c r="C4" s="131" t="s">
        <v>2833</v>
      </c>
      <c r="D4" s="133">
        <v>1</v>
      </c>
      <c r="E4" s="566"/>
      <c r="F4" s="133">
        <f>D4*E4</f>
        <v>0</v>
      </c>
      <c r="G4" s="566"/>
      <c r="H4" s="133">
        <f t="shared" ref="H4:H10" si="0">D4*G4</f>
        <v>0</v>
      </c>
      <c r="I4" s="133">
        <f t="shared" ref="I4:J17" si="1">E4+G4</f>
        <v>0</v>
      </c>
      <c r="J4" s="133">
        <f t="shared" si="1"/>
        <v>0</v>
      </c>
      <c r="K4" s="133">
        <v>598</v>
      </c>
      <c r="L4" s="133">
        <f t="shared" ref="L4:L10" si="2">D4*K4</f>
        <v>598</v>
      </c>
    </row>
    <row r="5" spans="1:12">
      <c r="A5" s="131" t="s">
        <v>1683</v>
      </c>
      <c r="B5" s="132" t="s">
        <v>2834</v>
      </c>
      <c r="C5" s="131" t="s">
        <v>2833</v>
      </c>
      <c r="D5" s="133">
        <v>1</v>
      </c>
      <c r="E5" s="133">
        <v>0</v>
      </c>
      <c r="F5" s="133">
        <f t="shared" ref="F5:F10" si="3">D5*E5</f>
        <v>0</v>
      </c>
      <c r="G5" s="133">
        <v>0</v>
      </c>
      <c r="H5" s="133">
        <f t="shared" si="0"/>
        <v>0</v>
      </c>
      <c r="I5" s="133">
        <f t="shared" si="1"/>
        <v>0</v>
      </c>
      <c r="J5" s="133">
        <f t="shared" si="1"/>
        <v>0</v>
      </c>
      <c r="K5" s="133">
        <v>0</v>
      </c>
      <c r="L5" s="133">
        <f t="shared" si="2"/>
        <v>0</v>
      </c>
    </row>
    <row r="6" spans="1:12">
      <c r="A6" s="131" t="s">
        <v>1683</v>
      </c>
      <c r="B6" s="132" t="s">
        <v>2835</v>
      </c>
      <c r="C6" s="131" t="s">
        <v>2833</v>
      </c>
      <c r="D6" s="133">
        <v>1</v>
      </c>
      <c r="E6" s="566"/>
      <c r="F6" s="133">
        <f t="shared" si="3"/>
        <v>0</v>
      </c>
      <c r="G6" s="133">
        <v>0</v>
      </c>
      <c r="H6" s="133">
        <f t="shared" si="0"/>
        <v>0</v>
      </c>
      <c r="I6" s="133">
        <f t="shared" si="1"/>
        <v>0</v>
      </c>
      <c r="J6" s="133">
        <f t="shared" si="1"/>
        <v>0</v>
      </c>
      <c r="K6" s="133">
        <v>0</v>
      </c>
      <c r="L6" s="133">
        <f t="shared" si="2"/>
        <v>0</v>
      </c>
    </row>
    <row r="7" spans="1:12">
      <c r="A7" s="131" t="s">
        <v>1683</v>
      </c>
      <c r="B7" s="132" t="s">
        <v>2836</v>
      </c>
      <c r="C7" s="131" t="s">
        <v>2833</v>
      </c>
      <c r="D7" s="133">
        <v>1</v>
      </c>
      <c r="E7" s="566"/>
      <c r="F7" s="133">
        <f t="shared" si="3"/>
        <v>0</v>
      </c>
      <c r="G7" s="133">
        <v>0</v>
      </c>
      <c r="H7" s="133">
        <f t="shared" si="0"/>
        <v>0</v>
      </c>
      <c r="I7" s="133">
        <f t="shared" si="1"/>
        <v>0</v>
      </c>
      <c r="J7" s="133">
        <f t="shared" si="1"/>
        <v>0</v>
      </c>
      <c r="K7" s="133">
        <v>0</v>
      </c>
      <c r="L7" s="133">
        <f t="shared" si="2"/>
        <v>0</v>
      </c>
    </row>
    <row r="8" spans="1:12">
      <c r="A8" s="131" t="s">
        <v>1683</v>
      </c>
      <c r="B8" s="132" t="s">
        <v>2837</v>
      </c>
      <c r="C8" s="131" t="s">
        <v>2833</v>
      </c>
      <c r="D8" s="133">
        <v>1</v>
      </c>
      <c r="E8" s="566"/>
      <c r="F8" s="133">
        <f t="shared" si="3"/>
        <v>0</v>
      </c>
      <c r="G8" s="133">
        <v>0</v>
      </c>
      <c r="H8" s="133">
        <f t="shared" si="0"/>
        <v>0</v>
      </c>
      <c r="I8" s="133">
        <f t="shared" si="1"/>
        <v>0</v>
      </c>
      <c r="J8" s="133">
        <f t="shared" si="1"/>
        <v>0</v>
      </c>
      <c r="K8" s="133">
        <v>0</v>
      </c>
      <c r="L8" s="133">
        <f t="shared" si="2"/>
        <v>0</v>
      </c>
    </row>
    <row r="9" spans="1:12">
      <c r="A9" s="131" t="s">
        <v>1683</v>
      </c>
      <c r="B9" s="132" t="s">
        <v>2838</v>
      </c>
      <c r="C9" s="131" t="s">
        <v>2833</v>
      </c>
      <c r="D9" s="133">
        <v>1</v>
      </c>
      <c r="E9" s="566"/>
      <c r="F9" s="133">
        <f t="shared" si="3"/>
        <v>0</v>
      </c>
      <c r="G9" s="133">
        <v>0</v>
      </c>
      <c r="H9" s="133">
        <f t="shared" si="0"/>
        <v>0</v>
      </c>
      <c r="I9" s="133">
        <f t="shared" si="1"/>
        <v>0</v>
      </c>
      <c r="J9" s="133">
        <f t="shared" si="1"/>
        <v>0</v>
      </c>
      <c r="K9" s="133">
        <v>0</v>
      </c>
      <c r="L9" s="133">
        <f t="shared" si="2"/>
        <v>0</v>
      </c>
    </row>
    <row r="10" spans="1:12">
      <c r="A10" s="131" t="s">
        <v>1683</v>
      </c>
      <c r="B10" s="132" t="s">
        <v>2839</v>
      </c>
      <c r="C10" s="131" t="s">
        <v>2833</v>
      </c>
      <c r="D10" s="133">
        <v>1</v>
      </c>
      <c r="E10" s="566"/>
      <c r="F10" s="133">
        <f t="shared" si="3"/>
        <v>0</v>
      </c>
      <c r="G10" s="133">
        <v>0</v>
      </c>
      <c r="H10" s="133">
        <f t="shared" si="0"/>
        <v>0</v>
      </c>
      <c r="I10" s="133">
        <f t="shared" si="1"/>
        <v>0</v>
      </c>
      <c r="J10" s="133">
        <f t="shared" si="1"/>
        <v>0</v>
      </c>
      <c r="K10" s="133">
        <v>0</v>
      </c>
      <c r="L10" s="133">
        <f t="shared" si="2"/>
        <v>0</v>
      </c>
    </row>
    <row r="11" spans="1:12">
      <c r="A11" s="131" t="s">
        <v>1683</v>
      </c>
      <c r="B11" s="132" t="s">
        <v>2840</v>
      </c>
      <c r="C11" s="131" t="s">
        <v>1683</v>
      </c>
      <c r="D11" s="133"/>
      <c r="E11" s="133"/>
      <c r="F11" s="133"/>
      <c r="G11" s="133"/>
      <c r="H11" s="133"/>
      <c r="I11" s="133"/>
      <c r="J11" s="133"/>
      <c r="K11" s="133"/>
      <c r="L11" s="133"/>
    </row>
    <row r="12" spans="1:12" ht="45">
      <c r="A12" s="131" t="s">
        <v>2841</v>
      </c>
      <c r="B12" s="132" t="s">
        <v>2842</v>
      </c>
      <c r="C12" s="131" t="s">
        <v>2833</v>
      </c>
      <c r="D12" s="133">
        <v>1</v>
      </c>
      <c r="E12" s="566"/>
      <c r="F12" s="133">
        <f>D12*E12</f>
        <v>0</v>
      </c>
      <c r="G12" s="566"/>
      <c r="H12" s="133">
        <f>D12*G12</f>
        <v>0</v>
      </c>
      <c r="I12" s="133">
        <f t="shared" si="1"/>
        <v>0</v>
      </c>
      <c r="J12" s="133">
        <f t="shared" si="1"/>
        <v>0</v>
      </c>
      <c r="K12" s="133">
        <v>170</v>
      </c>
      <c r="L12" s="133">
        <f>D12*K12</f>
        <v>170</v>
      </c>
    </row>
    <row r="13" spans="1:12">
      <c r="A13" s="131" t="s">
        <v>1683</v>
      </c>
      <c r="B13" s="132" t="s">
        <v>2843</v>
      </c>
      <c r="C13" s="131" t="s">
        <v>2833</v>
      </c>
      <c r="D13" s="133">
        <v>1</v>
      </c>
      <c r="E13" s="566"/>
      <c r="F13" s="133">
        <f>D13*E13</f>
        <v>0</v>
      </c>
      <c r="G13" s="133">
        <v>0</v>
      </c>
      <c r="H13" s="133">
        <f>D13*G13</f>
        <v>0</v>
      </c>
      <c r="I13" s="133">
        <f t="shared" si="1"/>
        <v>0</v>
      </c>
      <c r="J13" s="133">
        <f t="shared" si="1"/>
        <v>0</v>
      </c>
      <c r="K13" s="133">
        <v>0</v>
      </c>
      <c r="L13" s="133">
        <f>D13*K13</f>
        <v>0</v>
      </c>
    </row>
    <row r="14" spans="1:12">
      <c r="A14" s="131" t="s">
        <v>1683</v>
      </c>
      <c r="B14" s="132" t="s">
        <v>2844</v>
      </c>
      <c r="C14" s="131" t="s">
        <v>2845</v>
      </c>
      <c r="D14" s="133">
        <v>1</v>
      </c>
      <c r="E14" s="566"/>
      <c r="F14" s="133">
        <f>D14*E14</f>
        <v>0</v>
      </c>
      <c r="G14" s="133">
        <v>0</v>
      </c>
      <c r="H14" s="133">
        <f>D14*G14</f>
        <v>0</v>
      </c>
      <c r="I14" s="133">
        <f t="shared" si="1"/>
        <v>0</v>
      </c>
      <c r="J14" s="133">
        <f t="shared" si="1"/>
        <v>0</v>
      </c>
      <c r="K14" s="133">
        <v>0</v>
      </c>
      <c r="L14" s="133">
        <f>D14*K14</f>
        <v>0</v>
      </c>
    </row>
    <row r="15" spans="1:12">
      <c r="A15" s="131" t="s">
        <v>1683</v>
      </c>
      <c r="B15" s="132" t="s">
        <v>2846</v>
      </c>
      <c r="C15" s="131" t="s">
        <v>2833</v>
      </c>
      <c r="D15" s="133">
        <v>1</v>
      </c>
      <c r="E15" s="566"/>
      <c r="F15" s="133">
        <f>D15*E15</f>
        <v>0</v>
      </c>
      <c r="G15" s="133">
        <v>0</v>
      </c>
      <c r="H15" s="133">
        <f>D15*G15</f>
        <v>0</v>
      </c>
      <c r="I15" s="133">
        <f t="shared" si="1"/>
        <v>0</v>
      </c>
      <c r="J15" s="133">
        <f t="shared" si="1"/>
        <v>0</v>
      </c>
      <c r="K15" s="133">
        <v>35</v>
      </c>
      <c r="L15" s="133">
        <f>D15*K15</f>
        <v>35</v>
      </c>
    </row>
    <row r="16" spans="1:12">
      <c r="A16" s="131" t="s">
        <v>1683</v>
      </c>
      <c r="B16" s="132" t="s">
        <v>2847</v>
      </c>
      <c r="C16" s="131" t="s">
        <v>1683</v>
      </c>
      <c r="D16" s="133"/>
      <c r="E16" s="133"/>
      <c r="F16" s="133"/>
      <c r="G16" s="133"/>
      <c r="H16" s="133"/>
      <c r="I16" s="133"/>
      <c r="J16" s="133"/>
      <c r="K16" s="133"/>
      <c r="L16" s="133"/>
    </row>
    <row r="17" spans="1:12">
      <c r="A17" s="131" t="s">
        <v>1683</v>
      </c>
      <c r="B17" s="132" t="s">
        <v>2848</v>
      </c>
      <c r="C17" s="131" t="s">
        <v>2849</v>
      </c>
      <c r="D17" s="133">
        <v>10</v>
      </c>
      <c r="E17" s="566"/>
      <c r="F17" s="133">
        <f>D17*E17</f>
        <v>0</v>
      </c>
      <c r="G17" s="566"/>
      <c r="H17" s="133">
        <f>D17*G17</f>
        <v>0</v>
      </c>
      <c r="I17" s="133">
        <f t="shared" si="1"/>
        <v>0</v>
      </c>
      <c r="J17" s="133">
        <f t="shared" si="1"/>
        <v>0</v>
      </c>
      <c r="K17" s="133">
        <v>3.9</v>
      </c>
      <c r="L17" s="133">
        <f>D17*K17</f>
        <v>39</v>
      </c>
    </row>
    <row r="18" spans="1:12">
      <c r="A18" s="131" t="s">
        <v>1683</v>
      </c>
      <c r="B18" s="132" t="s">
        <v>2850</v>
      </c>
      <c r="C18" s="131" t="s">
        <v>1683</v>
      </c>
      <c r="D18" s="133"/>
      <c r="E18" s="133"/>
      <c r="F18" s="133"/>
      <c r="G18" s="133"/>
      <c r="H18" s="133"/>
      <c r="I18" s="133"/>
      <c r="J18" s="133"/>
      <c r="K18" s="133"/>
      <c r="L18" s="133"/>
    </row>
    <row r="19" spans="1:12">
      <c r="A19" s="131" t="s">
        <v>2851</v>
      </c>
      <c r="B19" s="132" t="s">
        <v>2852</v>
      </c>
      <c r="C19" s="131" t="s">
        <v>2833</v>
      </c>
      <c r="D19" s="133">
        <v>1</v>
      </c>
      <c r="E19" s="566"/>
      <c r="F19" s="133">
        <f>D19*E19</f>
        <v>0</v>
      </c>
      <c r="G19" s="566"/>
      <c r="H19" s="133">
        <f>D19*G19</f>
        <v>0</v>
      </c>
      <c r="I19" s="133">
        <f>E19+G19</f>
        <v>0</v>
      </c>
      <c r="J19" s="133">
        <f>F19+H19</f>
        <v>0</v>
      </c>
      <c r="K19" s="133">
        <v>0</v>
      </c>
      <c r="L19" s="133">
        <f>D19*K19</f>
        <v>0</v>
      </c>
    </row>
    <row r="20" spans="1:12" ht="45">
      <c r="A20" s="131" t="s">
        <v>1683</v>
      </c>
      <c r="B20" s="132" t="s">
        <v>2853</v>
      </c>
      <c r="C20" s="131" t="s">
        <v>1683</v>
      </c>
      <c r="D20" s="133"/>
      <c r="E20" s="133"/>
      <c r="F20" s="133"/>
      <c r="G20" s="133"/>
      <c r="H20" s="133"/>
      <c r="I20" s="133"/>
      <c r="J20" s="133"/>
      <c r="K20" s="133"/>
      <c r="L20" s="133"/>
    </row>
    <row r="21" spans="1:12">
      <c r="A21" s="131" t="s">
        <v>2854</v>
      </c>
      <c r="B21" s="132" t="s">
        <v>2855</v>
      </c>
      <c r="C21" s="131" t="s">
        <v>2833</v>
      </c>
      <c r="D21" s="133">
        <v>24</v>
      </c>
      <c r="E21" s="566"/>
      <c r="F21" s="133">
        <f>D21*E21</f>
        <v>0</v>
      </c>
      <c r="G21" s="566"/>
      <c r="H21" s="133">
        <f>D21*G21</f>
        <v>0</v>
      </c>
      <c r="I21" s="133">
        <f t="shared" ref="I21:J25" si="4">E21+G21</f>
        <v>0</v>
      </c>
      <c r="J21" s="133">
        <f t="shared" si="4"/>
        <v>0</v>
      </c>
      <c r="K21" s="133">
        <v>14</v>
      </c>
      <c r="L21" s="133">
        <f>D21*K21</f>
        <v>336</v>
      </c>
    </row>
    <row r="22" spans="1:12">
      <c r="A22" s="131" t="s">
        <v>2856</v>
      </c>
      <c r="B22" s="132" t="s">
        <v>2855</v>
      </c>
      <c r="C22" s="131" t="s">
        <v>2833</v>
      </c>
      <c r="D22" s="133">
        <v>24</v>
      </c>
      <c r="E22" s="566"/>
      <c r="F22" s="133">
        <f>D22*E22</f>
        <v>0</v>
      </c>
      <c r="G22" s="566"/>
      <c r="H22" s="133">
        <f>D22*G22</f>
        <v>0</v>
      </c>
      <c r="I22" s="133">
        <f t="shared" si="4"/>
        <v>0</v>
      </c>
      <c r="J22" s="133">
        <f t="shared" si="4"/>
        <v>0</v>
      </c>
      <c r="K22" s="133">
        <v>14</v>
      </c>
      <c r="L22" s="133">
        <f>D22*K22</f>
        <v>336</v>
      </c>
    </row>
    <row r="23" spans="1:12">
      <c r="A23" s="131" t="s">
        <v>2857</v>
      </c>
      <c r="B23" s="132" t="s">
        <v>2858</v>
      </c>
      <c r="C23" s="131" t="s">
        <v>2833</v>
      </c>
      <c r="D23" s="133">
        <v>6</v>
      </c>
      <c r="E23" s="566"/>
      <c r="F23" s="133">
        <f>D23*E23</f>
        <v>0</v>
      </c>
      <c r="G23" s="566"/>
      <c r="H23" s="133">
        <f>D23*G23</f>
        <v>0</v>
      </c>
      <c r="I23" s="133">
        <f t="shared" si="4"/>
        <v>0</v>
      </c>
      <c r="J23" s="133">
        <f t="shared" si="4"/>
        <v>0</v>
      </c>
      <c r="K23" s="133">
        <v>21</v>
      </c>
      <c r="L23" s="133">
        <f>D23*K23</f>
        <v>126</v>
      </c>
    </row>
    <row r="24" spans="1:12">
      <c r="A24" s="131" t="s">
        <v>2859</v>
      </c>
      <c r="B24" s="132" t="s">
        <v>2855</v>
      </c>
      <c r="C24" s="131" t="s">
        <v>2833</v>
      </c>
      <c r="D24" s="133">
        <v>18</v>
      </c>
      <c r="E24" s="566"/>
      <c r="F24" s="133">
        <f>D24*E24</f>
        <v>0</v>
      </c>
      <c r="G24" s="566"/>
      <c r="H24" s="133">
        <f>D24*G24</f>
        <v>0</v>
      </c>
      <c r="I24" s="133">
        <f t="shared" si="4"/>
        <v>0</v>
      </c>
      <c r="J24" s="133">
        <f t="shared" si="4"/>
        <v>0</v>
      </c>
      <c r="K24" s="133">
        <v>14</v>
      </c>
      <c r="L24" s="133">
        <f>D24*K24</f>
        <v>252</v>
      </c>
    </row>
    <row r="25" spans="1:12">
      <c r="A25" s="131" t="s">
        <v>2860</v>
      </c>
      <c r="B25" s="132" t="s">
        <v>2855</v>
      </c>
      <c r="C25" s="131" t="s">
        <v>2833</v>
      </c>
      <c r="D25" s="133">
        <v>40</v>
      </c>
      <c r="E25" s="566"/>
      <c r="F25" s="133">
        <f>D25*E25</f>
        <v>0</v>
      </c>
      <c r="G25" s="566"/>
      <c r="H25" s="133">
        <f>D25*G25</f>
        <v>0</v>
      </c>
      <c r="I25" s="133">
        <f t="shared" si="4"/>
        <v>0</v>
      </c>
      <c r="J25" s="133">
        <f t="shared" si="4"/>
        <v>0</v>
      </c>
      <c r="K25" s="133">
        <v>14</v>
      </c>
      <c r="L25" s="133">
        <f>D25*K25</f>
        <v>560</v>
      </c>
    </row>
    <row r="26" spans="1:12" ht="45">
      <c r="A26" s="131" t="s">
        <v>1683</v>
      </c>
      <c r="B26" s="132" t="s">
        <v>2861</v>
      </c>
      <c r="C26" s="131" t="s">
        <v>1683</v>
      </c>
      <c r="D26" s="133"/>
      <c r="E26" s="133"/>
      <c r="F26" s="133"/>
      <c r="G26" s="133"/>
      <c r="H26" s="133"/>
      <c r="I26" s="133"/>
      <c r="J26" s="133"/>
      <c r="K26" s="133"/>
      <c r="L26" s="133"/>
    </row>
    <row r="27" spans="1:12">
      <c r="A27" s="131" t="s">
        <v>2862</v>
      </c>
      <c r="B27" s="132" t="s">
        <v>2863</v>
      </c>
      <c r="C27" s="131" t="s">
        <v>2019</v>
      </c>
      <c r="D27" s="133">
        <v>6.5</v>
      </c>
      <c r="E27" s="566"/>
      <c r="F27" s="133">
        <f>D27*E27</f>
        <v>0</v>
      </c>
      <c r="G27" s="566"/>
      <c r="H27" s="133">
        <f>D27*G27</f>
        <v>0</v>
      </c>
      <c r="I27" s="133">
        <f>E27+G27</f>
        <v>0</v>
      </c>
      <c r="J27" s="133">
        <f>F27+H27</f>
        <v>0</v>
      </c>
      <c r="K27" s="133">
        <v>0</v>
      </c>
      <c r="L27" s="133">
        <f>D27*K27</f>
        <v>0</v>
      </c>
    </row>
    <row r="28" spans="1:12">
      <c r="A28" s="131" t="s">
        <v>2864</v>
      </c>
      <c r="B28" s="132" t="s">
        <v>2865</v>
      </c>
      <c r="C28" s="131" t="s">
        <v>2019</v>
      </c>
      <c r="D28" s="133">
        <v>2.1</v>
      </c>
      <c r="E28" s="566"/>
      <c r="F28" s="133">
        <f>D28*E28</f>
        <v>0</v>
      </c>
      <c r="G28" s="566"/>
      <c r="H28" s="133">
        <f>D28*G28</f>
        <v>0</v>
      </c>
      <c r="I28" s="133">
        <f>E28+G28</f>
        <v>0</v>
      </c>
      <c r="J28" s="133">
        <f>F28+H28</f>
        <v>0</v>
      </c>
      <c r="K28" s="133">
        <v>0</v>
      </c>
      <c r="L28" s="133">
        <f>D28*K28</f>
        <v>0</v>
      </c>
    </row>
    <row r="29" spans="1:12">
      <c r="A29" s="131" t="s">
        <v>1683</v>
      </c>
      <c r="B29" s="132" t="s">
        <v>2866</v>
      </c>
      <c r="C29" s="131" t="s">
        <v>1683</v>
      </c>
      <c r="D29" s="133"/>
      <c r="E29" s="133"/>
      <c r="F29" s="133"/>
      <c r="G29" s="133"/>
      <c r="H29" s="133"/>
      <c r="I29" s="133"/>
      <c r="J29" s="133"/>
      <c r="K29" s="133"/>
      <c r="L29" s="133"/>
    </row>
    <row r="30" spans="1:12">
      <c r="A30" s="131" t="s">
        <v>2867</v>
      </c>
      <c r="B30" s="132" t="s">
        <v>2868</v>
      </c>
      <c r="C30" s="131" t="s">
        <v>2833</v>
      </c>
      <c r="D30" s="133">
        <v>17</v>
      </c>
      <c r="E30" s="566"/>
      <c r="F30" s="133">
        <f>D30*E30</f>
        <v>0</v>
      </c>
      <c r="G30" s="566"/>
      <c r="H30" s="133">
        <f>D30*G30</f>
        <v>0</v>
      </c>
      <c r="I30" s="133">
        <f t="shared" ref="I30:J32" si="5">E30+G30</f>
        <v>0</v>
      </c>
      <c r="J30" s="133">
        <f t="shared" si="5"/>
        <v>0</v>
      </c>
      <c r="K30" s="133">
        <v>2.8</v>
      </c>
      <c r="L30" s="133">
        <f>D30*K30</f>
        <v>47.599999999999994</v>
      </c>
    </row>
    <row r="31" spans="1:12">
      <c r="A31" s="131" t="s">
        <v>1683</v>
      </c>
      <c r="B31" s="132" t="s">
        <v>2869</v>
      </c>
      <c r="C31" s="131" t="s">
        <v>1683</v>
      </c>
      <c r="D31" s="133"/>
      <c r="E31" s="133"/>
      <c r="F31" s="133"/>
      <c r="G31" s="133"/>
      <c r="H31" s="133"/>
      <c r="I31" s="133"/>
      <c r="J31" s="133"/>
      <c r="K31" s="133"/>
      <c r="L31" s="133"/>
    </row>
    <row r="32" spans="1:12" ht="30">
      <c r="A32" s="131" t="s">
        <v>2870</v>
      </c>
      <c r="B32" s="132" t="s">
        <v>2871</v>
      </c>
      <c r="C32" s="131" t="s">
        <v>2833</v>
      </c>
      <c r="D32" s="133">
        <v>17</v>
      </c>
      <c r="E32" s="566"/>
      <c r="F32" s="133">
        <f>D32*E32</f>
        <v>0</v>
      </c>
      <c r="G32" s="566"/>
      <c r="H32" s="133">
        <f>D32*G32</f>
        <v>0</v>
      </c>
      <c r="I32" s="133">
        <f t="shared" si="5"/>
        <v>0</v>
      </c>
      <c r="J32" s="133">
        <f t="shared" si="5"/>
        <v>0</v>
      </c>
      <c r="K32" s="133">
        <v>7</v>
      </c>
      <c r="L32" s="133">
        <f>D32*K32</f>
        <v>119</v>
      </c>
    </row>
    <row r="33" spans="1:12" ht="30">
      <c r="A33" s="131" t="s">
        <v>1683</v>
      </c>
      <c r="B33" s="132" t="s">
        <v>2872</v>
      </c>
      <c r="C33" s="131" t="s">
        <v>1683</v>
      </c>
      <c r="D33" s="133"/>
      <c r="E33" s="133"/>
      <c r="F33" s="133"/>
      <c r="G33" s="133"/>
      <c r="H33" s="133"/>
      <c r="I33" s="133"/>
      <c r="J33" s="133"/>
      <c r="K33" s="133"/>
      <c r="L33" s="133"/>
    </row>
    <row r="34" spans="1:12">
      <c r="A34" s="131" t="s">
        <v>2873</v>
      </c>
      <c r="B34" s="132" t="s">
        <v>2874</v>
      </c>
      <c r="C34" s="131" t="s">
        <v>2833</v>
      </c>
      <c r="D34" s="133">
        <v>3</v>
      </c>
      <c r="E34" s="566"/>
      <c r="F34" s="133">
        <f>D34*E34</f>
        <v>0</v>
      </c>
      <c r="G34" s="566"/>
      <c r="H34" s="133">
        <f>D34*G34</f>
        <v>0</v>
      </c>
      <c r="I34" s="133">
        <f>E34+G34</f>
        <v>0</v>
      </c>
      <c r="J34" s="133">
        <f>F34+H34</f>
        <v>0</v>
      </c>
      <c r="K34" s="133">
        <v>4</v>
      </c>
      <c r="L34" s="133">
        <f>D34*K34</f>
        <v>12</v>
      </c>
    </row>
    <row r="35" spans="1:12">
      <c r="A35" s="131" t="s">
        <v>1683</v>
      </c>
      <c r="B35" s="132" t="s">
        <v>2875</v>
      </c>
      <c r="C35" s="131" t="s">
        <v>1683</v>
      </c>
      <c r="D35" s="133"/>
      <c r="E35" s="133"/>
      <c r="F35" s="133"/>
      <c r="G35" s="133"/>
      <c r="H35" s="133"/>
      <c r="I35" s="133"/>
      <c r="J35" s="133"/>
      <c r="K35" s="133"/>
      <c r="L35" s="133"/>
    </row>
    <row r="36" spans="1:12">
      <c r="A36" s="131" t="s">
        <v>1683</v>
      </c>
      <c r="B36" s="132" t="s">
        <v>2876</v>
      </c>
      <c r="C36" s="131" t="s">
        <v>1683</v>
      </c>
      <c r="D36" s="133"/>
      <c r="E36" s="133"/>
      <c r="F36" s="133"/>
      <c r="G36" s="133"/>
      <c r="H36" s="133"/>
      <c r="I36" s="133"/>
      <c r="J36" s="133"/>
      <c r="K36" s="133"/>
      <c r="L36" s="133"/>
    </row>
    <row r="37" spans="1:12">
      <c r="A37" s="131" t="s">
        <v>2877</v>
      </c>
      <c r="B37" s="132" t="s">
        <v>2878</v>
      </c>
      <c r="C37" s="131" t="s">
        <v>2833</v>
      </c>
      <c r="D37" s="133">
        <v>3</v>
      </c>
      <c r="E37" s="566"/>
      <c r="F37" s="133">
        <f>D37*E37</f>
        <v>0</v>
      </c>
      <c r="G37" s="566"/>
      <c r="H37" s="133">
        <f>D37*G37</f>
        <v>0</v>
      </c>
      <c r="I37" s="133">
        <f>E37+G37</f>
        <v>0</v>
      </c>
      <c r="J37" s="133">
        <f>F37+H37</f>
        <v>0</v>
      </c>
      <c r="K37" s="133">
        <v>12</v>
      </c>
      <c r="L37" s="133">
        <f>D37*K37</f>
        <v>36</v>
      </c>
    </row>
    <row r="38" spans="1:12" ht="30">
      <c r="A38" s="131" t="s">
        <v>1683</v>
      </c>
      <c r="B38" s="132" t="s">
        <v>2879</v>
      </c>
      <c r="C38" s="131" t="s">
        <v>1683</v>
      </c>
      <c r="D38" s="133"/>
      <c r="E38" s="133"/>
      <c r="F38" s="133"/>
      <c r="G38" s="133"/>
      <c r="H38" s="133"/>
      <c r="I38" s="133"/>
      <c r="J38" s="133"/>
      <c r="K38" s="133"/>
      <c r="L38" s="133"/>
    </row>
    <row r="39" spans="1:12">
      <c r="A39" s="131" t="s">
        <v>1683</v>
      </c>
      <c r="B39" s="132" t="s">
        <v>2880</v>
      </c>
      <c r="C39" s="131" t="s">
        <v>1683</v>
      </c>
      <c r="D39" s="133"/>
      <c r="E39" s="133"/>
      <c r="F39" s="133"/>
      <c r="G39" s="133"/>
      <c r="H39" s="133"/>
      <c r="I39" s="133"/>
      <c r="J39" s="133"/>
      <c r="K39" s="133"/>
      <c r="L39" s="133"/>
    </row>
    <row r="40" spans="1:12">
      <c r="A40" s="131" t="s">
        <v>2881</v>
      </c>
      <c r="B40" s="132" t="s">
        <v>2882</v>
      </c>
      <c r="C40" s="131" t="s">
        <v>2833</v>
      </c>
      <c r="D40" s="133">
        <v>2</v>
      </c>
      <c r="E40" s="566"/>
      <c r="F40" s="133">
        <f>D40*E40</f>
        <v>0</v>
      </c>
      <c r="G40" s="566"/>
      <c r="H40" s="133">
        <f>D40*G40</f>
        <v>0</v>
      </c>
      <c r="I40" s="133">
        <f>E40+G40</f>
        <v>0</v>
      </c>
      <c r="J40" s="133">
        <f>F40+H40</f>
        <v>0</v>
      </c>
      <c r="K40" s="133">
        <v>2.23</v>
      </c>
      <c r="L40" s="133">
        <f>D40*K40</f>
        <v>4.46</v>
      </c>
    </row>
    <row r="41" spans="1:12">
      <c r="A41" s="131" t="s">
        <v>1683</v>
      </c>
      <c r="B41" s="132" t="s">
        <v>2883</v>
      </c>
      <c r="C41" s="131" t="s">
        <v>1683</v>
      </c>
      <c r="D41" s="133"/>
      <c r="E41" s="133"/>
      <c r="F41" s="133"/>
      <c r="G41" s="133"/>
      <c r="H41" s="133"/>
      <c r="I41" s="133"/>
      <c r="J41" s="133"/>
      <c r="K41" s="133"/>
      <c r="L41" s="133"/>
    </row>
    <row r="42" spans="1:12">
      <c r="A42" s="131" t="s">
        <v>2884</v>
      </c>
      <c r="B42" s="132" t="s">
        <v>2885</v>
      </c>
      <c r="C42" s="131" t="s">
        <v>2833</v>
      </c>
      <c r="D42" s="133">
        <v>2</v>
      </c>
      <c r="E42" s="566"/>
      <c r="F42" s="133">
        <f>D42*E42</f>
        <v>0</v>
      </c>
      <c r="G42" s="566"/>
      <c r="H42" s="133">
        <f>D42*G42</f>
        <v>0</v>
      </c>
      <c r="I42" s="133">
        <f>E42+G42</f>
        <v>0</v>
      </c>
      <c r="J42" s="133">
        <f>F42+H42</f>
        <v>0</v>
      </c>
      <c r="K42" s="133">
        <v>1.87</v>
      </c>
      <c r="L42" s="133">
        <f>D42*K42</f>
        <v>3.74</v>
      </c>
    </row>
    <row r="43" spans="1:12">
      <c r="A43" s="131" t="s">
        <v>2886</v>
      </c>
      <c r="B43" s="132" t="s">
        <v>2887</v>
      </c>
      <c r="C43" s="131" t="s">
        <v>2833</v>
      </c>
      <c r="D43" s="133">
        <v>1</v>
      </c>
      <c r="E43" s="566"/>
      <c r="F43" s="133">
        <f>D43*E43</f>
        <v>0</v>
      </c>
      <c r="G43" s="566"/>
      <c r="H43" s="133">
        <f>D43*G43</f>
        <v>0</v>
      </c>
      <c r="I43" s="133">
        <f>E43+G43</f>
        <v>0</v>
      </c>
      <c r="J43" s="133">
        <f>F43+H43</f>
        <v>0</v>
      </c>
      <c r="K43" s="133">
        <v>3.09</v>
      </c>
      <c r="L43" s="133">
        <f>D43*K43</f>
        <v>3.09</v>
      </c>
    </row>
    <row r="44" spans="1:12" ht="30">
      <c r="A44" s="131" t="s">
        <v>1683</v>
      </c>
      <c r="B44" s="132" t="s">
        <v>2888</v>
      </c>
      <c r="C44" s="131" t="s">
        <v>1683</v>
      </c>
      <c r="D44" s="133"/>
      <c r="E44" s="133"/>
      <c r="F44" s="133"/>
      <c r="G44" s="133"/>
      <c r="H44" s="133"/>
      <c r="I44" s="133"/>
      <c r="J44" s="133"/>
      <c r="K44" s="133"/>
      <c r="L44" s="133"/>
    </row>
    <row r="45" spans="1:12">
      <c r="A45" s="131" t="s">
        <v>2889</v>
      </c>
      <c r="B45" s="132" t="s">
        <v>2890</v>
      </c>
      <c r="C45" s="131" t="s">
        <v>2833</v>
      </c>
      <c r="D45" s="133">
        <v>1</v>
      </c>
      <c r="E45" s="566"/>
      <c r="F45" s="133">
        <f>D45*E45</f>
        <v>0</v>
      </c>
      <c r="G45" s="566"/>
      <c r="H45" s="133">
        <f>D45*G45</f>
        <v>0</v>
      </c>
      <c r="I45" s="133">
        <f>E45+G45</f>
        <v>0</v>
      </c>
      <c r="J45" s="133">
        <f>F45+H45</f>
        <v>0</v>
      </c>
      <c r="K45" s="133">
        <v>8</v>
      </c>
      <c r="L45" s="133">
        <f>D45*K45</f>
        <v>8</v>
      </c>
    </row>
    <row r="46" spans="1:12">
      <c r="A46" s="131" t="s">
        <v>2891</v>
      </c>
      <c r="B46" s="132" t="s">
        <v>2892</v>
      </c>
      <c r="C46" s="131" t="s">
        <v>1683</v>
      </c>
      <c r="D46" s="133"/>
      <c r="E46" s="133"/>
      <c r="F46" s="133"/>
      <c r="G46" s="133"/>
      <c r="H46" s="133"/>
      <c r="I46" s="133"/>
      <c r="J46" s="133"/>
      <c r="K46" s="133"/>
      <c r="L46" s="133"/>
    </row>
    <row r="47" spans="1:12" ht="30">
      <c r="A47" s="131" t="s">
        <v>1683</v>
      </c>
      <c r="B47" s="132" t="s">
        <v>2893</v>
      </c>
      <c r="C47" s="131" t="s">
        <v>1683</v>
      </c>
      <c r="D47" s="133"/>
      <c r="E47" s="133"/>
      <c r="F47" s="133"/>
      <c r="G47" s="133"/>
      <c r="H47" s="133"/>
      <c r="I47" s="133"/>
      <c r="J47" s="133"/>
      <c r="K47" s="133"/>
      <c r="L47" s="133"/>
    </row>
    <row r="48" spans="1:12">
      <c r="A48" s="131" t="s">
        <v>1683</v>
      </c>
      <c r="B48" s="132" t="s">
        <v>2894</v>
      </c>
      <c r="C48" s="131" t="s">
        <v>1683</v>
      </c>
      <c r="D48" s="133"/>
      <c r="E48" s="133"/>
      <c r="F48" s="133"/>
      <c r="G48" s="133"/>
      <c r="H48" s="133"/>
      <c r="I48" s="133"/>
      <c r="J48" s="133"/>
      <c r="K48" s="133"/>
      <c r="L48" s="133"/>
    </row>
    <row r="49" spans="1:12">
      <c r="A49" s="131" t="s">
        <v>2895</v>
      </c>
      <c r="B49" s="132" t="s">
        <v>2896</v>
      </c>
      <c r="C49" s="131" t="s">
        <v>2398</v>
      </c>
      <c r="D49" s="133">
        <v>29.69</v>
      </c>
      <c r="E49" s="566"/>
      <c r="F49" s="133">
        <f>D49*E49</f>
        <v>0</v>
      </c>
      <c r="G49" s="133">
        <v>0</v>
      </c>
      <c r="H49" s="133">
        <f>D49*G49</f>
        <v>0</v>
      </c>
      <c r="I49" s="133">
        <f t="shared" ref="I49:J51" si="6">E49+G49</f>
        <v>0</v>
      </c>
      <c r="J49" s="133">
        <f t="shared" si="6"/>
        <v>0</v>
      </c>
      <c r="K49" s="133">
        <v>0</v>
      </c>
      <c r="L49" s="133">
        <f>D49*K49</f>
        <v>0</v>
      </c>
    </row>
    <row r="50" spans="1:12">
      <c r="A50" s="131" t="s">
        <v>2897</v>
      </c>
      <c r="B50" s="132" t="s">
        <v>2898</v>
      </c>
      <c r="C50" s="131" t="s">
        <v>2398</v>
      </c>
      <c r="D50" s="133">
        <v>180.72</v>
      </c>
      <c r="E50" s="566"/>
      <c r="F50" s="133">
        <f>D50*E50</f>
        <v>0</v>
      </c>
      <c r="G50" s="133">
        <v>0</v>
      </c>
      <c r="H50" s="133">
        <f>D50*G50</f>
        <v>0</v>
      </c>
      <c r="I50" s="133">
        <f t="shared" si="6"/>
        <v>0</v>
      </c>
      <c r="J50" s="133">
        <f t="shared" si="6"/>
        <v>0</v>
      </c>
      <c r="K50" s="133">
        <v>0</v>
      </c>
      <c r="L50" s="133">
        <f>D50*K50</f>
        <v>0</v>
      </c>
    </row>
    <row r="51" spans="1:12">
      <c r="A51" s="131" t="s">
        <v>2899</v>
      </c>
      <c r="B51" s="132" t="s">
        <v>2896</v>
      </c>
      <c r="C51" s="131" t="s">
        <v>2398</v>
      </c>
      <c r="D51" s="133">
        <v>49.88</v>
      </c>
      <c r="E51" s="566"/>
      <c r="F51" s="133">
        <f>D51*E51</f>
        <v>0</v>
      </c>
      <c r="G51" s="133">
        <v>0</v>
      </c>
      <c r="H51" s="133">
        <f>D51*G51</f>
        <v>0</v>
      </c>
      <c r="I51" s="133">
        <f t="shared" si="6"/>
        <v>0</v>
      </c>
      <c r="J51" s="133">
        <f t="shared" si="6"/>
        <v>0</v>
      </c>
      <c r="K51" s="133">
        <v>0</v>
      </c>
      <c r="L51" s="133">
        <f>D51*K51</f>
        <v>0</v>
      </c>
    </row>
    <row r="52" spans="1:12" ht="75">
      <c r="A52" s="131" t="s">
        <v>1683</v>
      </c>
      <c r="B52" s="132" t="s">
        <v>2900</v>
      </c>
      <c r="C52" s="131" t="s">
        <v>1683</v>
      </c>
      <c r="D52" s="133"/>
      <c r="E52" s="133"/>
      <c r="F52" s="133"/>
      <c r="G52" s="133"/>
      <c r="H52" s="133"/>
      <c r="I52" s="133"/>
      <c r="J52" s="133"/>
      <c r="K52" s="133"/>
      <c r="L52" s="133"/>
    </row>
    <row r="53" spans="1:12">
      <c r="A53" s="131" t="s">
        <v>2901</v>
      </c>
      <c r="B53" s="132" t="s">
        <v>2902</v>
      </c>
      <c r="C53" s="131" t="s">
        <v>2398</v>
      </c>
      <c r="D53" s="133">
        <v>8.4</v>
      </c>
      <c r="E53" s="566"/>
      <c r="F53" s="133">
        <f>D53*E53</f>
        <v>0</v>
      </c>
      <c r="G53" s="133">
        <v>0</v>
      </c>
      <c r="H53" s="133">
        <f>D53*G53</f>
        <v>0</v>
      </c>
      <c r="I53" s="133">
        <f>E53+G53</f>
        <v>0</v>
      </c>
      <c r="J53" s="133">
        <f>F53+H53</f>
        <v>0</v>
      </c>
      <c r="K53" s="133">
        <v>0</v>
      </c>
      <c r="L53" s="133">
        <f>D53*K53</f>
        <v>0</v>
      </c>
    </row>
    <row r="54" spans="1:12" ht="75">
      <c r="A54" s="131" t="s">
        <v>1683</v>
      </c>
      <c r="B54" s="132" t="s">
        <v>2903</v>
      </c>
      <c r="C54" s="131" t="s">
        <v>1683</v>
      </c>
      <c r="D54" s="133"/>
      <c r="E54" s="133"/>
      <c r="F54" s="133"/>
      <c r="G54" s="133"/>
      <c r="H54" s="133"/>
      <c r="I54" s="133"/>
      <c r="J54" s="133"/>
      <c r="K54" s="133"/>
      <c r="L54" s="133"/>
    </row>
    <row r="55" spans="1:12">
      <c r="A55" s="131" t="s">
        <v>2904</v>
      </c>
      <c r="B55" s="132" t="s">
        <v>2905</v>
      </c>
      <c r="C55" s="131" t="s">
        <v>2398</v>
      </c>
      <c r="D55" s="133">
        <v>119.9</v>
      </c>
      <c r="E55" s="566"/>
      <c r="F55" s="133">
        <f>D55*E55</f>
        <v>0</v>
      </c>
      <c r="G55" s="133">
        <v>0</v>
      </c>
      <c r="H55" s="133">
        <f>D55*G55</f>
        <v>0</v>
      </c>
      <c r="I55" s="133">
        <f>E55+G55</f>
        <v>0</v>
      </c>
      <c r="J55" s="133">
        <f>F55+H55</f>
        <v>0</v>
      </c>
      <c r="K55" s="133">
        <v>0</v>
      </c>
      <c r="L55" s="133">
        <f>D55*K55</f>
        <v>0</v>
      </c>
    </row>
    <row r="56" spans="1:12" ht="30">
      <c r="A56" s="131" t="s">
        <v>1683</v>
      </c>
      <c r="B56" s="132" t="s">
        <v>2906</v>
      </c>
      <c r="C56" s="131" t="s">
        <v>1683</v>
      </c>
      <c r="D56" s="133"/>
      <c r="E56" s="133"/>
      <c r="F56" s="133"/>
      <c r="G56" s="133"/>
      <c r="H56" s="133"/>
      <c r="I56" s="133"/>
      <c r="J56" s="133"/>
      <c r="K56" s="133"/>
      <c r="L56" s="133"/>
    </row>
    <row r="57" spans="1:12">
      <c r="A57" s="131" t="s">
        <v>1683</v>
      </c>
      <c r="B57" s="132" t="s">
        <v>2907</v>
      </c>
      <c r="C57" s="131" t="s">
        <v>2849</v>
      </c>
      <c r="D57" s="133">
        <v>8.6</v>
      </c>
      <c r="E57" s="566"/>
      <c r="F57" s="133">
        <f t="shared" ref="F57:F63" si="7">D57*E57</f>
        <v>0</v>
      </c>
      <c r="G57" s="566"/>
      <c r="H57" s="133">
        <f t="shared" ref="H57:H63" si="8">D57*G57</f>
        <v>0</v>
      </c>
      <c r="I57" s="133">
        <f t="shared" ref="I57:J63" si="9">E57+G57</f>
        <v>0</v>
      </c>
      <c r="J57" s="133">
        <f t="shared" si="9"/>
        <v>0</v>
      </c>
      <c r="K57" s="133">
        <v>10</v>
      </c>
      <c r="L57" s="133">
        <f t="shared" ref="L57:L63" si="10">D57*K57</f>
        <v>86</v>
      </c>
    </row>
    <row r="58" spans="1:12">
      <c r="A58" s="131" t="s">
        <v>1683</v>
      </c>
      <c r="B58" s="132" t="s">
        <v>2908</v>
      </c>
      <c r="C58" s="131" t="s">
        <v>2849</v>
      </c>
      <c r="D58" s="133">
        <v>33.5</v>
      </c>
      <c r="E58" s="566"/>
      <c r="F58" s="133">
        <f t="shared" si="7"/>
        <v>0</v>
      </c>
      <c r="G58" s="566"/>
      <c r="H58" s="133">
        <f t="shared" si="8"/>
        <v>0</v>
      </c>
      <c r="I58" s="133">
        <f t="shared" si="9"/>
        <v>0</v>
      </c>
      <c r="J58" s="133">
        <f t="shared" si="9"/>
        <v>0</v>
      </c>
      <c r="K58" s="133">
        <v>15</v>
      </c>
      <c r="L58" s="133">
        <f t="shared" si="10"/>
        <v>502.5</v>
      </c>
    </row>
    <row r="59" spans="1:12">
      <c r="A59" s="131" t="s">
        <v>1683</v>
      </c>
      <c r="B59" s="132" t="s">
        <v>2909</v>
      </c>
      <c r="C59" s="131" t="s">
        <v>2849</v>
      </c>
      <c r="D59" s="133">
        <v>2.2999999999999998</v>
      </c>
      <c r="E59" s="566"/>
      <c r="F59" s="133">
        <f t="shared" si="7"/>
        <v>0</v>
      </c>
      <c r="G59" s="566"/>
      <c r="H59" s="133">
        <f t="shared" si="8"/>
        <v>0</v>
      </c>
      <c r="I59" s="133">
        <f t="shared" si="9"/>
        <v>0</v>
      </c>
      <c r="J59" s="133">
        <f t="shared" si="9"/>
        <v>0</v>
      </c>
      <c r="K59" s="133">
        <v>19</v>
      </c>
      <c r="L59" s="133">
        <f t="shared" si="10"/>
        <v>43.699999999999996</v>
      </c>
    </row>
    <row r="60" spans="1:12">
      <c r="A60" s="131" t="s">
        <v>1683</v>
      </c>
      <c r="B60" s="132" t="s">
        <v>2910</v>
      </c>
      <c r="C60" s="131" t="s">
        <v>2849</v>
      </c>
      <c r="D60" s="133">
        <v>38.299999999999997</v>
      </c>
      <c r="E60" s="566"/>
      <c r="F60" s="133">
        <f t="shared" si="7"/>
        <v>0</v>
      </c>
      <c r="G60" s="566"/>
      <c r="H60" s="133">
        <f t="shared" si="8"/>
        <v>0</v>
      </c>
      <c r="I60" s="133">
        <f t="shared" si="9"/>
        <v>0</v>
      </c>
      <c r="J60" s="133">
        <f t="shared" si="9"/>
        <v>0</v>
      </c>
      <c r="K60" s="133">
        <v>29</v>
      </c>
      <c r="L60" s="133">
        <f t="shared" si="10"/>
        <v>1110.6999999999998</v>
      </c>
    </row>
    <row r="61" spans="1:12">
      <c r="A61" s="131" t="s">
        <v>1683</v>
      </c>
      <c r="B61" s="132" t="s">
        <v>2911</v>
      </c>
      <c r="C61" s="131" t="s">
        <v>2849</v>
      </c>
      <c r="D61" s="133">
        <v>15.8</v>
      </c>
      <c r="E61" s="566"/>
      <c r="F61" s="133">
        <f t="shared" si="7"/>
        <v>0</v>
      </c>
      <c r="G61" s="566"/>
      <c r="H61" s="133">
        <f t="shared" si="8"/>
        <v>0</v>
      </c>
      <c r="I61" s="133">
        <f t="shared" si="9"/>
        <v>0</v>
      </c>
      <c r="J61" s="133">
        <f t="shared" si="9"/>
        <v>0</v>
      </c>
      <c r="K61" s="133">
        <v>38</v>
      </c>
      <c r="L61" s="133">
        <f t="shared" si="10"/>
        <v>600.4</v>
      </c>
    </row>
    <row r="62" spans="1:12">
      <c r="A62" s="131" t="s">
        <v>1683</v>
      </c>
      <c r="B62" s="132" t="s">
        <v>2912</v>
      </c>
      <c r="C62" s="131" t="s">
        <v>2849</v>
      </c>
      <c r="D62" s="133">
        <v>9.6999999999999993</v>
      </c>
      <c r="E62" s="566"/>
      <c r="F62" s="133">
        <f t="shared" si="7"/>
        <v>0</v>
      </c>
      <c r="G62" s="566"/>
      <c r="H62" s="133">
        <f t="shared" si="8"/>
        <v>0</v>
      </c>
      <c r="I62" s="133">
        <f t="shared" si="9"/>
        <v>0</v>
      </c>
      <c r="J62" s="133">
        <f t="shared" si="9"/>
        <v>0</v>
      </c>
      <c r="K62" s="133">
        <v>54</v>
      </c>
      <c r="L62" s="133">
        <f t="shared" si="10"/>
        <v>523.79999999999995</v>
      </c>
    </row>
    <row r="63" spans="1:12">
      <c r="A63" s="131" t="s">
        <v>1683</v>
      </c>
      <c r="B63" s="132" t="s">
        <v>2913</v>
      </c>
      <c r="C63" s="131" t="s">
        <v>2849</v>
      </c>
      <c r="D63" s="133">
        <v>2.2000000000000002</v>
      </c>
      <c r="E63" s="566"/>
      <c r="F63" s="133">
        <f t="shared" si="7"/>
        <v>0</v>
      </c>
      <c r="G63" s="566"/>
      <c r="H63" s="133">
        <f t="shared" si="8"/>
        <v>0</v>
      </c>
      <c r="I63" s="133">
        <f t="shared" si="9"/>
        <v>0</v>
      </c>
      <c r="J63" s="133">
        <f t="shared" si="9"/>
        <v>0</v>
      </c>
      <c r="K63" s="133">
        <v>82</v>
      </c>
      <c r="L63" s="133">
        <f t="shared" si="10"/>
        <v>180.4</v>
      </c>
    </row>
    <row r="64" spans="1:12" ht="30">
      <c r="A64" s="131" t="s">
        <v>1683</v>
      </c>
      <c r="B64" s="132" t="s">
        <v>2914</v>
      </c>
      <c r="C64" s="131" t="s">
        <v>1683</v>
      </c>
      <c r="D64" s="133"/>
      <c r="E64" s="133"/>
      <c r="F64" s="133"/>
      <c r="G64" s="133"/>
      <c r="H64" s="133"/>
      <c r="I64" s="133"/>
      <c r="J64" s="133"/>
      <c r="K64" s="133"/>
      <c r="L64" s="133"/>
    </row>
    <row r="65" spans="1:12">
      <c r="A65" s="131" t="s">
        <v>1683</v>
      </c>
      <c r="B65" s="132" t="s">
        <v>2915</v>
      </c>
      <c r="C65" s="131" t="s">
        <v>2849</v>
      </c>
      <c r="D65" s="133">
        <v>30.4</v>
      </c>
      <c r="E65" s="566"/>
      <c r="F65" s="133">
        <f>D65*E65</f>
        <v>0</v>
      </c>
      <c r="G65" s="566"/>
      <c r="H65" s="133">
        <f>D65*G65</f>
        <v>0</v>
      </c>
      <c r="I65" s="133">
        <f>E65+G65</f>
        <v>0</v>
      </c>
      <c r="J65" s="133">
        <f>F65+H65</f>
        <v>0</v>
      </c>
      <c r="K65" s="133">
        <v>7</v>
      </c>
      <c r="L65" s="133">
        <f>D65*K65</f>
        <v>212.79999999999998</v>
      </c>
    </row>
    <row r="66" spans="1:12">
      <c r="A66" s="131" t="s">
        <v>1683</v>
      </c>
      <c r="B66" s="132" t="s">
        <v>2916</v>
      </c>
      <c r="C66" s="131" t="s">
        <v>2849</v>
      </c>
      <c r="D66" s="133">
        <v>30.4</v>
      </c>
      <c r="E66" s="566"/>
      <c r="F66" s="133">
        <f>D66*E66</f>
        <v>0</v>
      </c>
      <c r="G66" s="566"/>
      <c r="H66" s="133">
        <f>D66*G66</f>
        <v>0</v>
      </c>
      <c r="I66" s="133">
        <f>E66+G66</f>
        <v>0</v>
      </c>
      <c r="J66" s="133">
        <f>F66+H66</f>
        <v>0</v>
      </c>
      <c r="K66" s="133">
        <v>10</v>
      </c>
      <c r="L66" s="133">
        <f>D66*K66</f>
        <v>304</v>
      </c>
    </row>
    <row r="67" spans="1:12" ht="45">
      <c r="A67" s="131" t="s">
        <v>1683</v>
      </c>
      <c r="B67" s="132" t="s">
        <v>2917</v>
      </c>
      <c r="C67" s="131" t="s">
        <v>1683</v>
      </c>
      <c r="D67" s="133"/>
      <c r="E67" s="133"/>
      <c r="F67" s="133"/>
      <c r="G67" s="133"/>
      <c r="H67" s="133"/>
      <c r="I67" s="133"/>
      <c r="J67" s="133"/>
      <c r="K67" s="133"/>
      <c r="L67" s="133"/>
    </row>
    <row r="68" spans="1:12">
      <c r="A68" s="131" t="s">
        <v>1683</v>
      </c>
      <c r="B68" s="132" t="s">
        <v>2918</v>
      </c>
      <c r="C68" s="131" t="s">
        <v>1876</v>
      </c>
      <c r="D68" s="133">
        <v>1</v>
      </c>
      <c r="E68" s="566"/>
      <c r="F68" s="133">
        <f>D68*E68</f>
        <v>0</v>
      </c>
      <c r="G68" s="133">
        <v>0</v>
      </c>
      <c r="H68" s="133">
        <f>D68*G68</f>
        <v>0</v>
      </c>
      <c r="I68" s="133">
        <f>E68+G68</f>
        <v>0</v>
      </c>
      <c r="J68" s="133">
        <f>F68+H68</f>
        <v>0</v>
      </c>
      <c r="K68" s="133">
        <v>0</v>
      </c>
      <c r="L68" s="133">
        <f>D68*K68</f>
        <v>0</v>
      </c>
    </row>
    <row r="69" spans="1:12">
      <c r="A69" s="131" t="s">
        <v>1683</v>
      </c>
      <c r="B69" s="132" t="s">
        <v>2919</v>
      </c>
      <c r="C69" s="131" t="s">
        <v>1683</v>
      </c>
      <c r="D69" s="133"/>
      <c r="E69" s="133"/>
      <c r="F69" s="133">
        <f>SUM(F3:F68)</f>
        <v>0</v>
      </c>
      <c r="G69" s="133"/>
      <c r="H69" s="133">
        <f>SUM(H3:H68)</f>
        <v>0</v>
      </c>
      <c r="I69" s="133"/>
      <c r="J69" s="133">
        <f>SUM(J3:J68)</f>
        <v>0</v>
      </c>
      <c r="K69" s="133"/>
      <c r="L69" s="133">
        <f>SUM(L3:L68)</f>
        <v>6250.1899999999987</v>
      </c>
    </row>
    <row r="70" spans="1:12">
      <c r="A70" s="131" t="s">
        <v>1683</v>
      </c>
      <c r="B70" s="132" t="s">
        <v>1683</v>
      </c>
      <c r="C70" s="131" t="s">
        <v>1683</v>
      </c>
      <c r="D70" s="133"/>
      <c r="E70" s="133"/>
      <c r="F70" s="133"/>
      <c r="G70" s="133"/>
      <c r="H70" s="133"/>
      <c r="I70" s="133"/>
      <c r="J70" s="133"/>
      <c r="K70" s="133"/>
      <c r="L70" s="133"/>
    </row>
    <row r="71" spans="1:12">
      <c r="A71" s="131" t="s">
        <v>1683</v>
      </c>
      <c r="B71" s="132" t="s">
        <v>1683</v>
      </c>
      <c r="C71" s="131" t="s">
        <v>1683</v>
      </c>
      <c r="D71" s="133"/>
      <c r="E71" s="133"/>
      <c r="F71" s="133"/>
      <c r="G71" s="133"/>
      <c r="H71" s="133"/>
      <c r="I71" s="133"/>
      <c r="J71" s="133"/>
      <c r="K71" s="133"/>
      <c r="L71" s="133"/>
    </row>
    <row r="72" spans="1:12">
      <c r="A72" s="131" t="s">
        <v>1683</v>
      </c>
      <c r="B72" s="132" t="s">
        <v>2812</v>
      </c>
      <c r="C72" s="131" t="s">
        <v>1683</v>
      </c>
      <c r="D72" s="133"/>
      <c r="E72" s="133"/>
      <c r="F72" s="133"/>
      <c r="G72" s="133"/>
      <c r="H72" s="133"/>
      <c r="I72" s="133"/>
      <c r="J72" s="133"/>
      <c r="K72" s="133"/>
      <c r="L72" s="133"/>
    </row>
    <row r="73" spans="1:12">
      <c r="A73" s="131" t="s">
        <v>1683</v>
      </c>
      <c r="B73" s="132" t="s">
        <v>2830</v>
      </c>
      <c r="C73" s="131" t="s">
        <v>1683</v>
      </c>
      <c r="D73" s="133"/>
      <c r="E73" s="133"/>
      <c r="F73" s="133"/>
      <c r="G73" s="133"/>
      <c r="H73" s="133"/>
      <c r="I73" s="133"/>
      <c r="J73" s="133"/>
      <c r="K73" s="133"/>
      <c r="L73" s="133"/>
    </row>
    <row r="74" spans="1:12" ht="90">
      <c r="A74" s="131" t="s">
        <v>2920</v>
      </c>
      <c r="B74" s="132" t="s">
        <v>2921</v>
      </c>
      <c r="C74" s="131" t="s">
        <v>2833</v>
      </c>
      <c r="D74" s="133">
        <v>1</v>
      </c>
      <c r="E74" s="566"/>
      <c r="F74" s="133">
        <f t="shared" ref="F74:F80" si="11">D74*E74</f>
        <v>0</v>
      </c>
      <c r="G74" s="566"/>
      <c r="H74" s="133">
        <f t="shared" ref="H74:H80" si="12">D74*G74</f>
        <v>0</v>
      </c>
      <c r="I74" s="133">
        <f t="shared" ref="I74:J88" si="13">E74+G74</f>
        <v>0</v>
      </c>
      <c r="J74" s="133">
        <f t="shared" si="13"/>
        <v>0</v>
      </c>
      <c r="K74" s="133">
        <v>384</v>
      </c>
      <c r="L74" s="133">
        <f t="shared" ref="L74:L80" si="14">D74*K74</f>
        <v>384</v>
      </c>
    </row>
    <row r="75" spans="1:12">
      <c r="A75" s="131" t="s">
        <v>1683</v>
      </c>
      <c r="B75" s="132" t="s">
        <v>2922</v>
      </c>
      <c r="C75" s="131" t="s">
        <v>2833</v>
      </c>
      <c r="D75" s="133">
        <v>1</v>
      </c>
      <c r="E75" s="133">
        <v>0</v>
      </c>
      <c r="F75" s="133">
        <f t="shared" si="11"/>
        <v>0</v>
      </c>
      <c r="G75" s="133">
        <v>0</v>
      </c>
      <c r="H75" s="133">
        <f t="shared" si="12"/>
        <v>0</v>
      </c>
      <c r="I75" s="133">
        <f t="shared" si="13"/>
        <v>0</v>
      </c>
      <c r="J75" s="133">
        <f t="shared" si="13"/>
        <v>0</v>
      </c>
      <c r="K75" s="133">
        <v>0</v>
      </c>
      <c r="L75" s="133">
        <f t="shared" si="14"/>
        <v>0</v>
      </c>
    </row>
    <row r="76" spans="1:12">
      <c r="A76" s="131" t="s">
        <v>1683</v>
      </c>
      <c r="B76" s="132" t="s">
        <v>2835</v>
      </c>
      <c r="C76" s="131" t="s">
        <v>2833</v>
      </c>
      <c r="D76" s="133">
        <v>1</v>
      </c>
      <c r="E76" s="566"/>
      <c r="F76" s="133">
        <f t="shared" si="11"/>
        <v>0</v>
      </c>
      <c r="G76" s="133">
        <v>0</v>
      </c>
      <c r="H76" s="133">
        <f t="shared" si="12"/>
        <v>0</v>
      </c>
      <c r="I76" s="133">
        <f t="shared" si="13"/>
        <v>0</v>
      </c>
      <c r="J76" s="133">
        <f t="shared" si="13"/>
        <v>0</v>
      </c>
      <c r="K76" s="133">
        <v>0</v>
      </c>
      <c r="L76" s="133">
        <f t="shared" si="14"/>
        <v>0</v>
      </c>
    </row>
    <row r="77" spans="1:12">
      <c r="A77" s="131" t="s">
        <v>1683</v>
      </c>
      <c r="B77" s="132" t="s">
        <v>2836</v>
      </c>
      <c r="C77" s="131" t="s">
        <v>2833</v>
      </c>
      <c r="D77" s="133">
        <v>1</v>
      </c>
      <c r="E77" s="566"/>
      <c r="F77" s="133">
        <f t="shared" si="11"/>
        <v>0</v>
      </c>
      <c r="G77" s="133">
        <v>0</v>
      </c>
      <c r="H77" s="133">
        <f t="shared" si="12"/>
        <v>0</v>
      </c>
      <c r="I77" s="133">
        <f t="shared" si="13"/>
        <v>0</v>
      </c>
      <c r="J77" s="133">
        <f t="shared" si="13"/>
        <v>0</v>
      </c>
      <c r="K77" s="133">
        <v>0</v>
      </c>
      <c r="L77" s="133">
        <f t="shared" si="14"/>
        <v>0</v>
      </c>
    </row>
    <row r="78" spans="1:12">
      <c r="A78" s="131" t="s">
        <v>1683</v>
      </c>
      <c r="B78" s="132" t="s">
        <v>2837</v>
      </c>
      <c r="C78" s="131" t="s">
        <v>2833</v>
      </c>
      <c r="D78" s="133">
        <v>1</v>
      </c>
      <c r="E78" s="566"/>
      <c r="F78" s="133">
        <f t="shared" si="11"/>
        <v>0</v>
      </c>
      <c r="G78" s="133">
        <v>0</v>
      </c>
      <c r="H78" s="133">
        <f t="shared" si="12"/>
        <v>0</v>
      </c>
      <c r="I78" s="133">
        <f t="shared" si="13"/>
        <v>0</v>
      </c>
      <c r="J78" s="133">
        <f t="shared" si="13"/>
        <v>0</v>
      </c>
      <c r="K78" s="133">
        <v>0</v>
      </c>
      <c r="L78" s="133">
        <f t="shared" si="14"/>
        <v>0</v>
      </c>
    </row>
    <row r="79" spans="1:12">
      <c r="A79" s="131" t="s">
        <v>1683</v>
      </c>
      <c r="B79" s="132" t="s">
        <v>2838</v>
      </c>
      <c r="C79" s="131" t="s">
        <v>2833</v>
      </c>
      <c r="D79" s="133">
        <v>1</v>
      </c>
      <c r="E79" s="566"/>
      <c r="F79" s="133">
        <f t="shared" si="11"/>
        <v>0</v>
      </c>
      <c r="G79" s="133">
        <v>0</v>
      </c>
      <c r="H79" s="133">
        <f t="shared" si="12"/>
        <v>0</v>
      </c>
      <c r="I79" s="133">
        <f t="shared" si="13"/>
        <v>0</v>
      </c>
      <c r="J79" s="133">
        <f t="shared" si="13"/>
        <v>0</v>
      </c>
      <c r="K79" s="133">
        <v>0</v>
      </c>
      <c r="L79" s="133">
        <f t="shared" si="14"/>
        <v>0</v>
      </c>
    </row>
    <row r="80" spans="1:12">
      <c r="A80" s="131" t="s">
        <v>1683</v>
      </c>
      <c r="B80" s="132" t="s">
        <v>2839</v>
      </c>
      <c r="C80" s="131" t="s">
        <v>2833</v>
      </c>
      <c r="D80" s="133">
        <v>1</v>
      </c>
      <c r="E80" s="566"/>
      <c r="F80" s="133">
        <f t="shared" si="11"/>
        <v>0</v>
      </c>
      <c r="G80" s="133">
        <v>0</v>
      </c>
      <c r="H80" s="133">
        <f t="shared" si="12"/>
        <v>0</v>
      </c>
      <c r="I80" s="133">
        <f t="shared" si="13"/>
        <v>0</v>
      </c>
      <c r="J80" s="133">
        <f t="shared" si="13"/>
        <v>0</v>
      </c>
      <c r="K80" s="133">
        <v>0</v>
      </c>
      <c r="L80" s="133">
        <f t="shared" si="14"/>
        <v>0</v>
      </c>
    </row>
    <row r="81" spans="1:12">
      <c r="A81" s="131" t="s">
        <v>1683</v>
      </c>
      <c r="B81" s="132" t="s">
        <v>2840</v>
      </c>
      <c r="C81" s="131" t="s">
        <v>1683</v>
      </c>
      <c r="D81" s="133"/>
      <c r="E81" s="133"/>
      <c r="F81" s="133"/>
      <c r="G81" s="133"/>
      <c r="H81" s="133"/>
      <c r="I81" s="133"/>
      <c r="J81" s="133"/>
      <c r="K81" s="133"/>
      <c r="L81" s="133"/>
    </row>
    <row r="82" spans="1:12" ht="30">
      <c r="A82" s="131" t="s">
        <v>2923</v>
      </c>
      <c r="B82" s="132" t="s">
        <v>2924</v>
      </c>
      <c r="C82" s="131" t="s">
        <v>2833</v>
      </c>
      <c r="D82" s="133">
        <v>1</v>
      </c>
      <c r="E82" s="566"/>
      <c r="F82" s="133">
        <f>D82*E82</f>
        <v>0</v>
      </c>
      <c r="G82" s="566"/>
      <c r="H82" s="133">
        <f>D82*G82</f>
        <v>0</v>
      </c>
      <c r="I82" s="133">
        <f t="shared" si="13"/>
        <v>0</v>
      </c>
      <c r="J82" s="133">
        <f t="shared" si="13"/>
        <v>0</v>
      </c>
      <c r="K82" s="133">
        <v>104</v>
      </c>
      <c r="L82" s="133">
        <f>D82*K82</f>
        <v>104</v>
      </c>
    </row>
    <row r="83" spans="1:12">
      <c r="A83" s="131" t="s">
        <v>1683</v>
      </c>
      <c r="B83" s="132" t="s">
        <v>2843</v>
      </c>
      <c r="C83" s="131" t="s">
        <v>2833</v>
      </c>
      <c r="D83" s="133">
        <v>1</v>
      </c>
      <c r="E83" s="566"/>
      <c r="F83" s="133">
        <f>D83*E83</f>
        <v>0</v>
      </c>
      <c r="G83" s="133">
        <v>0</v>
      </c>
      <c r="H83" s="133">
        <f>D83*G83</f>
        <v>0</v>
      </c>
      <c r="I83" s="133">
        <f t="shared" si="13"/>
        <v>0</v>
      </c>
      <c r="J83" s="133">
        <f t="shared" si="13"/>
        <v>0</v>
      </c>
      <c r="K83" s="133">
        <v>0</v>
      </c>
      <c r="L83" s="133">
        <f>D83*K83</f>
        <v>0</v>
      </c>
    </row>
    <row r="84" spans="1:12">
      <c r="A84" s="131" t="s">
        <v>1683</v>
      </c>
      <c r="B84" s="132" t="s">
        <v>2846</v>
      </c>
      <c r="C84" s="131" t="s">
        <v>2833</v>
      </c>
      <c r="D84" s="133">
        <v>1</v>
      </c>
      <c r="E84" s="566"/>
      <c r="F84" s="133">
        <f>D84*E84</f>
        <v>0</v>
      </c>
      <c r="G84" s="133">
        <v>0</v>
      </c>
      <c r="H84" s="133">
        <f>D84*G84</f>
        <v>0</v>
      </c>
      <c r="I84" s="133">
        <f t="shared" si="13"/>
        <v>0</v>
      </c>
      <c r="J84" s="133">
        <f t="shared" si="13"/>
        <v>0</v>
      </c>
      <c r="K84" s="133">
        <v>35</v>
      </c>
      <c r="L84" s="133">
        <f>D84*K84</f>
        <v>35</v>
      </c>
    </row>
    <row r="85" spans="1:12">
      <c r="A85" s="131" t="s">
        <v>1683</v>
      </c>
      <c r="B85" s="132" t="s">
        <v>2847</v>
      </c>
      <c r="C85" s="131" t="s">
        <v>1683</v>
      </c>
      <c r="D85" s="133"/>
      <c r="E85" s="133"/>
      <c r="F85" s="133"/>
      <c r="G85" s="133"/>
      <c r="H85" s="133"/>
      <c r="I85" s="133"/>
      <c r="J85" s="133"/>
      <c r="K85" s="133"/>
      <c r="L85" s="133"/>
    </row>
    <row r="86" spans="1:12">
      <c r="A86" s="131" t="s">
        <v>1683</v>
      </c>
      <c r="B86" s="132" t="s">
        <v>2925</v>
      </c>
      <c r="C86" s="131" t="s">
        <v>2849</v>
      </c>
      <c r="D86" s="133">
        <v>35</v>
      </c>
      <c r="E86" s="566"/>
      <c r="F86" s="133">
        <f>D86*E86</f>
        <v>0</v>
      </c>
      <c r="G86" s="566"/>
      <c r="H86" s="133">
        <f>D86*G86</f>
        <v>0</v>
      </c>
      <c r="I86" s="133">
        <f t="shared" si="13"/>
        <v>0</v>
      </c>
      <c r="J86" s="133">
        <f t="shared" si="13"/>
        <v>0</v>
      </c>
      <c r="K86" s="133">
        <v>3.6</v>
      </c>
      <c r="L86" s="133">
        <f>D86*K86</f>
        <v>126</v>
      </c>
    </row>
    <row r="87" spans="1:12">
      <c r="A87" s="131" t="s">
        <v>1683</v>
      </c>
      <c r="B87" s="132" t="s">
        <v>2926</v>
      </c>
      <c r="C87" s="131" t="s">
        <v>1683</v>
      </c>
      <c r="D87" s="133"/>
      <c r="E87" s="133"/>
      <c r="F87" s="133"/>
      <c r="G87" s="133"/>
      <c r="H87" s="133"/>
      <c r="I87" s="133"/>
      <c r="J87" s="133"/>
      <c r="K87" s="133"/>
      <c r="L87" s="133"/>
    </row>
    <row r="88" spans="1:12" ht="30">
      <c r="A88" s="131" t="s">
        <v>2927</v>
      </c>
      <c r="B88" s="132" t="s">
        <v>2928</v>
      </c>
      <c r="C88" s="131" t="s">
        <v>2833</v>
      </c>
      <c r="D88" s="133">
        <v>1</v>
      </c>
      <c r="E88" s="566"/>
      <c r="F88" s="133">
        <f>D88*E88</f>
        <v>0</v>
      </c>
      <c r="G88" s="566"/>
      <c r="H88" s="133">
        <f>D88*G88</f>
        <v>0</v>
      </c>
      <c r="I88" s="133">
        <f t="shared" si="13"/>
        <v>0</v>
      </c>
      <c r="J88" s="133">
        <f t="shared" si="13"/>
        <v>0</v>
      </c>
      <c r="K88" s="133">
        <v>103</v>
      </c>
      <c r="L88" s="133">
        <f>D88*K88</f>
        <v>103</v>
      </c>
    </row>
    <row r="89" spans="1:12" ht="45">
      <c r="A89" s="131" t="s">
        <v>1683</v>
      </c>
      <c r="B89" s="132" t="s">
        <v>2929</v>
      </c>
      <c r="C89" s="131" t="s">
        <v>1683</v>
      </c>
      <c r="D89" s="133"/>
      <c r="E89" s="133"/>
      <c r="F89" s="133"/>
      <c r="G89" s="133"/>
      <c r="H89" s="133"/>
      <c r="I89" s="133"/>
      <c r="J89" s="133"/>
      <c r="K89" s="133"/>
      <c r="L89" s="133"/>
    </row>
    <row r="90" spans="1:12">
      <c r="A90" s="131" t="s">
        <v>2930</v>
      </c>
      <c r="B90" s="132" t="s">
        <v>2931</v>
      </c>
      <c r="C90" s="131" t="s">
        <v>2833</v>
      </c>
      <c r="D90" s="133">
        <v>1</v>
      </c>
      <c r="E90" s="566"/>
      <c r="F90" s="133">
        <f>D90*E90</f>
        <v>0</v>
      </c>
      <c r="G90" s="566"/>
      <c r="H90" s="133">
        <f>D90*G90</f>
        <v>0</v>
      </c>
      <c r="I90" s="133">
        <f>E90+G90</f>
        <v>0</v>
      </c>
      <c r="J90" s="133">
        <f>F90+H90</f>
        <v>0</v>
      </c>
      <c r="K90" s="133">
        <v>12</v>
      </c>
      <c r="L90" s="133">
        <f>D90*K90</f>
        <v>12</v>
      </c>
    </row>
    <row r="91" spans="1:12" ht="40.5" customHeight="1">
      <c r="A91" s="131" t="s">
        <v>1683</v>
      </c>
      <c r="B91" s="132" t="s">
        <v>2932</v>
      </c>
      <c r="C91" s="131" t="s">
        <v>1683</v>
      </c>
      <c r="D91" s="133"/>
      <c r="E91" s="133"/>
      <c r="F91" s="133"/>
      <c r="G91" s="133"/>
      <c r="H91" s="133"/>
      <c r="I91" s="133"/>
      <c r="J91" s="133"/>
      <c r="K91" s="133"/>
      <c r="L91" s="133"/>
    </row>
    <row r="92" spans="1:12">
      <c r="A92" s="131" t="s">
        <v>2933</v>
      </c>
      <c r="B92" s="132" t="s">
        <v>2855</v>
      </c>
      <c r="C92" s="131" t="s">
        <v>2833</v>
      </c>
      <c r="D92" s="133">
        <v>6</v>
      </c>
      <c r="E92" s="566"/>
      <c r="F92" s="133">
        <f>D92*E92</f>
        <v>0</v>
      </c>
      <c r="G92" s="566"/>
      <c r="H92" s="133">
        <f>D92*G92</f>
        <v>0</v>
      </c>
      <c r="I92" s="133">
        <f t="shared" ref="I92:J96" si="15">E92+G92</f>
        <v>0</v>
      </c>
      <c r="J92" s="133">
        <f t="shared" si="15"/>
        <v>0</v>
      </c>
      <c r="K92" s="133">
        <v>14</v>
      </c>
      <c r="L92" s="133">
        <f>D92*K92</f>
        <v>84</v>
      </c>
    </row>
    <row r="93" spans="1:12">
      <c r="A93" s="131" t="s">
        <v>2934</v>
      </c>
      <c r="B93" s="132" t="s">
        <v>2855</v>
      </c>
      <c r="C93" s="131" t="s">
        <v>2833</v>
      </c>
      <c r="D93" s="133">
        <v>12</v>
      </c>
      <c r="E93" s="566"/>
      <c r="F93" s="133">
        <f>D93*E93</f>
        <v>0</v>
      </c>
      <c r="G93" s="566"/>
      <c r="H93" s="133">
        <f>D93*G93</f>
        <v>0</v>
      </c>
      <c r="I93" s="133">
        <f t="shared" si="15"/>
        <v>0</v>
      </c>
      <c r="J93" s="133">
        <f t="shared" si="15"/>
        <v>0</v>
      </c>
      <c r="K93" s="133">
        <v>14</v>
      </c>
      <c r="L93" s="133">
        <f>D93*K93</f>
        <v>168</v>
      </c>
    </row>
    <row r="94" spans="1:12">
      <c r="A94" s="131" t="s">
        <v>2935</v>
      </c>
      <c r="B94" s="132" t="s">
        <v>2855</v>
      </c>
      <c r="C94" s="131" t="s">
        <v>2833</v>
      </c>
      <c r="D94" s="133">
        <v>6</v>
      </c>
      <c r="E94" s="566"/>
      <c r="F94" s="133">
        <f>D94*E94</f>
        <v>0</v>
      </c>
      <c r="G94" s="566"/>
      <c r="H94" s="133">
        <f>D94*G94</f>
        <v>0</v>
      </c>
      <c r="I94" s="133">
        <f t="shared" si="15"/>
        <v>0</v>
      </c>
      <c r="J94" s="133">
        <f t="shared" si="15"/>
        <v>0</v>
      </c>
      <c r="K94" s="133">
        <v>14</v>
      </c>
      <c r="L94" s="133">
        <f>D94*K94</f>
        <v>84</v>
      </c>
    </row>
    <row r="95" spans="1:12">
      <c r="A95" s="131" t="s">
        <v>2936</v>
      </c>
      <c r="B95" s="132" t="s">
        <v>2855</v>
      </c>
      <c r="C95" s="131" t="s">
        <v>2833</v>
      </c>
      <c r="D95" s="133">
        <v>9</v>
      </c>
      <c r="E95" s="566"/>
      <c r="F95" s="133">
        <f>D95*E95</f>
        <v>0</v>
      </c>
      <c r="G95" s="566"/>
      <c r="H95" s="133">
        <f>D95*G95</f>
        <v>0</v>
      </c>
      <c r="I95" s="133">
        <f t="shared" si="15"/>
        <v>0</v>
      </c>
      <c r="J95" s="133">
        <f t="shared" si="15"/>
        <v>0</v>
      </c>
      <c r="K95" s="133">
        <v>14</v>
      </c>
      <c r="L95" s="133">
        <f>D95*K95</f>
        <v>126</v>
      </c>
    </row>
    <row r="96" spans="1:12">
      <c r="A96" s="131" t="s">
        <v>2937</v>
      </c>
      <c r="B96" s="132" t="s">
        <v>2858</v>
      </c>
      <c r="C96" s="131" t="s">
        <v>2833</v>
      </c>
      <c r="D96" s="133">
        <v>3</v>
      </c>
      <c r="E96" s="566"/>
      <c r="F96" s="133">
        <f>D96*E96</f>
        <v>0</v>
      </c>
      <c r="G96" s="566"/>
      <c r="H96" s="133">
        <f>D96*G96</f>
        <v>0</v>
      </c>
      <c r="I96" s="133">
        <f t="shared" si="15"/>
        <v>0</v>
      </c>
      <c r="J96" s="133">
        <f t="shared" si="15"/>
        <v>0</v>
      </c>
      <c r="K96" s="133">
        <v>21</v>
      </c>
      <c r="L96" s="133">
        <f>D96*K96</f>
        <v>63</v>
      </c>
    </row>
    <row r="97" spans="1:12" ht="30">
      <c r="A97" s="131" t="s">
        <v>1683</v>
      </c>
      <c r="B97" s="132" t="s">
        <v>2938</v>
      </c>
      <c r="C97" s="131" t="s">
        <v>1683</v>
      </c>
      <c r="D97" s="133"/>
      <c r="E97" s="133"/>
      <c r="F97" s="133"/>
      <c r="G97" s="133"/>
      <c r="H97" s="133"/>
      <c r="I97" s="133"/>
      <c r="J97" s="133"/>
      <c r="K97" s="133"/>
      <c r="L97" s="133"/>
    </row>
    <row r="98" spans="1:12" ht="30">
      <c r="A98" s="131" t="s">
        <v>2939</v>
      </c>
      <c r="B98" s="132" t="s">
        <v>2940</v>
      </c>
      <c r="C98" s="131" t="s">
        <v>2833</v>
      </c>
      <c r="D98" s="133">
        <v>1</v>
      </c>
      <c r="E98" s="566"/>
      <c r="F98" s="133">
        <f>D98*E98</f>
        <v>0</v>
      </c>
      <c r="G98" s="566"/>
      <c r="H98" s="133">
        <f>D98*G98</f>
        <v>0</v>
      </c>
      <c r="I98" s="133">
        <f>E98+G98</f>
        <v>0</v>
      </c>
      <c r="J98" s="133">
        <f>F98+H98</f>
        <v>0</v>
      </c>
      <c r="K98" s="133">
        <v>12.5</v>
      </c>
      <c r="L98" s="133">
        <f>D98*K98</f>
        <v>12.5</v>
      </c>
    </row>
    <row r="99" spans="1:12">
      <c r="A99" s="131" t="s">
        <v>1683</v>
      </c>
      <c r="B99" s="132" t="s">
        <v>2941</v>
      </c>
      <c r="C99" s="131" t="s">
        <v>1683</v>
      </c>
      <c r="D99" s="133"/>
      <c r="E99" s="133"/>
      <c r="F99" s="133"/>
      <c r="G99" s="133"/>
      <c r="H99" s="133"/>
      <c r="I99" s="133"/>
      <c r="J99" s="133"/>
      <c r="K99" s="133"/>
      <c r="L99" s="133"/>
    </row>
    <row r="100" spans="1:12">
      <c r="A100" s="131" t="s">
        <v>2942</v>
      </c>
      <c r="B100" s="132" t="s">
        <v>2943</v>
      </c>
      <c r="C100" s="131" t="s">
        <v>2833</v>
      </c>
      <c r="D100" s="133">
        <v>1</v>
      </c>
      <c r="E100" s="566"/>
      <c r="F100" s="133">
        <f>D100*E100</f>
        <v>0</v>
      </c>
      <c r="G100" s="566"/>
      <c r="H100" s="133">
        <f>D100*G100</f>
        <v>0</v>
      </c>
      <c r="I100" s="133">
        <f>E100+G100</f>
        <v>0</v>
      </c>
      <c r="J100" s="133">
        <f>F100+H100</f>
        <v>0</v>
      </c>
      <c r="K100" s="133">
        <v>0</v>
      </c>
      <c r="L100" s="133">
        <f>D100*K100</f>
        <v>0</v>
      </c>
    </row>
    <row r="101" spans="1:12" ht="30">
      <c r="A101" s="131" t="s">
        <v>1683</v>
      </c>
      <c r="B101" s="132" t="s">
        <v>2893</v>
      </c>
      <c r="C101" s="131" t="s">
        <v>1683</v>
      </c>
      <c r="D101" s="133"/>
      <c r="E101" s="133"/>
      <c r="F101" s="133"/>
      <c r="G101" s="133"/>
      <c r="H101" s="133"/>
      <c r="I101" s="133"/>
      <c r="J101" s="133"/>
      <c r="K101" s="133"/>
      <c r="L101" s="133"/>
    </row>
    <row r="102" spans="1:12">
      <c r="A102" s="131" t="s">
        <v>1683</v>
      </c>
      <c r="B102" s="132" t="s">
        <v>2894</v>
      </c>
      <c r="C102" s="131" t="s">
        <v>1683</v>
      </c>
      <c r="D102" s="133"/>
      <c r="E102" s="133"/>
      <c r="F102" s="133"/>
      <c r="G102" s="133"/>
      <c r="H102" s="133"/>
      <c r="I102" s="133"/>
      <c r="J102" s="133"/>
      <c r="K102" s="133"/>
      <c r="L102" s="133"/>
    </row>
    <row r="103" spans="1:12">
      <c r="A103" s="131" t="s">
        <v>2944</v>
      </c>
      <c r="B103" s="132" t="s">
        <v>2896</v>
      </c>
      <c r="C103" s="131" t="s">
        <v>2398</v>
      </c>
      <c r="D103" s="133">
        <v>27.77</v>
      </c>
      <c r="E103" s="566"/>
      <c r="F103" s="133">
        <f>D103*E103</f>
        <v>0</v>
      </c>
      <c r="G103" s="133">
        <v>0</v>
      </c>
      <c r="H103" s="133">
        <f>D103*G103</f>
        <v>0</v>
      </c>
      <c r="I103" s="133">
        <f t="shared" ref="I103:J105" si="16">E103+G103</f>
        <v>0</v>
      </c>
      <c r="J103" s="133">
        <f t="shared" si="16"/>
        <v>0</v>
      </c>
      <c r="K103" s="133">
        <v>0</v>
      </c>
      <c r="L103" s="133">
        <f>D103*K103</f>
        <v>0</v>
      </c>
    </row>
    <row r="104" spans="1:12">
      <c r="A104" s="131" t="s">
        <v>2945</v>
      </c>
      <c r="B104" s="132" t="s">
        <v>2896</v>
      </c>
      <c r="C104" s="131" t="s">
        <v>2398</v>
      </c>
      <c r="D104" s="133">
        <v>35.78</v>
      </c>
      <c r="E104" s="566"/>
      <c r="F104" s="133">
        <f>D104*E104</f>
        <v>0</v>
      </c>
      <c r="G104" s="133">
        <v>0</v>
      </c>
      <c r="H104" s="133">
        <f>D104*G104</f>
        <v>0</v>
      </c>
      <c r="I104" s="133">
        <f t="shared" si="16"/>
        <v>0</v>
      </c>
      <c r="J104" s="133">
        <f t="shared" si="16"/>
        <v>0</v>
      </c>
      <c r="K104" s="133">
        <v>0</v>
      </c>
      <c r="L104" s="133">
        <f>D104*K104</f>
        <v>0</v>
      </c>
    </row>
    <row r="105" spans="1:12">
      <c r="A105" s="131" t="s">
        <v>2946</v>
      </c>
      <c r="B105" s="132" t="s">
        <v>2898</v>
      </c>
      <c r="C105" s="131" t="s">
        <v>2398</v>
      </c>
      <c r="D105" s="133">
        <v>24</v>
      </c>
      <c r="E105" s="566"/>
      <c r="F105" s="133">
        <f>D105*E105</f>
        <v>0</v>
      </c>
      <c r="G105" s="133">
        <v>0</v>
      </c>
      <c r="H105" s="133">
        <f>D105*G105</f>
        <v>0</v>
      </c>
      <c r="I105" s="133">
        <f t="shared" si="16"/>
        <v>0</v>
      </c>
      <c r="J105" s="133">
        <f t="shared" si="16"/>
        <v>0</v>
      </c>
      <c r="K105" s="133">
        <v>0</v>
      </c>
      <c r="L105" s="133">
        <f>D105*K105</f>
        <v>0</v>
      </c>
    </row>
    <row r="106" spans="1:12" ht="75">
      <c r="A106" s="131" t="s">
        <v>1683</v>
      </c>
      <c r="B106" s="132" t="s">
        <v>2900</v>
      </c>
      <c r="C106" s="131" t="s">
        <v>1683</v>
      </c>
      <c r="D106" s="133"/>
      <c r="E106" s="133"/>
      <c r="F106" s="133"/>
      <c r="G106" s="133"/>
      <c r="H106" s="133"/>
      <c r="I106" s="133"/>
      <c r="J106" s="133"/>
      <c r="K106" s="133"/>
      <c r="L106" s="133"/>
    </row>
    <row r="107" spans="1:12">
      <c r="A107" s="131" t="s">
        <v>2946</v>
      </c>
      <c r="B107" s="132" t="s">
        <v>2902</v>
      </c>
      <c r="C107" s="131" t="s">
        <v>2398</v>
      </c>
      <c r="D107" s="133">
        <v>2.88</v>
      </c>
      <c r="E107" s="566"/>
      <c r="F107" s="133">
        <f>D107*E107</f>
        <v>0</v>
      </c>
      <c r="G107" s="133">
        <v>0</v>
      </c>
      <c r="H107" s="133">
        <f>D107*G107</f>
        <v>0</v>
      </c>
      <c r="I107" s="133">
        <f>E107+G107</f>
        <v>0</v>
      </c>
      <c r="J107" s="133">
        <f>F107+H107</f>
        <v>0</v>
      </c>
      <c r="K107" s="133">
        <v>0</v>
      </c>
      <c r="L107" s="133">
        <f>D107*K107</f>
        <v>0</v>
      </c>
    </row>
    <row r="108" spans="1:12">
      <c r="A108" s="131" t="s">
        <v>2947</v>
      </c>
      <c r="B108" s="132" t="s">
        <v>2902</v>
      </c>
      <c r="C108" s="131" t="s">
        <v>2398</v>
      </c>
      <c r="D108" s="133">
        <v>3.34</v>
      </c>
      <c r="E108" s="566"/>
      <c r="F108" s="133">
        <f>D108*E108</f>
        <v>0</v>
      </c>
      <c r="G108" s="133">
        <v>0</v>
      </c>
      <c r="H108" s="133">
        <f>D108*G108</f>
        <v>0</v>
      </c>
      <c r="I108" s="133">
        <f>E108+G108</f>
        <v>0</v>
      </c>
      <c r="J108" s="133">
        <f>F108+H108</f>
        <v>0</v>
      </c>
      <c r="K108" s="133">
        <v>0</v>
      </c>
      <c r="L108" s="133">
        <f>D108*K108</f>
        <v>0</v>
      </c>
    </row>
    <row r="109" spans="1:12" ht="60">
      <c r="A109" s="131" t="s">
        <v>1683</v>
      </c>
      <c r="B109" s="132" t="s">
        <v>2948</v>
      </c>
      <c r="C109" s="131" t="s">
        <v>1683</v>
      </c>
      <c r="D109" s="133"/>
      <c r="E109" s="133"/>
      <c r="F109" s="133"/>
      <c r="G109" s="133"/>
      <c r="H109" s="133"/>
      <c r="I109" s="133"/>
      <c r="J109" s="133"/>
      <c r="K109" s="133"/>
      <c r="L109" s="133"/>
    </row>
    <row r="110" spans="1:12">
      <c r="A110" s="131" t="s">
        <v>2949</v>
      </c>
      <c r="B110" s="132" t="s">
        <v>2950</v>
      </c>
      <c r="C110" s="131" t="s">
        <v>2398</v>
      </c>
      <c r="D110" s="133">
        <v>17.87</v>
      </c>
      <c r="E110" s="566"/>
      <c r="F110" s="133">
        <f>D110*E110</f>
        <v>0</v>
      </c>
      <c r="G110" s="133">
        <v>0</v>
      </c>
      <c r="H110" s="133">
        <f>D110*G110</f>
        <v>0</v>
      </c>
      <c r="I110" s="133">
        <f>E110+G110</f>
        <v>0</v>
      </c>
      <c r="J110" s="133">
        <f>F110+H110</f>
        <v>0</v>
      </c>
      <c r="K110" s="133">
        <v>0</v>
      </c>
      <c r="L110" s="133">
        <f>D110*K110</f>
        <v>0</v>
      </c>
    </row>
    <row r="111" spans="1:12" ht="30">
      <c r="A111" s="131" t="s">
        <v>1683</v>
      </c>
      <c r="B111" s="132" t="s">
        <v>2906</v>
      </c>
      <c r="C111" s="131" t="s">
        <v>1683</v>
      </c>
      <c r="D111" s="133"/>
      <c r="E111" s="133"/>
      <c r="F111" s="133"/>
      <c r="G111" s="133"/>
      <c r="H111" s="133"/>
      <c r="I111" s="133"/>
      <c r="J111" s="133"/>
      <c r="K111" s="133"/>
      <c r="L111" s="133"/>
    </row>
    <row r="112" spans="1:12">
      <c r="A112" s="131" t="s">
        <v>1683</v>
      </c>
      <c r="B112" s="132" t="s">
        <v>2951</v>
      </c>
      <c r="C112" s="131" t="s">
        <v>2849</v>
      </c>
      <c r="D112" s="133">
        <v>3.8</v>
      </c>
      <c r="E112" s="566"/>
      <c r="F112" s="133">
        <f>D112*E112</f>
        <v>0</v>
      </c>
      <c r="G112" s="566"/>
      <c r="H112" s="133">
        <f>D112*G112</f>
        <v>0</v>
      </c>
      <c r="I112" s="133">
        <f t="shared" ref="I112:J115" si="17">E112+G112</f>
        <v>0</v>
      </c>
      <c r="J112" s="133">
        <f t="shared" si="17"/>
        <v>0</v>
      </c>
      <c r="K112" s="133">
        <v>10</v>
      </c>
      <c r="L112" s="133">
        <f>D112*K112</f>
        <v>38</v>
      </c>
    </row>
    <row r="113" spans="1:12">
      <c r="A113" s="131" t="s">
        <v>1683</v>
      </c>
      <c r="B113" s="132" t="s">
        <v>2908</v>
      </c>
      <c r="C113" s="131" t="s">
        <v>2849</v>
      </c>
      <c r="D113" s="133">
        <v>28.3</v>
      </c>
      <c r="E113" s="566"/>
      <c r="F113" s="133">
        <f>D113*E113</f>
        <v>0</v>
      </c>
      <c r="G113" s="566"/>
      <c r="H113" s="133">
        <f>D113*G113</f>
        <v>0</v>
      </c>
      <c r="I113" s="133">
        <f t="shared" si="17"/>
        <v>0</v>
      </c>
      <c r="J113" s="133">
        <f t="shared" si="17"/>
        <v>0</v>
      </c>
      <c r="K113" s="133">
        <v>15</v>
      </c>
      <c r="L113" s="133">
        <f>D113*K113</f>
        <v>424.5</v>
      </c>
    </row>
    <row r="114" spans="1:12">
      <c r="A114" s="131" t="s">
        <v>1683</v>
      </c>
      <c r="B114" s="132" t="s">
        <v>2952</v>
      </c>
      <c r="C114" s="131" t="s">
        <v>2849</v>
      </c>
      <c r="D114" s="133">
        <v>8.8000000000000007</v>
      </c>
      <c r="E114" s="566"/>
      <c r="F114" s="133">
        <f>D114*E114</f>
        <v>0</v>
      </c>
      <c r="G114" s="566"/>
      <c r="H114" s="133">
        <f>D114*G114</f>
        <v>0</v>
      </c>
      <c r="I114" s="133">
        <f t="shared" si="17"/>
        <v>0</v>
      </c>
      <c r="J114" s="133">
        <f t="shared" si="17"/>
        <v>0</v>
      </c>
      <c r="K114" s="133">
        <v>19</v>
      </c>
      <c r="L114" s="133">
        <f>D114*K114</f>
        <v>167.20000000000002</v>
      </c>
    </row>
    <row r="115" spans="1:12">
      <c r="A115" s="131" t="s">
        <v>1683</v>
      </c>
      <c r="B115" s="132" t="s">
        <v>2953</v>
      </c>
      <c r="C115" s="131" t="s">
        <v>2849</v>
      </c>
      <c r="D115" s="133">
        <v>20.8</v>
      </c>
      <c r="E115" s="566"/>
      <c r="F115" s="133">
        <f>D115*E115</f>
        <v>0</v>
      </c>
      <c r="G115" s="566"/>
      <c r="H115" s="133">
        <f>D115*G115</f>
        <v>0</v>
      </c>
      <c r="I115" s="133">
        <f t="shared" si="17"/>
        <v>0</v>
      </c>
      <c r="J115" s="133">
        <f t="shared" si="17"/>
        <v>0</v>
      </c>
      <c r="K115" s="133">
        <v>29</v>
      </c>
      <c r="L115" s="133">
        <f>D115*K115</f>
        <v>603.20000000000005</v>
      </c>
    </row>
    <row r="116" spans="1:12" ht="30">
      <c r="A116" s="131" t="s">
        <v>1683</v>
      </c>
      <c r="B116" s="132" t="s">
        <v>2954</v>
      </c>
      <c r="C116" s="131" t="s">
        <v>1683</v>
      </c>
      <c r="D116" s="133"/>
      <c r="E116" s="133"/>
      <c r="F116" s="133"/>
      <c r="G116" s="133"/>
      <c r="H116" s="133"/>
      <c r="I116" s="133"/>
      <c r="J116" s="133"/>
      <c r="K116" s="133"/>
      <c r="L116" s="133"/>
    </row>
    <row r="117" spans="1:12">
      <c r="A117" s="131" t="s">
        <v>1683</v>
      </c>
      <c r="B117" s="132" t="s">
        <v>2955</v>
      </c>
      <c r="C117" s="131" t="s">
        <v>2833</v>
      </c>
      <c r="D117" s="133">
        <v>1</v>
      </c>
      <c r="E117" s="566"/>
      <c r="F117" s="133">
        <f>D117*E117</f>
        <v>0</v>
      </c>
      <c r="G117" s="133">
        <v>0</v>
      </c>
      <c r="H117" s="133">
        <f>D117*G117</f>
        <v>0</v>
      </c>
      <c r="I117" s="133">
        <f>E117+G117</f>
        <v>0</v>
      </c>
      <c r="J117" s="133">
        <f>F117+H117</f>
        <v>0</v>
      </c>
      <c r="K117" s="133">
        <v>0</v>
      </c>
      <c r="L117" s="133">
        <f>D117*K117</f>
        <v>0</v>
      </c>
    </row>
    <row r="118" spans="1:12" ht="45">
      <c r="A118" s="131" t="s">
        <v>1683</v>
      </c>
      <c r="B118" s="132" t="s">
        <v>2917</v>
      </c>
      <c r="C118" s="131" t="s">
        <v>1683</v>
      </c>
      <c r="D118" s="133"/>
      <c r="E118" s="133"/>
      <c r="F118" s="133"/>
      <c r="G118" s="133"/>
      <c r="H118" s="133"/>
      <c r="I118" s="133"/>
      <c r="J118" s="133"/>
      <c r="K118" s="133"/>
      <c r="L118" s="133"/>
    </row>
    <row r="119" spans="1:12">
      <c r="A119" s="131" t="s">
        <v>1683</v>
      </c>
      <c r="B119" s="132" t="s">
        <v>2918</v>
      </c>
      <c r="C119" s="131" t="s">
        <v>1876</v>
      </c>
      <c r="D119" s="133">
        <v>1</v>
      </c>
      <c r="E119" s="566"/>
      <c r="F119" s="133">
        <f>D119*E119</f>
        <v>0</v>
      </c>
      <c r="G119" s="133">
        <v>0</v>
      </c>
      <c r="H119" s="133">
        <f>D119*G119</f>
        <v>0</v>
      </c>
      <c r="I119" s="133">
        <f>E119+G119</f>
        <v>0</v>
      </c>
      <c r="J119" s="133">
        <f>F119+H119</f>
        <v>0</v>
      </c>
      <c r="K119" s="133">
        <v>0</v>
      </c>
      <c r="L119" s="133">
        <f>D119*K119</f>
        <v>0</v>
      </c>
    </row>
    <row r="120" spans="1:12">
      <c r="A120" s="131" t="s">
        <v>1683</v>
      </c>
      <c r="B120" s="132" t="s">
        <v>2956</v>
      </c>
      <c r="C120" s="131" t="s">
        <v>1683</v>
      </c>
      <c r="D120" s="133"/>
      <c r="E120" s="133"/>
      <c r="F120" s="133">
        <f>SUM(F73:F119)</f>
        <v>0</v>
      </c>
      <c r="G120" s="133"/>
      <c r="H120" s="133">
        <f>SUM(H73:H119)</f>
        <v>0</v>
      </c>
      <c r="I120" s="133"/>
      <c r="J120" s="133">
        <f>SUM(J73:J119)</f>
        <v>0</v>
      </c>
      <c r="K120" s="133"/>
      <c r="L120" s="133">
        <f>SUM(L73:L119)</f>
        <v>2534.4</v>
      </c>
    </row>
    <row r="121" spans="1:12">
      <c r="A121" s="131" t="s">
        <v>1683</v>
      </c>
      <c r="B121" s="132" t="s">
        <v>1683</v>
      </c>
      <c r="C121" s="131" t="s">
        <v>1683</v>
      </c>
      <c r="D121" s="133"/>
      <c r="E121" s="133"/>
      <c r="F121" s="133"/>
      <c r="G121" s="133"/>
      <c r="H121" s="133"/>
      <c r="I121" s="133"/>
      <c r="J121" s="133"/>
      <c r="K121" s="133"/>
      <c r="L121" s="133"/>
    </row>
    <row r="122" spans="1:12">
      <c r="A122" s="131" t="s">
        <v>1683</v>
      </c>
      <c r="B122" s="132" t="s">
        <v>1683</v>
      </c>
      <c r="C122" s="131" t="s">
        <v>1683</v>
      </c>
      <c r="D122" s="133"/>
      <c r="E122" s="133"/>
      <c r="F122" s="133"/>
      <c r="G122" s="133"/>
      <c r="H122" s="133"/>
      <c r="I122" s="133"/>
      <c r="J122" s="133"/>
      <c r="K122" s="133"/>
      <c r="L122" s="133"/>
    </row>
    <row r="123" spans="1:12">
      <c r="A123" s="131" t="s">
        <v>1683</v>
      </c>
      <c r="B123" s="132" t="s">
        <v>2813</v>
      </c>
      <c r="C123" s="131" t="s">
        <v>1683</v>
      </c>
      <c r="D123" s="133"/>
      <c r="E123" s="133"/>
      <c r="F123" s="133"/>
      <c r="G123" s="133"/>
      <c r="H123" s="133"/>
      <c r="I123" s="133"/>
      <c r="J123" s="133"/>
      <c r="K123" s="133"/>
      <c r="L123" s="133"/>
    </row>
    <row r="124" spans="1:12">
      <c r="A124" s="131" t="s">
        <v>1683</v>
      </c>
      <c r="B124" s="132" t="s">
        <v>2830</v>
      </c>
      <c r="C124" s="131" t="s">
        <v>1683</v>
      </c>
      <c r="D124" s="133"/>
      <c r="E124" s="133"/>
      <c r="F124" s="133"/>
      <c r="G124" s="133"/>
      <c r="H124" s="133"/>
      <c r="I124" s="133"/>
      <c r="J124" s="133"/>
      <c r="K124" s="133"/>
      <c r="L124" s="133"/>
    </row>
    <row r="125" spans="1:12" ht="90">
      <c r="A125" s="131" t="s">
        <v>2957</v>
      </c>
      <c r="B125" s="132" t="s">
        <v>2958</v>
      </c>
      <c r="C125" s="131" t="s">
        <v>2833</v>
      </c>
      <c r="D125" s="133">
        <v>1</v>
      </c>
      <c r="E125" s="566"/>
      <c r="F125" s="133">
        <f t="shared" ref="F125:F131" si="18">D125*E125</f>
        <v>0</v>
      </c>
      <c r="G125" s="566"/>
      <c r="H125" s="133">
        <f t="shared" ref="H125:H131" si="19">D125*G125</f>
        <v>0</v>
      </c>
      <c r="I125" s="133">
        <f t="shared" ref="I125:J137" si="20">E125+G125</f>
        <v>0</v>
      </c>
      <c r="J125" s="133">
        <f t="shared" si="20"/>
        <v>0</v>
      </c>
      <c r="K125" s="133">
        <v>389</v>
      </c>
      <c r="L125" s="133">
        <f t="shared" ref="L125:L131" si="21">D125*K125</f>
        <v>389</v>
      </c>
    </row>
    <row r="126" spans="1:12">
      <c r="A126" s="131" t="s">
        <v>1683</v>
      </c>
      <c r="B126" s="132" t="s">
        <v>2922</v>
      </c>
      <c r="C126" s="131" t="s">
        <v>2833</v>
      </c>
      <c r="D126" s="133">
        <v>1</v>
      </c>
      <c r="E126" s="133">
        <v>0</v>
      </c>
      <c r="F126" s="133">
        <f t="shared" si="18"/>
        <v>0</v>
      </c>
      <c r="G126" s="133">
        <v>0</v>
      </c>
      <c r="H126" s="133">
        <f t="shared" si="19"/>
        <v>0</v>
      </c>
      <c r="I126" s="133">
        <f t="shared" si="20"/>
        <v>0</v>
      </c>
      <c r="J126" s="133">
        <f t="shared" si="20"/>
        <v>0</v>
      </c>
      <c r="K126" s="133">
        <v>0</v>
      </c>
      <c r="L126" s="133">
        <f t="shared" si="21"/>
        <v>0</v>
      </c>
    </row>
    <row r="127" spans="1:12">
      <c r="A127" s="131" t="s">
        <v>1683</v>
      </c>
      <c r="B127" s="132" t="s">
        <v>2835</v>
      </c>
      <c r="C127" s="131" t="s">
        <v>2833</v>
      </c>
      <c r="D127" s="133">
        <v>1</v>
      </c>
      <c r="E127" s="566"/>
      <c r="F127" s="133">
        <f t="shared" si="18"/>
        <v>0</v>
      </c>
      <c r="G127" s="133">
        <v>0</v>
      </c>
      <c r="H127" s="133">
        <f t="shared" si="19"/>
        <v>0</v>
      </c>
      <c r="I127" s="133">
        <f t="shared" si="20"/>
        <v>0</v>
      </c>
      <c r="J127" s="133">
        <f t="shared" si="20"/>
        <v>0</v>
      </c>
      <c r="K127" s="133">
        <v>0</v>
      </c>
      <c r="L127" s="133">
        <f t="shared" si="21"/>
        <v>0</v>
      </c>
    </row>
    <row r="128" spans="1:12">
      <c r="A128" s="131" t="s">
        <v>1683</v>
      </c>
      <c r="B128" s="132" t="s">
        <v>2836</v>
      </c>
      <c r="C128" s="131" t="s">
        <v>2833</v>
      </c>
      <c r="D128" s="133">
        <v>1</v>
      </c>
      <c r="E128" s="566"/>
      <c r="F128" s="133">
        <f t="shared" si="18"/>
        <v>0</v>
      </c>
      <c r="G128" s="133">
        <v>0</v>
      </c>
      <c r="H128" s="133">
        <f t="shared" si="19"/>
        <v>0</v>
      </c>
      <c r="I128" s="133">
        <f t="shared" si="20"/>
        <v>0</v>
      </c>
      <c r="J128" s="133">
        <f t="shared" si="20"/>
        <v>0</v>
      </c>
      <c r="K128" s="133">
        <v>0</v>
      </c>
      <c r="L128" s="133">
        <f t="shared" si="21"/>
        <v>0</v>
      </c>
    </row>
    <row r="129" spans="1:12">
      <c r="A129" s="131" t="s">
        <v>1683</v>
      </c>
      <c r="B129" s="132" t="s">
        <v>2837</v>
      </c>
      <c r="C129" s="131" t="s">
        <v>2833</v>
      </c>
      <c r="D129" s="133">
        <v>1</v>
      </c>
      <c r="E129" s="566"/>
      <c r="F129" s="133">
        <f t="shared" si="18"/>
        <v>0</v>
      </c>
      <c r="G129" s="133">
        <v>0</v>
      </c>
      <c r="H129" s="133">
        <f t="shared" si="19"/>
        <v>0</v>
      </c>
      <c r="I129" s="133">
        <f t="shared" si="20"/>
        <v>0</v>
      </c>
      <c r="J129" s="133">
        <f t="shared" si="20"/>
        <v>0</v>
      </c>
      <c r="K129" s="133">
        <v>0</v>
      </c>
      <c r="L129" s="133">
        <f t="shared" si="21"/>
        <v>0</v>
      </c>
    </row>
    <row r="130" spans="1:12">
      <c r="A130" s="131" t="s">
        <v>1683</v>
      </c>
      <c r="B130" s="132" t="s">
        <v>2838</v>
      </c>
      <c r="C130" s="131" t="s">
        <v>2833</v>
      </c>
      <c r="D130" s="133">
        <v>1</v>
      </c>
      <c r="E130" s="566"/>
      <c r="F130" s="133">
        <f t="shared" si="18"/>
        <v>0</v>
      </c>
      <c r="G130" s="133">
        <v>0</v>
      </c>
      <c r="H130" s="133">
        <f t="shared" si="19"/>
        <v>0</v>
      </c>
      <c r="I130" s="133">
        <f t="shared" si="20"/>
        <v>0</v>
      </c>
      <c r="J130" s="133">
        <f t="shared" si="20"/>
        <v>0</v>
      </c>
      <c r="K130" s="133">
        <v>0</v>
      </c>
      <c r="L130" s="133">
        <f t="shared" si="21"/>
        <v>0</v>
      </c>
    </row>
    <row r="131" spans="1:12">
      <c r="A131" s="131" t="s">
        <v>1683</v>
      </c>
      <c r="B131" s="132" t="s">
        <v>2839</v>
      </c>
      <c r="C131" s="131" t="s">
        <v>2833</v>
      </c>
      <c r="D131" s="133">
        <v>1</v>
      </c>
      <c r="E131" s="566"/>
      <c r="F131" s="133">
        <f t="shared" si="18"/>
        <v>0</v>
      </c>
      <c r="G131" s="133">
        <v>0</v>
      </c>
      <c r="H131" s="133">
        <f t="shared" si="19"/>
        <v>0</v>
      </c>
      <c r="I131" s="133">
        <f t="shared" si="20"/>
        <v>0</v>
      </c>
      <c r="J131" s="133">
        <f t="shared" si="20"/>
        <v>0</v>
      </c>
      <c r="K131" s="133">
        <v>0</v>
      </c>
      <c r="L131" s="133">
        <f t="shared" si="21"/>
        <v>0</v>
      </c>
    </row>
    <row r="132" spans="1:12">
      <c r="A132" s="131" t="s">
        <v>1683</v>
      </c>
      <c r="B132" s="132" t="s">
        <v>2840</v>
      </c>
      <c r="C132" s="131" t="s">
        <v>1683</v>
      </c>
      <c r="D132" s="133"/>
      <c r="E132" s="133"/>
      <c r="F132" s="133"/>
      <c r="G132" s="133"/>
      <c r="H132" s="133"/>
      <c r="I132" s="133"/>
      <c r="J132" s="133"/>
      <c r="K132" s="133"/>
      <c r="L132" s="133"/>
    </row>
    <row r="133" spans="1:12" ht="30">
      <c r="A133" s="131" t="s">
        <v>2959</v>
      </c>
      <c r="B133" s="132" t="s">
        <v>2960</v>
      </c>
      <c r="C133" s="131" t="s">
        <v>2833</v>
      </c>
      <c r="D133" s="133">
        <v>1</v>
      </c>
      <c r="E133" s="566"/>
      <c r="F133" s="133">
        <f>D133*E133</f>
        <v>0</v>
      </c>
      <c r="G133" s="566"/>
      <c r="H133" s="133">
        <f>D133*G133</f>
        <v>0</v>
      </c>
      <c r="I133" s="133">
        <f t="shared" si="20"/>
        <v>0</v>
      </c>
      <c r="J133" s="133">
        <f t="shared" si="20"/>
        <v>0</v>
      </c>
      <c r="K133" s="133">
        <v>65</v>
      </c>
      <c r="L133" s="133">
        <f>D133*K133</f>
        <v>65</v>
      </c>
    </row>
    <row r="134" spans="1:12">
      <c r="A134" s="131" t="s">
        <v>1683</v>
      </c>
      <c r="B134" s="132" t="s">
        <v>2843</v>
      </c>
      <c r="C134" s="131" t="s">
        <v>2833</v>
      </c>
      <c r="D134" s="133">
        <v>1</v>
      </c>
      <c r="E134" s="566"/>
      <c r="F134" s="133">
        <f>D134*E134</f>
        <v>0</v>
      </c>
      <c r="G134" s="133">
        <v>0</v>
      </c>
      <c r="H134" s="133">
        <f>D134*G134</f>
        <v>0</v>
      </c>
      <c r="I134" s="133">
        <f t="shared" si="20"/>
        <v>0</v>
      </c>
      <c r="J134" s="133">
        <f t="shared" si="20"/>
        <v>0</v>
      </c>
      <c r="K134" s="133">
        <v>0</v>
      </c>
      <c r="L134" s="133">
        <f>D134*K134</f>
        <v>0</v>
      </c>
    </row>
    <row r="135" spans="1:12">
      <c r="A135" s="131" t="s">
        <v>1683</v>
      </c>
      <c r="B135" s="132" t="s">
        <v>2846</v>
      </c>
      <c r="C135" s="131" t="s">
        <v>2833</v>
      </c>
      <c r="D135" s="133">
        <v>1</v>
      </c>
      <c r="E135" s="566"/>
      <c r="F135" s="133">
        <f>D135*E135</f>
        <v>0</v>
      </c>
      <c r="G135" s="133">
        <v>0</v>
      </c>
      <c r="H135" s="133">
        <f>D135*G135</f>
        <v>0</v>
      </c>
      <c r="I135" s="133">
        <f t="shared" si="20"/>
        <v>0</v>
      </c>
      <c r="J135" s="133">
        <f t="shared" si="20"/>
        <v>0</v>
      </c>
      <c r="K135" s="133">
        <v>35</v>
      </c>
      <c r="L135" s="133">
        <f>D135*K135</f>
        <v>35</v>
      </c>
    </row>
    <row r="136" spans="1:12">
      <c r="A136" s="131" t="s">
        <v>1683</v>
      </c>
      <c r="B136" s="132" t="s">
        <v>2847</v>
      </c>
      <c r="C136" s="131" t="s">
        <v>1683</v>
      </c>
      <c r="D136" s="133"/>
      <c r="E136" s="133"/>
      <c r="F136" s="133"/>
      <c r="G136" s="133"/>
      <c r="H136" s="133"/>
      <c r="I136" s="133"/>
      <c r="J136" s="133"/>
      <c r="K136" s="133"/>
      <c r="L136" s="133"/>
    </row>
    <row r="137" spans="1:12">
      <c r="A137" s="131" t="s">
        <v>1683</v>
      </c>
      <c r="B137" s="132" t="s">
        <v>2925</v>
      </c>
      <c r="C137" s="131" t="s">
        <v>2849</v>
      </c>
      <c r="D137" s="133">
        <v>15</v>
      </c>
      <c r="E137" s="566"/>
      <c r="F137" s="133">
        <f>D137*E137</f>
        <v>0</v>
      </c>
      <c r="G137" s="566"/>
      <c r="H137" s="133">
        <f>D137*G137</f>
        <v>0</v>
      </c>
      <c r="I137" s="133">
        <f t="shared" si="20"/>
        <v>0</v>
      </c>
      <c r="J137" s="133">
        <f t="shared" si="20"/>
        <v>0</v>
      </c>
      <c r="K137" s="133">
        <v>3.6</v>
      </c>
      <c r="L137" s="133">
        <f>D137*K137</f>
        <v>54</v>
      </c>
    </row>
    <row r="138" spans="1:12">
      <c r="A138" s="131" t="s">
        <v>1683</v>
      </c>
      <c r="B138" s="132" t="s">
        <v>2961</v>
      </c>
      <c r="C138" s="131" t="s">
        <v>1683</v>
      </c>
      <c r="D138" s="133"/>
      <c r="E138" s="133"/>
      <c r="F138" s="133"/>
      <c r="G138" s="133"/>
      <c r="H138" s="133"/>
      <c r="I138" s="133"/>
      <c r="J138" s="133"/>
      <c r="K138" s="133"/>
      <c r="L138" s="133"/>
    </row>
    <row r="139" spans="1:12">
      <c r="A139" s="131" t="s">
        <v>2962</v>
      </c>
      <c r="B139" s="132" t="s">
        <v>2963</v>
      </c>
      <c r="C139" s="131" t="s">
        <v>2833</v>
      </c>
      <c r="D139" s="133">
        <v>1</v>
      </c>
      <c r="E139" s="566"/>
      <c r="F139" s="133">
        <f>D139*E139</f>
        <v>0</v>
      </c>
      <c r="G139" s="566"/>
      <c r="H139" s="133">
        <f>D139*G139</f>
        <v>0</v>
      </c>
      <c r="I139" s="133">
        <f>E139+G139</f>
        <v>0</v>
      </c>
      <c r="J139" s="133">
        <f>F139+H139</f>
        <v>0</v>
      </c>
      <c r="K139" s="133">
        <v>14.2</v>
      </c>
      <c r="L139" s="133">
        <f>D139*K139</f>
        <v>14.2</v>
      </c>
    </row>
    <row r="140" spans="1:12">
      <c r="A140" s="131" t="s">
        <v>2964</v>
      </c>
      <c r="B140" s="132" t="s">
        <v>2963</v>
      </c>
      <c r="C140" s="131" t="s">
        <v>2833</v>
      </c>
      <c r="D140" s="133">
        <v>1</v>
      </c>
      <c r="E140" s="566"/>
      <c r="F140" s="133">
        <f>D140*E140</f>
        <v>0</v>
      </c>
      <c r="G140" s="566"/>
      <c r="H140" s="133">
        <f>D140*G140</f>
        <v>0</v>
      </c>
      <c r="I140" s="133">
        <f>E140+G140</f>
        <v>0</v>
      </c>
      <c r="J140" s="133">
        <f>F140+H140</f>
        <v>0</v>
      </c>
      <c r="K140" s="133">
        <v>14.2</v>
      </c>
      <c r="L140" s="133">
        <f>D140*K140</f>
        <v>14.2</v>
      </c>
    </row>
    <row r="141" spans="1:12" ht="45">
      <c r="A141" s="131" t="s">
        <v>1683</v>
      </c>
      <c r="B141" s="132" t="s">
        <v>2853</v>
      </c>
      <c r="C141" s="131" t="s">
        <v>1683</v>
      </c>
      <c r="D141" s="133"/>
      <c r="E141" s="133"/>
      <c r="F141" s="133"/>
      <c r="G141" s="133"/>
      <c r="H141" s="133"/>
      <c r="I141" s="133"/>
      <c r="J141" s="133"/>
      <c r="K141" s="133"/>
      <c r="L141" s="133"/>
    </row>
    <row r="142" spans="1:12">
      <c r="A142" s="131" t="s">
        <v>2965</v>
      </c>
      <c r="B142" s="132" t="s">
        <v>2855</v>
      </c>
      <c r="C142" s="131" t="s">
        <v>2833</v>
      </c>
      <c r="D142" s="133">
        <v>6</v>
      </c>
      <c r="E142" s="566"/>
      <c r="F142" s="133">
        <f>D142*E142</f>
        <v>0</v>
      </c>
      <c r="G142" s="566"/>
      <c r="H142" s="133">
        <f>D142*G142</f>
        <v>0</v>
      </c>
      <c r="I142" s="133">
        <f t="shared" ref="I142:J144" si="22">E142+G142</f>
        <v>0</v>
      </c>
      <c r="J142" s="133">
        <f t="shared" si="22"/>
        <v>0</v>
      </c>
      <c r="K142" s="133">
        <v>14</v>
      </c>
      <c r="L142" s="133">
        <f>D142*K142</f>
        <v>84</v>
      </c>
    </row>
    <row r="143" spans="1:12">
      <c r="A143" s="131" t="s">
        <v>2966</v>
      </c>
      <c r="B143" s="132" t="s">
        <v>2858</v>
      </c>
      <c r="C143" s="131" t="s">
        <v>2833</v>
      </c>
      <c r="D143" s="133">
        <v>6</v>
      </c>
      <c r="E143" s="566"/>
      <c r="F143" s="133">
        <f>D143*E143</f>
        <v>0</v>
      </c>
      <c r="G143" s="566"/>
      <c r="H143" s="133">
        <f>D143*G143</f>
        <v>0</v>
      </c>
      <c r="I143" s="133">
        <f t="shared" si="22"/>
        <v>0</v>
      </c>
      <c r="J143" s="133">
        <f t="shared" si="22"/>
        <v>0</v>
      </c>
      <c r="K143" s="133">
        <v>21</v>
      </c>
      <c r="L143" s="133">
        <f>D143*K143</f>
        <v>126</v>
      </c>
    </row>
    <row r="144" spans="1:12">
      <c r="A144" s="131" t="s">
        <v>2967</v>
      </c>
      <c r="B144" s="132" t="s">
        <v>2855</v>
      </c>
      <c r="C144" s="131" t="s">
        <v>2833</v>
      </c>
      <c r="D144" s="133">
        <v>6</v>
      </c>
      <c r="E144" s="566"/>
      <c r="F144" s="133">
        <f>D144*E144</f>
        <v>0</v>
      </c>
      <c r="G144" s="566"/>
      <c r="H144" s="133">
        <f>D144*G144</f>
        <v>0</v>
      </c>
      <c r="I144" s="133">
        <f t="shared" si="22"/>
        <v>0</v>
      </c>
      <c r="J144" s="133">
        <f t="shared" si="22"/>
        <v>0</v>
      </c>
      <c r="K144" s="133">
        <v>14</v>
      </c>
      <c r="L144" s="133">
        <f>D144*K144</f>
        <v>84</v>
      </c>
    </row>
    <row r="145" spans="1:12" ht="30">
      <c r="A145" s="131" t="s">
        <v>1683</v>
      </c>
      <c r="B145" s="132" t="s">
        <v>2968</v>
      </c>
      <c r="C145" s="131" t="s">
        <v>1683</v>
      </c>
      <c r="D145" s="133"/>
      <c r="E145" s="133"/>
      <c r="F145" s="133"/>
      <c r="G145" s="133"/>
      <c r="H145" s="133"/>
      <c r="I145" s="133"/>
      <c r="J145" s="133"/>
      <c r="K145" s="133"/>
      <c r="L145" s="133"/>
    </row>
    <row r="146" spans="1:12">
      <c r="A146" s="131" t="s">
        <v>2969</v>
      </c>
      <c r="B146" s="132" t="s">
        <v>2970</v>
      </c>
      <c r="C146" s="131" t="s">
        <v>2019</v>
      </c>
      <c r="D146" s="133">
        <v>5.5</v>
      </c>
      <c r="E146" s="566"/>
      <c r="F146" s="133">
        <f>D146*E146</f>
        <v>0</v>
      </c>
      <c r="G146" s="566"/>
      <c r="H146" s="133">
        <f>D146*G146</f>
        <v>0</v>
      </c>
      <c r="I146" s="133">
        <f>E146+G146</f>
        <v>0</v>
      </c>
      <c r="J146" s="133">
        <f>F146+H146</f>
        <v>0</v>
      </c>
      <c r="K146" s="133">
        <v>0</v>
      </c>
      <c r="L146" s="133">
        <f>D146*K146</f>
        <v>0</v>
      </c>
    </row>
    <row r="147" spans="1:12" ht="30">
      <c r="A147" s="131" t="s">
        <v>1683</v>
      </c>
      <c r="B147" s="132" t="s">
        <v>2872</v>
      </c>
      <c r="C147" s="131" t="s">
        <v>1683</v>
      </c>
      <c r="D147" s="133"/>
      <c r="E147" s="133"/>
      <c r="F147" s="133"/>
      <c r="G147" s="133"/>
      <c r="H147" s="133"/>
      <c r="I147" s="133"/>
      <c r="J147" s="133"/>
      <c r="K147" s="133"/>
      <c r="L147" s="133"/>
    </row>
    <row r="148" spans="1:12">
      <c r="A148" s="131" t="s">
        <v>2971</v>
      </c>
      <c r="B148" s="132" t="s">
        <v>2874</v>
      </c>
      <c r="C148" s="131" t="s">
        <v>2833</v>
      </c>
      <c r="D148" s="133">
        <v>3</v>
      </c>
      <c r="E148" s="566"/>
      <c r="F148" s="133">
        <f>D148*E148</f>
        <v>0</v>
      </c>
      <c r="G148" s="566"/>
      <c r="H148" s="133">
        <f>D148*G148</f>
        <v>0</v>
      </c>
      <c r="I148" s="133">
        <f>E148+G148</f>
        <v>0</v>
      </c>
      <c r="J148" s="133">
        <f>F148+H148</f>
        <v>0</v>
      </c>
      <c r="K148" s="133">
        <v>4</v>
      </c>
      <c r="L148" s="133">
        <f>D148*K148</f>
        <v>12</v>
      </c>
    </row>
    <row r="149" spans="1:12">
      <c r="A149" s="131" t="s">
        <v>1683</v>
      </c>
      <c r="B149" s="132" t="s">
        <v>2875</v>
      </c>
      <c r="C149" s="131" t="s">
        <v>1683</v>
      </c>
      <c r="D149" s="133"/>
      <c r="E149" s="133"/>
      <c r="F149" s="133"/>
      <c r="G149" s="133"/>
      <c r="H149" s="133"/>
      <c r="I149" s="133"/>
      <c r="J149" s="133"/>
      <c r="K149" s="133"/>
      <c r="L149" s="133"/>
    </row>
    <row r="150" spans="1:12">
      <c r="A150" s="131" t="s">
        <v>1683</v>
      </c>
      <c r="B150" s="132" t="s">
        <v>2972</v>
      </c>
      <c r="C150" s="131" t="s">
        <v>1683</v>
      </c>
      <c r="D150" s="133"/>
      <c r="E150" s="133"/>
      <c r="F150" s="133"/>
      <c r="G150" s="133"/>
      <c r="H150" s="133"/>
      <c r="I150" s="133"/>
      <c r="J150" s="133"/>
      <c r="K150" s="133"/>
      <c r="L150" s="133"/>
    </row>
    <row r="151" spans="1:12">
      <c r="A151" s="131" t="s">
        <v>2973</v>
      </c>
      <c r="B151" s="132" t="s">
        <v>2974</v>
      </c>
      <c r="C151" s="131" t="s">
        <v>2833</v>
      </c>
      <c r="D151" s="133">
        <v>3</v>
      </c>
      <c r="E151" s="566"/>
      <c r="F151" s="133">
        <f>D151*E151</f>
        <v>0</v>
      </c>
      <c r="G151" s="566"/>
      <c r="H151" s="133">
        <f>D151*G151</f>
        <v>0</v>
      </c>
      <c r="I151" s="133">
        <f>E151+G151</f>
        <v>0</v>
      </c>
      <c r="J151" s="133">
        <f>F151+H151</f>
        <v>0</v>
      </c>
      <c r="K151" s="133">
        <v>12</v>
      </c>
      <c r="L151" s="133">
        <f>D151*K151</f>
        <v>36</v>
      </c>
    </row>
    <row r="152" spans="1:12">
      <c r="A152" s="131" t="s">
        <v>1683</v>
      </c>
      <c r="B152" s="132" t="s">
        <v>2975</v>
      </c>
      <c r="C152" s="131" t="s">
        <v>1683</v>
      </c>
      <c r="D152" s="133"/>
      <c r="E152" s="133"/>
      <c r="F152" s="133"/>
      <c r="G152" s="133"/>
      <c r="H152" s="133"/>
      <c r="I152" s="133"/>
      <c r="J152" s="133"/>
      <c r="K152" s="133"/>
      <c r="L152" s="133"/>
    </row>
    <row r="153" spans="1:12" ht="30">
      <c r="A153" s="131" t="s">
        <v>1683</v>
      </c>
      <c r="B153" s="132" t="s">
        <v>2872</v>
      </c>
      <c r="C153" s="131" t="s">
        <v>1683</v>
      </c>
      <c r="D153" s="133"/>
      <c r="E153" s="133"/>
      <c r="F153" s="133"/>
      <c r="G153" s="133"/>
      <c r="H153" s="133"/>
      <c r="I153" s="133"/>
      <c r="J153" s="133"/>
      <c r="K153" s="133"/>
      <c r="L153" s="133"/>
    </row>
    <row r="154" spans="1:12">
      <c r="A154" s="131" t="s">
        <v>2976</v>
      </c>
      <c r="B154" s="132" t="s">
        <v>2977</v>
      </c>
      <c r="C154" s="131" t="s">
        <v>2833</v>
      </c>
      <c r="D154" s="133">
        <v>2</v>
      </c>
      <c r="E154" s="566"/>
      <c r="F154" s="133">
        <f>D154*E154</f>
        <v>0</v>
      </c>
      <c r="G154" s="566"/>
      <c r="H154" s="133">
        <f>D154*G154</f>
        <v>0</v>
      </c>
      <c r="I154" s="133">
        <f>E154+G154</f>
        <v>0</v>
      </c>
      <c r="J154" s="133">
        <f>F154+H154</f>
        <v>0</v>
      </c>
      <c r="K154" s="133">
        <v>4</v>
      </c>
      <c r="L154" s="133">
        <f>D154*K154</f>
        <v>8</v>
      </c>
    </row>
    <row r="155" spans="1:12">
      <c r="A155" s="131" t="s">
        <v>1683</v>
      </c>
      <c r="B155" s="132" t="s">
        <v>2978</v>
      </c>
      <c r="C155" s="131" t="s">
        <v>1683</v>
      </c>
      <c r="D155" s="133"/>
      <c r="E155" s="133"/>
      <c r="F155" s="133"/>
      <c r="G155" s="133"/>
      <c r="H155" s="133"/>
      <c r="I155" s="133"/>
      <c r="J155" s="133"/>
      <c r="K155" s="133"/>
      <c r="L155" s="133"/>
    </row>
    <row r="156" spans="1:12">
      <c r="A156" s="131" t="s">
        <v>1683</v>
      </c>
      <c r="B156" s="132" t="s">
        <v>2972</v>
      </c>
      <c r="C156" s="131" t="s">
        <v>1683</v>
      </c>
      <c r="D156" s="133"/>
      <c r="E156" s="133"/>
      <c r="F156" s="133"/>
      <c r="G156" s="133"/>
      <c r="H156" s="133"/>
      <c r="I156" s="133"/>
      <c r="J156" s="133"/>
      <c r="K156" s="133"/>
      <c r="L156" s="133"/>
    </row>
    <row r="157" spans="1:12">
      <c r="A157" s="131" t="s">
        <v>2979</v>
      </c>
      <c r="B157" s="132" t="s">
        <v>2980</v>
      </c>
      <c r="C157" s="131" t="s">
        <v>2833</v>
      </c>
      <c r="D157" s="133">
        <v>2</v>
      </c>
      <c r="E157" s="566"/>
      <c r="F157" s="133">
        <f>D157*E157</f>
        <v>0</v>
      </c>
      <c r="G157" s="566"/>
      <c r="H157" s="133">
        <f>D157*G157</f>
        <v>0</v>
      </c>
      <c r="I157" s="133">
        <f>E157+G157</f>
        <v>0</v>
      </c>
      <c r="J157" s="133">
        <f>F157+H157</f>
        <v>0</v>
      </c>
      <c r="K157" s="133">
        <v>12</v>
      </c>
      <c r="L157" s="133">
        <f>D157*K157</f>
        <v>24</v>
      </c>
    </row>
    <row r="158" spans="1:12">
      <c r="A158" s="131" t="s">
        <v>1683</v>
      </c>
      <c r="B158" s="132" t="s">
        <v>2981</v>
      </c>
      <c r="C158" s="131" t="s">
        <v>1683</v>
      </c>
      <c r="D158" s="133"/>
      <c r="E158" s="133"/>
      <c r="F158" s="133"/>
      <c r="G158" s="133"/>
      <c r="H158" s="133"/>
      <c r="I158" s="133"/>
      <c r="J158" s="133"/>
      <c r="K158" s="133"/>
      <c r="L158" s="133"/>
    </row>
    <row r="159" spans="1:12">
      <c r="A159" s="131" t="s">
        <v>1683</v>
      </c>
      <c r="B159" s="132" t="s">
        <v>2982</v>
      </c>
      <c r="C159" s="131" t="s">
        <v>1683</v>
      </c>
      <c r="D159" s="133"/>
      <c r="E159" s="133"/>
      <c r="F159" s="133"/>
      <c r="G159" s="133"/>
      <c r="H159" s="133"/>
      <c r="I159" s="133"/>
      <c r="J159" s="133"/>
      <c r="K159" s="133"/>
      <c r="L159" s="133"/>
    </row>
    <row r="160" spans="1:12">
      <c r="A160" s="131" t="s">
        <v>2983</v>
      </c>
      <c r="B160" s="132" t="s">
        <v>2984</v>
      </c>
      <c r="C160" s="131" t="s">
        <v>2833</v>
      </c>
      <c r="D160" s="133">
        <v>1</v>
      </c>
      <c r="E160" s="566"/>
      <c r="F160" s="133">
        <f>D160*E160</f>
        <v>0</v>
      </c>
      <c r="G160" s="566"/>
      <c r="H160" s="133">
        <f>D160*G160</f>
        <v>0</v>
      </c>
      <c r="I160" s="133">
        <f>E160+G160</f>
        <v>0</v>
      </c>
      <c r="J160" s="133">
        <f>F160+H160</f>
        <v>0</v>
      </c>
      <c r="K160" s="133">
        <v>5.23</v>
      </c>
      <c r="L160" s="133">
        <f>D160*K160</f>
        <v>5.23</v>
      </c>
    </row>
    <row r="161" spans="1:12">
      <c r="A161" s="131" t="s">
        <v>1683</v>
      </c>
      <c r="B161" s="132" t="s">
        <v>2982</v>
      </c>
      <c r="C161" s="131" t="s">
        <v>1683</v>
      </c>
      <c r="D161" s="133"/>
      <c r="E161" s="133"/>
      <c r="F161" s="133"/>
      <c r="G161" s="133"/>
      <c r="H161" s="133"/>
      <c r="I161" s="133"/>
      <c r="J161" s="133"/>
      <c r="K161" s="133"/>
      <c r="L161" s="133"/>
    </row>
    <row r="162" spans="1:12">
      <c r="A162" s="131" t="s">
        <v>2985</v>
      </c>
      <c r="B162" s="132" t="s">
        <v>2887</v>
      </c>
      <c r="C162" s="131" t="s">
        <v>2833</v>
      </c>
      <c r="D162" s="133">
        <v>1</v>
      </c>
      <c r="E162" s="566"/>
      <c r="F162" s="133">
        <f>D162*E162</f>
        <v>0</v>
      </c>
      <c r="G162" s="566"/>
      <c r="H162" s="133">
        <f>D162*G162</f>
        <v>0</v>
      </c>
      <c r="I162" s="133">
        <f>E162+G162</f>
        <v>0</v>
      </c>
      <c r="J162" s="133">
        <f>F162+H162</f>
        <v>0</v>
      </c>
      <c r="K162" s="133">
        <v>3.33</v>
      </c>
      <c r="L162" s="133">
        <f>D162*K162</f>
        <v>3.33</v>
      </c>
    </row>
    <row r="163" spans="1:12" ht="30">
      <c r="A163" s="131" t="s">
        <v>1683</v>
      </c>
      <c r="B163" s="132" t="s">
        <v>2986</v>
      </c>
      <c r="C163" s="131" t="s">
        <v>1683</v>
      </c>
      <c r="D163" s="133"/>
      <c r="E163" s="133"/>
      <c r="F163" s="133"/>
      <c r="G163" s="133"/>
      <c r="H163" s="133"/>
      <c r="I163" s="133"/>
      <c r="J163" s="133"/>
      <c r="K163" s="133"/>
      <c r="L163" s="133"/>
    </row>
    <row r="164" spans="1:12">
      <c r="A164" s="131" t="s">
        <v>2987</v>
      </c>
      <c r="B164" s="132" t="s">
        <v>2988</v>
      </c>
      <c r="C164" s="131" t="s">
        <v>2833</v>
      </c>
      <c r="D164" s="133">
        <v>1</v>
      </c>
      <c r="E164" s="566"/>
      <c r="F164" s="133">
        <f>D164*E164</f>
        <v>0</v>
      </c>
      <c r="G164" s="566"/>
      <c r="H164" s="133">
        <f>D164*G164</f>
        <v>0</v>
      </c>
      <c r="I164" s="133">
        <f t="shared" ref="I164:J165" si="23">E164+G164</f>
        <v>0</v>
      </c>
      <c r="J164" s="133">
        <f t="shared" si="23"/>
        <v>0</v>
      </c>
      <c r="K164" s="133">
        <v>0.3</v>
      </c>
      <c r="L164" s="133">
        <f>D164*K164</f>
        <v>0.3</v>
      </c>
    </row>
    <row r="165" spans="1:12">
      <c r="A165" s="131" t="s">
        <v>2989</v>
      </c>
      <c r="B165" s="132" t="s">
        <v>2990</v>
      </c>
      <c r="C165" s="131" t="s">
        <v>2833</v>
      </c>
      <c r="D165" s="133">
        <v>10</v>
      </c>
      <c r="E165" s="566"/>
      <c r="F165" s="133">
        <f>D165*E165</f>
        <v>0</v>
      </c>
      <c r="G165" s="566"/>
      <c r="H165" s="133">
        <f>D165*G165</f>
        <v>0</v>
      </c>
      <c r="I165" s="133">
        <f t="shared" si="23"/>
        <v>0</v>
      </c>
      <c r="J165" s="133">
        <f t="shared" si="23"/>
        <v>0</v>
      </c>
      <c r="K165" s="133">
        <v>0.3</v>
      </c>
      <c r="L165" s="133">
        <f>D165*K165</f>
        <v>3</v>
      </c>
    </row>
    <row r="166" spans="1:12">
      <c r="A166" s="131" t="s">
        <v>2991</v>
      </c>
      <c r="B166" s="132" t="s">
        <v>2892</v>
      </c>
      <c r="C166" s="131" t="s">
        <v>1683</v>
      </c>
      <c r="D166" s="133"/>
      <c r="E166" s="133"/>
      <c r="F166" s="133"/>
      <c r="G166" s="133"/>
      <c r="H166" s="133"/>
      <c r="I166" s="133"/>
      <c r="J166" s="133"/>
      <c r="K166" s="133"/>
      <c r="L166" s="133"/>
    </row>
    <row r="167" spans="1:12" ht="30">
      <c r="A167" s="131" t="s">
        <v>1683</v>
      </c>
      <c r="B167" s="132" t="s">
        <v>2893</v>
      </c>
      <c r="C167" s="131" t="s">
        <v>1683</v>
      </c>
      <c r="D167" s="133"/>
      <c r="E167" s="133"/>
      <c r="F167" s="133"/>
      <c r="G167" s="133"/>
      <c r="H167" s="133"/>
      <c r="I167" s="133"/>
      <c r="J167" s="133"/>
      <c r="K167" s="133"/>
      <c r="L167" s="133"/>
    </row>
    <row r="168" spans="1:12">
      <c r="A168" s="131" t="s">
        <v>1683</v>
      </c>
      <c r="B168" s="132" t="s">
        <v>2894</v>
      </c>
      <c r="C168" s="131" t="s">
        <v>1683</v>
      </c>
      <c r="D168" s="133"/>
      <c r="E168" s="133"/>
      <c r="F168" s="133"/>
      <c r="G168" s="133"/>
      <c r="H168" s="133"/>
      <c r="I168" s="133"/>
      <c r="J168" s="133"/>
      <c r="K168" s="133"/>
      <c r="L168" s="133"/>
    </row>
    <row r="169" spans="1:12">
      <c r="A169" s="131" t="s">
        <v>2992</v>
      </c>
      <c r="B169" s="132" t="s">
        <v>2896</v>
      </c>
      <c r="C169" s="131" t="s">
        <v>2398</v>
      </c>
      <c r="D169" s="133">
        <v>2.7</v>
      </c>
      <c r="E169" s="566"/>
      <c r="F169" s="133">
        <f>D169*E169</f>
        <v>0</v>
      </c>
      <c r="G169" s="133">
        <v>0</v>
      </c>
      <c r="H169" s="133">
        <f>D169*G169</f>
        <v>0</v>
      </c>
      <c r="I169" s="133">
        <f t="shared" ref="I169:J171" si="24">E169+G169</f>
        <v>0</v>
      </c>
      <c r="J169" s="133">
        <f t="shared" si="24"/>
        <v>0</v>
      </c>
      <c r="K169" s="133">
        <v>0</v>
      </c>
      <c r="L169" s="133">
        <f>D169*K169</f>
        <v>0</v>
      </c>
    </row>
    <row r="170" spans="1:12">
      <c r="A170" s="131" t="s">
        <v>2993</v>
      </c>
      <c r="B170" s="132" t="s">
        <v>2896</v>
      </c>
      <c r="C170" s="131" t="s">
        <v>2398</v>
      </c>
      <c r="D170" s="133">
        <v>3.91</v>
      </c>
      <c r="E170" s="566"/>
      <c r="F170" s="133">
        <f>D170*E170</f>
        <v>0</v>
      </c>
      <c r="G170" s="133">
        <v>0</v>
      </c>
      <c r="H170" s="133">
        <f>D170*G170</f>
        <v>0</v>
      </c>
      <c r="I170" s="133">
        <f t="shared" si="24"/>
        <v>0</v>
      </c>
      <c r="J170" s="133">
        <f t="shared" si="24"/>
        <v>0</v>
      </c>
      <c r="K170" s="133">
        <v>0</v>
      </c>
      <c r="L170" s="133">
        <f>D170*K170</f>
        <v>0</v>
      </c>
    </row>
    <row r="171" spans="1:12">
      <c r="A171" s="131" t="s">
        <v>2994</v>
      </c>
      <c r="B171" s="132" t="s">
        <v>2898</v>
      </c>
      <c r="C171" s="131" t="s">
        <v>2398</v>
      </c>
      <c r="D171" s="133">
        <v>44.35</v>
      </c>
      <c r="E171" s="566"/>
      <c r="F171" s="133">
        <f>D171*E171</f>
        <v>0</v>
      </c>
      <c r="G171" s="133">
        <v>0</v>
      </c>
      <c r="H171" s="133">
        <f>D171*G171</f>
        <v>0</v>
      </c>
      <c r="I171" s="133">
        <f t="shared" si="24"/>
        <v>0</v>
      </c>
      <c r="J171" s="133">
        <f t="shared" si="24"/>
        <v>0</v>
      </c>
      <c r="K171" s="133">
        <v>0</v>
      </c>
      <c r="L171" s="133">
        <f>D171*K171</f>
        <v>0</v>
      </c>
    </row>
    <row r="172" spans="1:12" ht="75">
      <c r="A172" s="131" t="s">
        <v>1683</v>
      </c>
      <c r="B172" s="132" t="s">
        <v>2995</v>
      </c>
      <c r="C172" s="131" t="s">
        <v>1683</v>
      </c>
      <c r="D172" s="133"/>
      <c r="E172" s="133"/>
      <c r="F172" s="133"/>
      <c r="G172" s="133"/>
      <c r="H172" s="133"/>
      <c r="I172" s="133"/>
      <c r="J172" s="133"/>
      <c r="K172" s="133"/>
      <c r="L172" s="133"/>
    </row>
    <row r="173" spans="1:12">
      <c r="A173" s="131" t="s">
        <v>2996</v>
      </c>
      <c r="B173" s="132" t="s">
        <v>2997</v>
      </c>
      <c r="C173" s="131" t="s">
        <v>2398</v>
      </c>
      <c r="D173" s="133">
        <v>21.02</v>
      </c>
      <c r="E173" s="566"/>
      <c r="F173" s="133">
        <f>D173*E173</f>
        <v>0</v>
      </c>
      <c r="G173" s="133">
        <v>0</v>
      </c>
      <c r="H173" s="133">
        <f>D173*G173</f>
        <v>0</v>
      </c>
      <c r="I173" s="133">
        <f>E173+G173</f>
        <v>0</v>
      </c>
      <c r="J173" s="133">
        <f>F173+H173</f>
        <v>0</v>
      </c>
      <c r="K173" s="133">
        <v>0</v>
      </c>
      <c r="L173" s="133">
        <f>D173*K173</f>
        <v>0</v>
      </c>
    </row>
    <row r="174" spans="1:12" ht="75">
      <c r="A174" s="131" t="s">
        <v>1683</v>
      </c>
      <c r="B174" s="132" t="s">
        <v>2903</v>
      </c>
      <c r="C174" s="131" t="s">
        <v>1683</v>
      </c>
      <c r="D174" s="133"/>
      <c r="E174" s="133"/>
      <c r="F174" s="133"/>
      <c r="G174" s="133"/>
      <c r="H174" s="133"/>
      <c r="I174" s="133"/>
      <c r="J174" s="133"/>
      <c r="K174" s="133"/>
      <c r="L174" s="133"/>
    </row>
    <row r="175" spans="1:12">
      <c r="A175" s="131" t="s">
        <v>2996</v>
      </c>
      <c r="B175" s="132" t="s">
        <v>2905</v>
      </c>
      <c r="C175" s="131" t="s">
        <v>2398</v>
      </c>
      <c r="D175" s="133">
        <v>18.29</v>
      </c>
      <c r="E175" s="566"/>
      <c r="F175" s="133">
        <f>D175*E175</f>
        <v>0</v>
      </c>
      <c r="G175" s="133">
        <v>0</v>
      </c>
      <c r="H175" s="133">
        <f>D175*G175</f>
        <v>0</v>
      </c>
      <c r="I175" s="133">
        <f>E175+G175</f>
        <v>0</v>
      </c>
      <c r="J175" s="133">
        <f>F175+H175</f>
        <v>0</v>
      </c>
      <c r="K175" s="133">
        <v>0</v>
      </c>
      <c r="L175" s="133">
        <f>D175*K175</f>
        <v>0</v>
      </c>
    </row>
    <row r="176" spans="1:12" ht="60">
      <c r="A176" s="131" t="s">
        <v>1683</v>
      </c>
      <c r="B176" s="132" t="s">
        <v>2948</v>
      </c>
      <c r="C176" s="131" t="s">
        <v>1683</v>
      </c>
      <c r="D176" s="133"/>
      <c r="E176" s="133"/>
      <c r="F176" s="133"/>
      <c r="G176" s="133"/>
      <c r="H176" s="133"/>
      <c r="I176" s="133"/>
      <c r="J176" s="133"/>
      <c r="K176" s="133"/>
      <c r="L176" s="133"/>
    </row>
    <row r="177" spans="1:12">
      <c r="A177" s="131" t="s">
        <v>2998</v>
      </c>
      <c r="B177" s="132" t="s">
        <v>2950</v>
      </c>
      <c r="C177" s="131" t="s">
        <v>2398</v>
      </c>
      <c r="D177" s="133">
        <v>8.75</v>
      </c>
      <c r="E177" s="566"/>
      <c r="F177" s="133">
        <f>D177*E177</f>
        <v>0</v>
      </c>
      <c r="G177" s="133">
        <v>0</v>
      </c>
      <c r="H177" s="133">
        <f>D177*G177</f>
        <v>0</v>
      </c>
      <c r="I177" s="133">
        <f>E177+G177</f>
        <v>0</v>
      </c>
      <c r="J177" s="133">
        <f>F177+H177</f>
        <v>0</v>
      </c>
      <c r="K177" s="133">
        <v>0</v>
      </c>
      <c r="L177" s="133">
        <f>D177*K177</f>
        <v>0</v>
      </c>
    </row>
    <row r="178" spans="1:12">
      <c r="A178" s="131" t="s">
        <v>2999</v>
      </c>
      <c r="B178" s="132" t="s">
        <v>2950</v>
      </c>
      <c r="C178" s="131" t="s">
        <v>2398</v>
      </c>
      <c r="D178" s="133">
        <v>7.93</v>
      </c>
      <c r="E178" s="566"/>
      <c r="F178" s="133">
        <f>D178*E178</f>
        <v>0</v>
      </c>
      <c r="G178" s="133">
        <v>0</v>
      </c>
      <c r="H178" s="133">
        <f>D178*G178</f>
        <v>0</v>
      </c>
      <c r="I178" s="133">
        <f>E178+G178</f>
        <v>0</v>
      </c>
      <c r="J178" s="133">
        <f>F178+H178</f>
        <v>0</v>
      </c>
      <c r="K178" s="133">
        <v>0</v>
      </c>
      <c r="L178" s="133">
        <f>D178*K178</f>
        <v>0</v>
      </c>
    </row>
    <row r="179" spans="1:12" ht="30">
      <c r="A179" s="131" t="s">
        <v>1683</v>
      </c>
      <c r="B179" s="132" t="s">
        <v>2906</v>
      </c>
      <c r="C179" s="131" t="s">
        <v>1683</v>
      </c>
      <c r="D179" s="133"/>
      <c r="E179" s="133"/>
      <c r="F179" s="133"/>
      <c r="G179" s="133"/>
      <c r="H179" s="133"/>
      <c r="I179" s="133"/>
      <c r="J179" s="133"/>
      <c r="K179" s="133"/>
      <c r="L179" s="133"/>
    </row>
    <row r="180" spans="1:12">
      <c r="A180" s="131" t="s">
        <v>1683</v>
      </c>
      <c r="B180" s="132" t="s">
        <v>3000</v>
      </c>
      <c r="C180" s="131" t="s">
        <v>2849</v>
      </c>
      <c r="D180" s="133">
        <v>4.3</v>
      </c>
      <c r="E180" s="566"/>
      <c r="F180" s="133">
        <f>D180*E180</f>
        <v>0</v>
      </c>
      <c r="G180" s="566"/>
      <c r="H180" s="133">
        <f>D180*G180</f>
        <v>0</v>
      </c>
      <c r="I180" s="133">
        <f t="shared" ref="I180:J183" si="25">E180+G180</f>
        <v>0</v>
      </c>
      <c r="J180" s="133">
        <f t="shared" si="25"/>
        <v>0</v>
      </c>
      <c r="K180" s="133">
        <v>10</v>
      </c>
      <c r="L180" s="133">
        <f>D180*K180</f>
        <v>43</v>
      </c>
    </row>
    <row r="181" spans="1:12">
      <c r="A181" s="131" t="s">
        <v>1683</v>
      </c>
      <c r="B181" s="132" t="s">
        <v>3001</v>
      </c>
      <c r="C181" s="131" t="s">
        <v>2849</v>
      </c>
      <c r="D181" s="133">
        <v>35.700000000000003</v>
      </c>
      <c r="E181" s="566"/>
      <c r="F181" s="133">
        <f>D181*E181</f>
        <v>0</v>
      </c>
      <c r="G181" s="566"/>
      <c r="H181" s="133">
        <f>D181*G181</f>
        <v>0</v>
      </c>
      <c r="I181" s="133">
        <f t="shared" si="25"/>
        <v>0</v>
      </c>
      <c r="J181" s="133">
        <f t="shared" si="25"/>
        <v>0</v>
      </c>
      <c r="K181" s="133">
        <v>15</v>
      </c>
      <c r="L181" s="133">
        <f>D181*K181</f>
        <v>535.5</v>
      </c>
    </row>
    <row r="182" spans="1:12">
      <c r="A182" s="131" t="s">
        <v>1683</v>
      </c>
      <c r="B182" s="132" t="s">
        <v>3002</v>
      </c>
      <c r="C182" s="131" t="s">
        <v>2849</v>
      </c>
      <c r="D182" s="133">
        <v>7.8</v>
      </c>
      <c r="E182" s="566"/>
      <c r="F182" s="133">
        <f>D182*E182</f>
        <v>0</v>
      </c>
      <c r="G182" s="566"/>
      <c r="H182" s="133">
        <f>D182*G182</f>
        <v>0</v>
      </c>
      <c r="I182" s="133">
        <f t="shared" si="25"/>
        <v>0</v>
      </c>
      <c r="J182" s="133">
        <f t="shared" si="25"/>
        <v>0</v>
      </c>
      <c r="K182" s="133">
        <v>19</v>
      </c>
      <c r="L182" s="133">
        <f>D182*K182</f>
        <v>148.19999999999999</v>
      </c>
    </row>
    <row r="183" spans="1:12">
      <c r="A183" s="131" t="s">
        <v>1683</v>
      </c>
      <c r="B183" s="132" t="s">
        <v>2953</v>
      </c>
      <c r="C183" s="131" t="s">
        <v>2849</v>
      </c>
      <c r="D183" s="133">
        <v>12.7</v>
      </c>
      <c r="E183" s="566"/>
      <c r="F183" s="133">
        <f>D183*E183</f>
        <v>0</v>
      </c>
      <c r="G183" s="566"/>
      <c r="H183" s="133">
        <f>D183*G183</f>
        <v>0</v>
      </c>
      <c r="I183" s="133">
        <f t="shared" si="25"/>
        <v>0</v>
      </c>
      <c r="J183" s="133">
        <f t="shared" si="25"/>
        <v>0</v>
      </c>
      <c r="K183" s="133">
        <v>29</v>
      </c>
      <c r="L183" s="133">
        <f>D183*K183</f>
        <v>368.29999999999995</v>
      </c>
    </row>
    <row r="184" spans="1:12" ht="30">
      <c r="A184" s="131" t="s">
        <v>1683</v>
      </c>
      <c r="B184" s="132" t="s">
        <v>2914</v>
      </c>
      <c r="C184" s="131" t="s">
        <v>1683</v>
      </c>
      <c r="D184" s="133"/>
      <c r="E184" s="133"/>
      <c r="F184" s="133"/>
      <c r="G184" s="133"/>
      <c r="H184" s="133"/>
      <c r="I184" s="133"/>
      <c r="J184" s="133"/>
      <c r="K184" s="133"/>
      <c r="L184" s="133"/>
    </row>
    <row r="185" spans="1:12">
      <c r="A185" s="131" t="s">
        <v>1683</v>
      </c>
      <c r="B185" s="132" t="s">
        <v>3003</v>
      </c>
      <c r="C185" s="131" t="s">
        <v>2849</v>
      </c>
      <c r="D185" s="133">
        <v>8.4</v>
      </c>
      <c r="E185" s="566"/>
      <c r="F185" s="133">
        <f>D185*E185</f>
        <v>0</v>
      </c>
      <c r="G185" s="566"/>
      <c r="H185" s="133">
        <f>D185*G185</f>
        <v>0</v>
      </c>
      <c r="I185" s="133">
        <f t="shared" ref="I185:J188" si="26">E185+G185</f>
        <v>0</v>
      </c>
      <c r="J185" s="133">
        <f t="shared" si="26"/>
        <v>0</v>
      </c>
      <c r="K185" s="133">
        <v>2</v>
      </c>
      <c r="L185" s="133">
        <f>D185*K185</f>
        <v>16.8</v>
      </c>
    </row>
    <row r="186" spans="1:12">
      <c r="A186" s="131" t="s">
        <v>1683</v>
      </c>
      <c r="B186" s="132" t="s">
        <v>3004</v>
      </c>
      <c r="C186" s="131" t="s">
        <v>2849</v>
      </c>
      <c r="D186" s="133">
        <v>5.4</v>
      </c>
      <c r="E186" s="566"/>
      <c r="F186" s="133">
        <f>D186*E186</f>
        <v>0</v>
      </c>
      <c r="G186" s="566"/>
      <c r="H186" s="133">
        <f>D186*G186</f>
        <v>0</v>
      </c>
      <c r="I186" s="133">
        <f t="shared" si="26"/>
        <v>0</v>
      </c>
      <c r="J186" s="133">
        <f t="shared" si="26"/>
        <v>0</v>
      </c>
      <c r="K186" s="133">
        <v>3</v>
      </c>
      <c r="L186" s="133">
        <f>D186*K186</f>
        <v>16.200000000000003</v>
      </c>
    </row>
    <row r="187" spans="1:12">
      <c r="A187" s="131" t="s">
        <v>1683</v>
      </c>
      <c r="B187" s="132" t="s">
        <v>3005</v>
      </c>
      <c r="C187" s="131" t="s">
        <v>2849</v>
      </c>
      <c r="D187" s="133">
        <v>15.8</v>
      </c>
      <c r="E187" s="566"/>
      <c r="F187" s="133">
        <f>D187*E187</f>
        <v>0</v>
      </c>
      <c r="G187" s="566"/>
      <c r="H187" s="133">
        <f>D187*G187</f>
        <v>0</v>
      </c>
      <c r="I187" s="133">
        <f t="shared" si="26"/>
        <v>0</v>
      </c>
      <c r="J187" s="133">
        <f t="shared" si="26"/>
        <v>0</v>
      </c>
      <c r="K187" s="133">
        <v>5</v>
      </c>
      <c r="L187" s="133">
        <f>D187*K187</f>
        <v>79</v>
      </c>
    </row>
    <row r="188" spans="1:12">
      <c r="A188" s="131" t="s">
        <v>1683</v>
      </c>
      <c r="B188" s="132" t="s">
        <v>3006</v>
      </c>
      <c r="C188" s="131" t="s">
        <v>2849</v>
      </c>
      <c r="D188" s="133">
        <v>0.8</v>
      </c>
      <c r="E188" s="566"/>
      <c r="F188" s="133">
        <f>D188*E188</f>
        <v>0</v>
      </c>
      <c r="G188" s="566"/>
      <c r="H188" s="133">
        <f>D188*G188</f>
        <v>0</v>
      </c>
      <c r="I188" s="133">
        <f t="shared" si="26"/>
        <v>0</v>
      </c>
      <c r="J188" s="133">
        <f t="shared" si="26"/>
        <v>0</v>
      </c>
      <c r="K188" s="133">
        <v>7</v>
      </c>
      <c r="L188" s="133">
        <f>D188*K188</f>
        <v>5.6000000000000005</v>
      </c>
    </row>
    <row r="189" spans="1:12" ht="45">
      <c r="A189" s="131" t="s">
        <v>1683</v>
      </c>
      <c r="B189" s="132" t="s">
        <v>2917</v>
      </c>
      <c r="C189" s="131" t="s">
        <v>1683</v>
      </c>
      <c r="D189" s="133"/>
      <c r="E189" s="133"/>
      <c r="F189" s="133"/>
      <c r="G189" s="133"/>
      <c r="H189" s="133"/>
      <c r="I189" s="133"/>
      <c r="J189" s="133"/>
      <c r="K189" s="133"/>
      <c r="L189" s="133"/>
    </row>
    <row r="190" spans="1:12">
      <c r="A190" s="131" t="s">
        <v>1683</v>
      </c>
      <c r="B190" s="132" t="s">
        <v>2918</v>
      </c>
      <c r="C190" s="131" t="s">
        <v>1876</v>
      </c>
      <c r="D190" s="133">
        <v>1</v>
      </c>
      <c r="E190" s="566"/>
      <c r="F190" s="133">
        <f>D190*E190</f>
        <v>0</v>
      </c>
      <c r="G190" s="133">
        <v>0</v>
      </c>
      <c r="H190" s="133">
        <f>D190*G190</f>
        <v>0</v>
      </c>
      <c r="I190" s="133">
        <f>E190+G190</f>
        <v>0</v>
      </c>
      <c r="J190" s="133">
        <f>F190+H190</f>
        <v>0</v>
      </c>
      <c r="K190" s="133">
        <v>0</v>
      </c>
      <c r="L190" s="133">
        <f>D190*K190</f>
        <v>0</v>
      </c>
    </row>
    <row r="191" spans="1:12">
      <c r="A191" s="131" t="s">
        <v>1683</v>
      </c>
      <c r="B191" s="132" t="s">
        <v>3007</v>
      </c>
      <c r="C191" s="131" t="s">
        <v>1683</v>
      </c>
      <c r="D191" s="133"/>
      <c r="E191" s="133"/>
      <c r="F191" s="133">
        <f>SUM(F124:F190)</f>
        <v>0</v>
      </c>
      <c r="G191" s="133"/>
      <c r="H191" s="133">
        <f>SUM(H124:H190)</f>
        <v>0</v>
      </c>
      <c r="I191" s="133"/>
      <c r="J191" s="133">
        <f>SUM(J124:J190)</f>
        <v>0</v>
      </c>
      <c r="K191" s="133"/>
      <c r="L191" s="133">
        <f>SUM(L124:L190)</f>
        <v>2169.86</v>
      </c>
    </row>
    <row r="192" spans="1:12">
      <c r="A192" s="131" t="s">
        <v>1683</v>
      </c>
      <c r="B192" s="132" t="s">
        <v>1683</v>
      </c>
      <c r="C192" s="131" t="s">
        <v>1683</v>
      </c>
      <c r="D192" s="133"/>
      <c r="E192" s="133"/>
      <c r="F192" s="133"/>
      <c r="G192" s="133"/>
      <c r="H192" s="133"/>
      <c r="I192" s="133"/>
      <c r="J192" s="133"/>
      <c r="K192" s="133"/>
      <c r="L192" s="133"/>
    </row>
    <row r="193" spans="1:12">
      <c r="A193" s="131" t="s">
        <v>1683</v>
      </c>
      <c r="B193" s="132" t="s">
        <v>1683</v>
      </c>
      <c r="C193" s="131" t="s">
        <v>1683</v>
      </c>
      <c r="D193" s="133"/>
      <c r="E193" s="133"/>
      <c r="F193" s="133"/>
      <c r="G193" s="133"/>
      <c r="H193" s="133"/>
      <c r="I193" s="133"/>
      <c r="J193" s="133"/>
      <c r="K193" s="133"/>
      <c r="L193" s="133"/>
    </row>
    <row r="194" spans="1:12">
      <c r="A194" s="131" t="s">
        <v>1683</v>
      </c>
      <c r="B194" s="132" t="s">
        <v>2814</v>
      </c>
      <c r="C194" s="131" t="s">
        <v>1683</v>
      </c>
      <c r="D194" s="133"/>
      <c r="E194" s="133"/>
      <c r="F194" s="133"/>
      <c r="G194" s="133"/>
      <c r="H194" s="133"/>
      <c r="I194" s="133"/>
      <c r="J194" s="133"/>
      <c r="K194" s="133"/>
      <c r="L194" s="133"/>
    </row>
    <row r="195" spans="1:12">
      <c r="A195" s="131" t="s">
        <v>1683</v>
      </c>
      <c r="B195" s="132" t="s">
        <v>3008</v>
      </c>
      <c r="C195" s="131" t="s">
        <v>1683</v>
      </c>
      <c r="D195" s="133"/>
      <c r="E195" s="133"/>
      <c r="F195" s="133"/>
      <c r="G195" s="133"/>
      <c r="H195" s="133"/>
      <c r="I195" s="133"/>
      <c r="J195" s="133"/>
      <c r="K195" s="133"/>
      <c r="L195" s="133"/>
    </row>
    <row r="196" spans="1:12" ht="75">
      <c r="A196" s="131" t="s">
        <v>3009</v>
      </c>
      <c r="B196" s="132" t="s">
        <v>3010</v>
      </c>
      <c r="C196" s="131" t="s">
        <v>2833</v>
      </c>
      <c r="D196" s="133">
        <v>1</v>
      </c>
      <c r="E196" s="566"/>
      <c r="F196" s="133">
        <f t="shared" ref="F196:F202" si="27">D196*E196</f>
        <v>0</v>
      </c>
      <c r="G196" s="566"/>
      <c r="H196" s="133">
        <f t="shared" ref="H196:H202" si="28">D196*G196</f>
        <v>0</v>
      </c>
      <c r="I196" s="133">
        <f t="shared" ref="I196:J202" si="29">E196+G196</f>
        <v>0</v>
      </c>
      <c r="J196" s="133">
        <f t="shared" si="29"/>
        <v>0</v>
      </c>
      <c r="K196" s="133">
        <v>100</v>
      </c>
      <c r="L196" s="133">
        <f t="shared" ref="L196:L202" si="30">D196*K196</f>
        <v>100</v>
      </c>
    </row>
    <row r="197" spans="1:12">
      <c r="A197" s="131" t="s">
        <v>1683</v>
      </c>
      <c r="B197" s="132" t="s">
        <v>2922</v>
      </c>
      <c r="C197" s="131" t="s">
        <v>2833</v>
      </c>
      <c r="D197" s="133">
        <v>1</v>
      </c>
      <c r="E197" s="133">
        <v>0</v>
      </c>
      <c r="F197" s="133">
        <f t="shared" si="27"/>
        <v>0</v>
      </c>
      <c r="G197" s="133">
        <v>0</v>
      </c>
      <c r="H197" s="133">
        <f t="shared" si="28"/>
        <v>0</v>
      </c>
      <c r="I197" s="133">
        <f t="shared" si="29"/>
        <v>0</v>
      </c>
      <c r="J197" s="133">
        <f t="shared" si="29"/>
        <v>0</v>
      </c>
      <c r="K197" s="133">
        <v>0</v>
      </c>
      <c r="L197" s="133">
        <f t="shared" si="30"/>
        <v>0</v>
      </c>
    </row>
    <row r="198" spans="1:12">
      <c r="A198" s="131" t="s">
        <v>1683</v>
      </c>
      <c r="B198" s="132" t="s">
        <v>3011</v>
      </c>
      <c r="C198" s="131" t="s">
        <v>2845</v>
      </c>
      <c r="D198" s="133">
        <v>1</v>
      </c>
      <c r="E198" s="566"/>
      <c r="F198" s="133">
        <f t="shared" si="27"/>
        <v>0</v>
      </c>
      <c r="G198" s="133">
        <v>0</v>
      </c>
      <c r="H198" s="133">
        <f t="shared" si="28"/>
        <v>0</v>
      </c>
      <c r="I198" s="133">
        <f t="shared" si="29"/>
        <v>0</v>
      </c>
      <c r="J198" s="133">
        <f t="shared" si="29"/>
        <v>0</v>
      </c>
      <c r="K198" s="133">
        <v>0</v>
      </c>
      <c r="L198" s="133">
        <f t="shared" si="30"/>
        <v>0</v>
      </c>
    </row>
    <row r="199" spans="1:12">
      <c r="A199" s="131" t="s">
        <v>1683</v>
      </c>
      <c r="B199" s="132" t="s">
        <v>3012</v>
      </c>
      <c r="C199" s="131" t="s">
        <v>2833</v>
      </c>
      <c r="D199" s="133">
        <v>1</v>
      </c>
      <c r="E199" s="566"/>
      <c r="F199" s="133">
        <f t="shared" si="27"/>
        <v>0</v>
      </c>
      <c r="G199" s="133">
        <v>0</v>
      </c>
      <c r="H199" s="133">
        <f t="shared" si="28"/>
        <v>0</v>
      </c>
      <c r="I199" s="133">
        <f t="shared" si="29"/>
        <v>0</v>
      </c>
      <c r="J199" s="133">
        <f t="shared" si="29"/>
        <v>0</v>
      </c>
      <c r="K199" s="133">
        <v>0</v>
      </c>
      <c r="L199" s="133">
        <f t="shared" si="30"/>
        <v>0</v>
      </c>
    </row>
    <row r="200" spans="1:12">
      <c r="A200" s="131" t="s">
        <v>1683</v>
      </c>
      <c r="B200" s="132" t="s">
        <v>3013</v>
      </c>
      <c r="C200" s="131" t="s">
        <v>2833</v>
      </c>
      <c r="D200" s="133">
        <v>1</v>
      </c>
      <c r="E200" s="566"/>
      <c r="F200" s="133">
        <f t="shared" si="27"/>
        <v>0</v>
      </c>
      <c r="G200" s="133">
        <v>0</v>
      </c>
      <c r="H200" s="133">
        <f t="shared" si="28"/>
        <v>0</v>
      </c>
      <c r="I200" s="133">
        <f t="shared" si="29"/>
        <v>0</v>
      </c>
      <c r="J200" s="133">
        <f t="shared" si="29"/>
        <v>0</v>
      </c>
      <c r="K200" s="133">
        <v>0</v>
      </c>
      <c r="L200" s="133">
        <f t="shared" si="30"/>
        <v>0</v>
      </c>
    </row>
    <row r="201" spans="1:12">
      <c r="A201" s="131" t="s">
        <v>1683</v>
      </c>
      <c r="B201" s="132" t="s">
        <v>2837</v>
      </c>
      <c r="C201" s="131" t="s">
        <v>2833</v>
      </c>
      <c r="D201" s="133">
        <v>1</v>
      </c>
      <c r="E201" s="566"/>
      <c r="F201" s="133">
        <f t="shared" si="27"/>
        <v>0</v>
      </c>
      <c r="G201" s="133">
        <v>0</v>
      </c>
      <c r="H201" s="133">
        <f t="shared" si="28"/>
        <v>0</v>
      </c>
      <c r="I201" s="133">
        <f t="shared" si="29"/>
        <v>0</v>
      </c>
      <c r="J201" s="133">
        <f t="shared" si="29"/>
        <v>0</v>
      </c>
      <c r="K201" s="133">
        <v>0</v>
      </c>
      <c r="L201" s="133">
        <f t="shared" si="30"/>
        <v>0</v>
      </c>
    </row>
    <row r="202" spans="1:12">
      <c r="A202" s="131" t="s">
        <v>1683</v>
      </c>
      <c r="B202" s="132" t="s">
        <v>2838</v>
      </c>
      <c r="C202" s="131" t="s">
        <v>2833</v>
      </c>
      <c r="D202" s="133">
        <v>1</v>
      </c>
      <c r="E202" s="566"/>
      <c r="F202" s="133">
        <f t="shared" si="27"/>
        <v>0</v>
      </c>
      <c r="G202" s="133">
        <v>0</v>
      </c>
      <c r="H202" s="133">
        <f t="shared" si="28"/>
        <v>0</v>
      </c>
      <c r="I202" s="133">
        <f t="shared" si="29"/>
        <v>0</v>
      </c>
      <c r="J202" s="133">
        <f t="shared" si="29"/>
        <v>0</v>
      </c>
      <c r="K202" s="133">
        <v>0</v>
      </c>
      <c r="L202" s="133">
        <f t="shared" si="30"/>
        <v>0</v>
      </c>
    </row>
    <row r="203" spans="1:12">
      <c r="A203" s="131" t="s">
        <v>3014</v>
      </c>
      <c r="B203" s="132" t="s">
        <v>2892</v>
      </c>
      <c r="C203" s="131" t="s">
        <v>1683</v>
      </c>
      <c r="D203" s="133"/>
      <c r="E203" s="133"/>
      <c r="F203" s="133"/>
      <c r="G203" s="133"/>
      <c r="H203" s="133"/>
      <c r="I203" s="133"/>
      <c r="J203" s="133"/>
      <c r="K203" s="133"/>
      <c r="L203" s="133"/>
    </row>
    <row r="204" spans="1:12" ht="45">
      <c r="A204" s="131" t="s">
        <v>1683</v>
      </c>
      <c r="B204" s="132" t="s">
        <v>3015</v>
      </c>
      <c r="C204" s="131" t="s">
        <v>1683</v>
      </c>
      <c r="D204" s="133"/>
      <c r="E204" s="133"/>
      <c r="F204" s="133"/>
      <c r="G204" s="133"/>
      <c r="H204" s="133"/>
      <c r="I204" s="133"/>
      <c r="J204" s="133"/>
      <c r="K204" s="133"/>
      <c r="L204" s="133"/>
    </row>
    <row r="205" spans="1:12">
      <c r="A205" s="131" t="s">
        <v>3016</v>
      </c>
      <c r="B205" s="132" t="s">
        <v>3017</v>
      </c>
      <c r="C205" s="131" t="s">
        <v>2833</v>
      </c>
      <c r="D205" s="133">
        <v>2</v>
      </c>
      <c r="E205" s="566"/>
      <c r="F205" s="133">
        <f>D205*E205</f>
        <v>0</v>
      </c>
      <c r="G205" s="566"/>
      <c r="H205" s="133">
        <f>D205*G205</f>
        <v>0</v>
      </c>
      <c r="I205" s="133">
        <f>E205+G205</f>
        <v>0</v>
      </c>
      <c r="J205" s="133">
        <f>F205+H205</f>
        <v>0</v>
      </c>
      <c r="K205" s="133">
        <v>7</v>
      </c>
      <c r="L205" s="133">
        <f>D205*K205</f>
        <v>14</v>
      </c>
    </row>
    <row r="206" spans="1:12" ht="45">
      <c r="A206" s="131" t="s">
        <v>1683</v>
      </c>
      <c r="B206" s="132" t="s">
        <v>2853</v>
      </c>
      <c r="C206" s="131" t="s">
        <v>1683</v>
      </c>
      <c r="D206" s="133"/>
      <c r="E206" s="133"/>
      <c r="F206" s="133"/>
      <c r="G206" s="133"/>
      <c r="H206" s="133"/>
      <c r="I206" s="133"/>
      <c r="J206" s="133"/>
      <c r="K206" s="133"/>
      <c r="L206" s="133"/>
    </row>
    <row r="207" spans="1:12">
      <c r="A207" s="131" t="s">
        <v>3018</v>
      </c>
      <c r="B207" s="132" t="s">
        <v>2858</v>
      </c>
      <c r="C207" s="131" t="s">
        <v>2833</v>
      </c>
      <c r="D207" s="133">
        <v>2</v>
      </c>
      <c r="E207" s="566"/>
      <c r="F207" s="133">
        <f>D207*E207</f>
        <v>0</v>
      </c>
      <c r="G207" s="566"/>
      <c r="H207" s="133">
        <f>D207*G207</f>
        <v>0</v>
      </c>
      <c r="I207" s="133">
        <f>E207+G207</f>
        <v>0</v>
      </c>
      <c r="J207" s="133">
        <f>F207+H207</f>
        <v>0</v>
      </c>
      <c r="K207" s="133">
        <v>21</v>
      </c>
      <c r="L207" s="133">
        <f>D207*K207</f>
        <v>42</v>
      </c>
    </row>
    <row r="208" spans="1:12" ht="30">
      <c r="A208" s="131" t="s">
        <v>1683</v>
      </c>
      <c r="B208" s="132" t="s">
        <v>3019</v>
      </c>
      <c r="C208" s="131" t="s">
        <v>1683</v>
      </c>
      <c r="D208" s="133"/>
      <c r="E208" s="133"/>
      <c r="F208" s="133"/>
      <c r="G208" s="133"/>
      <c r="H208" s="133"/>
      <c r="I208" s="133"/>
      <c r="J208" s="133"/>
      <c r="K208" s="133"/>
      <c r="L208" s="133"/>
    </row>
    <row r="209" spans="1:12">
      <c r="A209" s="131" t="s">
        <v>3020</v>
      </c>
      <c r="B209" s="132" t="s">
        <v>3021</v>
      </c>
      <c r="C209" s="131" t="s">
        <v>2833</v>
      </c>
      <c r="D209" s="133">
        <v>5</v>
      </c>
      <c r="E209" s="566"/>
      <c r="F209" s="133">
        <f>D209*E209</f>
        <v>0</v>
      </c>
      <c r="G209" s="566"/>
      <c r="H209" s="133">
        <f>D209*G209</f>
        <v>0</v>
      </c>
      <c r="I209" s="133">
        <f>E209+G209</f>
        <v>0</v>
      </c>
      <c r="J209" s="133">
        <f>F209+H209</f>
        <v>0</v>
      </c>
      <c r="K209" s="133">
        <v>10.6</v>
      </c>
      <c r="L209" s="133">
        <f>D209*K209</f>
        <v>53</v>
      </c>
    </row>
    <row r="210" spans="1:12">
      <c r="A210" s="131" t="s">
        <v>3022</v>
      </c>
      <c r="B210" s="132" t="s">
        <v>3023</v>
      </c>
      <c r="C210" s="131" t="s">
        <v>2833</v>
      </c>
      <c r="D210" s="133">
        <v>1</v>
      </c>
      <c r="E210" s="566"/>
      <c r="F210" s="133">
        <f>D210*E210</f>
        <v>0</v>
      </c>
      <c r="G210" s="566"/>
      <c r="H210" s="133">
        <f>D210*G210</f>
        <v>0</v>
      </c>
      <c r="I210" s="133">
        <f>E210+G210</f>
        <v>0</v>
      </c>
      <c r="J210" s="133">
        <f>F210+H210</f>
        <v>0</v>
      </c>
      <c r="K210" s="133">
        <v>7.3</v>
      </c>
      <c r="L210" s="133">
        <f>D210*K210</f>
        <v>7.3</v>
      </c>
    </row>
    <row r="211" spans="1:12" ht="30">
      <c r="A211" s="131" t="s">
        <v>1683</v>
      </c>
      <c r="B211" s="132" t="s">
        <v>3024</v>
      </c>
      <c r="C211" s="131" t="s">
        <v>1683</v>
      </c>
      <c r="D211" s="133"/>
      <c r="E211" s="133"/>
      <c r="F211" s="133"/>
      <c r="G211" s="133"/>
      <c r="H211" s="133"/>
      <c r="I211" s="133"/>
      <c r="J211" s="133"/>
      <c r="K211" s="133"/>
      <c r="L211" s="133"/>
    </row>
    <row r="212" spans="1:12">
      <c r="A212" s="131" t="s">
        <v>3025</v>
      </c>
      <c r="B212" s="132" t="s">
        <v>3026</v>
      </c>
      <c r="C212" s="131" t="s">
        <v>2833</v>
      </c>
      <c r="D212" s="133">
        <v>2</v>
      </c>
      <c r="E212" s="566"/>
      <c r="F212" s="133">
        <f>D212*E212</f>
        <v>0</v>
      </c>
      <c r="G212" s="566"/>
      <c r="H212" s="133">
        <f>D212*G212</f>
        <v>0</v>
      </c>
      <c r="I212" s="133">
        <f>E212+G212</f>
        <v>0</v>
      </c>
      <c r="J212" s="133">
        <f>F212+H212</f>
        <v>0</v>
      </c>
      <c r="K212" s="133">
        <v>0.3</v>
      </c>
      <c r="L212" s="133">
        <f>D212*K212</f>
        <v>0.6</v>
      </c>
    </row>
    <row r="213" spans="1:12">
      <c r="A213" s="131" t="s">
        <v>1683</v>
      </c>
      <c r="B213" s="132" t="s">
        <v>3027</v>
      </c>
      <c r="C213" s="131" t="s">
        <v>1683</v>
      </c>
      <c r="D213" s="133"/>
      <c r="E213" s="133"/>
      <c r="F213" s="133"/>
      <c r="G213" s="133"/>
      <c r="H213" s="133"/>
      <c r="I213" s="133"/>
      <c r="J213" s="133"/>
      <c r="K213" s="133"/>
      <c r="L213" s="133"/>
    </row>
    <row r="214" spans="1:12">
      <c r="A214" s="131" t="s">
        <v>3025</v>
      </c>
      <c r="B214" s="132" t="s">
        <v>3028</v>
      </c>
      <c r="C214" s="131" t="s">
        <v>2833</v>
      </c>
      <c r="D214" s="133">
        <v>4</v>
      </c>
      <c r="E214" s="566"/>
      <c r="F214" s="133">
        <f>D214*E214</f>
        <v>0</v>
      </c>
      <c r="G214" s="566"/>
      <c r="H214" s="133">
        <f>D214*G214</f>
        <v>0</v>
      </c>
      <c r="I214" s="133">
        <f>E214+G214</f>
        <v>0</v>
      </c>
      <c r="J214" s="133">
        <f>F214+H214</f>
        <v>0</v>
      </c>
      <c r="K214" s="133">
        <v>1.19</v>
      </c>
      <c r="L214" s="133">
        <f>D214*K214</f>
        <v>4.76</v>
      </c>
    </row>
    <row r="215" spans="1:12" ht="30">
      <c r="A215" s="131" t="s">
        <v>1683</v>
      </c>
      <c r="B215" s="132" t="s">
        <v>3029</v>
      </c>
      <c r="C215" s="131" t="s">
        <v>1683</v>
      </c>
      <c r="D215" s="133"/>
      <c r="E215" s="133"/>
      <c r="F215" s="133"/>
      <c r="G215" s="133"/>
      <c r="H215" s="133"/>
      <c r="I215" s="133"/>
      <c r="J215" s="133"/>
      <c r="K215" s="133"/>
      <c r="L215" s="133"/>
    </row>
    <row r="216" spans="1:12">
      <c r="A216" s="131" t="s">
        <v>3030</v>
      </c>
      <c r="B216" s="132" t="s">
        <v>3031</v>
      </c>
      <c r="C216" s="131" t="s">
        <v>2833</v>
      </c>
      <c r="D216" s="133">
        <v>1</v>
      </c>
      <c r="E216" s="566"/>
      <c r="F216" s="133">
        <f>D216*E216</f>
        <v>0</v>
      </c>
      <c r="G216" s="133">
        <v>0</v>
      </c>
      <c r="H216" s="133">
        <f>D216*G216</f>
        <v>0</v>
      </c>
      <c r="I216" s="133">
        <f>E216+G216</f>
        <v>0</v>
      </c>
      <c r="J216" s="133">
        <f>F216+H216</f>
        <v>0</v>
      </c>
      <c r="K216" s="133">
        <v>0.4</v>
      </c>
      <c r="L216" s="133">
        <f>D216*K216</f>
        <v>0.4</v>
      </c>
    </row>
    <row r="217" spans="1:12">
      <c r="A217" s="131" t="s">
        <v>1683</v>
      </c>
      <c r="B217" s="132" t="s">
        <v>3027</v>
      </c>
      <c r="C217" s="131" t="s">
        <v>1683</v>
      </c>
      <c r="D217" s="133"/>
      <c r="E217" s="133"/>
      <c r="F217" s="133"/>
      <c r="G217" s="133"/>
      <c r="H217" s="133"/>
      <c r="I217" s="133"/>
      <c r="J217" s="133"/>
      <c r="K217" s="133"/>
      <c r="L217" s="133"/>
    </row>
    <row r="218" spans="1:12">
      <c r="A218" s="131" t="s">
        <v>3032</v>
      </c>
      <c r="B218" s="132" t="s">
        <v>3033</v>
      </c>
      <c r="C218" s="131" t="s">
        <v>2833</v>
      </c>
      <c r="D218" s="133">
        <v>4</v>
      </c>
      <c r="E218" s="566"/>
      <c r="F218" s="133">
        <f>D218*E218</f>
        <v>0</v>
      </c>
      <c r="G218" s="566"/>
      <c r="H218" s="133">
        <f>D218*G218</f>
        <v>0</v>
      </c>
      <c r="I218" s="133">
        <f>E218+G218</f>
        <v>0</v>
      </c>
      <c r="J218" s="133">
        <f>F218+H218</f>
        <v>0</v>
      </c>
      <c r="K218" s="133">
        <v>0.95</v>
      </c>
      <c r="L218" s="133">
        <f>D218*K218</f>
        <v>3.8</v>
      </c>
    </row>
    <row r="219" spans="1:12">
      <c r="A219" s="131" t="s">
        <v>3034</v>
      </c>
      <c r="B219" s="132" t="s">
        <v>3035</v>
      </c>
      <c r="C219" s="131" t="s">
        <v>2833</v>
      </c>
      <c r="D219" s="133">
        <v>3</v>
      </c>
      <c r="E219" s="566"/>
      <c r="F219" s="133">
        <f>D219*E219</f>
        <v>0</v>
      </c>
      <c r="G219" s="566"/>
      <c r="H219" s="133">
        <f>D219*G219</f>
        <v>0</v>
      </c>
      <c r="I219" s="133">
        <f>E219+G219</f>
        <v>0</v>
      </c>
      <c r="J219" s="133">
        <f>F219+H219</f>
        <v>0</v>
      </c>
      <c r="K219" s="133">
        <v>0.86</v>
      </c>
      <c r="L219" s="133">
        <f>D219*K219</f>
        <v>2.58</v>
      </c>
    </row>
    <row r="220" spans="1:12" ht="30">
      <c r="A220" s="131" t="s">
        <v>1683</v>
      </c>
      <c r="B220" s="132" t="s">
        <v>2986</v>
      </c>
      <c r="C220" s="131" t="s">
        <v>1683</v>
      </c>
      <c r="D220" s="133"/>
      <c r="E220" s="133"/>
      <c r="F220" s="133"/>
      <c r="G220" s="133"/>
      <c r="H220" s="133"/>
      <c r="I220" s="133"/>
      <c r="J220" s="133"/>
      <c r="K220" s="133"/>
      <c r="L220" s="133"/>
    </row>
    <row r="221" spans="1:12">
      <c r="A221" s="131" t="s">
        <v>3036</v>
      </c>
      <c r="B221" s="132" t="s">
        <v>2990</v>
      </c>
      <c r="C221" s="131" t="s">
        <v>2833</v>
      </c>
      <c r="D221" s="133">
        <v>1</v>
      </c>
      <c r="E221" s="566"/>
      <c r="F221" s="133">
        <f>D221*E221</f>
        <v>0</v>
      </c>
      <c r="G221" s="566"/>
      <c r="H221" s="133">
        <f>D221*G221</f>
        <v>0</v>
      </c>
      <c r="I221" s="133">
        <f>E221+G221</f>
        <v>0</v>
      </c>
      <c r="J221" s="133">
        <f>F221+H221</f>
        <v>0</v>
      </c>
      <c r="K221" s="133">
        <v>0.3</v>
      </c>
      <c r="L221" s="133">
        <f>D221*K221</f>
        <v>0.3</v>
      </c>
    </row>
    <row r="222" spans="1:12">
      <c r="A222" s="131" t="s">
        <v>3037</v>
      </c>
      <c r="B222" s="132" t="s">
        <v>2892</v>
      </c>
      <c r="C222" s="131" t="s">
        <v>1683</v>
      </c>
      <c r="D222" s="133"/>
      <c r="E222" s="133"/>
      <c r="F222" s="133"/>
      <c r="G222" s="133"/>
      <c r="H222" s="133"/>
      <c r="I222" s="133"/>
      <c r="J222" s="133"/>
      <c r="K222" s="133"/>
      <c r="L222" s="133"/>
    </row>
    <row r="223" spans="1:12" ht="30">
      <c r="A223" s="131" t="s">
        <v>1683</v>
      </c>
      <c r="B223" s="132" t="s">
        <v>2893</v>
      </c>
      <c r="C223" s="131" t="s">
        <v>1683</v>
      </c>
      <c r="D223" s="133"/>
      <c r="E223" s="133"/>
      <c r="F223" s="133"/>
      <c r="G223" s="133"/>
      <c r="H223" s="133"/>
      <c r="I223" s="133"/>
      <c r="J223" s="133"/>
      <c r="K223" s="133"/>
      <c r="L223" s="133"/>
    </row>
    <row r="224" spans="1:12">
      <c r="A224" s="131" t="s">
        <v>1683</v>
      </c>
      <c r="B224" s="132" t="s">
        <v>2894</v>
      </c>
      <c r="C224" s="131" t="s">
        <v>1683</v>
      </c>
      <c r="D224" s="133"/>
      <c r="E224" s="133"/>
      <c r="F224" s="133"/>
      <c r="G224" s="133"/>
      <c r="H224" s="133"/>
      <c r="I224" s="133"/>
      <c r="J224" s="133"/>
      <c r="K224" s="133"/>
      <c r="L224" s="133"/>
    </row>
    <row r="225" spans="1:12">
      <c r="A225" s="131" t="s">
        <v>3038</v>
      </c>
      <c r="B225" s="132" t="s">
        <v>2896</v>
      </c>
      <c r="C225" s="131" t="s">
        <v>2398</v>
      </c>
      <c r="D225" s="133">
        <v>9.86</v>
      </c>
      <c r="E225" s="566"/>
      <c r="F225" s="133">
        <f>D225*E225</f>
        <v>0</v>
      </c>
      <c r="G225" s="133">
        <v>0</v>
      </c>
      <c r="H225" s="133">
        <f>D225*G225</f>
        <v>0</v>
      </c>
      <c r="I225" s="133">
        <f>E225+G225</f>
        <v>0</v>
      </c>
      <c r="J225" s="133">
        <f>F225+H225</f>
        <v>0</v>
      </c>
      <c r="K225" s="133">
        <v>0</v>
      </c>
      <c r="L225" s="133">
        <f>D225*K225</f>
        <v>0</v>
      </c>
    </row>
    <row r="226" spans="1:12">
      <c r="A226" s="131" t="s">
        <v>3039</v>
      </c>
      <c r="B226" s="132" t="s">
        <v>2896</v>
      </c>
      <c r="C226" s="131" t="s">
        <v>2398</v>
      </c>
      <c r="D226" s="133">
        <v>10.199999999999999</v>
      </c>
      <c r="E226" s="566"/>
      <c r="F226" s="133">
        <f>D226*E226</f>
        <v>0</v>
      </c>
      <c r="G226" s="133">
        <v>0</v>
      </c>
      <c r="H226" s="133">
        <f>D226*G226</f>
        <v>0</v>
      </c>
      <c r="I226" s="133">
        <f>E226+G226</f>
        <v>0</v>
      </c>
      <c r="J226" s="133">
        <f>F226+H226</f>
        <v>0</v>
      </c>
      <c r="K226" s="133">
        <v>0</v>
      </c>
      <c r="L226" s="133">
        <f>D226*K226</f>
        <v>0</v>
      </c>
    </row>
    <row r="227" spans="1:12" ht="30">
      <c r="A227" s="131" t="s">
        <v>1683</v>
      </c>
      <c r="B227" s="132" t="s">
        <v>2906</v>
      </c>
      <c r="C227" s="131" t="s">
        <v>1683</v>
      </c>
      <c r="D227" s="133"/>
      <c r="E227" s="133"/>
      <c r="F227" s="133"/>
      <c r="G227" s="133"/>
      <c r="H227" s="133"/>
      <c r="I227" s="133"/>
      <c r="J227" s="133"/>
      <c r="K227" s="133"/>
      <c r="L227" s="133"/>
    </row>
    <row r="228" spans="1:12">
      <c r="A228" s="131" t="s">
        <v>1683</v>
      </c>
      <c r="B228" s="132" t="s">
        <v>3040</v>
      </c>
      <c r="C228" s="131" t="s">
        <v>2849</v>
      </c>
      <c r="D228" s="133">
        <v>1.5</v>
      </c>
      <c r="E228" s="566"/>
      <c r="F228" s="133">
        <f>D228*E228</f>
        <v>0</v>
      </c>
      <c r="G228" s="566"/>
      <c r="H228" s="133">
        <f>D228*G228</f>
        <v>0</v>
      </c>
      <c r="I228" s="133">
        <f t="shared" ref="I228:J230" si="31">E228+G228</f>
        <v>0</v>
      </c>
      <c r="J228" s="133">
        <f t="shared" si="31"/>
        <v>0</v>
      </c>
      <c r="K228" s="133">
        <v>10</v>
      </c>
      <c r="L228" s="133">
        <f>D228*K228</f>
        <v>15</v>
      </c>
    </row>
    <row r="229" spans="1:12">
      <c r="A229" s="131" t="s">
        <v>1683</v>
      </c>
      <c r="B229" s="132" t="s">
        <v>3041</v>
      </c>
      <c r="C229" s="131" t="s">
        <v>2849</v>
      </c>
      <c r="D229" s="133">
        <v>7</v>
      </c>
      <c r="E229" s="566"/>
      <c r="F229" s="133">
        <f>D229*E229</f>
        <v>0</v>
      </c>
      <c r="G229" s="566"/>
      <c r="H229" s="133">
        <f>D229*G229</f>
        <v>0</v>
      </c>
      <c r="I229" s="133">
        <f t="shared" si="31"/>
        <v>0</v>
      </c>
      <c r="J229" s="133">
        <f t="shared" si="31"/>
        <v>0</v>
      </c>
      <c r="K229" s="133">
        <v>15</v>
      </c>
      <c r="L229" s="133">
        <f>D229*K229</f>
        <v>105</v>
      </c>
    </row>
    <row r="230" spans="1:12">
      <c r="A230" s="131" t="s">
        <v>1683</v>
      </c>
      <c r="B230" s="132" t="s">
        <v>2952</v>
      </c>
      <c r="C230" s="131" t="s">
        <v>2849</v>
      </c>
      <c r="D230" s="133">
        <v>1.5</v>
      </c>
      <c r="E230" s="566"/>
      <c r="F230" s="133">
        <f>D230*E230</f>
        <v>0</v>
      </c>
      <c r="G230" s="566"/>
      <c r="H230" s="133">
        <f>D230*G230</f>
        <v>0</v>
      </c>
      <c r="I230" s="133">
        <f t="shared" si="31"/>
        <v>0</v>
      </c>
      <c r="J230" s="133">
        <f t="shared" si="31"/>
        <v>0</v>
      </c>
      <c r="K230" s="133">
        <v>19</v>
      </c>
      <c r="L230" s="133">
        <f>D230*K230</f>
        <v>28.5</v>
      </c>
    </row>
    <row r="231" spans="1:12" ht="30">
      <c r="A231" s="131" t="s">
        <v>1683</v>
      </c>
      <c r="B231" s="132" t="s">
        <v>2954</v>
      </c>
      <c r="C231" s="131" t="s">
        <v>1683</v>
      </c>
      <c r="D231" s="133"/>
      <c r="E231" s="133"/>
      <c r="F231" s="133"/>
      <c r="G231" s="133"/>
      <c r="H231" s="133"/>
      <c r="I231" s="133"/>
      <c r="J231" s="133"/>
      <c r="K231" s="133"/>
      <c r="L231" s="133"/>
    </row>
    <row r="232" spans="1:12">
      <c r="A232" s="131" t="s">
        <v>1683</v>
      </c>
      <c r="B232" s="132" t="s">
        <v>3042</v>
      </c>
      <c r="C232" s="131" t="s">
        <v>2833</v>
      </c>
      <c r="D232" s="133">
        <v>2</v>
      </c>
      <c r="E232" s="566"/>
      <c r="F232" s="133">
        <f>D232*E232</f>
        <v>0</v>
      </c>
      <c r="G232" s="133">
        <v>0</v>
      </c>
      <c r="H232" s="133">
        <f>D232*G232</f>
        <v>0</v>
      </c>
      <c r="I232" s="133">
        <f>E232+G232</f>
        <v>0</v>
      </c>
      <c r="J232" s="133">
        <f>F232+H232</f>
        <v>0</v>
      </c>
      <c r="K232" s="133">
        <v>0</v>
      </c>
      <c r="L232" s="133">
        <f>D232*K232</f>
        <v>0</v>
      </c>
    </row>
    <row r="233" spans="1:12" ht="30">
      <c r="A233" s="131" t="s">
        <v>1683</v>
      </c>
      <c r="B233" s="132" t="s">
        <v>2914</v>
      </c>
      <c r="C233" s="131" t="s">
        <v>1683</v>
      </c>
      <c r="D233" s="133"/>
      <c r="E233" s="133"/>
      <c r="F233" s="133"/>
      <c r="G233" s="133"/>
      <c r="H233" s="133"/>
      <c r="I233" s="133"/>
      <c r="J233" s="133"/>
      <c r="K233" s="133"/>
      <c r="L233" s="133"/>
    </row>
    <row r="234" spans="1:12">
      <c r="A234" s="131" t="s">
        <v>1683</v>
      </c>
      <c r="B234" s="132" t="s">
        <v>3043</v>
      </c>
      <c r="C234" s="131" t="s">
        <v>2849</v>
      </c>
      <c r="D234" s="133">
        <v>3.2</v>
      </c>
      <c r="E234" s="566"/>
      <c r="F234" s="133">
        <f>D234*E234</f>
        <v>0</v>
      </c>
      <c r="G234" s="566"/>
      <c r="H234" s="133">
        <f>D234*G234</f>
        <v>0</v>
      </c>
      <c r="I234" s="133">
        <f t="shared" ref="I234:J236" si="32">E234+G234</f>
        <v>0</v>
      </c>
      <c r="J234" s="133">
        <f t="shared" si="32"/>
        <v>0</v>
      </c>
      <c r="K234" s="133">
        <v>2</v>
      </c>
      <c r="L234" s="133">
        <f>D234*K234</f>
        <v>6.4</v>
      </c>
    </row>
    <row r="235" spans="1:12">
      <c r="A235" s="131" t="s">
        <v>1683</v>
      </c>
      <c r="B235" s="132" t="s">
        <v>3044</v>
      </c>
      <c r="C235" s="131" t="s">
        <v>2849</v>
      </c>
      <c r="D235" s="133">
        <v>27.8</v>
      </c>
      <c r="E235" s="566"/>
      <c r="F235" s="133">
        <f>D235*E235</f>
        <v>0</v>
      </c>
      <c r="G235" s="566"/>
      <c r="H235" s="133">
        <f>D235*G235</f>
        <v>0</v>
      </c>
      <c r="I235" s="133">
        <f t="shared" si="32"/>
        <v>0</v>
      </c>
      <c r="J235" s="133">
        <f t="shared" si="32"/>
        <v>0</v>
      </c>
      <c r="K235" s="133">
        <v>5</v>
      </c>
      <c r="L235" s="133">
        <f>D235*K235</f>
        <v>139</v>
      </c>
    </row>
    <row r="236" spans="1:12">
      <c r="A236" s="131" t="s">
        <v>1683</v>
      </c>
      <c r="B236" s="132" t="s">
        <v>3006</v>
      </c>
      <c r="C236" s="131" t="s">
        <v>2849</v>
      </c>
      <c r="D236" s="133">
        <v>1</v>
      </c>
      <c r="E236" s="566"/>
      <c r="F236" s="133">
        <f>D236*E236</f>
        <v>0</v>
      </c>
      <c r="G236" s="566"/>
      <c r="H236" s="133">
        <f>D236*G236</f>
        <v>0</v>
      </c>
      <c r="I236" s="133">
        <f t="shared" si="32"/>
        <v>0</v>
      </c>
      <c r="J236" s="133">
        <f t="shared" si="32"/>
        <v>0</v>
      </c>
      <c r="K236" s="133">
        <v>7</v>
      </c>
      <c r="L236" s="133">
        <f>D236*K236</f>
        <v>7</v>
      </c>
    </row>
    <row r="237" spans="1:12" ht="30">
      <c r="A237" s="131" t="s">
        <v>1683</v>
      </c>
      <c r="B237" s="132" t="s">
        <v>3045</v>
      </c>
      <c r="C237" s="131" t="s">
        <v>1683</v>
      </c>
      <c r="D237" s="133"/>
      <c r="E237" s="133"/>
      <c r="F237" s="133"/>
      <c r="G237" s="133"/>
      <c r="H237" s="133"/>
      <c r="I237" s="133"/>
      <c r="J237" s="133"/>
      <c r="K237" s="133"/>
      <c r="L237" s="133"/>
    </row>
    <row r="238" spans="1:12">
      <c r="A238" s="131" t="s">
        <v>1683</v>
      </c>
      <c r="B238" s="132" t="s">
        <v>3046</v>
      </c>
      <c r="C238" s="131" t="s">
        <v>2833</v>
      </c>
      <c r="D238" s="133">
        <v>2</v>
      </c>
      <c r="E238" s="566"/>
      <c r="F238" s="133">
        <f>D238*E238</f>
        <v>0</v>
      </c>
      <c r="G238" s="133">
        <v>0</v>
      </c>
      <c r="H238" s="133">
        <f>D238*G238</f>
        <v>0</v>
      </c>
      <c r="I238" s="133">
        <f>E238+G238</f>
        <v>0</v>
      </c>
      <c r="J238" s="133">
        <f>F238+H238</f>
        <v>0</v>
      </c>
      <c r="K238" s="133">
        <v>0</v>
      </c>
      <c r="L238" s="133">
        <f>D238*K238</f>
        <v>0</v>
      </c>
    </row>
    <row r="239" spans="1:12" ht="45">
      <c r="A239" s="131" t="s">
        <v>1683</v>
      </c>
      <c r="B239" s="132" t="s">
        <v>2917</v>
      </c>
      <c r="C239" s="131" t="s">
        <v>1683</v>
      </c>
      <c r="D239" s="133"/>
      <c r="E239" s="133"/>
      <c r="F239" s="133"/>
      <c r="G239" s="133"/>
      <c r="H239" s="133"/>
      <c r="I239" s="133"/>
      <c r="J239" s="133"/>
      <c r="K239" s="133"/>
      <c r="L239" s="133"/>
    </row>
    <row r="240" spans="1:12">
      <c r="A240" s="131" t="s">
        <v>1683</v>
      </c>
      <c r="B240" s="132" t="s">
        <v>2918</v>
      </c>
      <c r="C240" s="131" t="s">
        <v>1876</v>
      </c>
      <c r="D240" s="133">
        <v>1</v>
      </c>
      <c r="E240" s="566"/>
      <c r="F240" s="133">
        <f>D240*E240</f>
        <v>0</v>
      </c>
      <c r="G240" s="133">
        <v>0</v>
      </c>
      <c r="H240" s="133">
        <f>D240*G240</f>
        <v>0</v>
      </c>
      <c r="I240" s="133">
        <f>E240+G240</f>
        <v>0</v>
      </c>
      <c r="J240" s="133">
        <f>F240+H240</f>
        <v>0</v>
      </c>
      <c r="K240" s="133">
        <v>0</v>
      </c>
      <c r="L240" s="133">
        <f>D240*K240</f>
        <v>0</v>
      </c>
    </row>
    <row r="241" spans="1:12">
      <c r="A241" s="131" t="s">
        <v>1683</v>
      </c>
      <c r="B241" s="132" t="s">
        <v>3047</v>
      </c>
      <c r="C241" s="131" t="s">
        <v>1683</v>
      </c>
      <c r="D241" s="133"/>
      <c r="E241" s="133"/>
      <c r="F241" s="133">
        <f>SUM(F195:F240)</f>
        <v>0</v>
      </c>
      <c r="G241" s="133"/>
      <c r="H241" s="133">
        <f>SUM(H195:H240)</f>
        <v>0</v>
      </c>
      <c r="I241" s="133"/>
      <c r="J241" s="133">
        <f>SUM(J195:J240)</f>
        <v>0</v>
      </c>
      <c r="K241" s="133"/>
      <c r="L241" s="133">
        <f>SUM(L195:L240)</f>
        <v>529.64</v>
      </c>
    </row>
    <row r="242" spans="1:12">
      <c r="A242" s="131" t="s">
        <v>1683</v>
      </c>
      <c r="B242" s="132" t="s">
        <v>1683</v>
      </c>
      <c r="C242" s="131" t="s">
        <v>1683</v>
      </c>
      <c r="D242" s="133"/>
      <c r="E242" s="133"/>
      <c r="F242" s="133"/>
      <c r="G242" s="133"/>
      <c r="H242" s="133"/>
      <c r="I242" s="133"/>
      <c r="J242" s="133"/>
      <c r="K242" s="133"/>
      <c r="L242" s="133"/>
    </row>
    <row r="243" spans="1:12">
      <c r="A243" s="131" t="s">
        <v>1683</v>
      </c>
      <c r="B243" s="132" t="s">
        <v>1683</v>
      </c>
      <c r="C243" s="131" t="s">
        <v>1683</v>
      </c>
      <c r="D243" s="133"/>
      <c r="E243" s="133"/>
      <c r="F243" s="133"/>
      <c r="G243" s="133"/>
      <c r="H243" s="133"/>
      <c r="I243" s="133"/>
      <c r="J243" s="133"/>
      <c r="K243" s="133"/>
      <c r="L243" s="133"/>
    </row>
    <row r="244" spans="1:12">
      <c r="A244" s="131" t="s">
        <v>1683</v>
      </c>
      <c r="B244" s="132" t="s">
        <v>2815</v>
      </c>
      <c r="C244" s="131" t="s">
        <v>1683</v>
      </c>
      <c r="D244" s="133"/>
      <c r="E244" s="133"/>
      <c r="F244" s="133"/>
      <c r="G244" s="133"/>
      <c r="H244" s="133"/>
      <c r="I244" s="133"/>
      <c r="J244" s="133"/>
      <c r="K244" s="133"/>
      <c r="L244" s="133"/>
    </row>
    <row r="245" spans="1:12">
      <c r="A245" s="131" t="s">
        <v>1683</v>
      </c>
      <c r="B245" s="132" t="s">
        <v>3048</v>
      </c>
      <c r="C245" s="131" t="s">
        <v>1683</v>
      </c>
      <c r="D245" s="133"/>
      <c r="E245" s="133"/>
      <c r="F245" s="133"/>
      <c r="G245" s="133"/>
      <c r="H245" s="133"/>
      <c r="I245" s="133"/>
      <c r="J245" s="133"/>
      <c r="K245" s="133"/>
      <c r="L245" s="133"/>
    </row>
    <row r="246" spans="1:12" ht="75">
      <c r="A246" s="131" t="s">
        <v>3049</v>
      </c>
      <c r="B246" s="132" t="s">
        <v>3050</v>
      </c>
      <c r="C246" s="131" t="s">
        <v>2833</v>
      </c>
      <c r="D246" s="133">
        <v>1</v>
      </c>
      <c r="E246" s="566"/>
      <c r="F246" s="133">
        <f>D246*E246</f>
        <v>0</v>
      </c>
      <c r="G246" s="566"/>
      <c r="H246" s="133">
        <f>D246*G246</f>
        <v>0</v>
      </c>
      <c r="I246" s="133">
        <f t="shared" ref="I246:J250" si="33">E246+G246</f>
        <v>0</v>
      </c>
      <c r="J246" s="133">
        <f t="shared" si="33"/>
        <v>0</v>
      </c>
      <c r="K246" s="133">
        <v>105</v>
      </c>
      <c r="L246" s="133">
        <f>D246*K246</f>
        <v>105</v>
      </c>
    </row>
    <row r="247" spans="1:12">
      <c r="A247" s="131" t="s">
        <v>1683</v>
      </c>
      <c r="B247" s="132" t="s">
        <v>2922</v>
      </c>
      <c r="C247" s="131" t="s">
        <v>2833</v>
      </c>
      <c r="D247" s="133">
        <v>1</v>
      </c>
      <c r="E247" s="133">
        <v>0</v>
      </c>
      <c r="F247" s="133">
        <f>D247*E247</f>
        <v>0</v>
      </c>
      <c r="G247" s="133">
        <v>0</v>
      </c>
      <c r="H247" s="133">
        <f>D247*G247</f>
        <v>0</v>
      </c>
      <c r="I247" s="133">
        <f t="shared" si="33"/>
        <v>0</v>
      </c>
      <c r="J247" s="133">
        <f t="shared" si="33"/>
        <v>0</v>
      </c>
      <c r="K247" s="133">
        <v>0</v>
      </c>
      <c r="L247" s="133">
        <f>D247*K247</f>
        <v>0</v>
      </c>
    </row>
    <row r="248" spans="1:12">
      <c r="A248" s="131" t="s">
        <v>1683</v>
      </c>
      <c r="B248" s="132" t="s">
        <v>3012</v>
      </c>
      <c r="C248" s="131" t="s">
        <v>2833</v>
      </c>
      <c r="D248" s="133">
        <v>1</v>
      </c>
      <c r="E248" s="566"/>
      <c r="F248" s="133">
        <f>D248*E248</f>
        <v>0</v>
      </c>
      <c r="G248" s="133">
        <v>0</v>
      </c>
      <c r="H248" s="133">
        <f>D248*G248</f>
        <v>0</v>
      </c>
      <c r="I248" s="133">
        <f t="shared" si="33"/>
        <v>0</v>
      </c>
      <c r="J248" s="133">
        <f t="shared" si="33"/>
        <v>0</v>
      </c>
      <c r="K248" s="133">
        <v>0</v>
      </c>
      <c r="L248" s="133">
        <f>D248*K248</f>
        <v>0</v>
      </c>
    </row>
    <row r="249" spans="1:12">
      <c r="A249" s="131" t="s">
        <v>1683</v>
      </c>
      <c r="B249" s="132" t="s">
        <v>3051</v>
      </c>
      <c r="C249" s="131" t="s">
        <v>2833</v>
      </c>
      <c r="D249" s="133">
        <v>1</v>
      </c>
      <c r="E249" s="566"/>
      <c r="F249" s="133">
        <f>D249*E249</f>
        <v>0</v>
      </c>
      <c r="G249" s="133">
        <v>0</v>
      </c>
      <c r="H249" s="133">
        <f>D249*G249</f>
        <v>0</v>
      </c>
      <c r="I249" s="133">
        <f t="shared" si="33"/>
        <v>0</v>
      </c>
      <c r="J249" s="133">
        <f t="shared" si="33"/>
        <v>0</v>
      </c>
      <c r="K249" s="133">
        <v>0</v>
      </c>
      <c r="L249" s="133">
        <f>D249*K249</f>
        <v>0</v>
      </c>
    </row>
    <row r="250" spans="1:12">
      <c r="A250" s="131" t="s">
        <v>1683</v>
      </c>
      <c r="B250" s="132" t="s">
        <v>2837</v>
      </c>
      <c r="C250" s="131" t="s">
        <v>2833</v>
      </c>
      <c r="D250" s="133">
        <v>1</v>
      </c>
      <c r="E250" s="566"/>
      <c r="F250" s="133">
        <f>D250*E250</f>
        <v>0</v>
      </c>
      <c r="G250" s="133">
        <v>0</v>
      </c>
      <c r="H250" s="133">
        <f>D250*G250</f>
        <v>0</v>
      </c>
      <c r="I250" s="133">
        <f t="shared" si="33"/>
        <v>0</v>
      </c>
      <c r="J250" s="133">
        <f t="shared" si="33"/>
        <v>0</v>
      </c>
      <c r="K250" s="133">
        <v>0</v>
      </c>
      <c r="L250" s="133">
        <f>D250*K250</f>
        <v>0</v>
      </c>
    </row>
    <row r="251" spans="1:12" ht="30">
      <c r="A251" s="131" t="s">
        <v>1683</v>
      </c>
      <c r="B251" s="132" t="s">
        <v>3019</v>
      </c>
      <c r="C251" s="131" t="s">
        <v>1683</v>
      </c>
      <c r="D251" s="133"/>
      <c r="E251" s="133"/>
      <c r="F251" s="133"/>
      <c r="G251" s="133"/>
      <c r="H251" s="133"/>
      <c r="I251" s="133"/>
      <c r="J251" s="133"/>
      <c r="K251" s="133"/>
      <c r="L251" s="133"/>
    </row>
    <row r="252" spans="1:12">
      <c r="A252" s="131" t="s">
        <v>3052</v>
      </c>
      <c r="B252" s="132" t="s">
        <v>3053</v>
      </c>
      <c r="C252" s="131" t="s">
        <v>2833</v>
      </c>
      <c r="D252" s="133">
        <v>1</v>
      </c>
      <c r="E252" s="566"/>
      <c r="F252" s="133">
        <f>D252*E252</f>
        <v>0</v>
      </c>
      <c r="G252" s="566"/>
      <c r="H252" s="133">
        <f>D252*G252</f>
        <v>0</v>
      </c>
      <c r="I252" s="133">
        <f t="shared" ref="I252:J254" si="34">E252+G252</f>
        <v>0</v>
      </c>
      <c r="J252" s="133">
        <f t="shared" si="34"/>
        <v>0</v>
      </c>
      <c r="K252" s="133">
        <v>7.7</v>
      </c>
      <c r="L252" s="133">
        <f>D252*K252</f>
        <v>7.7</v>
      </c>
    </row>
    <row r="253" spans="1:12">
      <c r="A253" s="131" t="s">
        <v>3054</v>
      </c>
      <c r="B253" s="132" t="s">
        <v>3021</v>
      </c>
      <c r="C253" s="131" t="s">
        <v>2833</v>
      </c>
      <c r="D253" s="133">
        <v>5</v>
      </c>
      <c r="E253" s="566"/>
      <c r="F253" s="133">
        <f>D253*E253</f>
        <v>0</v>
      </c>
      <c r="G253" s="566"/>
      <c r="H253" s="133">
        <f>D253*G253</f>
        <v>0</v>
      </c>
      <c r="I253" s="133">
        <f t="shared" si="34"/>
        <v>0</v>
      </c>
      <c r="J253" s="133">
        <f t="shared" si="34"/>
        <v>0</v>
      </c>
      <c r="K253" s="133">
        <v>10.6</v>
      </c>
      <c r="L253" s="133">
        <f>D253*K253</f>
        <v>53</v>
      </c>
    </row>
    <row r="254" spans="1:12">
      <c r="A254" s="131" t="s">
        <v>3055</v>
      </c>
      <c r="B254" s="132" t="s">
        <v>3023</v>
      </c>
      <c r="C254" s="131" t="s">
        <v>2833</v>
      </c>
      <c r="D254" s="133">
        <v>1</v>
      </c>
      <c r="E254" s="566"/>
      <c r="F254" s="133">
        <f>D254*E254</f>
        <v>0</v>
      </c>
      <c r="G254" s="566"/>
      <c r="H254" s="133">
        <f>D254*G254</f>
        <v>0</v>
      </c>
      <c r="I254" s="133">
        <f t="shared" si="34"/>
        <v>0</v>
      </c>
      <c r="J254" s="133">
        <f t="shared" si="34"/>
        <v>0</v>
      </c>
      <c r="K254" s="133">
        <v>7.3</v>
      </c>
      <c r="L254" s="133">
        <f>D254*K254</f>
        <v>7.3</v>
      </c>
    </row>
    <row r="255" spans="1:12" ht="30">
      <c r="A255" s="131" t="s">
        <v>1683</v>
      </c>
      <c r="B255" s="132" t="s">
        <v>3056</v>
      </c>
      <c r="C255" s="131" t="s">
        <v>1683</v>
      </c>
      <c r="D255" s="133"/>
      <c r="E255" s="133"/>
      <c r="F255" s="133"/>
      <c r="G255" s="133"/>
      <c r="H255" s="133"/>
      <c r="I255" s="133"/>
      <c r="J255" s="133"/>
      <c r="K255" s="133"/>
      <c r="L255" s="133"/>
    </row>
    <row r="256" spans="1:12">
      <c r="A256" s="131" t="s">
        <v>3057</v>
      </c>
      <c r="B256" s="132" t="s">
        <v>3058</v>
      </c>
      <c r="C256" s="131" t="s">
        <v>2833</v>
      </c>
      <c r="D256" s="133">
        <v>2</v>
      </c>
      <c r="E256" s="566"/>
      <c r="F256" s="133">
        <f>D256*E256</f>
        <v>0</v>
      </c>
      <c r="G256" s="566"/>
      <c r="H256" s="133">
        <f>D256*G256</f>
        <v>0</v>
      </c>
      <c r="I256" s="133">
        <f>E256+G256</f>
        <v>0</v>
      </c>
      <c r="J256" s="133">
        <f>F256+H256</f>
        <v>0</v>
      </c>
      <c r="K256" s="133">
        <v>0.3</v>
      </c>
      <c r="L256" s="133">
        <f>D256*K256</f>
        <v>0.6</v>
      </c>
    </row>
    <row r="257" spans="1:12">
      <c r="A257" s="131" t="s">
        <v>3059</v>
      </c>
      <c r="B257" s="132" t="s">
        <v>3060</v>
      </c>
      <c r="C257" s="131" t="s">
        <v>2833</v>
      </c>
      <c r="D257" s="133">
        <v>1</v>
      </c>
      <c r="E257" s="566"/>
      <c r="F257" s="133">
        <f>D257*E257</f>
        <v>0</v>
      </c>
      <c r="G257" s="566"/>
      <c r="H257" s="133">
        <f>D257*G257</f>
        <v>0</v>
      </c>
      <c r="I257" s="133">
        <f>E257+G257</f>
        <v>0</v>
      </c>
      <c r="J257" s="133">
        <f>F257+H257</f>
        <v>0</v>
      </c>
      <c r="K257" s="133">
        <v>0.3</v>
      </c>
      <c r="L257" s="133">
        <f>D257*K257</f>
        <v>0.3</v>
      </c>
    </row>
    <row r="258" spans="1:12" ht="30">
      <c r="A258" s="131" t="s">
        <v>1683</v>
      </c>
      <c r="B258" s="132" t="s">
        <v>2986</v>
      </c>
      <c r="C258" s="131" t="s">
        <v>1683</v>
      </c>
      <c r="D258" s="133"/>
      <c r="E258" s="133"/>
      <c r="F258" s="133"/>
      <c r="G258" s="133"/>
      <c r="H258" s="133"/>
      <c r="I258" s="133"/>
      <c r="J258" s="133"/>
      <c r="K258" s="133"/>
      <c r="L258" s="133"/>
    </row>
    <row r="259" spans="1:12">
      <c r="A259" s="131" t="s">
        <v>3061</v>
      </c>
      <c r="B259" s="132" t="s">
        <v>3062</v>
      </c>
      <c r="C259" s="131" t="s">
        <v>2833</v>
      </c>
      <c r="D259" s="133">
        <v>1</v>
      </c>
      <c r="E259" s="566"/>
      <c r="F259" s="133">
        <f>D259*E259</f>
        <v>0</v>
      </c>
      <c r="G259" s="566"/>
      <c r="H259" s="133">
        <f>D259*G259</f>
        <v>0</v>
      </c>
      <c r="I259" s="133">
        <f t="shared" ref="I259:J261" si="35">E259+G259</f>
        <v>0</v>
      </c>
      <c r="J259" s="133">
        <f t="shared" si="35"/>
        <v>0</v>
      </c>
      <c r="K259" s="133">
        <v>0.3</v>
      </c>
      <c r="L259" s="133">
        <f>D259*K259</f>
        <v>0.3</v>
      </c>
    </row>
    <row r="260" spans="1:12">
      <c r="A260" s="131" t="s">
        <v>3063</v>
      </c>
      <c r="B260" s="132" t="s">
        <v>2988</v>
      </c>
      <c r="C260" s="131" t="s">
        <v>2833</v>
      </c>
      <c r="D260" s="133">
        <v>1</v>
      </c>
      <c r="E260" s="566"/>
      <c r="F260" s="133">
        <f>D260*E260</f>
        <v>0</v>
      </c>
      <c r="G260" s="566"/>
      <c r="H260" s="133">
        <f>D260*G260</f>
        <v>0</v>
      </c>
      <c r="I260" s="133">
        <f t="shared" si="35"/>
        <v>0</v>
      </c>
      <c r="J260" s="133">
        <f t="shared" si="35"/>
        <v>0</v>
      </c>
      <c r="K260" s="133">
        <v>0.3</v>
      </c>
      <c r="L260" s="133">
        <f>D260*K260</f>
        <v>0.3</v>
      </c>
    </row>
    <row r="261" spans="1:12">
      <c r="A261" s="131" t="s">
        <v>3064</v>
      </c>
      <c r="B261" s="132" t="s">
        <v>2990</v>
      </c>
      <c r="C261" s="131" t="s">
        <v>2833</v>
      </c>
      <c r="D261" s="133">
        <v>2</v>
      </c>
      <c r="E261" s="566"/>
      <c r="F261" s="133">
        <f>D261*E261</f>
        <v>0</v>
      </c>
      <c r="G261" s="566"/>
      <c r="H261" s="133">
        <f>D261*G261</f>
        <v>0</v>
      </c>
      <c r="I261" s="133">
        <f t="shared" si="35"/>
        <v>0</v>
      </c>
      <c r="J261" s="133">
        <f t="shared" si="35"/>
        <v>0</v>
      </c>
      <c r="K261" s="133">
        <v>0.3</v>
      </c>
      <c r="L261" s="133">
        <f>D261*K261</f>
        <v>0.6</v>
      </c>
    </row>
    <row r="262" spans="1:12" ht="45">
      <c r="A262" s="131" t="s">
        <v>1683</v>
      </c>
      <c r="B262" s="132" t="s">
        <v>3065</v>
      </c>
      <c r="C262" s="131" t="s">
        <v>1683</v>
      </c>
      <c r="D262" s="133"/>
      <c r="E262" s="133"/>
      <c r="F262" s="133"/>
      <c r="G262" s="133"/>
      <c r="H262" s="133"/>
      <c r="I262" s="133"/>
      <c r="J262" s="133"/>
      <c r="K262" s="133"/>
      <c r="L262" s="133"/>
    </row>
    <row r="263" spans="1:12">
      <c r="A263" s="131" t="s">
        <v>3066</v>
      </c>
      <c r="B263" s="132" t="s">
        <v>3026</v>
      </c>
      <c r="C263" s="131" t="s">
        <v>2833</v>
      </c>
      <c r="D263" s="133">
        <v>2</v>
      </c>
      <c r="E263" s="566"/>
      <c r="F263" s="133">
        <f>D263*E263</f>
        <v>0</v>
      </c>
      <c r="G263" s="566"/>
      <c r="H263" s="133">
        <f>D263*G263</f>
        <v>0</v>
      </c>
      <c r="I263" s="133">
        <f>E263+G263</f>
        <v>0</v>
      </c>
      <c r="J263" s="133">
        <f>F263+H263</f>
        <v>0</v>
      </c>
      <c r="K263" s="133">
        <v>0.4</v>
      </c>
      <c r="L263" s="133">
        <f>D263*K263</f>
        <v>0.8</v>
      </c>
    </row>
    <row r="264" spans="1:12" ht="30">
      <c r="A264" s="131" t="s">
        <v>1683</v>
      </c>
      <c r="B264" s="132" t="s">
        <v>2893</v>
      </c>
      <c r="C264" s="131" t="s">
        <v>1683</v>
      </c>
      <c r="D264" s="133"/>
      <c r="E264" s="133"/>
      <c r="F264" s="133"/>
      <c r="G264" s="133"/>
      <c r="H264" s="133"/>
      <c r="I264" s="133"/>
      <c r="J264" s="133"/>
      <c r="K264" s="133"/>
      <c r="L264" s="133"/>
    </row>
    <row r="265" spans="1:12">
      <c r="A265" s="131" t="s">
        <v>1683</v>
      </c>
      <c r="B265" s="132" t="s">
        <v>2894</v>
      </c>
      <c r="C265" s="131" t="s">
        <v>1683</v>
      </c>
      <c r="D265" s="133"/>
      <c r="E265" s="133"/>
      <c r="F265" s="133"/>
      <c r="G265" s="133"/>
      <c r="H265" s="133"/>
      <c r="I265" s="133"/>
      <c r="J265" s="133"/>
      <c r="K265" s="133"/>
      <c r="L265" s="133"/>
    </row>
    <row r="266" spans="1:12">
      <c r="A266" s="131" t="s">
        <v>3067</v>
      </c>
      <c r="B266" s="132" t="s">
        <v>2896</v>
      </c>
      <c r="C266" s="131" t="s">
        <v>2398</v>
      </c>
      <c r="D266" s="133">
        <v>1.51</v>
      </c>
      <c r="E266" s="566"/>
      <c r="F266" s="133">
        <f>D266*E266</f>
        <v>0</v>
      </c>
      <c r="G266" s="133">
        <v>0</v>
      </c>
      <c r="H266" s="133">
        <f>D266*G266</f>
        <v>0</v>
      </c>
      <c r="I266" s="133">
        <f>E266+G266</f>
        <v>0</v>
      </c>
      <c r="J266" s="133">
        <f>F266+H266</f>
        <v>0</v>
      </c>
      <c r="K266" s="133">
        <v>0</v>
      </c>
      <c r="L266" s="133">
        <f>D266*K266</f>
        <v>0</v>
      </c>
    </row>
    <row r="267" spans="1:12">
      <c r="A267" s="131" t="s">
        <v>3068</v>
      </c>
      <c r="B267" s="132" t="s">
        <v>2896</v>
      </c>
      <c r="C267" s="131" t="s">
        <v>2398</v>
      </c>
      <c r="D267" s="133">
        <v>2.23</v>
      </c>
      <c r="E267" s="566"/>
      <c r="F267" s="133">
        <f>D267*E267</f>
        <v>0</v>
      </c>
      <c r="G267" s="133">
        <v>0</v>
      </c>
      <c r="H267" s="133">
        <f>D267*G267</f>
        <v>0</v>
      </c>
      <c r="I267" s="133">
        <f>E267+G267</f>
        <v>0</v>
      </c>
      <c r="J267" s="133">
        <f>F267+H267</f>
        <v>0</v>
      </c>
      <c r="K267" s="133">
        <v>0</v>
      </c>
      <c r="L267" s="133">
        <f>D267*K267</f>
        <v>0</v>
      </c>
    </row>
    <row r="268" spans="1:12" ht="30">
      <c r="A268" s="131" t="s">
        <v>1683</v>
      </c>
      <c r="B268" s="132" t="s">
        <v>2914</v>
      </c>
      <c r="C268" s="131" t="s">
        <v>1683</v>
      </c>
      <c r="D268" s="133"/>
      <c r="E268" s="133"/>
      <c r="F268" s="133"/>
      <c r="G268" s="133"/>
      <c r="H268" s="133"/>
      <c r="I268" s="133"/>
      <c r="J268" s="133"/>
      <c r="K268" s="133"/>
      <c r="L268" s="133"/>
    </row>
    <row r="269" spans="1:12">
      <c r="A269" s="131" t="s">
        <v>1683</v>
      </c>
      <c r="B269" s="132" t="s">
        <v>3043</v>
      </c>
      <c r="C269" s="131" t="s">
        <v>2849</v>
      </c>
      <c r="D269" s="133">
        <v>3.3</v>
      </c>
      <c r="E269" s="566"/>
      <c r="F269" s="133">
        <f>D269*E269</f>
        <v>0</v>
      </c>
      <c r="G269" s="566"/>
      <c r="H269" s="133">
        <f>D269*G269</f>
        <v>0</v>
      </c>
      <c r="I269" s="133">
        <f t="shared" ref="I269:J271" si="36">E269+G269</f>
        <v>0</v>
      </c>
      <c r="J269" s="133">
        <f t="shared" si="36"/>
        <v>0</v>
      </c>
      <c r="K269" s="133">
        <v>2</v>
      </c>
      <c r="L269" s="133">
        <f>D269*K269</f>
        <v>6.6</v>
      </c>
    </row>
    <row r="270" spans="1:12">
      <c r="A270" s="131" t="s">
        <v>1683</v>
      </c>
      <c r="B270" s="132" t="s">
        <v>3004</v>
      </c>
      <c r="C270" s="131" t="s">
        <v>2849</v>
      </c>
      <c r="D270" s="133">
        <v>4.7</v>
      </c>
      <c r="E270" s="566"/>
      <c r="F270" s="133">
        <f>D270*E270</f>
        <v>0</v>
      </c>
      <c r="G270" s="566"/>
      <c r="H270" s="133">
        <f>D270*G270</f>
        <v>0</v>
      </c>
      <c r="I270" s="133">
        <f t="shared" si="36"/>
        <v>0</v>
      </c>
      <c r="J270" s="133">
        <f t="shared" si="36"/>
        <v>0</v>
      </c>
      <c r="K270" s="133">
        <v>3</v>
      </c>
      <c r="L270" s="133">
        <f>D270*K270</f>
        <v>14.100000000000001</v>
      </c>
    </row>
    <row r="271" spans="1:12">
      <c r="A271" s="131" t="s">
        <v>1683</v>
      </c>
      <c r="B271" s="132" t="s">
        <v>3005</v>
      </c>
      <c r="C271" s="131" t="s">
        <v>2849</v>
      </c>
      <c r="D271" s="133">
        <v>18.7</v>
      </c>
      <c r="E271" s="566"/>
      <c r="F271" s="133">
        <f>D271*E271</f>
        <v>0</v>
      </c>
      <c r="G271" s="566"/>
      <c r="H271" s="133">
        <f>D271*G271</f>
        <v>0</v>
      </c>
      <c r="I271" s="133">
        <f t="shared" si="36"/>
        <v>0</v>
      </c>
      <c r="J271" s="133">
        <f t="shared" si="36"/>
        <v>0</v>
      </c>
      <c r="K271" s="133">
        <v>5</v>
      </c>
      <c r="L271" s="133">
        <f>D271*K271</f>
        <v>93.5</v>
      </c>
    </row>
    <row r="272" spans="1:12" ht="45">
      <c r="A272" s="131" t="s">
        <v>1683</v>
      </c>
      <c r="B272" s="132" t="s">
        <v>2917</v>
      </c>
      <c r="C272" s="131" t="s">
        <v>1683</v>
      </c>
      <c r="D272" s="133"/>
      <c r="E272" s="133"/>
      <c r="F272" s="133"/>
      <c r="G272" s="133"/>
      <c r="H272" s="133"/>
      <c r="I272" s="133"/>
      <c r="J272" s="133"/>
      <c r="K272" s="133"/>
      <c r="L272" s="133"/>
    </row>
    <row r="273" spans="1:12">
      <c r="A273" s="131" t="s">
        <v>1683</v>
      </c>
      <c r="B273" s="132" t="s">
        <v>2918</v>
      </c>
      <c r="C273" s="131" t="s">
        <v>1876</v>
      </c>
      <c r="D273" s="133">
        <v>1</v>
      </c>
      <c r="E273" s="566"/>
      <c r="F273" s="133">
        <f>D273*E273</f>
        <v>0</v>
      </c>
      <c r="G273" s="133">
        <v>0</v>
      </c>
      <c r="H273" s="133">
        <f>D273*G273</f>
        <v>0</v>
      </c>
      <c r="I273" s="133">
        <f>E273+G273</f>
        <v>0</v>
      </c>
      <c r="J273" s="133">
        <f>F273+H273</f>
        <v>0</v>
      </c>
      <c r="K273" s="133">
        <v>0</v>
      </c>
      <c r="L273" s="133">
        <f>D273*K273</f>
        <v>0</v>
      </c>
    </row>
    <row r="274" spans="1:12">
      <c r="A274" s="131" t="s">
        <v>1683</v>
      </c>
      <c r="B274" s="132" t="s">
        <v>3069</v>
      </c>
      <c r="C274" s="131" t="s">
        <v>1683</v>
      </c>
      <c r="D274" s="133"/>
      <c r="E274" s="133"/>
      <c r="F274" s="133">
        <f>SUM(F245:F273)</f>
        <v>0</v>
      </c>
      <c r="G274" s="133"/>
      <c r="H274" s="133">
        <f>SUM(H245:H273)</f>
        <v>0</v>
      </c>
      <c r="I274" s="133"/>
      <c r="J274" s="133">
        <f>SUM(J245:J273)</f>
        <v>0</v>
      </c>
      <c r="K274" s="133"/>
      <c r="L274" s="133">
        <f>SUM(L245:L273)</f>
        <v>290.10000000000002</v>
      </c>
    </row>
    <row r="275" spans="1:12">
      <c r="A275" s="131" t="s">
        <v>1683</v>
      </c>
      <c r="B275" s="132" t="s">
        <v>1683</v>
      </c>
      <c r="C275" s="131" t="s">
        <v>1683</v>
      </c>
      <c r="D275" s="133"/>
      <c r="E275" s="133"/>
      <c r="F275" s="133"/>
      <c r="G275" s="133"/>
      <c r="H275" s="133"/>
      <c r="I275" s="133"/>
      <c r="J275" s="133"/>
      <c r="K275" s="133"/>
      <c r="L275" s="133"/>
    </row>
    <row r="276" spans="1:12">
      <c r="A276" s="131" t="s">
        <v>1683</v>
      </c>
      <c r="B276" s="132" t="s">
        <v>1683</v>
      </c>
      <c r="C276" s="131" t="s">
        <v>1683</v>
      </c>
      <c r="D276" s="133"/>
      <c r="E276" s="133"/>
      <c r="F276" s="133"/>
      <c r="G276" s="133"/>
      <c r="H276" s="133"/>
      <c r="I276" s="133"/>
      <c r="J276" s="133"/>
      <c r="K276" s="133"/>
      <c r="L276" s="133"/>
    </row>
    <row r="277" spans="1:12">
      <c r="A277" s="131" t="s">
        <v>1683</v>
      </c>
      <c r="B277" s="132" t="s">
        <v>2816</v>
      </c>
      <c r="C277" s="131" t="s">
        <v>1683</v>
      </c>
      <c r="D277" s="133"/>
      <c r="E277" s="133"/>
      <c r="F277" s="133"/>
      <c r="G277" s="133"/>
      <c r="H277" s="133"/>
      <c r="I277" s="133"/>
      <c r="J277" s="133"/>
      <c r="K277" s="133"/>
      <c r="L277" s="133"/>
    </row>
    <row r="278" spans="1:12">
      <c r="A278" s="131" t="s">
        <v>1683</v>
      </c>
      <c r="B278" s="132" t="s">
        <v>3048</v>
      </c>
      <c r="C278" s="131" t="s">
        <v>1683</v>
      </c>
      <c r="D278" s="133"/>
      <c r="E278" s="133"/>
      <c r="F278" s="133"/>
      <c r="G278" s="133"/>
      <c r="H278" s="133"/>
      <c r="I278" s="133"/>
      <c r="J278" s="133"/>
      <c r="K278" s="133"/>
      <c r="L278" s="133"/>
    </row>
    <row r="279" spans="1:12" ht="75">
      <c r="A279" s="131" t="s">
        <v>3070</v>
      </c>
      <c r="B279" s="132" t="s">
        <v>3071</v>
      </c>
      <c r="C279" s="131" t="s">
        <v>2833</v>
      </c>
      <c r="D279" s="133">
        <v>1</v>
      </c>
      <c r="E279" s="566"/>
      <c r="F279" s="133">
        <f t="shared" ref="F279:F285" si="37">D279*E279</f>
        <v>0</v>
      </c>
      <c r="G279" s="566"/>
      <c r="H279" s="133">
        <f t="shared" ref="H279:H285" si="38">D279*G279</f>
        <v>0</v>
      </c>
      <c r="I279" s="133">
        <f t="shared" ref="I279:J286" si="39">E279+G279</f>
        <v>0</v>
      </c>
      <c r="J279" s="133">
        <f t="shared" si="39"/>
        <v>0</v>
      </c>
      <c r="K279" s="133">
        <v>74</v>
      </c>
      <c r="L279" s="133">
        <f t="shared" ref="L279:L285" si="40">D279*K279</f>
        <v>74</v>
      </c>
    </row>
    <row r="280" spans="1:12">
      <c r="A280" s="131" t="s">
        <v>1683</v>
      </c>
      <c r="B280" s="132" t="s">
        <v>2922</v>
      </c>
      <c r="C280" s="131" t="s">
        <v>2833</v>
      </c>
      <c r="D280" s="133">
        <v>1</v>
      </c>
      <c r="E280" s="133">
        <v>0</v>
      </c>
      <c r="F280" s="133">
        <f t="shared" si="37"/>
        <v>0</v>
      </c>
      <c r="G280" s="133">
        <v>0</v>
      </c>
      <c r="H280" s="133">
        <f t="shared" si="38"/>
        <v>0</v>
      </c>
      <c r="I280" s="133">
        <f t="shared" si="39"/>
        <v>0</v>
      </c>
      <c r="J280" s="133">
        <f t="shared" si="39"/>
        <v>0</v>
      </c>
      <c r="K280" s="133">
        <v>0</v>
      </c>
      <c r="L280" s="133">
        <f t="shared" si="40"/>
        <v>0</v>
      </c>
    </row>
    <row r="281" spans="1:12">
      <c r="A281" s="131" t="s">
        <v>1683</v>
      </c>
      <c r="B281" s="132" t="s">
        <v>3072</v>
      </c>
      <c r="C281" s="131" t="s">
        <v>2833</v>
      </c>
      <c r="D281" s="133">
        <v>1</v>
      </c>
      <c r="E281" s="566"/>
      <c r="F281" s="133">
        <f t="shared" si="37"/>
        <v>0</v>
      </c>
      <c r="G281" s="133">
        <v>0</v>
      </c>
      <c r="H281" s="133">
        <f t="shared" si="38"/>
        <v>0</v>
      </c>
      <c r="I281" s="133">
        <f t="shared" si="39"/>
        <v>0</v>
      </c>
      <c r="J281" s="133">
        <f t="shared" si="39"/>
        <v>0</v>
      </c>
      <c r="K281" s="133">
        <v>0</v>
      </c>
      <c r="L281" s="133">
        <f t="shared" si="40"/>
        <v>0</v>
      </c>
    </row>
    <row r="282" spans="1:12">
      <c r="A282" s="131" t="s">
        <v>1683</v>
      </c>
      <c r="B282" s="132" t="s">
        <v>3051</v>
      </c>
      <c r="C282" s="131" t="s">
        <v>2833</v>
      </c>
      <c r="D282" s="133">
        <v>1</v>
      </c>
      <c r="E282" s="566"/>
      <c r="F282" s="133">
        <f t="shared" si="37"/>
        <v>0</v>
      </c>
      <c r="G282" s="133">
        <v>0</v>
      </c>
      <c r="H282" s="133">
        <f t="shared" si="38"/>
        <v>0</v>
      </c>
      <c r="I282" s="133">
        <f t="shared" si="39"/>
        <v>0</v>
      </c>
      <c r="J282" s="133">
        <f t="shared" si="39"/>
        <v>0</v>
      </c>
      <c r="K282" s="133">
        <v>0</v>
      </c>
      <c r="L282" s="133">
        <f t="shared" si="40"/>
        <v>0</v>
      </c>
    </row>
    <row r="283" spans="1:12">
      <c r="A283" s="131" t="s">
        <v>1683</v>
      </c>
      <c r="B283" s="132" t="s">
        <v>2837</v>
      </c>
      <c r="C283" s="131" t="s">
        <v>2833</v>
      </c>
      <c r="D283" s="133">
        <v>1</v>
      </c>
      <c r="E283" s="566"/>
      <c r="F283" s="133">
        <f t="shared" si="37"/>
        <v>0</v>
      </c>
      <c r="G283" s="133">
        <v>0</v>
      </c>
      <c r="H283" s="133">
        <f t="shared" si="38"/>
        <v>0</v>
      </c>
      <c r="I283" s="133">
        <f t="shared" si="39"/>
        <v>0</v>
      </c>
      <c r="J283" s="133">
        <f t="shared" si="39"/>
        <v>0</v>
      </c>
      <c r="K283" s="133">
        <v>0</v>
      </c>
      <c r="L283" s="133">
        <f t="shared" si="40"/>
        <v>0</v>
      </c>
    </row>
    <row r="284" spans="1:12">
      <c r="A284" s="131" t="s">
        <v>1683</v>
      </c>
      <c r="B284" s="132" t="s">
        <v>3011</v>
      </c>
      <c r="C284" s="131" t="s">
        <v>2845</v>
      </c>
      <c r="D284" s="133">
        <v>1</v>
      </c>
      <c r="E284" s="566"/>
      <c r="F284" s="133">
        <f t="shared" si="37"/>
        <v>0</v>
      </c>
      <c r="G284" s="133">
        <v>0</v>
      </c>
      <c r="H284" s="133">
        <f t="shared" si="38"/>
        <v>0</v>
      </c>
      <c r="I284" s="133">
        <f t="shared" si="39"/>
        <v>0</v>
      </c>
      <c r="J284" s="133">
        <f t="shared" si="39"/>
        <v>0</v>
      </c>
      <c r="K284" s="133">
        <v>0</v>
      </c>
      <c r="L284" s="133">
        <f t="shared" si="40"/>
        <v>0</v>
      </c>
    </row>
    <row r="285" spans="1:12">
      <c r="A285" s="131" t="s">
        <v>1683</v>
      </c>
      <c r="B285" s="132" t="s">
        <v>2838</v>
      </c>
      <c r="C285" s="131" t="s">
        <v>2833</v>
      </c>
      <c r="D285" s="133">
        <v>1</v>
      </c>
      <c r="E285" s="566"/>
      <c r="F285" s="133">
        <f t="shared" si="37"/>
        <v>0</v>
      </c>
      <c r="G285" s="133">
        <v>0</v>
      </c>
      <c r="H285" s="133">
        <f t="shared" si="38"/>
        <v>0</v>
      </c>
      <c r="I285" s="133">
        <f t="shared" si="39"/>
        <v>0</v>
      </c>
      <c r="J285" s="133">
        <f t="shared" si="39"/>
        <v>0</v>
      </c>
      <c r="K285" s="133">
        <v>0</v>
      </c>
      <c r="L285" s="133">
        <f t="shared" si="40"/>
        <v>0</v>
      </c>
    </row>
    <row r="286" spans="1:12">
      <c r="A286" s="131" t="s">
        <v>3073</v>
      </c>
      <c r="B286" s="132" t="s">
        <v>2892</v>
      </c>
      <c r="C286" s="131" t="s">
        <v>1683</v>
      </c>
      <c r="D286" s="133"/>
      <c r="E286" s="133"/>
      <c r="F286" s="133"/>
      <c r="G286" s="133"/>
      <c r="H286" s="133"/>
      <c r="I286" s="133">
        <f t="shared" si="39"/>
        <v>0</v>
      </c>
      <c r="J286" s="133">
        <f t="shared" si="39"/>
        <v>0</v>
      </c>
      <c r="K286" s="133"/>
      <c r="L286" s="133"/>
    </row>
    <row r="287" spans="1:12" ht="30">
      <c r="A287" s="131" t="s">
        <v>1683</v>
      </c>
      <c r="B287" s="132" t="s">
        <v>3074</v>
      </c>
      <c r="C287" s="131" t="s">
        <v>1683</v>
      </c>
      <c r="D287" s="133"/>
      <c r="E287" s="133"/>
      <c r="F287" s="133"/>
      <c r="G287" s="133"/>
      <c r="H287" s="133"/>
      <c r="I287" s="133"/>
      <c r="J287" s="133"/>
      <c r="K287" s="133"/>
      <c r="L287" s="133"/>
    </row>
    <row r="288" spans="1:12">
      <c r="A288" s="131" t="s">
        <v>3075</v>
      </c>
      <c r="B288" s="132" t="s">
        <v>3076</v>
      </c>
      <c r="C288" s="131" t="s">
        <v>2833</v>
      </c>
      <c r="D288" s="133">
        <v>8</v>
      </c>
      <c r="E288" s="566"/>
      <c r="F288" s="133">
        <f>D288*E288</f>
        <v>0</v>
      </c>
      <c r="G288" s="566"/>
      <c r="H288" s="133">
        <f>D288*G288</f>
        <v>0</v>
      </c>
      <c r="I288" s="133">
        <f>E288+G288</f>
        <v>0</v>
      </c>
      <c r="J288" s="133">
        <f>F288+H288</f>
        <v>0</v>
      </c>
      <c r="K288" s="133">
        <v>9.1</v>
      </c>
      <c r="L288" s="133">
        <f>D288*K288</f>
        <v>72.8</v>
      </c>
    </row>
    <row r="289" spans="1:12">
      <c r="A289" s="131" t="s">
        <v>3077</v>
      </c>
      <c r="B289" s="132" t="s">
        <v>3078</v>
      </c>
      <c r="C289" s="131" t="s">
        <v>2833</v>
      </c>
      <c r="D289" s="133">
        <v>1</v>
      </c>
      <c r="E289" s="566"/>
      <c r="F289" s="133">
        <f>D289*E289</f>
        <v>0</v>
      </c>
      <c r="G289" s="566"/>
      <c r="H289" s="133">
        <f>D289*G289</f>
        <v>0</v>
      </c>
      <c r="I289" s="133">
        <f>E289+G289</f>
        <v>0</v>
      </c>
      <c r="J289" s="133">
        <f>F289+H289</f>
        <v>0</v>
      </c>
      <c r="K289" s="133">
        <v>6.5</v>
      </c>
      <c r="L289" s="133">
        <f>D289*K289</f>
        <v>6.5</v>
      </c>
    </row>
    <row r="290" spans="1:12" ht="45">
      <c r="A290" s="131" t="s">
        <v>1683</v>
      </c>
      <c r="B290" s="132" t="s">
        <v>3079</v>
      </c>
      <c r="C290" s="131" t="s">
        <v>1683</v>
      </c>
      <c r="D290" s="133"/>
      <c r="E290" s="133"/>
      <c r="F290" s="133"/>
      <c r="G290" s="133"/>
      <c r="H290" s="133"/>
      <c r="I290" s="133"/>
      <c r="J290" s="133"/>
      <c r="K290" s="133"/>
      <c r="L290" s="133"/>
    </row>
    <row r="291" spans="1:12">
      <c r="A291" s="131" t="s">
        <v>3080</v>
      </c>
      <c r="B291" s="132" t="s">
        <v>3081</v>
      </c>
      <c r="C291" s="131" t="s">
        <v>2833</v>
      </c>
      <c r="D291" s="133">
        <v>1</v>
      </c>
      <c r="E291" s="566"/>
      <c r="F291" s="133">
        <f>D291*E291</f>
        <v>0</v>
      </c>
      <c r="G291" s="566"/>
      <c r="H291" s="133">
        <f>D291*G291</f>
        <v>0</v>
      </c>
      <c r="I291" s="133">
        <f>E291+G291</f>
        <v>0</v>
      </c>
      <c r="J291" s="133">
        <f>F291+H291</f>
        <v>0</v>
      </c>
      <c r="K291" s="133">
        <v>0.2</v>
      </c>
      <c r="L291" s="133">
        <f>D291*K291</f>
        <v>0.2</v>
      </c>
    </row>
    <row r="292" spans="1:12">
      <c r="A292" s="131" t="s">
        <v>1683</v>
      </c>
      <c r="B292" s="132" t="s">
        <v>2982</v>
      </c>
      <c r="C292" s="131" t="s">
        <v>1683</v>
      </c>
      <c r="D292" s="133"/>
      <c r="E292" s="133"/>
      <c r="F292" s="133"/>
      <c r="G292" s="133"/>
      <c r="H292" s="133"/>
      <c r="I292" s="133"/>
      <c r="J292" s="133"/>
      <c r="K292" s="133"/>
      <c r="L292" s="133"/>
    </row>
    <row r="293" spans="1:12">
      <c r="A293" s="131" t="s">
        <v>3082</v>
      </c>
      <c r="B293" s="132" t="s">
        <v>2882</v>
      </c>
      <c r="C293" s="131" t="s">
        <v>2833</v>
      </c>
      <c r="D293" s="133">
        <v>1</v>
      </c>
      <c r="E293" s="566"/>
      <c r="F293" s="133">
        <f>D293*E293</f>
        <v>0</v>
      </c>
      <c r="G293" s="566"/>
      <c r="H293" s="133">
        <f>D293*G293</f>
        <v>0</v>
      </c>
      <c r="I293" s="133">
        <f>E293+G293</f>
        <v>0</v>
      </c>
      <c r="J293" s="133">
        <f>F293+H293</f>
        <v>0</v>
      </c>
      <c r="K293" s="133">
        <v>2.38</v>
      </c>
      <c r="L293" s="133">
        <f>D293*K293</f>
        <v>2.38</v>
      </c>
    </row>
    <row r="294" spans="1:12" ht="30">
      <c r="A294" s="131" t="s">
        <v>1683</v>
      </c>
      <c r="B294" s="132" t="s">
        <v>2986</v>
      </c>
      <c r="C294" s="131" t="s">
        <v>1683</v>
      </c>
      <c r="D294" s="133"/>
      <c r="E294" s="133"/>
      <c r="F294" s="133"/>
      <c r="G294" s="133"/>
      <c r="H294" s="133"/>
      <c r="I294" s="133"/>
      <c r="J294" s="133"/>
      <c r="K294" s="133"/>
      <c r="L294" s="133"/>
    </row>
    <row r="295" spans="1:12">
      <c r="A295" s="131" t="s">
        <v>3083</v>
      </c>
      <c r="B295" s="132" t="s">
        <v>3062</v>
      </c>
      <c r="C295" s="131" t="s">
        <v>2833</v>
      </c>
      <c r="D295" s="133">
        <v>1</v>
      </c>
      <c r="E295" s="566"/>
      <c r="F295" s="133">
        <f>D295*E295</f>
        <v>0</v>
      </c>
      <c r="G295" s="566"/>
      <c r="H295" s="133">
        <f>D295*G295</f>
        <v>0</v>
      </c>
      <c r="I295" s="133">
        <f t="shared" ref="I295:J297" si="41">E295+G295</f>
        <v>0</v>
      </c>
      <c r="J295" s="133">
        <f t="shared" si="41"/>
        <v>0</v>
      </c>
      <c r="K295" s="133">
        <v>0.3</v>
      </c>
      <c r="L295" s="133">
        <f>D295*K295</f>
        <v>0.3</v>
      </c>
    </row>
    <row r="296" spans="1:12">
      <c r="A296" s="131" t="s">
        <v>3084</v>
      </c>
      <c r="B296" s="132" t="s">
        <v>2988</v>
      </c>
      <c r="C296" s="131" t="s">
        <v>2833</v>
      </c>
      <c r="D296" s="133">
        <v>1</v>
      </c>
      <c r="E296" s="566"/>
      <c r="F296" s="133">
        <f>D296*E296</f>
        <v>0</v>
      </c>
      <c r="G296" s="566"/>
      <c r="H296" s="133">
        <f>D296*G296</f>
        <v>0</v>
      </c>
      <c r="I296" s="133">
        <f t="shared" si="41"/>
        <v>0</v>
      </c>
      <c r="J296" s="133">
        <f t="shared" si="41"/>
        <v>0</v>
      </c>
      <c r="K296" s="133">
        <v>0.3</v>
      </c>
      <c r="L296" s="133">
        <f>D296*K296</f>
        <v>0.3</v>
      </c>
    </row>
    <row r="297" spans="1:12">
      <c r="A297" s="131" t="s">
        <v>3085</v>
      </c>
      <c r="B297" s="132" t="s">
        <v>2990</v>
      </c>
      <c r="C297" s="131" t="s">
        <v>2833</v>
      </c>
      <c r="D297" s="133">
        <v>2</v>
      </c>
      <c r="E297" s="566"/>
      <c r="F297" s="133">
        <f>D297*E297</f>
        <v>0</v>
      </c>
      <c r="G297" s="566"/>
      <c r="H297" s="133">
        <f>D297*G297</f>
        <v>0</v>
      </c>
      <c r="I297" s="133">
        <f t="shared" si="41"/>
        <v>0</v>
      </c>
      <c r="J297" s="133">
        <f t="shared" si="41"/>
        <v>0</v>
      </c>
      <c r="K297" s="133">
        <v>0.3</v>
      </c>
      <c r="L297" s="133">
        <f>D297*K297</f>
        <v>0.6</v>
      </c>
    </row>
    <row r="298" spans="1:12">
      <c r="A298" s="131" t="s">
        <v>3086</v>
      </c>
      <c r="B298" s="132" t="s">
        <v>2892</v>
      </c>
      <c r="C298" s="131" t="s">
        <v>1683</v>
      </c>
      <c r="D298" s="133"/>
      <c r="E298" s="133"/>
      <c r="F298" s="133"/>
      <c r="G298" s="133"/>
      <c r="H298" s="133"/>
      <c r="I298" s="133"/>
      <c r="J298" s="133"/>
      <c r="K298" s="133"/>
      <c r="L298" s="133"/>
    </row>
    <row r="299" spans="1:12" ht="30">
      <c r="A299" s="131" t="s">
        <v>1683</v>
      </c>
      <c r="B299" s="132" t="s">
        <v>2893</v>
      </c>
      <c r="C299" s="131" t="s">
        <v>1683</v>
      </c>
      <c r="D299" s="133"/>
      <c r="E299" s="133"/>
      <c r="F299" s="133"/>
      <c r="G299" s="133"/>
      <c r="H299" s="133"/>
      <c r="I299" s="133"/>
      <c r="J299" s="133"/>
      <c r="K299" s="133"/>
      <c r="L299" s="133"/>
    </row>
    <row r="300" spans="1:12">
      <c r="A300" s="131" t="s">
        <v>1683</v>
      </c>
      <c r="B300" s="132" t="s">
        <v>2894</v>
      </c>
      <c r="C300" s="131" t="s">
        <v>1683</v>
      </c>
      <c r="D300" s="133"/>
      <c r="E300" s="133"/>
      <c r="F300" s="133"/>
      <c r="G300" s="133"/>
      <c r="H300" s="133"/>
      <c r="I300" s="133"/>
      <c r="J300" s="133"/>
      <c r="K300" s="133"/>
      <c r="L300" s="133"/>
    </row>
    <row r="301" spans="1:12">
      <c r="A301" s="131" t="s">
        <v>3087</v>
      </c>
      <c r="B301" s="132" t="s">
        <v>2896</v>
      </c>
      <c r="C301" s="131" t="s">
        <v>2398</v>
      </c>
      <c r="D301" s="133">
        <v>2.64</v>
      </c>
      <c r="E301" s="566"/>
      <c r="F301" s="133">
        <f>D301*E301</f>
        <v>0</v>
      </c>
      <c r="G301" s="133">
        <v>0</v>
      </c>
      <c r="H301" s="133">
        <f>D301*G301</f>
        <v>0</v>
      </c>
      <c r="I301" s="133">
        <f>E301+G301</f>
        <v>0</v>
      </c>
      <c r="J301" s="133">
        <f>F301+H301</f>
        <v>0</v>
      </c>
      <c r="K301" s="133">
        <v>0</v>
      </c>
      <c r="L301" s="133">
        <f>D301*K301</f>
        <v>0</v>
      </c>
    </row>
    <row r="302" spans="1:12">
      <c r="A302" s="131" t="s">
        <v>3088</v>
      </c>
      <c r="B302" s="132" t="s">
        <v>2896</v>
      </c>
      <c r="C302" s="131" t="s">
        <v>2398</v>
      </c>
      <c r="D302" s="133">
        <v>4.34</v>
      </c>
      <c r="E302" s="566"/>
      <c r="F302" s="133">
        <f>D302*E302</f>
        <v>0</v>
      </c>
      <c r="G302" s="133">
        <v>0</v>
      </c>
      <c r="H302" s="133">
        <f>D302*G302</f>
        <v>0</v>
      </c>
      <c r="I302" s="133">
        <f>E302+G302</f>
        <v>0</v>
      </c>
      <c r="J302" s="133">
        <f>F302+H302</f>
        <v>0</v>
      </c>
      <c r="K302" s="133">
        <v>0</v>
      </c>
      <c r="L302" s="133">
        <f>D302*K302</f>
        <v>0</v>
      </c>
    </row>
    <row r="303" spans="1:12" ht="75">
      <c r="A303" s="131" t="s">
        <v>1683</v>
      </c>
      <c r="B303" s="132" t="s">
        <v>2900</v>
      </c>
      <c r="C303" s="131" t="s">
        <v>1683</v>
      </c>
      <c r="D303" s="133"/>
      <c r="E303" s="133"/>
      <c r="F303" s="133"/>
      <c r="G303" s="133"/>
      <c r="H303" s="133"/>
      <c r="I303" s="133"/>
      <c r="J303" s="133"/>
      <c r="K303" s="133"/>
      <c r="L303" s="133"/>
    </row>
    <row r="304" spans="1:12">
      <c r="A304" s="131" t="s">
        <v>3089</v>
      </c>
      <c r="B304" s="132" t="s">
        <v>2902</v>
      </c>
      <c r="C304" s="131" t="s">
        <v>2398</v>
      </c>
      <c r="D304" s="133">
        <v>0.7</v>
      </c>
      <c r="E304" s="566"/>
      <c r="F304" s="133">
        <f>D304*E304</f>
        <v>0</v>
      </c>
      <c r="G304" s="133">
        <v>0</v>
      </c>
      <c r="H304" s="133">
        <f>D304*G304</f>
        <v>0</v>
      </c>
      <c r="I304" s="133">
        <f>E304+G304</f>
        <v>0</v>
      </c>
      <c r="J304" s="133">
        <f>F304+H304</f>
        <v>0</v>
      </c>
      <c r="K304" s="133">
        <v>0</v>
      </c>
      <c r="L304" s="133">
        <f>D304*K304</f>
        <v>0</v>
      </c>
    </row>
    <row r="305" spans="1:12" ht="30">
      <c r="A305" s="131" t="s">
        <v>1683</v>
      </c>
      <c r="B305" s="132" t="s">
        <v>2906</v>
      </c>
      <c r="C305" s="131" t="s">
        <v>1683</v>
      </c>
      <c r="D305" s="133"/>
      <c r="E305" s="133"/>
      <c r="F305" s="133"/>
      <c r="G305" s="133"/>
      <c r="H305" s="133"/>
      <c r="I305" s="133"/>
      <c r="J305" s="133"/>
      <c r="K305" s="133"/>
      <c r="L305" s="133"/>
    </row>
    <row r="306" spans="1:12">
      <c r="A306" s="131" t="s">
        <v>1683</v>
      </c>
      <c r="B306" s="132" t="s">
        <v>3090</v>
      </c>
      <c r="C306" s="131" t="s">
        <v>2849</v>
      </c>
      <c r="D306" s="133">
        <v>0.3</v>
      </c>
      <c r="E306" s="566"/>
      <c r="F306" s="133">
        <f>D306*E306</f>
        <v>0</v>
      </c>
      <c r="G306" s="566"/>
      <c r="H306" s="133">
        <f>D306*G306</f>
        <v>0</v>
      </c>
      <c r="I306" s="133">
        <f>E306+G306</f>
        <v>0</v>
      </c>
      <c r="J306" s="133">
        <f>F306+H306</f>
        <v>0</v>
      </c>
      <c r="K306" s="133">
        <v>15</v>
      </c>
      <c r="L306" s="133">
        <f>D306*K306</f>
        <v>4.5</v>
      </c>
    </row>
    <row r="307" spans="1:12" ht="30">
      <c r="A307" s="131" t="s">
        <v>1683</v>
      </c>
      <c r="B307" s="132" t="s">
        <v>2914</v>
      </c>
      <c r="C307" s="131" t="s">
        <v>1683</v>
      </c>
      <c r="D307" s="133"/>
      <c r="E307" s="133"/>
      <c r="F307" s="133"/>
      <c r="G307" s="133"/>
      <c r="H307" s="133"/>
      <c r="I307" s="133"/>
      <c r="J307" s="133"/>
      <c r="K307" s="133"/>
      <c r="L307" s="133"/>
    </row>
    <row r="308" spans="1:12">
      <c r="A308" s="131" t="s">
        <v>1683</v>
      </c>
      <c r="B308" s="132" t="s">
        <v>3043</v>
      </c>
      <c r="C308" s="131" t="s">
        <v>2849</v>
      </c>
      <c r="D308" s="133">
        <v>2.2000000000000002</v>
      </c>
      <c r="E308" s="566"/>
      <c r="F308" s="133">
        <f>D308*E308</f>
        <v>0</v>
      </c>
      <c r="G308" s="566"/>
      <c r="H308" s="133">
        <f>D308*G308</f>
        <v>0</v>
      </c>
      <c r="I308" s="133">
        <f t="shared" ref="I308:J310" si="42">E308+G308</f>
        <v>0</v>
      </c>
      <c r="J308" s="133">
        <f t="shared" si="42"/>
        <v>0</v>
      </c>
      <c r="K308" s="133">
        <v>2</v>
      </c>
      <c r="L308" s="133">
        <f>D308*K308</f>
        <v>4.4000000000000004</v>
      </c>
    </row>
    <row r="309" spans="1:12">
      <c r="A309" s="131" t="s">
        <v>1683</v>
      </c>
      <c r="B309" s="132" t="s">
        <v>3091</v>
      </c>
      <c r="C309" s="131" t="s">
        <v>2849</v>
      </c>
      <c r="D309" s="133">
        <v>0.2</v>
      </c>
      <c r="E309" s="566"/>
      <c r="F309" s="133">
        <f>D309*E309</f>
        <v>0</v>
      </c>
      <c r="G309" s="566"/>
      <c r="H309" s="133">
        <f>D309*G309</f>
        <v>0</v>
      </c>
      <c r="I309" s="133">
        <f t="shared" si="42"/>
        <v>0</v>
      </c>
      <c r="J309" s="133">
        <f t="shared" si="42"/>
        <v>0</v>
      </c>
      <c r="K309" s="133">
        <v>3</v>
      </c>
      <c r="L309" s="133">
        <f>D309*K309</f>
        <v>0.60000000000000009</v>
      </c>
    </row>
    <row r="310" spans="1:12">
      <c r="A310" s="131" t="s">
        <v>1683</v>
      </c>
      <c r="B310" s="132" t="s">
        <v>3092</v>
      </c>
      <c r="C310" s="131" t="s">
        <v>2849</v>
      </c>
      <c r="D310" s="133">
        <v>20.9</v>
      </c>
      <c r="E310" s="566"/>
      <c r="F310" s="133">
        <f>D310*E310</f>
        <v>0</v>
      </c>
      <c r="G310" s="566"/>
      <c r="H310" s="133">
        <f>D310*G310</f>
        <v>0</v>
      </c>
      <c r="I310" s="133">
        <f t="shared" si="42"/>
        <v>0</v>
      </c>
      <c r="J310" s="133">
        <f t="shared" si="42"/>
        <v>0</v>
      </c>
      <c r="K310" s="133">
        <v>5</v>
      </c>
      <c r="L310" s="133">
        <f>D310*K310</f>
        <v>104.5</v>
      </c>
    </row>
    <row r="311" spans="1:12" ht="45">
      <c r="A311" s="131" t="s">
        <v>1683</v>
      </c>
      <c r="B311" s="132" t="s">
        <v>2917</v>
      </c>
      <c r="C311" s="131" t="s">
        <v>1683</v>
      </c>
      <c r="D311" s="133"/>
      <c r="E311" s="133"/>
      <c r="F311" s="133"/>
      <c r="G311" s="133"/>
      <c r="H311" s="133"/>
      <c r="I311" s="133"/>
      <c r="J311" s="133"/>
      <c r="K311" s="133"/>
      <c r="L311" s="133"/>
    </row>
    <row r="312" spans="1:12">
      <c r="A312" s="131" t="s">
        <v>1683</v>
      </c>
      <c r="B312" s="132" t="s">
        <v>2918</v>
      </c>
      <c r="C312" s="131" t="s">
        <v>1876</v>
      </c>
      <c r="D312" s="133">
        <v>1</v>
      </c>
      <c r="E312" s="566"/>
      <c r="F312" s="133">
        <f>D312*E312</f>
        <v>0</v>
      </c>
      <c r="G312" s="133">
        <v>0</v>
      </c>
      <c r="H312" s="133">
        <f>D312*G312</f>
        <v>0</v>
      </c>
      <c r="I312" s="133">
        <f>E312+G312</f>
        <v>0</v>
      </c>
      <c r="J312" s="133">
        <f>F312+H312</f>
        <v>0</v>
      </c>
      <c r="K312" s="133">
        <v>0</v>
      </c>
      <c r="L312" s="133">
        <f>D312*K312</f>
        <v>0</v>
      </c>
    </row>
    <row r="313" spans="1:12">
      <c r="A313" s="131" t="s">
        <v>1683</v>
      </c>
      <c r="B313" s="132" t="s">
        <v>3093</v>
      </c>
      <c r="C313" s="131" t="s">
        <v>1683</v>
      </c>
      <c r="D313" s="133"/>
      <c r="E313" s="133"/>
      <c r="F313" s="133">
        <f>SUM(F278:F312)</f>
        <v>0</v>
      </c>
      <c r="G313" s="133"/>
      <c r="H313" s="133">
        <f>SUM(H278:H312)</f>
        <v>0</v>
      </c>
      <c r="I313" s="133"/>
      <c r="J313" s="133">
        <f>SUM(J278:J312)</f>
        <v>0</v>
      </c>
      <c r="K313" s="133"/>
      <c r="L313" s="133">
        <f>SUM(L278:L312)</f>
        <v>271.08000000000004</v>
      </c>
    </row>
    <row r="314" spans="1:12">
      <c r="A314" s="131" t="s">
        <v>1683</v>
      </c>
      <c r="B314" s="132" t="s">
        <v>1683</v>
      </c>
      <c r="C314" s="131" t="s">
        <v>1683</v>
      </c>
      <c r="D314" s="133"/>
      <c r="E314" s="133"/>
      <c r="F314" s="133"/>
      <c r="G314" s="133"/>
      <c r="H314" s="133"/>
      <c r="I314" s="133"/>
      <c r="J314" s="133"/>
      <c r="K314" s="133"/>
      <c r="L314" s="133"/>
    </row>
    <row r="315" spans="1:12">
      <c r="A315" s="131" t="s">
        <v>1683</v>
      </c>
      <c r="B315" s="132" t="s">
        <v>1683</v>
      </c>
      <c r="C315" s="131" t="s">
        <v>1683</v>
      </c>
      <c r="D315" s="133"/>
      <c r="E315" s="133"/>
      <c r="F315" s="133"/>
      <c r="G315" s="133"/>
      <c r="H315" s="133"/>
      <c r="I315" s="133"/>
      <c r="J315" s="133"/>
      <c r="K315" s="133"/>
      <c r="L315" s="133"/>
    </row>
    <row r="316" spans="1:12">
      <c r="A316" s="131" t="s">
        <v>1683</v>
      </c>
      <c r="B316" s="132" t="s">
        <v>2817</v>
      </c>
      <c r="C316" s="131" t="s">
        <v>1683</v>
      </c>
      <c r="D316" s="133"/>
      <c r="E316" s="133"/>
      <c r="F316" s="133"/>
      <c r="G316" s="133"/>
      <c r="H316" s="133"/>
      <c r="I316" s="133"/>
      <c r="J316" s="133"/>
      <c r="K316" s="133"/>
      <c r="L316" s="133"/>
    </row>
    <row r="317" spans="1:12">
      <c r="A317" s="131" t="s">
        <v>1683</v>
      </c>
      <c r="B317" s="132" t="s">
        <v>3048</v>
      </c>
      <c r="C317" s="131" t="s">
        <v>1683</v>
      </c>
      <c r="D317" s="133"/>
      <c r="E317" s="133"/>
      <c r="F317" s="133"/>
      <c r="G317" s="133"/>
      <c r="H317" s="133"/>
      <c r="I317" s="133"/>
      <c r="J317" s="133"/>
      <c r="K317" s="133"/>
      <c r="L317" s="133"/>
    </row>
    <row r="318" spans="1:12" ht="75">
      <c r="A318" s="131" t="s">
        <v>3094</v>
      </c>
      <c r="B318" s="132" t="s">
        <v>3095</v>
      </c>
      <c r="C318" s="131" t="s">
        <v>2833</v>
      </c>
      <c r="D318" s="133">
        <v>1</v>
      </c>
      <c r="E318" s="566"/>
      <c r="F318" s="133">
        <f t="shared" ref="F318:F324" si="43">D318*E318</f>
        <v>0</v>
      </c>
      <c r="G318" s="566"/>
      <c r="H318" s="133">
        <f t="shared" ref="H318:H324" si="44">D318*G318</f>
        <v>0</v>
      </c>
      <c r="I318" s="133">
        <f t="shared" ref="I318:J325" si="45">E318+G318</f>
        <v>0</v>
      </c>
      <c r="J318" s="133">
        <f t="shared" si="45"/>
        <v>0</v>
      </c>
      <c r="K318" s="133">
        <v>74</v>
      </c>
      <c r="L318" s="133">
        <f t="shared" ref="L318:L324" si="46">D318*K318</f>
        <v>74</v>
      </c>
    </row>
    <row r="319" spans="1:12">
      <c r="A319" s="131" t="s">
        <v>1683</v>
      </c>
      <c r="B319" s="132" t="s">
        <v>2922</v>
      </c>
      <c r="C319" s="131" t="s">
        <v>2833</v>
      </c>
      <c r="D319" s="133">
        <v>1</v>
      </c>
      <c r="E319" s="133">
        <v>0</v>
      </c>
      <c r="F319" s="133">
        <f t="shared" si="43"/>
        <v>0</v>
      </c>
      <c r="G319" s="133">
        <v>0</v>
      </c>
      <c r="H319" s="133">
        <f t="shared" si="44"/>
        <v>0</v>
      </c>
      <c r="I319" s="133">
        <f t="shared" si="45"/>
        <v>0</v>
      </c>
      <c r="J319" s="133">
        <f t="shared" si="45"/>
        <v>0</v>
      </c>
      <c r="K319" s="133">
        <v>0</v>
      </c>
      <c r="L319" s="133">
        <f t="shared" si="46"/>
        <v>0</v>
      </c>
    </row>
    <row r="320" spans="1:12">
      <c r="A320" s="131" t="s">
        <v>1683</v>
      </c>
      <c r="B320" s="132" t="s">
        <v>3072</v>
      </c>
      <c r="C320" s="131" t="s">
        <v>2833</v>
      </c>
      <c r="D320" s="133">
        <v>1</v>
      </c>
      <c r="E320" s="566"/>
      <c r="F320" s="133">
        <f t="shared" si="43"/>
        <v>0</v>
      </c>
      <c r="G320" s="133">
        <v>0</v>
      </c>
      <c r="H320" s="133">
        <f t="shared" si="44"/>
        <v>0</v>
      </c>
      <c r="I320" s="133">
        <f t="shared" si="45"/>
        <v>0</v>
      </c>
      <c r="J320" s="133">
        <f t="shared" si="45"/>
        <v>0</v>
      </c>
      <c r="K320" s="133">
        <v>0</v>
      </c>
      <c r="L320" s="133">
        <f t="shared" si="46"/>
        <v>0</v>
      </c>
    </row>
    <row r="321" spans="1:12">
      <c r="A321" s="131" t="s">
        <v>1683</v>
      </c>
      <c r="B321" s="132" t="s">
        <v>3051</v>
      </c>
      <c r="C321" s="131" t="s">
        <v>2833</v>
      </c>
      <c r="D321" s="133">
        <v>1</v>
      </c>
      <c r="E321" s="566"/>
      <c r="F321" s="133">
        <f t="shared" si="43"/>
        <v>0</v>
      </c>
      <c r="G321" s="133">
        <v>0</v>
      </c>
      <c r="H321" s="133">
        <f t="shared" si="44"/>
        <v>0</v>
      </c>
      <c r="I321" s="133">
        <f t="shared" si="45"/>
        <v>0</v>
      </c>
      <c r="J321" s="133">
        <f t="shared" si="45"/>
        <v>0</v>
      </c>
      <c r="K321" s="133">
        <v>0</v>
      </c>
      <c r="L321" s="133">
        <f t="shared" si="46"/>
        <v>0</v>
      </c>
    </row>
    <row r="322" spans="1:12">
      <c r="A322" s="131" t="s">
        <v>1683</v>
      </c>
      <c r="B322" s="132" t="s">
        <v>2837</v>
      </c>
      <c r="C322" s="131" t="s">
        <v>2833</v>
      </c>
      <c r="D322" s="133">
        <v>1</v>
      </c>
      <c r="E322" s="566"/>
      <c r="F322" s="133">
        <f t="shared" si="43"/>
        <v>0</v>
      </c>
      <c r="G322" s="133">
        <v>0</v>
      </c>
      <c r="H322" s="133">
        <f t="shared" si="44"/>
        <v>0</v>
      </c>
      <c r="I322" s="133">
        <f t="shared" si="45"/>
        <v>0</v>
      </c>
      <c r="J322" s="133">
        <f t="shared" si="45"/>
        <v>0</v>
      </c>
      <c r="K322" s="133">
        <v>0</v>
      </c>
      <c r="L322" s="133">
        <f t="shared" si="46"/>
        <v>0</v>
      </c>
    </row>
    <row r="323" spans="1:12">
      <c r="A323" s="131" t="s">
        <v>1683</v>
      </c>
      <c r="B323" s="132" t="s">
        <v>3011</v>
      </c>
      <c r="C323" s="131" t="s">
        <v>2845</v>
      </c>
      <c r="D323" s="133">
        <v>1</v>
      </c>
      <c r="E323" s="566"/>
      <c r="F323" s="133">
        <f t="shared" si="43"/>
        <v>0</v>
      </c>
      <c r="G323" s="133">
        <v>0</v>
      </c>
      <c r="H323" s="133">
        <f t="shared" si="44"/>
        <v>0</v>
      </c>
      <c r="I323" s="133">
        <f t="shared" si="45"/>
        <v>0</v>
      </c>
      <c r="J323" s="133">
        <f t="shared" si="45"/>
        <v>0</v>
      </c>
      <c r="K323" s="133">
        <v>0</v>
      </c>
      <c r="L323" s="133">
        <f t="shared" si="46"/>
        <v>0</v>
      </c>
    </row>
    <row r="324" spans="1:12">
      <c r="A324" s="131" t="s">
        <v>1683</v>
      </c>
      <c r="B324" s="132" t="s">
        <v>2838</v>
      </c>
      <c r="C324" s="131" t="s">
        <v>2833</v>
      </c>
      <c r="D324" s="133">
        <v>1</v>
      </c>
      <c r="E324" s="566"/>
      <c r="F324" s="133">
        <f t="shared" si="43"/>
        <v>0</v>
      </c>
      <c r="G324" s="133">
        <v>0</v>
      </c>
      <c r="H324" s="133">
        <f t="shared" si="44"/>
        <v>0</v>
      </c>
      <c r="I324" s="133">
        <f t="shared" si="45"/>
        <v>0</v>
      </c>
      <c r="J324" s="133">
        <f t="shared" si="45"/>
        <v>0</v>
      </c>
      <c r="K324" s="133">
        <v>0</v>
      </c>
      <c r="L324" s="133">
        <f t="shared" si="46"/>
        <v>0</v>
      </c>
    </row>
    <row r="325" spans="1:12">
      <c r="A325" s="131" t="s">
        <v>3096</v>
      </c>
      <c r="B325" s="132" t="s">
        <v>2892</v>
      </c>
      <c r="C325" s="131" t="s">
        <v>1683</v>
      </c>
      <c r="D325" s="133"/>
      <c r="E325" s="133"/>
      <c r="F325" s="133"/>
      <c r="G325" s="133"/>
      <c r="H325" s="133"/>
      <c r="I325" s="133">
        <f t="shared" si="45"/>
        <v>0</v>
      </c>
      <c r="J325" s="133">
        <f t="shared" si="45"/>
        <v>0</v>
      </c>
      <c r="K325" s="133"/>
      <c r="L325" s="133"/>
    </row>
    <row r="326" spans="1:12" ht="30">
      <c r="A326" s="131" t="s">
        <v>1683</v>
      </c>
      <c r="B326" s="132" t="s">
        <v>3074</v>
      </c>
      <c r="C326" s="131" t="s">
        <v>1683</v>
      </c>
      <c r="D326" s="133"/>
      <c r="E326" s="133"/>
      <c r="F326" s="133"/>
      <c r="G326" s="133"/>
      <c r="H326" s="133"/>
      <c r="I326" s="133"/>
      <c r="J326" s="133"/>
      <c r="K326" s="133"/>
      <c r="L326" s="133"/>
    </row>
    <row r="327" spans="1:12">
      <c r="A327" s="131" t="s">
        <v>3097</v>
      </c>
      <c r="B327" s="132" t="s">
        <v>3076</v>
      </c>
      <c r="C327" s="131" t="s">
        <v>2833</v>
      </c>
      <c r="D327" s="133">
        <v>6</v>
      </c>
      <c r="E327" s="566"/>
      <c r="F327" s="133">
        <f>D327*E327</f>
        <v>0</v>
      </c>
      <c r="G327" s="566"/>
      <c r="H327" s="133">
        <f>D327*G327</f>
        <v>0</v>
      </c>
      <c r="I327" s="133">
        <f>E327+G327</f>
        <v>0</v>
      </c>
      <c r="J327" s="133">
        <f>F327+H327</f>
        <v>0</v>
      </c>
      <c r="K327" s="133">
        <v>9.1</v>
      </c>
      <c r="L327" s="133">
        <f>D327*K327</f>
        <v>54.599999999999994</v>
      </c>
    </row>
    <row r="328" spans="1:12">
      <c r="A328" s="131" t="s">
        <v>3098</v>
      </c>
      <c r="B328" s="132" t="s">
        <v>3078</v>
      </c>
      <c r="C328" s="131" t="s">
        <v>2833</v>
      </c>
      <c r="D328" s="133">
        <v>2</v>
      </c>
      <c r="E328" s="566"/>
      <c r="F328" s="133">
        <f>D328*E328</f>
        <v>0</v>
      </c>
      <c r="G328" s="566"/>
      <c r="H328" s="133">
        <f>D328*G328</f>
        <v>0</v>
      </c>
      <c r="I328" s="133">
        <f>E328+G328</f>
        <v>0</v>
      </c>
      <c r="J328" s="133">
        <f>F328+H328</f>
        <v>0</v>
      </c>
      <c r="K328" s="133">
        <v>6.5</v>
      </c>
      <c r="L328" s="133">
        <f>D328*K328</f>
        <v>13</v>
      </c>
    </row>
    <row r="329" spans="1:12" ht="30">
      <c r="A329" s="131" t="s">
        <v>1683</v>
      </c>
      <c r="B329" s="132" t="s">
        <v>3029</v>
      </c>
      <c r="C329" s="131" t="s">
        <v>1683</v>
      </c>
      <c r="D329" s="133"/>
      <c r="E329" s="133"/>
      <c r="F329" s="133"/>
      <c r="G329" s="133"/>
      <c r="H329" s="133"/>
      <c r="I329" s="133"/>
      <c r="J329" s="133"/>
      <c r="K329" s="133"/>
      <c r="L329" s="133"/>
    </row>
    <row r="330" spans="1:12">
      <c r="A330" s="131" t="s">
        <v>3099</v>
      </c>
      <c r="B330" s="132" t="s">
        <v>3100</v>
      </c>
      <c r="C330" s="131" t="s">
        <v>2833</v>
      </c>
      <c r="D330" s="133">
        <v>1</v>
      </c>
      <c r="E330" s="566"/>
      <c r="F330" s="133">
        <f>D330*E330</f>
        <v>0</v>
      </c>
      <c r="G330" s="566"/>
      <c r="H330" s="133">
        <f>D330*G330</f>
        <v>0</v>
      </c>
      <c r="I330" s="133">
        <f>E330+G330</f>
        <v>0</v>
      </c>
      <c r="J330" s="133">
        <f>F330+H330</f>
        <v>0</v>
      </c>
      <c r="K330" s="133">
        <v>0.3</v>
      </c>
      <c r="L330" s="133">
        <f>D330*K330</f>
        <v>0.3</v>
      </c>
    </row>
    <row r="331" spans="1:12">
      <c r="A331" s="131" t="s">
        <v>3101</v>
      </c>
      <c r="B331" s="132" t="s">
        <v>2892</v>
      </c>
      <c r="C331" s="131" t="s">
        <v>1683</v>
      </c>
      <c r="D331" s="133"/>
      <c r="E331" s="133"/>
      <c r="F331" s="133"/>
      <c r="G331" s="133"/>
      <c r="H331" s="133"/>
      <c r="I331" s="133"/>
      <c r="J331" s="133"/>
      <c r="K331" s="133"/>
      <c r="L331" s="133"/>
    </row>
    <row r="332" spans="1:12">
      <c r="A332" s="131" t="s">
        <v>1683</v>
      </c>
      <c r="B332" s="132" t="s">
        <v>2982</v>
      </c>
      <c r="C332" s="131" t="s">
        <v>1683</v>
      </c>
      <c r="D332" s="133"/>
      <c r="E332" s="133"/>
      <c r="F332" s="133"/>
      <c r="G332" s="133"/>
      <c r="H332" s="133"/>
      <c r="I332" s="133"/>
      <c r="J332" s="133"/>
      <c r="K332" s="133"/>
      <c r="L332" s="133"/>
    </row>
    <row r="333" spans="1:12">
      <c r="A333" s="131" t="s">
        <v>3102</v>
      </c>
      <c r="B333" s="132" t="s">
        <v>2882</v>
      </c>
      <c r="C333" s="131" t="s">
        <v>2833</v>
      </c>
      <c r="D333" s="133">
        <v>1</v>
      </c>
      <c r="E333" s="566"/>
      <c r="F333" s="133">
        <f>D333*E333</f>
        <v>0</v>
      </c>
      <c r="G333" s="566"/>
      <c r="H333" s="133">
        <f>D333*G333</f>
        <v>0</v>
      </c>
      <c r="I333" s="133">
        <f>E333+G333</f>
        <v>0</v>
      </c>
      <c r="J333" s="133">
        <f>F333+H333</f>
        <v>0</v>
      </c>
      <c r="K333" s="133">
        <v>2.38</v>
      </c>
      <c r="L333" s="133">
        <f>D333*K333</f>
        <v>2.38</v>
      </c>
    </row>
    <row r="334" spans="1:12" ht="30">
      <c r="A334" s="131" t="s">
        <v>1683</v>
      </c>
      <c r="B334" s="132" t="s">
        <v>2986</v>
      </c>
      <c r="C334" s="131" t="s">
        <v>1683</v>
      </c>
      <c r="D334" s="133"/>
      <c r="E334" s="133"/>
      <c r="F334" s="133"/>
      <c r="G334" s="133"/>
      <c r="H334" s="133"/>
      <c r="I334" s="133"/>
      <c r="J334" s="133"/>
      <c r="K334" s="133"/>
      <c r="L334" s="133"/>
    </row>
    <row r="335" spans="1:12">
      <c r="A335" s="131" t="s">
        <v>3103</v>
      </c>
      <c r="B335" s="132" t="s">
        <v>3062</v>
      </c>
      <c r="C335" s="131" t="s">
        <v>2833</v>
      </c>
      <c r="D335" s="133">
        <v>1</v>
      </c>
      <c r="E335" s="566"/>
      <c r="F335" s="133">
        <f>D335*E335</f>
        <v>0</v>
      </c>
      <c r="G335" s="566"/>
      <c r="H335" s="133">
        <f>D335*G335</f>
        <v>0</v>
      </c>
      <c r="I335" s="133">
        <f t="shared" ref="I335:J337" si="47">E335+G335</f>
        <v>0</v>
      </c>
      <c r="J335" s="133">
        <f t="shared" si="47"/>
        <v>0</v>
      </c>
      <c r="K335" s="133">
        <v>0.3</v>
      </c>
      <c r="L335" s="133">
        <f>D335*K335</f>
        <v>0.3</v>
      </c>
    </row>
    <row r="336" spans="1:12">
      <c r="A336" s="131" t="s">
        <v>3104</v>
      </c>
      <c r="B336" s="132" t="s">
        <v>2988</v>
      </c>
      <c r="C336" s="131" t="s">
        <v>2833</v>
      </c>
      <c r="D336" s="133">
        <v>1</v>
      </c>
      <c r="E336" s="566"/>
      <c r="F336" s="133">
        <f>D336*E336</f>
        <v>0</v>
      </c>
      <c r="G336" s="566"/>
      <c r="H336" s="133">
        <f>D336*G336</f>
        <v>0</v>
      </c>
      <c r="I336" s="133">
        <f t="shared" si="47"/>
        <v>0</v>
      </c>
      <c r="J336" s="133">
        <f t="shared" si="47"/>
        <v>0</v>
      </c>
      <c r="K336" s="133">
        <v>0.3</v>
      </c>
      <c r="L336" s="133">
        <f>D336*K336</f>
        <v>0.3</v>
      </c>
    </row>
    <row r="337" spans="1:12">
      <c r="A337" s="131" t="s">
        <v>3105</v>
      </c>
      <c r="B337" s="132" t="s">
        <v>2990</v>
      </c>
      <c r="C337" s="131" t="s">
        <v>2833</v>
      </c>
      <c r="D337" s="133">
        <v>3</v>
      </c>
      <c r="E337" s="566"/>
      <c r="F337" s="133">
        <f>D337*E337</f>
        <v>0</v>
      </c>
      <c r="G337" s="566"/>
      <c r="H337" s="133">
        <f>D337*G337</f>
        <v>0</v>
      </c>
      <c r="I337" s="133">
        <f t="shared" si="47"/>
        <v>0</v>
      </c>
      <c r="J337" s="133">
        <f t="shared" si="47"/>
        <v>0</v>
      </c>
      <c r="K337" s="133">
        <v>0.3</v>
      </c>
      <c r="L337" s="133">
        <f>D337*K337</f>
        <v>0.89999999999999991</v>
      </c>
    </row>
    <row r="338" spans="1:12">
      <c r="A338" s="131" t="s">
        <v>3106</v>
      </c>
      <c r="B338" s="132" t="s">
        <v>2892</v>
      </c>
      <c r="C338" s="131" t="s">
        <v>1683</v>
      </c>
      <c r="D338" s="133"/>
      <c r="E338" s="133"/>
      <c r="F338" s="133"/>
      <c r="G338" s="133"/>
      <c r="H338" s="133"/>
      <c r="I338" s="133"/>
      <c r="J338" s="133"/>
      <c r="K338" s="133"/>
      <c r="L338" s="133"/>
    </row>
    <row r="339" spans="1:12" ht="30">
      <c r="A339" s="131" t="s">
        <v>1683</v>
      </c>
      <c r="B339" s="132" t="s">
        <v>2893</v>
      </c>
      <c r="C339" s="131" t="s">
        <v>1683</v>
      </c>
      <c r="D339" s="133"/>
      <c r="E339" s="133"/>
      <c r="F339" s="133"/>
      <c r="G339" s="133"/>
      <c r="H339" s="133"/>
      <c r="I339" s="133"/>
      <c r="J339" s="133"/>
      <c r="K339" s="133"/>
      <c r="L339" s="133"/>
    </row>
    <row r="340" spans="1:12">
      <c r="A340" s="131" t="s">
        <v>1683</v>
      </c>
      <c r="B340" s="132" t="s">
        <v>2894</v>
      </c>
      <c r="C340" s="131" t="s">
        <v>1683</v>
      </c>
      <c r="D340" s="133"/>
      <c r="E340" s="133"/>
      <c r="F340" s="133"/>
      <c r="G340" s="133"/>
      <c r="H340" s="133"/>
      <c r="I340" s="133"/>
      <c r="J340" s="133"/>
      <c r="K340" s="133"/>
      <c r="L340" s="133"/>
    </row>
    <row r="341" spans="1:12">
      <c r="A341" s="131" t="s">
        <v>3107</v>
      </c>
      <c r="B341" s="132" t="s">
        <v>2896</v>
      </c>
      <c r="C341" s="131" t="s">
        <v>2398</v>
      </c>
      <c r="D341" s="133">
        <v>4.26</v>
      </c>
      <c r="E341" s="566"/>
      <c r="F341" s="133">
        <f>D341*E341</f>
        <v>0</v>
      </c>
      <c r="G341" s="133">
        <v>0</v>
      </c>
      <c r="H341" s="133">
        <f>D341*G341</f>
        <v>0</v>
      </c>
      <c r="I341" s="133">
        <f>E341+G341</f>
        <v>0</v>
      </c>
      <c r="J341" s="133">
        <f>F341+H341</f>
        <v>0</v>
      </c>
      <c r="K341" s="133">
        <v>0</v>
      </c>
      <c r="L341" s="133">
        <f>D341*K341</f>
        <v>0</v>
      </c>
    </row>
    <row r="342" spans="1:12">
      <c r="A342" s="131" t="s">
        <v>3108</v>
      </c>
      <c r="B342" s="132" t="s">
        <v>2896</v>
      </c>
      <c r="C342" s="131" t="s">
        <v>2398</v>
      </c>
      <c r="D342" s="133">
        <v>3.28</v>
      </c>
      <c r="E342" s="566"/>
      <c r="F342" s="133">
        <f>D342*E342</f>
        <v>0</v>
      </c>
      <c r="G342" s="133">
        <v>0</v>
      </c>
      <c r="H342" s="133">
        <f>D342*G342</f>
        <v>0</v>
      </c>
      <c r="I342" s="133">
        <f>E342+G342</f>
        <v>0</v>
      </c>
      <c r="J342" s="133">
        <f>F342+H342</f>
        <v>0</v>
      </c>
      <c r="K342" s="133">
        <v>0</v>
      </c>
      <c r="L342" s="133">
        <f>D342*K342</f>
        <v>0</v>
      </c>
    </row>
    <row r="343" spans="1:12" ht="75">
      <c r="A343" s="131" t="s">
        <v>1683</v>
      </c>
      <c r="B343" s="132" t="s">
        <v>2900</v>
      </c>
      <c r="C343" s="131" t="s">
        <v>1683</v>
      </c>
      <c r="D343" s="133"/>
      <c r="E343" s="133"/>
      <c r="F343" s="133"/>
      <c r="G343" s="133"/>
      <c r="H343" s="133"/>
      <c r="I343" s="133"/>
      <c r="J343" s="133"/>
      <c r="K343" s="133"/>
      <c r="L343" s="133"/>
    </row>
    <row r="344" spans="1:12">
      <c r="A344" s="131" t="s">
        <v>3109</v>
      </c>
      <c r="B344" s="132" t="s">
        <v>2902</v>
      </c>
      <c r="C344" s="131" t="s">
        <v>2398</v>
      </c>
      <c r="D344" s="133">
        <v>0.23</v>
      </c>
      <c r="E344" s="566"/>
      <c r="F344" s="133">
        <f>D344*E344</f>
        <v>0</v>
      </c>
      <c r="G344" s="133">
        <v>0</v>
      </c>
      <c r="H344" s="133">
        <f>D344*G344</f>
        <v>0</v>
      </c>
      <c r="I344" s="133">
        <f>E344+G344</f>
        <v>0</v>
      </c>
      <c r="J344" s="133">
        <f>F344+H344</f>
        <v>0</v>
      </c>
      <c r="K344" s="133">
        <v>0</v>
      </c>
      <c r="L344" s="133">
        <f>D344*K344</f>
        <v>0</v>
      </c>
    </row>
    <row r="345" spans="1:12" ht="30">
      <c r="A345" s="131" t="s">
        <v>1683</v>
      </c>
      <c r="B345" s="132" t="s">
        <v>2906</v>
      </c>
      <c r="C345" s="131" t="s">
        <v>1683</v>
      </c>
      <c r="D345" s="133"/>
      <c r="E345" s="133"/>
      <c r="F345" s="133"/>
      <c r="G345" s="133"/>
      <c r="H345" s="133"/>
      <c r="I345" s="133"/>
      <c r="J345" s="133"/>
      <c r="K345" s="133"/>
      <c r="L345" s="133"/>
    </row>
    <row r="346" spans="1:12">
      <c r="A346" s="131" t="s">
        <v>1683</v>
      </c>
      <c r="B346" s="132" t="s">
        <v>3090</v>
      </c>
      <c r="C346" s="131" t="s">
        <v>2849</v>
      </c>
      <c r="D346" s="133">
        <v>0.3</v>
      </c>
      <c r="E346" s="566"/>
      <c r="F346" s="133">
        <f>D346*E346</f>
        <v>0</v>
      </c>
      <c r="G346" s="566"/>
      <c r="H346" s="133">
        <f>D346*G346</f>
        <v>0</v>
      </c>
      <c r="I346" s="133">
        <f>E346+G346</f>
        <v>0</v>
      </c>
      <c r="J346" s="133">
        <f>F346+H346</f>
        <v>0</v>
      </c>
      <c r="K346" s="133">
        <v>15</v>
      </c>
      <c r="L346" s="133">
        <f>D346*K346</f>
        <v>4.5</v>
      </c>
    </row>
    <row r="347" spans="1:12" ht="30">
      <c r="A347" s="131" t="s">
        <v>1683</v>
      </c>
      <c r="B347" s="132" t="s">
        <v>2914</v>
      </c>
      <c r="C347" s="131" t="s">
        <v>1683</v>
      </c>
      <c r="D347" s="133"/>
      <c r="E347" s="133"/>
      <c r="F347" s="133"/>
      <c r="G347" s="133"/>
      <c r="H347" s="133"/>
      <c r="I347" s="133"/>
      <c r="J347" s="133"/>
      <c r="K347" s="133"/>
      <c r="L347" s="133"/>
    </row>
    <row r="348" spans="1:12">
      <c r="A348" s="131" t="s">
        <v>1683</v>
      </c>
      <c r="B348" s="132" t="s">
        <v>3110</v>
      </c>
      <c r="C348" s="131" t="s">
        <v>2849</v>
      </c>
      <c r="D348" s="133">
        <v>1.8</v>
      </c>
      <c r="E348" s="566"/>
      <c r="F348" s="133">
        <f>D348*E348</f>
        <v>0</v>
      </c>
      <c r="G348" s="566"/>
      <c r="H348" s="133">
        <f>D348*G348</f>
        <v>0</v>
      </c>
      <c r="I348" s="133">
        <f t="shared" ref="I348:J350" si="48">E348+G348</f>
        <v>0</v>
      </c>
      <c r="J348" s="133">
        <f t="shared" si="48"/>
        <v>0</v>
      </c>
      <c r="K348" s="133">
        <v>2</v>
      </c>
      <c r="L348" s="133">
        <f>D348*K348</f>
        <v>3.6</v>
      </c>
    </row>
    <row r="349" spans="1:12">
      <c r="A349" s="131" t="s">
        <v>1683</v>
      </c>
      <c r="B349" s="132" t="s">
        <v>3111</v>
      </c>
      <c r="C349" s="131" t="s">
        <v>2849</v>
      </c>
      <c r="D349" s="133">
        <v>11.3</v>
      </c>
      <c r="E349" s="566"/>
      <c r="F349" s="133">
        <f>D349*E349</f>
        <v>0</v>
      </c>
      <c r="G349" s="566"/>
      <c r="H349" s="133">
        <f>D349*G349</f>
        <v>0</v>
      </c>
      <c r="I349" s="133">
        <f t="shared" si="48"/>
        <v>0</v>
      </c>
      <c r="J349" s="133">
        <f t="shared" si="48"/>
        <v>0</v>
      </c>
      <c r="K349" s="133">
        <v>3</v>
      </c>
      <c r="L349" s="133">
        <f>D349*K349</f>
        <v>33.900000000000006</v>
      </c>
    </row>
    <row r="350" spans="1:12">
      <c r="A350" s="131" t="s">
        <v>1683</v>
      </c>
      <c r="B350" s="132" t="s">
        <v>3112</v>
      </c>
      <c r="C350" s="131" t="s">
        <v>2849</v>
      </c>
      <c r="D350" s="133">
        <v>16.3</v>
      </c>
      <c r="E350" s="566"/>
      <c r="F350" s="133">
        <f>D350*E350</f>
        <v>0</v>
      </c>
      <c r="G350" s="566"/>
      <c r="H350" s="133">
        <f>D350*G350</f>
        <v>0</v>
      </c>
      <c r="I350" s="133">
        <f t="shared" si="48"/>
        <v>0</v>
      </c>
      <c r="J350" s="133">
        <f t="shared" si="48"/>
        <v>0</v>
      </c>
      <c r="K350" s="133">
        <v>5</v>
      </c>
      <c r="L350" s="133">
        <f>D350*K350</f>
        <v>81.5</v>
      </c>
    </row>
    <row r="351" spans="1:12" ht="30">
      <c r="A351" s="131" t="s">
        <v>1683</v>
      </c>
      <c r="B351" s="132" t="s">
        <v>3113</v>
      </c>
      <c r="C351" s="131" t="s">
        <v>1683</v>
      </c>
      <c r="D351" s="133"/>
      <c r="E351" s="133"/>
      <c r="F351" s="133"/>
      <c r="G351" s="133"/>
      <c r="H351" s="133"/>
      <c r="I351" s="133"/>
      <c r="J351" s="133"/>
      <c r="K351" s="133"/>
      <c r="L351" s="133"/>
    </row>
    <row r="352" spans="1:12">
      <c r="A352" s="131" t="s">
        <v>1683</v>
      </c>
      <c r="B352" s="132" t="s">
        <v>3112</v>
      </c>
      <c r="C352" s="131" t="s">
        <v>2849</v>
      </c>
      <c r="D352" s="133">
        <v>5.0999999999999996</v>
      </c>
      <c r="E352" s="566"/>
      <c r="F352" s="133">
        <f>D352*E352</f>
        <v>0</v>
      </c>
      <c r="G352" s="566"/>
      <c r="H352" s="133">
        <f>D352*G352</f>
        <v>0</v>
      </c>
      <c r="I352" s="133">
        <f>E352+G352</f>
        <v>0</v>
      </c>
      <c r="J352" s="133">
        <f>F352+H352</f>
        <v>0</v>
      </c>
      <c r="K352" s="133">
        <v>5</v>
      </c>
      <c r="L352" s="133">
        <f>D352*K352</f>
        <v>25.5</v>
      </c>
    </row>
    <row r="353" spans="1:12" ht="45">
      <c r="A353" s="131" t="s">
        <v>1683</v>
      </c>
      <c r="B353" s="132" t="s">
        <v>2917</v>
      </c>
      <c r="C353" s="131" t="s">
        <v>1683</v>
      </c>
      <c r="D353" s="133"/>
      <c r="E353" s="133"/>
      <c r="F353" s="133"/>
      <c r="G353" s="133"/>
      <c r="H353" s="133"/>
      <c r="I353" s="133"/>
      <c r="J353" s="133"/>
      <c r="K353" s="133"/>
      <c r="L353" s="133"/>
    </row>
    <row r="354" spans="1:12">
      <c r="A354" s="131" t="s">
        <v>1683</v>
      </c>
      <c r="B354" s="132" t="s">
        <v>2918</v>
      </c>
      <c r="C354" s="131" t="s">
        <v>1876</v>
      </c>
      <c r="D354" s="133">
        <v>1</v>
      </c>
      <c r="E354" s="566"/>
      <c r="F354" s="133">
        <f>D354*E354</f>
        <v>0</v>
      </c>
      <c r="G354" s="133">
        <v>0</v>
      </c>
      <c r="H354" s="133">
        <f>D354*G354</f>
        <v>0</v>
      </c>
      <c r="I354" s="133">
        <f>E354+G354</f>
        <v>0</v>
      </c>
      <c r="J354" s="133">
        <f>F354+H354</f>
        <v>0</v>
      </c>
      <c r="K354" s="133">
        <v>0</v>
      </c>
      <c r="L354" s="133">
        <f>D354*K354</f>
        <v>0</v>
      </c>
    </row>
    <row r="355" spans="1:12">
      <c r="A355" s="131" t="s">
        <v>1683</v>
      </c>
      <c r="B355" s="132" t="s">
        <v>3114</v>
      </c>
      <c r="C355" s="131" t="s">
        <v>1683</v>
      </c>
      <c r="D355" s="133"/>
      <c r="E355" s="133"/>
      <c r="F355" s="133">
        <f>SUM(F317:F354)</f>
        <v>0</v>
      </c>
      <c r="G355" s="133"/>
      <c r="H355" s="133">
        <f>SUM(H317:H354)</f>
        <v>0</v>
      </c>
      <c r="I355" s="133"/>
      <c r="J355" s="133">
        <f>SUM(J317:J354)</f>
        <v>0</v>
      </c>
      <c r="K355" s="133"/>
      <c r="L355" s="133">
        <f>SUM(L317:L354)</f>
        <v>294.78000000000003</v>
      </c>
    </row>
    <row r="356" spans="1:12">
      <c r="A356" s="131" t="s">
        <v>1683</v>
      </c>
      <c r="B356" s="132" t="s">
        <v>1683</v>
      </c>
      <c r="C356" s="131" t="s">
        <v>1683</v>
      </c>
      <c r="D356" s="133"/>
      <c r="E356" s="133"/>
      <c r="F356" s="133"/>
      <c r="G356" s="133"/>
      <c r="H356" s="133"/>
      <c r="I356" s="133"/>
      <c r="J356" s="133"/>
      <c r="K356" s="133"/>
      <c r="L356" s="133"/>
    </row>
    <row r="357" spans="1:12">
      <c r="A357" s="131" t="s">
        <v>1683</v>
      </c>
      <c r="B357" s="132" t="s">
        <v>1683</v>
      </c>
      <c r="C357" s="131" t="s">
        <v>1683</v>
      </c>
      <c r="D357" s="133"/>
      <c r="E357" s="133"/>
      <c r="F357" s="133"/>
      <c r="G357" s="133"/>
      <c r="H357" s="133"/>
      <c r="I357" s="133"/>
      <c r="J357" s="133"/>
      <c r="K357" s="133"/>
      <c r="L357" s="133"/>
    </row>
    <row r="358" spans="1:12">
      <c r="A358" s="131" t="s">
        <v>1683</v>
      </c>
      <c r="B358" s="132" t="s">
        <v>2818</v>
      </c>
      <c r="C358" s="131" t="s">
        <v>1683</v>
      </c>
      <c r="D358" s="133"/>
      <c r="E358" s="133"/>
      <c r="F358" s="133"/>
      <c r="G358" s="133"/>
      <c r="H358" s="133"/>
      <c r="I358" s="133"/>
      <c r="J358" s="133"/>
      <c r="K358" s="133"/>
      <c r="L358" s="133"/>
    </row>
    <row r="359" spans="1:12">
      <c r="A359" s="131" t="s">
        <v>1683</v>
      </c>
      <c r="B359" s="132" t="s">
        <v>3115</v>
      </c>
      <c r="C359" s="131" t="s">
        <v>1876</v>
      </c>
      <c r="D359" s="133">
        <v>1</v>
      </c>
      <c r="E359" s="566"/>
      <c r="F359" s="133">
        <f t="shared" ref="F359:F364" si="49">D359*E359</f>
        <v>0</v>
      </c>
      <c r="G359" s="133">
        <v>0</v>
      </c>
      <c r="H359" s="133">
        <f t="shared" ref="H359:H364" si="50">D359*G359</f>
        <v>0</v>
      </c>
      <c r="I359" s="133">
        <f t="shared" ref="I359:J364" si="51">E359+G359</f>
        <v>0</v>
      </c>
      <c r="J359" s="133">
        <f t="shared" si="51"/>
        <v>0</v>
      </c>
      <c r="K359" s="133">
        <v>0</v>
      </c>
      <c r="L359" s="133">
        <f t="shared" ref="L359:L364" si="52">D359*K359</f>
        <v>0</v>
      </c>
    </row>
    <row r="360" spans="1:12">
      <c r="A360" s="131" t="s">
        <v>1683</v>
      </c>
      <c r="B360" s="132" t="s">
        <v>3116</v>
      </c>
      <c r="C360" s="131" t="s">
        <v>1876</v>
      </c>
      <c r="D360" s="133">
        <v>1</v>
      </c>
      <c r="E360" s="566"/>
      <c r="F360" s="133">
        <f t="shared" si="49"/>
        <v>0</v>
      </c>
      <c r="G360" s="133">
        <v>0</v>
      </c>
      <c r="H360" s="133">
        <f t="shared" si="50"/>
        <v>0</v>
      </c>
      <c r="I360" s="133">
        <f t="shared" si="51"/>
        <v>0</v>
      </c>
      <c r="J360" s="133">
        <f t="shared" si="51"/>
        <v>0</v>
      </c>
      <c r="K360" s="133">
        <v>0</v>
      </c>
      <c r="L360" s="133">
        <f t="shared" si="52"/>
        <v>0</v>
      </c>
    </row>
    <row r="361" spans="1:12">
      <c r="A361" s="131" t="s">
        <v>1683</v>
      </c>
      <c r="B361" s="132" t="s">
        <v>3117</v>
      </c>
      <c r="C361" s="131" t="s">
        <v>1876</v>
      </c>
      <c r="D361" s="133">
        <v>1</v>
      </c>
      <c r="E361" s="566"/>
      <c r="F361" s="133">
        <f t="shared" si="49"/>
        <v>0</v>
      </c>
      <c r="G361" s="133">
        <v>0</v>
      </c>
      <c r="H361" s="133">
        <f t="shared" si="50"/>
        <v>0</v>
      </c>
      <c r="I361" s="133">
        <f t="shared" si="51"/>
        <v>0</v>
      </c>
      <c r="J361" s="133">
        <f t="shared" si="51"/>
        <v>0</v>
      </c>
      <c r="K361" s="133">
        <v>0</v>
      </c>
      <c r="L361" s="133">
        <f t="shared" si="52"/>
        <v>0</v>
      </c>
    </row>
    <row r="362" spans="1:12">
      <c r="A362" s="131" t="s">
        <v>1683</v>
      </c>
      <c r="B362" s="132" t="s">
        <v>3118</v>
      </c>
      <c r="C362" s="131" t="s">
        <v>1876</v>
      </c>
      <c r="D362" s="133">
        <v>1</v>
      </c>
      <c r="E362" s="566"/>
      <c r="F362" s="133">
        <f t="shared" si="49"/>
        <v>0</v>
      </c>
      <c r="G362" s="133">
        <v>0</v>
      </c>
      <c r="H362" s="133">
        <f t="shared" si="50"/>
        <v>0</v>
      </c>
      <c r="I362" s="133">
        <f t="shared" si="51"/>
        <v>0</v>
      </c>
      <c r="J362" s="133">
        <f t="shared" si="51"/>
        <v>0</v>
      </c>
      <c r="K362" s="133">
        <v>0</v>
      </c>
      <c r="L362" s="133">
        <f t="shared" si="52"/>
        <v>0</v>
      </c>
    </row>
    <row r="363" spans="1:12">
      <c r="A363" s="131" t="s">
        <v>1683</v>
      </c>
      <c r="B363" s="132" t="s">
        <v>3119</v>
      </c>
      <c r="C363" s="131" t="s">
        <v>1876</v>
      </c>
      <c r="D363" s="133">
        <v>1</v>
      </c>
      <c r="E363" s="566"/>
      <c r="F363" s="133">
        <f t="shared" si="49"/>
        <v>0</v>
      </c>
      <c r="G363" s="133">
        <v>0</v>
      </c>
      <c r="H363" s="133">
        <f t="shared" si="50"/>
        <v>0</v>
      </c>
      <c r="I363" s="133">
        <f t="shared" si="51"/>
        <v>0</v>
      </c>
      <c r="J363" s="133">
        <f t="shared" si="51"/>
        <v>0</v>
      </c>
      <c r="K363" s="133">
        <v>0</v>
      </c>
      <c r="L363" s="133">
        <f t="shared" si="52"/>
        <v>0</v>
      </c>
    </row>
    <row r="364" spans="1:12">
      <c r="A364" s="131" t="s">
        <v>1683</v>
      </c>
      <c r="B364" s="132" t="s">
        <v>3120</v>
      </c>
      <c r="C364" s="131" t="s">
        <v>1876</v>
      </c>
      <c r="D364" s="133">
        <v>1</v>
      </c>
      <c r="E364" s="566"/>
      <c r="F364" s="133">
        <f t="shared" si="49"/>
        <v>0</v>
      </c>
      <c r="G364" s="133">
        <v>0</v>
      </c>
      <c r="H364" s="133">
        <f t="shared" si="50"/>
        <v>0</v>
      </c>
      <c r="I364" s="133">
        <f t="shared" si="51"/>
        <v>0</v>
      </c>
      <c r="J364" s="133">
        <f t="shared" si="51"/>
        <v>0</v>
      </c>
      <c r="K364" s="133">
        <v>0</v>
      </c>
      <c r="L364" s="133">
        <f t="shared" si="52"/>
        <v>0</v>
      </c>
    </row>
    <row r="365" spans="1:12">
      <c r="A365" s="131" t="s">
        <v>1683</v>
      </c>
      <c r="B365" s="132" t="s">
        <v>3121</v>
      </c>
      <c r="C365" s="131" t="s">
        <v>1683</v>
      </c>
      <c r="D365" s="133"/>
      <c r="E365" s="133"/>
      <c r="F365" s="133">
        <f>SUM(F359:F364)</f>
        <v>0</v>
      </c>
      <c r="G365" s="133"/>
      <c r="H365" s="133">
        <f>SUM(H359:H364)</f>
        <v>0</v>
      </c>
      <c r="I365" s="133"/>
      <c r="J365" s="133">
        <f>SUM(J359:J364)</f>
        <v>0</v>
      </c>
      <c r="K365" s="133"/>
      <c r="L365" s="133">
        <f>SUM(L359:L364)</f>
        <v>0</v>
      </c>
    </row>
    <row r="366" spans="1:12">
      <c r="A366" s="131" t="s">
        <v>1683</v>
      </c>
      <c r="B366" s="132" t="s">
        <v>1683</v>
      </c>
      <c r="C366" s="131" t="s">
        <v>1683</v>
      </c>
      <c r="D366" s="133"/>
      <c r="E366" s="133"/>
      <c r="F366" s="133"/>
      <c r="G366" s="133"/>
      <c r="H366" s="133"/>
      <c r="I366" s="133"/>
      <c r="J366" s="133"/>
      <c r="K366" s="133"/>
      <c r="L366" s="133"/>
    </row>
    <row r="367" spans="1:12">
      <c r="A367" s="131" t="s">
        <v>1683</v>
      </c>
      <c r="B367" s="132" t="s">
        <v>1683</v>
      </c>
      <c r="C367" s="131" t="s">
        <v>1683</v>
      </c>
      <c r="D367" s="133"/>
      <c r="E367" s="133"/>
      <c r="F367" s="133"/>
      <c r="G367" s="133"/>
      <c r="H367" s="133"/>
      <c r="I367" s="133"/>
      <c r="J367" s="133"/>
      <c r="K367" s="133"/>
      <c r="L367" s="133"/>
    </row>
    <row r="368" spans="1:12">
      <c r="A368" s="131" t="s">
        <v>1683</v>
      </c>
      <c r="B368" s="132" t="s">
        <v>3122</v>
      </c>
      <c r="C368" s="131" t="s">
        <v>1683</v>
      </c>
      <c r="D368" s="133"/>
      <c r="E368" s="133"/>
      <c r="F368" s="133"/>
      <c r="G368" s="133"/>
      <c r="H368" s="133"/>
      <c r="I368" s="133">
        <f t="shared" ref="I368:J376" si="53">E368+G368</f>
        <v>0</v>
      </c>
      <c r="J368" s="133">
        <f t="shared" si="53"/>
        <v>0</v>
      </c>
      <c r="K368" s="133"/>
      <c r="L368" s="133"/>
    </row>
    <row r="369" spans="1:12">
      <c r="A369" s="131" t="s">
        <v>1683</v>
      </c>
      <c r="B369" s="132" t="s">
        <v>3123</v>
      </c>
      <c r="C369" s="131" t="s">
        <v>2833</v>
      </c>
      <c r="D369" s="133">
        <v>1</v>
      </c>
      <c r="E369" s="566"/>
      <c r="F369" s="133">
        <f t="shared" ref="F369:F375" si="54">D369*E369</f>
        <v>0</v>
      </c>
      <c r="G369" s="133">
        <v>0</v>
      </c>
      <c r="H369" s="133">
        <f t="shared" ref="H369:H375" si="55">D369*G369</f>
        <v>0</v>
      </c>
      <c r="I369" s="133">
        <f t="shared" si="53"/>
        <v>0</v>
      </c>
      <c r="J369" s="133">
        <f t="shared" si="53"/>
        <v>0</v>
      </c>
      <c r="K369" s="133">
        <v>0</v>
      </c>
      <c r="L369" s="133">
        <f t="shared" ref="L369:L375" si="56">D369*K369</f>
        <v>0</v>
      </c>
    </row>
    <row r="370" spans="1:12">
      <c r="A370" s="131" t="s">
        <v>1683</v>
      </c>
      <c r="B370" s="132" t="s">
        <v>3124</v>
      </c>
      <c r="C370" s="131" t="s">
        <v>2833</v>
      </c>
      <c r="D370" s="133">
        <v>1</v>
      </c>
      <c r="E370" s="566"/>
      <c r="F370" s="133">
        <f t="shared" si="54"/>
        <v>0</v>
      </c>
      <c r="G370" s="133">
        <v>0</v>
      </c>
      <c r="H370" s="133">
        <f t="shared" si="55"/>
        <v>0</v>
      </c>
      <c r="I370" s="133">
        <f t="shared" si="53"/>
        <v>0</v>
      </c>
      <c r="J370" s="133">
        <f t="shared" si="53"/>
        <v>0</v>
      </c>
      <c r="K370" s="133">
        <v>0</v>
      </c>
      <c r="L370" s="133">
        <f t="shared" si="56"/>
        <v>0</v>
      </c>
    </row>
    <row r="371" spans="1:12">
      <c r="A371" s="131" t="s">
        <v>1683</v>
      </c>
      <c r="B371" s="132" t="s">
        <v>2838</v>
      </c>
      <c r="C371" s="131" t="s">
        <v>2833</v>
      </c>
      <c r="D371" s="133">
        <v>1</v>
      </c>
      <c r="E371" s="566"/>
      <c r="F371" s="133">
        <f t="shared" si="54"/>
        <v>0</v>
      </c>
      <c r="G371" s="133">
        <v>0</v>
      </c>
      <c r="H371" s="133">
        <f t="shared" si="55"/>
        <v>0</v>
      </c>
      <c r="I371" s="133">
        <f t="shared" si="53"/>
        <v>0</v>
      </c>
      <c r="J371" s="133">
        <f t="shared" si="53"/>
        <v>0</v>
      </c>
      <c r="K371" s="133">
        <v>0</v>
      </c>
      <c r="L371" s="133">
        <f t="shared" si="56"/>
        <v>0</v>
      </c>
    </row>
    <row r="372" spans="1:12">
      <c r="A372" s="131" t="s">
        <v>1683</v>
      </c>
      <c r="B372" s="132" t="s">
        <v>3125</v>
      </c>
      <c r="C372" s="131" t="s">
        <v>2833</v>
      </c>
      <c r="D372" s="133">
        <v>1</v>
      </c>
      <c r="E372" s="566"/>
      <c r="F372" s="133">
        <f t="shared" si="54"/>
        <v>0</v>
      </c>
      <c r="G372" s="133">
        <v>0</v>
      </c>
      <c r="H372" s="133">
        <f t="shared" si="55"/>
        <v>0</v>
      </c>
      <c r="I372" s="133">
        <f t="shared" si="53"/>
        <v>0</v>
      </c>
      <c r="J372" s="133">
        <f t="shared" si="53"/>
        <v>0</v>
      </c>
      <c r="K372" s="133">
        <v>0</v>
      </c>
      <c r="L372" s="133">
        <f t="shared" si="56"/>
        <v>0</v>
      </c>
    </row>
    <row r="373" spans="1:12">
      <c r="A373" s="131" t="s">
        <v>1683</v>
      </c>
      <c r="B373" s="132" t="s">
        <v>3126</v>
      </c>
      <c r="C373" s="131" t="s">
        <v>2833</v>
      </c>
      <c r="D373" s="133">
        <v>1</v>
      </c>
      <c r="E373" s="566"/>
      <c r="F373" s="133">
        <f t="shared" si="54"/>
        <v>0</v>
      </c>
      <c r="G373" s="133">
        <v>0</v>
      </c>
      <c r="H373" s="133">
        <f t="shared" si="55"/>
        <v>0</v>
      </c>
      <c r="I373" s="133">
        <f t="shared" si="53"/>
        <v>0</v>
      </c>
      <c r="J373" s="133">
        <f t="shared" si="53"/>
        <v>0</v>
      </c>
      <c r="K373" s="133">
        <v>0</v>
      </c>
      <c r="L373" s="133">
        <f t="shared" si="56"/>
        <v>0</v>
      </c>
    </row>
    <row r="374" spans="1:12">
      <c r="A374" s="131" t="s">
        <v>1683</v>
      </c>
      <c r="B374" s="132" t="s">
        <v>3127</v>
      </c>
      <c r="C374" s="131" t="s">
        <v>2833</v>
      </c>
      <c r="D374" s="133">
        <v>1</v>
      </c>
      <c r="E374" s="566"/>
      <c r="F374" s="133">
        <f t="shared" si="54"/>
        <v>0</v>
      </c>
      <c r="G374" s="133">
        <v>0</v>
      </c>
      <c r="H374" s="133">
        <f t="shared" si="55"/>
        <v>0</v>
      </c>
      <c r="I374" s="133">
        <f t="shared" si="53"/>
        <v>0</v>
      </c>
      <c r="J374" s="133">
        <f t="shared" si="53"/>
        <v>0</v>
      </c>
      <c r="K374" s="133">
        <v>0</v>
      </c>
      <c r="L374" s="133">
        <f t="shared" si="56"/>
        <v>0</v>
      </c>
    </row>
    <row r="375" spans="1:12">
      <c r="A375" s="131" t="s">
        <v>1683</v>
      </c>
      <c r="B375" s="132" t="s">
        <v>2839</v>
      </c>
      <c r="C375" s="131" t="s">
        <v>2833</v>
      </c>
      <c r="D375" s="133">
        <v>1</v>
      </c>
      <c r="E375" s="566"/>
      <c r="F375" s="133">
        <f t="shared" si="54"/>
        <v>0</v>
      </c>
      <c r="G375" s="133">
        <v>0</v>
      </c>
      <c r="H375" s="133">
        <f t="shared" si="55"/>
        <v>0</v>
      </c>
      <c r="I375" s="133">
        <f t="shared" si="53"/>
        <v>0</v>
      </c>
      <c r="J375" s="133">
        <f t="shared" si="53"/>
        <v>0</v>
      </c>
      <c r="K375" s="133">
        <v>0</v>
      </c>
      <c r="L375" s="133">
        <f t="shared" si="56"/>
        <v>0</v>
      </c>
    </row>
    <row r="376" spans="1:12">
      <c r="A376" s="131" t="s">
        <v>1683</v>
      </c>
      <c r="B376" s="132" t="s">
        <v>3122</v>
      </c>
      <c r="C376" s="131" t="s">
        <v>1683</v>
      </c>
      <c r="D376" s="133"/>
      <c r="E376" s="133"/>
      <c r="F376" s="133"/>
      <c r="G376" s="133"/>
      <c r="H376" s="133"/>
      <c r="I376" s="133">
        <f t="shared" si="53"/>
        <v>0</v>
      </c>
      <c r="J376" s="133">
        <f t="shared" si="53"/>
        <v>0</v>
      </c>
      <c r="K376" s="133"/>
      <c r="L376" s="133"/>
    </row>
  </sheetData>
  <pageMargins left="0.7" right="0.7" top="0.5" bottom="0.42" header="0.3" footer="0.3"/>
  <pageSetup paperSize="9" scale="50" orientation="landscape" r:id="rId1"/>
  <rowBreaks count="10" manualBreakCount="10">
    <brk id="31" max="16383" man="1"/>
    <brk id="71" max="16383" man="1"/>
    <brk id="106" max="16383" man="1"/>
    <brk id="122" max="16383" man="1"/>
    <brk id="166" max="16383" man="1"/>
    <brk id="192" max="16383" man="1"/>
    <brk id="242" max="16383" man="1"/>
    <brk id="275" max="16383" man="1"/>
    <brk id="314" max="16383" man="1"/>
    <brk id="3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L106"/>
  <sheetViews>
    <sheetView topLeftCell="C1" zoomScaleNormal="100" workbookViewId="0">
      <selection activeCell="N108" sqref="N108"/>
    </sheetView>
  </sheetViews>
  <sheetFormatPr defaultColWidth="14.5" defaultRowHeight="12.75"/>
  <cols>
    <col min="1" max="1" width="13" style="138" customWidth="1"/>
    <col min="2" max="2" width="16.5" style="138" customWidth="1"/>
    <col min="3" max="3" width="9.75" style="138" customWidth="1"/>
    <col min="4" max="4" width="21.25" style="138" customWidth="1"/>
    <col min="5" max="5" width="226.5" style="138" customWidth="1"/>
    <col min="6" max="6" width="9.25" style="138" customWidth="1"/>
    <col min="7" max="7" width="22.25" style="138" customWidth="1"/>
    <col min="8" max="9" width="24.75" style="138" customWidth="1"/>
    <col min="10" max="10" width="27.75" style="138" customWidth="1"/>
    <col min="11" max="12" width="22" style="138" customWidth="1"/>
    <col min="13" max="16384" width="14.5" style="138"/>
  </cols>
  <sheetData>
    <row r="1" spans="1:12" ht="12.75" customHeight="1">
      <c r="A1" s="135" t="s">
        <v>3128</v>
      </c>
      <c r="B1" s="136"/>
      <c r="C1" s="136"/>
      <c r="D1" s="136" t="s">
        <v>3129</v>
      </c>
      <c r="E1" s="136"/>
      <c r="F1" s="136"/>
      <c r="G1" s="137"/>
      <c r="H1" s="137"/>
      <c r="I1" s="137"/>
      <c r="J1" s="137"/>
      <c r="K1" s="136"/>
      <c r="L1" s="136"/>
    </row>
    <row r="2" spans="1:12" ht="12.75" customHeight="1">
      <c r="A2" s="135" t="s">
        <v>3130</v>
      </c>
      <c r="B2" s="136"/>
      <c r="C2" s="136"/>
      <c r="D2" s="136" t="s">
        <v>3131</v>
      </c>
      <c r="E2" s="136"/>
      <c r="F2" s="136"/>
      <c r="G2" s="137"/>
      <c r="H2" s="136"/>
      <c r="I2" s="136"/>
      <c r="J2" s="136"/>
      <c r="K2" s="136"/>
      <c r="L2" s="136"/>
    </row>
    <row r="3" spans="1:12" ht="12.75" customHeight="1">
      <c r="A3" s="135" t="s">
        <v>3132</v>
      </c>
      <c r="B3" s="136"/>
      <c r="C3" s="136"/>
      <c r="D3" s="136" t="s">
        <v>3133</v>
      </c>
      <c r="E3" s="136"/>
      <c r="F3" s="136"/>
      <c r="G3" s="136"/>
      <c r="H3" s="136"/>
      <c r="I3" s="136"/>
      <c r="J3" s="136"/>
      <c r="K3" s="136"/>
      <c r="L3" s="136"/>
    </row>
    <row r="4" spans="1:12" ht="12" customHeight="1">
      <c r="A4" s="135" t="s">
        <v>1182</v>
      </c>
      <c r="B4" s="136" t="s">
        <v>3134</v>
      </c>
      <c r="C4" s="136"/>
      <c r="D4" s="139" t="s">
        <v>3135</v>
      </c>
      <c r="E4" s="136"/>
      <c r="F4" s="136"/>
      <c r="G4" s="136"/>
      <c r="H4" s="136"/>
      <c r="I4" s="136"/>
      <c r="J4" s="136"/>
      <c r="K4" s="136"/>
      <c r="L4" s="136"/>
    </row>
    <row r="5" spans="1:12">
      <c r="A5" s="136"/>
      <c r="B5" s="136"/>
      <c r="C5" s="136"/>
      <c r="D5" s="136" t="s">
        <v>3136</v>
      </c>
      <c r="E5" s="136"/>
      <c r="F5" s="136"/>
      <c r="G5" s="136"/>
      <c r="H5" s="140" t="s">
        <v>3137</v>
      </c>
      <c r="I5" s="141"/>
      <c r="J5" s="136"/>
      <c r="K5" s="136"/>
      <c r="L5" s="136"/>
    </row>
    <row r="6" spans="1:12" ht="19.5" customHeight="1">
      <c r="A6" s="142" t="s">
        <v>3138</v>
      </c>
      <c r="B6" s="142" t="s">
        <v>3139</v>
      </c>
      <c r="C6" s="142" t="s">
        <v>3140</v>
      </c>
      <c r="D6" s="142" t="s">
        <v>3141</v>
      </c>
      <c r="E6" s="142" t="s">
        <v>2789</v>
      </c>
      <c r="F6" s="142" t="s">
        <v>859</v>
      </c>
      <c r="G6" s="143" t="s">
        <v>1463</v>
      </c>
      <c r="H6" s="144">
        <f>[2]Rekapitulace!G4</f>
        <v>0.15</v>
      </c>
      <c r="I6" s="144">
        <f>[2]Rekapitulace!H4</f>
        <v>0.21</v>
      </c>
      <c r="J6" s="145" t="s">
        <v>2827</v>
      </c>
      <c r="K6" s="146" t="s">
        <v>3142</v>
      </c>
      <c r="L6" s="146" t="s">
        <v>3143</v>
      </c>
    </row>
    <row r="7" spans="1:12" ht="12.75" customHeight="1">
      <c r="A7" s="147" t="s">
        <v>3144</v>
      </c>
      <c r="B7" s="147" t="s">
        <v>3145</v>
      </c>
      <c r="C7" s="147"/>
      <c r="D7" s="148" t="s">
        <v>3146</v>
      </c>
      <c r="E7" s="149" t="s">
        <v>3147</v>
      </c>
      <c r="F7" s="148"/>
      <c r="G7" s="150">
        <v>0</v>
      </c>
      <c r="H7" s="151"/>
      <c r="I7" s="151"/>
      <c r="J7" s="152">
        <f t="shared" ref="J7:J36" si="0">ROUND(G7*(H7+I7),2)</f>
        <v>0</v>
      </c>
      <c r="K7" s="153"/>
      <c r="L7" s="153"/>
    </row>
    <row r="8" spans="1:12" ht="12.75" customHeight="1">
      <c r="A8" s="154" t="s">
        <v>3148</v>
      </c>
      <c r="B8" s="154" t="s">
        <v>3149</v>
      </c>
      <c r="C8" s="154" t="s">
        <v>3150</v>
      </c>
      <c r="D8" s="155" t="s">
        <v>3151</v>
      </c>
      <c r="E8" s="155" t="s">
        <v>3152</v>
      </c>
      <c r="F8" s="155" t="s">
        <v>3153</v>
      </c>
      <c r="G8" s="156">
        <f>35*4*8</f>
        <v>1120</v>
      </c>
      <c r="H8" s="157"/>
      <c r="I8" s="565"/>
      <c r="J8" s="158">
        <f t="shared" si="0"/>
        <v>0</v>
      </c>
      <c r="K8" s="153">
        <v>0</v>
      </c>
      <c r="L8" s="153">
        <v>0</v>
      </c>
    </row>
    <row r="9" spans="1:12" ht="12.75" customHeight="1">
      <c r="A9" s="154" t="s">
        <v>3148</v>
      </c>
      <c r="B9" s="154" t="s">
        <v>3149</v>
      </c>
      <c r="C9" s="154" t="s">
        <v>3150</v>
      </c>
      <c r="D9" s="155" t="s">
        <v>3154</v>
      </c>
      <c r="E9" s="155" t="s">
        <v>3155</v>
      </c>
      <c r="F9" s="155" t="s">
        <v>3153</v>
      </c>
      <c r="G9" s="156">
        <v>200</v>
      </c>
      <c r="H9" s="157"/>
      <c r="I9" s="565"/>
      <c r="J9" s="158">
        <f t="shared" si="0"/>
        <v>0</v>
      </c>
      <c r="K9" s="153">
        <v>0</v>
      </c>
      <c r="L9" s="153">
        <v>0</v>
      </c>
    </row>
    <row r="10" spans="1:12">
      <c r="A10" s="154" t="s">
        <v>3148</v>
      </c>
      <c r="B10" s="154" t="s">
        <v>3149</v>
      </c>
      <c r="C10" s="154" t="s">
        <v>3150</v>
      </c>
      <c r="D10" s="155" t="s">
        <v>3156</v>
      </c>
      <c r="E10" s="159" t="s">
        <v>3157</v>
      </c>
      <c r="F10" s="155" t="s">
        <v>2833</v>
      </c>
      <c r="G10" s="156">
        <v>3</v>
      </c>
      <c r="H10" s="157"/>
      <c r="I10" s="565"/>
      <c r="J10" s="158">
        <f>ROUND(G10*(H10+I10),2)</f>
        <v>0</v>
      </c>
      <c r="K10" s="153">
        <v>0</v>
      </c>
      <c r="L10" s="153">
        <v>0</v>
      </c>
    </row>
    <row r="11" spans="1:12" ht="12.75" customHeight="1">
      <c r="A11" s="147" t="s">
        <v>3144</v>
      </c>
      <c r="B11" s="147" t="s">
        <v>3145</v>
      </c>
      <c r="C11" s="147"/>
      <c r="D11" s="148" t="s">
        <v>3158</v>
      </c>
      <c r="E11" s="149" t="s">
        <v>3159</v>
      </c>
      <c r="F11" s="148"/>
      <c r="G11" s="150">
        <v>0</v>
      </c>
      <c r="H11" s="151"/>
      <c r="I11" s="151"/>
      <c r="J11" s="152">
        <f t="shared" si="0"/>
        <v>0</v>
      </c>
      <c r="K11" s="153"/>
      <c r="L11" s="153"/>
    </row>
    <row r="12" spans="1:12" ht="12.75" customHeight="1">
      <c r="A12" s="154" t="s">
        <v>3148</v>
      </c>
      <c r="B12" s="154" t="s">
        <v>3149</v>
      </c>
      <c r="C12" s="154" t="s">
        <v>3150</v>
      </c>
      <c r="D12" s="155" t="s">
        <v>3160</v>
      </c>
      <c r="E12" s="155" t="s">
        <v>3161</v>
      </c>
      <c r="F12" s="155" t="s">
        <v>3153</v>
      </c>
      <c r="G12" s="156">
        <v>80</v>
      </c>
      <c r="H12" s="157"/>
      <c r="I12" s="565"/>
      <c r="J12" s="158">
        <f t="shared" si="0"/>
        <v>0</v>
      </c>
      <c r="K12" s="153">
        <v>0</v>
      </c>
      <c r="L12" s="153">
        <v>0</v>
      </c>
    </row>
    <row r="13" spans="1:12" ht="12.75" customHeight="1">
      <c r="A13" s="154" t="s">
        <v>3148</v>
      </c>
      <c r="B13" s="154" t="s">
        <v>3149</v>
      </c>
      <c r="C13" s="154" t="s">
        <v>3150</v>
      </c>
      <c r="D13" s="155" t="s">
        <v>3162</v>
      </c>
      <c r="E13" s="155" t="s">
        <v>3163</v>
      </c>
      <c r="F13" s="155" t="s">
        <v>3153</v>
      </c>
      <c r="G13" s="156">
        <v>30</v>
      </c>
      <c r="H13" s="157"/>
      <c r="I13" s="565"/>
      <c r="J13" s="158">
        <f t="shared" si="0"/>
        <v>0</v>
      </c>
      <c r="K13" s="153">
        <v>0</v>
      </c>
      <c r="L13" s="153">
        <v>0</v>
      </c>
    </row>
    <row r="14" spans="1:12" ht="12.75" customHeight="1">
      <c r="A14" s="154" t="s">
        <v>3148</v>
      </c>
      <c r="B14" s="154" t="s">
        <v>3149</v>
      </c>
      <c r="C14" s="154" t="s">
        <v>3150</v>
      </c>
      <c r="D14" s="155" t="s">
        <v>3164</v>
      </c>
      <c r="E14" s="155" t="s">
        <v>3165</v>
      </c>
      <c r="F14" s="155" t="s">
        <v>3153</v>
      </c>
      <c r="G14" s="156">
        <v>10</v>
      </c>
      <c r="H14" s="157"/>
      <c r="I14" s="565"/>
      <c r="J14" s="158">
        <f t="shared" si="0"/>
        <v>0</v>
      </c>
      <c r="K14" s="153">
        <v>0</v>
      </c>
      <c r="L14" s="153">
        <v>0</v>
      </c>
    </row>
    <row r="15" spans="1:12" ht="12.75" customHeight="1">
      <c r="A15" s="154" t="s">
        <v>3148</v>
      </c>
      <c r="B15" s="154" t="s">
        <v>3149</v>
      </c>
      <c r="C15" s="154" t="s">
        <v>3150</v>
      </c>
      <c r="D15" s="155" t="s">
        <v>3166</v>
      </c>
      <c r="E15" s="155" t="s">
        <v>3167</v>
      </c>
      <c r="F15" s="155" t="s">
        <v>2833</v>
      </c>
      <c r="G15" s="156">
        <v>1</v>
      </c>
      <c r="H15" s="157"/>
      <c r="I15" s="565"/>
      <c r="J15" s="158">
        <f t="shared" si="0"/>
        <v>0</v>
      </c>
      <c r="K15" s="153">
        <v>0</v>
      </c>
      <c r="L15" s="153">
        <v>0</v>
      </c>
    </row>
    <row r="16" spans="1:12">
      <c r="A16" s="154" t="s">
        <v>3148</v>
      </c>
      <c r="B16" s="154" t="s">
        <v>3149</v>
      </c>
      <c r="C16" s="154" t="s">
        <v>3150</v>
      </c>
      <c r="D16" s="155" t="s">
        <v>3168</v>
      </c>
      <c r="E16" s="159" t="s">
        <v>3169</v>
      </c>
      <c r="F16" s="155" t="s">
        <v>2833</v>
      </c>
      <c r="G16" s="156">
        <v>1</v>
      </c>
      <c r="H16" s="157"/>
      <c r="I16" s="565"/>
      <c r="J16" s="158">
        <f t="shared" si="0"/>
        <v>0</v>
      </c>
      <c r="K16" s="153">
        <v>0</v>
      </c>
      <c r="L16" s="153">
        <v>0</v>
      </c>
    </row>
    <row r="17" spans="1:12" ht="12.75" customHeight="1">
      <c r="A17" s="147" t="s">
        <v>3144</v>
      </c>
      <c r="B17" s="147" t="s">
        <v>3145</v>
      </c>
      <c r="C17" s="147"/>
      <c r="D17" s="148" t="s">
        <v>3170</v>
      </c>
      <c r="E17" s="149" t="s">
        <v>3171</v>
      </c>
      <c r="F17" s="148"/>
      <c r="G17" s="150">
        <v>0</v>
      </c>
      <c r="H17" s="151"/>
      <c r="I17" s="151"/>
      <c r="J17" s="152">
        <f t="shared" si="0"/>
        <v>0</v>
      </c>
      <c r="K17" s="153"/>
      <c r="L17" s="153"/>
    </row>
    <row r="18" spans="1:12">
      <c r="A18" s="154" t="s">
        <v>3148</v>
      </c>
      <c r="B18" s="154" t="s">
        <v>3149</v>
      </c>
      <c r="C18" s="154" t="s">
        <v>3150</v>
      </c>
      <c r="D18" s="155" t="s">
        <v>3172</v>
      </c>
      <c r="E18" s="159" t="s">
        <v>3173</v>
      </c>
      <c r="F18" s="155" t="s">
        <v>3153</v>
      </c>
      <c r="G18" s="156">
        <v>80</v>
      </c>
      <c r="H18" s="157"/>
      <c r="I18" s="565"/>
      <c r="J18" s="158">
        <f t="shared" si="0"/>
        <v>0</v>
      </c>
      <c r="K18" s="153">
        <v>0</v>
      </c>
      <c r="L18" s="153">
        <v>0</v>
      </c>
    </row>
    <row r="19" spans="1:12" ht="12.75" customHeight="1">
      <c r="A19" s="154" t="s">
        <v>3148</v>
      </c>
      <c r="B19" s="154" t="s">
        <v>3149</v>
      </c>
      <c r="C19" s="154" t="s">
        <v>3150</v>
      </c>
      <c r="D19" s="155" t="s">
        <v>3174</v>
      </c>
      <c r="E19" s="159" t="s">
        <v>3175</v>
      </c>
      <c r="F19" s="155" t="s">
        <v>3176</v>
      </c>
      <c r="G19" s="156">
        <v>50</v>
      </c>
      <c r="H19" s="157"/>
      <c r="I19" s="565"/>
      <c r="J19" s="158">
        <f t="shared" si="0"/>
        <v>0</v>
      </c>
      <c r="K19" s="153">
        <v>0</v>
      </c>
      <c r="L19" s="153">
        <v>0</v>
      </c>
    </row>
    <row r="20" spans="1:12">
      <c r="A20" s="154" t="s">
        <v>3148</v>
      </c>
      <c r="B20" s="154" t="s">
        <v>3149</v>
      </c>
      <c r="C20" s="154" t="s">
        <v>3150</v>
      </c>
      <c r="D20" s="155" t="s">
        <v>3177</v>
      </c>
      <c r="E20" s="159" t="s">
        <v>3178</v>
      </c>
      <c r="F20" s="155" t="s">
        <v>3153</v>
      </c>
      <c r="G20" s="156">
        <v>3</v>
      </c>
      <c r="H20" s="157"/>
      <c r="I20" s="565"/>
      <c r="J20" s="158">
        <f t="shared" si="0"/>
        <v>0</v>
      </c>
      <c r="K20" s="153">
        <v>0</v>
      </c>
      <c r="L20" s="153">
        <v>0</v>
      </c>
    </row>
    <row r="21" spans="1:12" ht="12.75" customHeight="1">
      <c r="A21" s="147" t="s">
        <v>3144</v>
      </c>
      <c r="B21" s="147" t="s">
        <v>3145</v>
      </c>
      <c r="C21" s="147"/>
      <c r="D21" s="148" t="s">
        <v>3179</v>
      </c>
      <c r="E21" s="149" t="s">
        <v>3180</v>
      </c>
      <c r="F21" s="148"/>
      <c r="G21" s="150" t="s">
        <v>2262</v>
      </c>
      <c r="H21" s="151"/>
      <c r="I21" s="151"/>
      <c r="J21" s="152" t="s">
        <v>2262</v>
      </c>
      <c r="K21" s="153"/>
      <c r="L21" s="153"/>
    </row>
    <row r="22" spans="1:12" ht="140.25">
      <c r="A22" s="154" t="s">
        <v>3149</v>
      </c>
      <c r="B22" s="154" t="s">
        <v>3181</v>
      </c>
      <c r="C22" s="154" t="s">
        <v>1908</v>
      </c>
      <c r="D22" s="155" t="s">
        <v>3182</v>
      </c>
      <c r="E22" s="160" t="s">
        <v>3183</v>
      </c>
      <c r="F22" s="155" t="s">
        <v>2833</v>
      </c>
      <c r="G22" s="156">
        <v>3</v>
      </c>
      <c r="H22" s="157"/>
      <c r="I22" s="565"/>
      <c r="J22" s="158">
        <f t="shared" si="0"/>
        <v>0</v>
      </c>
      <c r="K22" s="153">
        <v>0</v>
      </c>
      <c r="L22" s="153">
        <v>0</v>
      </c>
    </row>
    <row r="23" spans="1:12" ht="38.25">
      <c r="A23" s="154" t="s">
        <v>3149</v>
      </c>
      <c r="B23" s="154" t="s">
        <v>3181</v>
      </c>
      <c r="C23" s="154" t="s">
        <v>1908</v>
      </c>
      <c r="D23" s="155" t="s">
        <v>3184</v>
      </c>
      <c r="E23" s="159" t="s">
        <v>3185</v>
      </c>
      <c r="F23" s="155" t="s">
        <v>2833</v>
      </c>
      <c r="G23" s="156">
        <v>1</v>
      </c>
      <c r="H23" s="157"/>
      <c r="I23" s="565"/>
      <c r="J23" s="158">
        <f t="shared" si="0"/>
        <v>0</v>
      </c>
      <c r="K23" s="153">
        <v>0</v>
      </c>
      <c r="L23" s="153">
        <v>0</v>
      </c>
    </row>
    <row r="24" spans="1:12" ht="25.5">
      <c r="A24" s="154" t="s">
        <v>3149</v>
      </c>
      <c r="B24" s="154" t="s">
        <v>3181</v>
      </c>
      <c r="C24" s="154" t="s">
        <v>1908</v>
      </c>
      <c r="D24" s="155" t="s">
        <v>3186</v>
      </c>
      <c r="E24" s="159" t="s">
        <v>3187</v>
      </c>
      <c r="F24" s="155" t="s">
        <v>2833</v>
      </c>
      <c r="G24" s="156">
        <v>2</v>
      </c>
      <c r="H24" s="157"/>
      <c r="I24" s="565"/>
      <c r="J24" s="158">
        <f t="shared" si="0"/>
        <v>0</v>
      </c>
      <c r="K24" s="153">
        <v>0</v>
      </c>
      <c r="L24" s="153">
        <v>0</v>
      </c>
    </row>
    <row r="25" spans="1:12" ht="51">
      <c r="A25" s="154" t="s">
        <v>3149</v>
      </c>
      <c r="B25" s="154" t="s">
        <v>3181</v>
      </c>
      <c r="C25" s="154" t="s">
        <v>1908</v>
      </c>
      <c r="D25" s="155" t="s">
        <v>3188</v>
      </c>
      <c r="E25" s="159" t="s">
        <v>3189</v>
      </c>
      <c r="F25" s="155" t="s">
        <v>2833</v>
      </c>
      <c r="G25" s="156">
        <v>1</v>
      </c>
      <c r="H25" s="157"/>
      <c r="I25" s="565"/>
      <c r="J25" s="158">
        <f t="shared" si="0"/>
        <v>0</v>
      </c>
      <c r="K25" s="153">
        <v>0</v>
      </c>
      <c r="L25" s="153">
        <v>0</v>
      </c>
    </row>
    <row r="26" spans="1:12" ht="22.5">
      <c r="A26" s="154" t="s">
        <v>3149</v>
      </c>
      <c r="B26" s="154" t="s">
        <v>3181</v>
      </c>
      <c r="C26" s="154" t="s">
        <v>1908</v>
      </c>
      <c r="D26" s="155" t="s">
        <v>3190</v>
      </c>
      <c r="E26" s="159" t="s">
        <v>3191</v>
      </c>
      <c r="F26" s="155" t="s">
        <v>2833</v>
      </c>
      <c r="G26" s="156">
        <v>1</v>
      </c>
      <c r="H26" s="157"/>
      <c r="I26" s="565"/>
      <c r="J26" s="158">
        <f t="shared" si="0"/>
        <v>0</v>
      </c>
      <c r="K26" s="153">
        <v>0</v>
      </c>
      <c r="L26" s="153">
        <v>0</v>
      </c>
    </row>
    <row r="27" spans="1:12" ht="39.75">
      <c r="A27" s="154" t="s">
        <v>3149</v>
      </c>
      <c r="B27" s="154" t="s">
        <v>3181</v>
      </c>
      <c r="C27" s="154" t="s">
        <v>1908</v>
      </c>
      <c r="D27" s="155" t="s">
        <v>3192</v>
      </c>
      <c r="E27" s="159" t="s">
        <v>3193</v>
      </c>
      <c r="F27" s="155" t="s">
        <v>2833</v>
      </c>
      <c r="G27" s="156">
        <v>1</v>
      </c>
      <c r="H27" s="157"/>
      <c r="I27" s="565"/>
      <c r="J27" s="158">
        <f t="shared" si="0"/>
        <v>0</v>
      </c>
      <c r="K27" s="153">
        <v>0</v>
      </c>
      <c r="L27" s="153">
        <v>0</v>
      </c>
    </row>
    <row r="28" spans="1:12" ht="39.75">
      <c r="A28" s="154" t="s">
        <v>3149</v>
      </c>
      <c r="B28" s="154" t="s">
        <v>3181</v>
      </c>
      <c r="C28" s="154" t="s">
        <v>1908</v>
      </c>
      <c r="D28" s="155" t="s">
        <v>3194</v>
      </c>
      <c r="E28" s="159" t="s">
        <v>3195</v>
      </c>
      <c r="F28" s="155" t="s">
        <v>2833</v>
      </c>
      <c r="G28" s="156">
        <v>1</v>
      </c>
      <c r="H28" s="157"/>
      <c r="I28" s="565"/>
      <c r="J28" s="158">
        <f t="shared" si="0"/>
        <v>0</v>
      </c>
      <c r="K28" s="153">
        <v>0</v>
      </c>
      <c r="L28" s="153">
        <v>0</v>
      </c>
    </row>
    <row r="29" spans="1:12" ht="39.75">
      <c r="A29" s="154" t="s">
        <v>3149</v>
      </c>
      <c r="B29" s="154" t="s">
        <v>3181</v>
      </c>
      <c r="C29" s="154" t="s">
        <v>1908</v>
      </c>
      <c r="D29" s="155" t="s">
        <v>3196</v>
      </c>
      <c r="E29" s="159" t="s">
        <v>3197</v>
      </c>
      <c r="F29" s="155" t="s">
        <v>2833</v>
      </c>
      <c r="G29" s="156">
        <v>1</v>
      </c>
      <c r="H29" s="157"/>
      <c r="I29" s="565"/>
      <c r="J29" s="158">
        <f t="shared" si="0"/>
        <v>0</v>
      </c>
      <c r="K29" s="153">
        <v>0</v>
      </c>
      <c r="L29" s="153">
        <v>0</v>
      </c>
    </row>
    <row r="30" spans="1:12" ht="39.75">
      <c r="A30" s="154" t="s">
        <v>3149</v>
      </c>
      <c r="B30" s="154" t="s">
        <v>3181</v>
      </c>
      <c r="C30" s="154" t="s">
        <v>1908</v>
      </c>
      <c r="D30" s="155" t="s">
        <v>3198</v>
      </c>
      <c r="E30" s="159" t="s">
        <v>3199</v>
      </c>
      <c r="F30" s="155" t="s">
        <v>2833</v>
      </c>
      <c r="G30" s="156">
        <v>1</v>
      </c>
      <c r="H30" s="157"/>
      <c r="I30" s="565"/>
      <c r="J30" s="158">
        <f t="shared" si="0"/>
        <v>0</v>
      </c>
      <c r="K30" s="153">
        <v>0</v>
      </c>
      <c r="L30" s="153">
        <v>0</v>
      </c>
    </row>
    <row r="31" spans="1:12" ht="39.75">
      <c r="A31" s="154" t="s">
        <v>3149</v>
      </c>
      <c r="B31" s="154" t="s">
        <v>3181</v>
      </c>
      <c r="C31" s="154" t="s">
        <v>1908</v>
      </c>
      <c r="D31" s="155" t="s">
        <v>3200</v>
      </c>
      <c r="E31" s="159" t="s">
        <v>3201</v>
      </c>
      <c r="F31" s="155" t="s">
        <v>2833</v>
      </c>
      <c r="G31" s="156">
        <v>1</v>
      </c>
      <c r="H31" s="157"/>
      <c r="I31" s="565"/>
      <c r="J31" s="158">
        <f t="shared" si="0"/>
        <v>0</v>
      </c>
      <c r="K31" s="153">
        <v>0</v>
      </c>
      <c r="L31" s="153">
        <v>0</v>
      </c>
    </row>
    <row r="32" spans="1:12" ht="39.75">
      <c r="A32" s="154" t="s">
        <v>3149</v>
      </c>
      <c r="B32" s="154" t="s">
        <v>3181</v>
      </c>
      <c r="C32" s="154" t="s">
        <v>1908</v>
      </c>
      <c r="D32" s="155" t="s">
        <v>3202</v>
      </c>
      <c r="E32" s="159" t="s">
        <v>3203</v>
      </c>
      <c r="F32" s="155" t="s">
        <v>2833</v>
      </c>
      <c r="G32" s="156">
        <v>1</v>
      </c>
      <c r="H32" s="157"/>
      <c r="I32" s="565"/>
      <c r="J32" s="158">
        <f t="shared" si="0"/>
        <v>0</v>
      </c>
      <c r="K32" s="153">
        <v>0</v>
      </c>
      <c r="L32" s="153">
        <v>0</v>
      </c>
    </row>
    <row r="33" spans="1:12" ht="25.5">
      <c r="A33" s="154" t="s">
        <v>3149</v>
      </c>
      <c r="B33" s="154" t="s">
        <v>3181</v>
      </c>
      <c r="C33" s="154" t="s">
        <v>1908</v>
      </c>
      <c r="D33" s="155" t="s">
        <v>3204</v>
      </c>
      <c r="E33" s="159" t="s">
        <v>3205</v>
      </c>
      <c r="F33" s="155" t="s">
        <v>2833</v>
      </c>
      <c r="G33" s="156">
        <v>1</v>
      </c>
      <c r="H33" s="157"/>
      <c r="I33" s="565"/>
      <c r="J33" s="158">
        <f t="shared" si="0"/>
        <v>0</v>
      </c>
      <c r="K33" s="153">
        <v>0</v>
      </c>
      <c r="L33" s="153">
        <v>0</v>
      </c>
    </row>
    <row r="34" spans="1:12" ht="25.5">
      <c r="A34" s="154" t="s">
        <v>3149</v>
      </c>
      <c r="B34" s="154" t="s">
        <v>3181</v>
      </c>
      <c r="C34" s="154" t="s">
        <v>1908</v>
      </c>
      <c r="D34" s="155" t="s">
        <v>3206</v>
      </c>
      <c r="E34" s="159" t="s">
        <v>3207</v>
      </c>
      <c r="F34" s="155" t="s">
        <v>2833</v>
      </c>
      <c r="G34" s="156">
        <v>2</v>
      </c>
      <c r="H34" s="157"/>
      <c r="I34" s="565"/>
      <c r="J34" s="158">
        <f>ROUND(G34*(H34+I34),2)</f>
        <v>0</v>
      </c>
      <c r="K34" s="153">
        <v>0</v>
      </c>
      <c r="L34" s="153">
        <v>0</v>
      </c>
    </row>
    <row r="35" spans="1:12" ht="25.5">
      <c r="A35" s="154" t="s">
        <v>3149</v>
      </c>
      <c r="B35" s="154" t="s">
        <v>3181</v>
      </c>
      <c r="C35" s="154" t="s">
        <v>1908</v>
      </c>
      <c r="D35" s="155" t="s">
        <v>3208</v>
      </c>
      <c r="E35" s="159" t="s">
        <v>3209</v>
      </c>
      <c r="F35" s="155" t="s">
        <v>2833</v>
      </c>
      <c r="G35" s="156">
        <v>1</v>
      </c>
      <c r="H35" s="157"/>
      <c r="I35" s="565"/>
      <c r="J35" s="158">
        <f>ROUND(G35*(H35+I35),2)</f>
        <v>0</v>
      </c>
      <c r="K35" s="153">
        <v>0</v>
      </c>
      <c r="L35" s="153">
        <v>0</v>
      </c>
    </row>
    <row r="36" spans="1:12">
      <c r="A36" s="154" t="s">
        <v>3149</v>
      </c>
      <c r="B36" s="154" t="s">
        <v>3181</v>
      </c>
      <c r="C36" s="154" t="s">
        <v>1908</v>
      </c>
      <c r="D36" s="155" t="s">
        <v>3210</v>
      </c>
      <c r="E36" s="159" t="s">
        <v>3211</v>
      </c>
      <c r="F36" s="155" t="s">
        <v>2833</v>
      </c>
      <c r="G36" s="156">
        <v>2</v>
      </c>
      <c r="H36" s="157"/>
      <c r="I36" s="565"/>
      <c r="J36" s="158">
        <f t="shared" si="0"/>
        <v>0</v>
      </c>
      <c r="K36" s="153">
        <v>0</v>
      </c>
      <c r="L36" s="153">
        <v>0</v>
      </c>
    </row>
    <row r="37" spans="1:12" ht="25.5">
      <c r="A37" s="154" t="s">
        <v>3149</v>
      </c>
      <c r="B37" s="154" t="s">
        <v>3181</v>
      </c>
      <c r="C37" s="154" t="s">
        <v>1908</v>
      </c>
      <c r="D37" s="155" t="s">
        <v>3212</v>
      </c>
      <c r="E37" s="161" t="s">
        <v>3213</v>
      </c>
      <c r="F37" s="155" t="s">
        <v>2833</v>
      </c>
      <c r="G37" s="156">
        <v>2</v>
      </c>
      <c r="H37" s="157"/>
      <c r="I37" s="565"/>
      <c r="J37" s="158">
        <f>ROUND(G37*(H37+I37),2)</f>
        <v>0</v>
      </c>
      <c r="K37" s="153">
        <v>0</v>
      </c>
      <c r="L37" s="153">
        <v>0</v>
      </c>
    </row>
    <row r="38" spans="1:12">
      <c r="A38" s="154" t="s">
        <v>3149</v>
      </c>
      <c r="B38" s="154" t="s">
        <v>3181</v>
      </c>
      <c r="C38" s="154" t="s">
        <v>1908</v>
      </c>
      <c r="D38" s="155" t="s">
        <v>3214</v>
      </c>
      <c r="E38" s="159" t="s">
        <v>3215</v>
      </c>
      <c r="F38" s="155" t="s">
        <v>2833</v>
      </c>
      <c r="G38" s="156">
        <v>4</v>
      </c>
      <c r="H38" s="157"/>
      <c r="I38" s="565"/>
      <c r="J38" s="158">
        <f t="shared" ref="J38:J60" si="1">ROUND(G38*(H38+I38),2)</f>
        <v>0</v>
      </c>
      <c r="K38" s="153">
        <v>0</v>
      </c>
      <c r="L38" s="153">
        <v>0</v>
      </c>
    </row>
    <row r="39" spans="1:12">
      <c r="A39" s="154" t="s">
        <v>3149</v>
      </c>
      <c r="B39" s="154" t="s">
        <v>3181</v>
      </c>
      <c r="C39" s="154" t="s">
        <v>1908</v>
      </c>
      <c r="D39" s="155" t="s">
        <v>3216</v>
      </c>
      <c r="E39" s="159" t="s">
        <v>3217</v>
      </c>
      <c r="F39" s="155" t="s">
        <v>2833</v>
      </c>
      <c r="G39" s="156">
        <v>4</v>
      </c>
      <c r="H39" s="157"/>
      <c r="I39" s="565"/>
      <c r="J39" s="158">
        <f t="shared" si="1"/>
        <v>0</v>
      </c>
      <c r="K39" s="153">
        <v>0</v>
      </c>
      <c r="L39" s="153">
        <v>0</v>
      </c>
    </row>
    <row r="40" spans="1:12">
      <c r="A40" s="154" t="s">
        <v>3149</v>
      </c>
      <c r="B40" s="154" t="s">
        <v>3181</v>
      </c>
      <c r="C40" s="154" t="s">
        <v>1908</v>
      </c>
      <c r="D40" s="155" t="s">
        <v>3218</v>
      </c>
      <c r="E40" s="159" t="s">
        <v>3219</v>
      </c>
      <c r="F40" s="155" t="s">
        <v>2833</v>
      </c>
      <c r="G40" s="156">
        <v>4</v>
      </c>
      <c r="H40" s="157"/>
      <c r="I40" s="565"/>
      <c r="J40" s="158">
        <f t="shared" si="1"/>
        <v>0</v>
      </c>
      <c r="K40" s="153">
        <v>0</v>
      </c>
      <c r="L40" s="153">
        <v>0</v>
      </c>
    </row>
    <row r="41" spans="1:12">
      <c r="A41" s="154" t="s">
        <v>3149</v>
      </c>
      <c r="B41" s="154" t="s">
        <v>3181</v>
      </c>
      <c r="C41" s="154" t="s">
        <v>1908</v>
      </c>
      <c r="D41" s="155" t="s">
        <v>3220</v>
      </c>
      <c r="E41" s="161" t="s">
        <v>3221</v>
      </c>
      <c r="F41" s="155" t="s">
        <v>2833</v>
      </c>
      <c r="G41" s="156">
        <v>4</v>
      </c>
      <c r="H41" s="157"/>
      <c r="I41" s="565"/>
      <c r="J41" s="158">
        <f t="shared" si="1"/>
        <v>0</v>
      </c>
      <c r="K41" s="153">
        <v>0</v>
      </c>
      <c r="L41" s="153">
        <v>0</v>
      </c>
    </row>
    <row r="42" spans="1:12">
      <c r="A42" s="154" t="s">
        <v>3149</v>
      </c>
      <c r="B42" s="154" t="s">
        <v>3181</v>
      </c>
      <c r="C42" s="154" t="s">
        <v>1908</v>
      </c>
      <c r="D42" s="155" t="s">
        <v>3222</v>
      </c>
      <c r="E42" s="159" t="s">
        <v>3223</v>
      </c>
      <c r="F42" s="155" t="s">
        <v>2833</v>
      </c>
      <c r="G42" s="156">
        <v>26</v>
      </c>
      <c r="H42" s="157"/>
      <c r="I42" s="565"/>
      <c r="J42" s="158">
        <f t="shared" si="1"/>
        <v>0</v>
      </c>
      <c r="K42" s="153">
        <v>0</v>
      </c>
      <c r="L42" s="153">
        <v>0</v>
      </c>
    </row>
    <row r="43" spans="1:12">
      <c r="A43" s="154" t="s">
        <v>3149</v>
      </c>
      <c r="B43" s="154" t="s">
        <v>3181</v>
      </c>
      <c r="C43" s="154" t="s">
        <v>1908</v>
      </c>
      <c r="D43" s="155" t="s">
        <v>3224</v>
      </c>
      <c r="E43" s="159" t="s">
        <v>3225</v>
      </c>
      <c r="F43" s="155" t="s">
        <v>2833</v>
      </c>
      <c r="G43" s="156">
        <v>18</v>
      </c>
      <c r="H43" s="157"/>
      <c r="I43" s="565"/>
      <c r="J43" s="158">
        <f t="shared" si="1"/>
        <v>0</v>
      </c>
      <c r="K43" s="153">
        <v>0</v>
      </c>
      <c r="L43" s="153">
        <v>0</v>
      </c>
    </row>
    <row r="44" spans="1:12">
      <c r="A44" s="154" t="s">
        <v>3149</v>
      </c>
      <c r="B44" s="154" t="s">
        <v>3181</v>
      </c>
      <c r="C44" s="154" t="s">
        <v>1908</v>
      </c>
      <c r="D44" s="155" t="s">
        <v>3226</v>
      </c>
      <c r="E44" s="159" t="s">
        <v>3227</v>
      </c>
      <c r="F44" s="155" t="s">
        <v>2833</v>
      </c>
      <c r="G44" s="156">
        <v>2</v>
      </c>
      <c r="H44" s="157"/>
      <c r="I44" s="565"/>
      <c r="J44" s="158">
        <f t="shared" si="1"/>
        <v>0</v>
      </c>
      <c r="K44" s="153">
        <v>0</v>
      </c>
      <c r="L44" s="153">
        <v>0</v>
      </c>
    </row>
    <row r="45" spans="1:12">
      <c r="A45" s="154" t="s">
        <v>3149</v>
      </c>
      <c r="B45" s="154" t="s">
        <v>3181</v>
      </c>
      <c r="C45" s="154" t="s">
        <v>1908</v>
      </c>
      <c r="D45" s="155" t="s">
        <v>3228</v>
      </c>
      <c r="E45" s="159" t="s">
        <v>3229</v>
      </c>
      <c r="F45" s="155" t="s">
        <v>2833</v>
      </c>
      <c r="G45" s="156">
        <v>4</v>
      </c>
      <c r="H45" s="157"/>
      <c r="I45" s="565"/>
      <c r="J45" s="158">
        <f t="shared" si="1"/>
        <v>0</v>
      </c>
      <c r="K45" s="153">
        <v>0</v>
      </c>
      <c r="L45" s="153">
        <v>0</v>
      </c>
    </row>
    <row r="46" spans="1:12">
      <c r="A46" s="154" t="s">
        <v>3149</v>
      </c>
      <c r="B46" s="154" t="s">
        <v>3181</v>
      </c>
      <c r="C46" s="154" t="s">
        <v>1908</v>
      </c>
      <c r="D46" s="155" t="s">
        <v>3230</v>
      </c>
      <c r="E46" s="159" t="s">
        <v>3231</v>
      </c>
      <c r="F46" s="155" t="s">
        <v>2833</v>
      </c>
      <c r="G46" s="156">
        <v>13</v>
      </c>
      <c r="H46" s="157"/>
      <c r="I46" s="565"/>
      <c r="J46" s="158">
        <f t="shared" si="1"/>
        <v>0</v>
      </c>
      <c r="K46" s="153">
        <v>0</v>
      </c>
      <c r="L46" s="153">
        <v>0</v>
      </c>
    </row>
    <row r="47" spans="1:12">
      <c r="A47" s="154" t="s">
        <v>3149</v>
      </c>
      <c r="B47" s="154" t="s">
        <v>3181</v>
      </c>
      <c r="C47" s="154" t="s">
        <v>1908</v>
      </c>
      <c r="D47" s="155" t="s">
        <v>3232</v>
      </c>
      <c r="E47" s="159" t="s">
        <v>3233</v>
      </c>
      <c r="F47" s="155" t="s">
        <v>2833</v>
      </c>
      <c r="G47" s="156">
        <v>4</v>
      </c>
      <c r="H47" s="157"/>
      <c r="I47" s="565"/>
      <c r="J47" s="158">
        <f t="shared" si="1"/>
        <v>0</v>
      </c>
      <c r="K47" s="153">
        <v>0</v>
      </c>
      <c r="L47" s="153">
        <v>0</v>
      </c>
    </row>
    <row r="48" spans="1:12">
      <c r="A48" s="154" t="s">
        <v>3149</v>
      </c>
      <c r="B48" s="154" t="s">
        <v>3181</v>
      </c>
      <c r="C48" s="154" t="s">
        <v>1908</v>
      </c>
      <c r="D48" s="155" t="s">
        <v>3234</v>
      </c>
      <c r="E48" s="159" t="s">
        <v>3235</v>
      </c>
      <c r="F48" s="155" t="s">
        <v>2833</v>
      </c>
      <c r="G48" s="156">
        <v>6</v>
      </c>
      <c r="H48" s="157"/>
      <c r="I48" s="565"/>
      <c r="J48" s="158">
        <f t="shared" si="1"/>
        <v>0</v>
      </c>
      <c r="K48" s="153">
        <v>0</v>
      </c>
      <c r="L48" s="153">
        <v>0</v>
      </c>
    </row>
    <row r="49" spans="1:12">
      <c r="A49" s="154" t="s">
        <v>3149</v>
      </c>
      <c r="B49" s="154" t="s">
        <v>3181</v>
      </c>
      <c r="C49" s="154" t="s">
        <v>1908</v>
      </c>
      <c r="D49" s="155" t="s">
        <v>3236</v>
      </c>
      <c r="E49" s="161" t="s">
        <v>3237</v>
      </c>
      <c r="F49" s="155" t="s">
        <v>2833</v>
      </c>
      <c r="G49" s="156">
        <v>2</v>
      </c>
      <c r="H49" s="157"/>
      <c r="I49" s="565"/>
      <c r="J49" s="158">
        <f>ROUND(G49*(H49+I49),2)</f>
        <v>0</v>
      </c>
      <c r="K49" s="153">
        <v>0</v>
      </c>
      <c r="L49" s="153">
        <v>0</v>
      </c>
    </row>
    <row r="50" spans="1:12">
      <c r="A50" s="154" t="s">
        <v>3149</v>
      </c>
      <c r="B50" s="154" t="s">
        <v>3181</v>
      </c>
      <c r="C50" s="154" t="s">
        <v>1908</v>
      </c>
      <c r="D50" s="155" t="s">
        <v>3238</v>
      </c>
      <c r="E50" s="159" t="s">
        <v>3239</v>
      </c>
      <c r="F50" s="155" t="s">
        <v>2833</v>
      </c>
      <c r="G50" s="156">
        <v>16</v>
      </c>
      <c r="H50" s="157"/>
      <c r="I50" s="565"/>
      <c r="J50" s="158">
        <f t="shared" si="1"/>
        <v>0</v>
      </c>
      <c r="K50" s="153">
        <v>0</v>
      </c>
      <c r="L50" s="153">
        <v>0</v>
      </c>
    </row>
    <row r="51" spans="1:12" ht="14.25">
      <c r="A51" s="154" t="s">
        <v>3149</v>
      </c>
      <c r="B51" s="154" t="s">
        <v>3181</v>
      </c>
      <c r="C51" s="154" t="s">
        <v>1908</v>
      </c>
      <c r="D51" s="155" t="s">
        <v>3240</v>
      </c>
      <c r="E51" s="159" t="s">
        <v>3241</v>
      </c>
      <c r="F51" s="155" t="s">
        <v>2833</v>
      </c>
      <c r="G51" s="156">
        <v>15</v>
      </c>
      <c r="H51" s="157"/>
      <c r="I51" s="565"/>
      <c r="J51" s="158">
        <f t="shared" si="1"/>
        <v>0</v>
      </c>
      <c r="K51" s="153">
        <v>0</v>
      </c>
      <c r="L51" s="153">
        <v>0</v>
      </c>
    </row>
    <row r="52" spans="1:12">
      <c r="A52" s="154" t="s">
        <v>3149</v>
      </c>
      <c r="B52" s="154" t="s">
        <v>3181</v>
      </c>
      <c r="C52" s="154" t="s">
        <v>1908</v>
      </c>
      <c r="D52" s="155" t="s">
        <v>3242</v>
      </c>
      <c r="E52" s="161" t="s">
        <v>3243</v>
      </c>
      <c r="F52" s="155" t="s">
        <v>2833</v>
      </c>
      <c r="G52" s="156">
        <v>4</v>
      </c>
      <c r="H52" s="157"/>
      <c r="I52" s="565"/>
      <c r="J52" s="158">
        <f t="shared" si="1"/>
        <v>0</v>
      </c>
      <c r="K52" s="153">
        <v>0</v>
      </c>
      <c r="L52" s="153">
        <v>0</v>
      </c>
    </row>
    <row r="53" spans="1:12">
      <c r="A53" s="154" t="s">
        <v>3149</v>
      </c>
      <c r="B53" s="154" t="s">
        <v>3181</v>
      </c>
      <c r="C53" s="154" t="s">
        <v>1908</v>
      </c>
      <c r="D53" s="155" t="s">
        <v>3244</v>
      </c>
      <c r="E53" s="161" t="s">
        <v>3245</v>
      </c>
      <c r="F53" s="155" t="s">
        <v>2833</v>
      </c>
      <c r="G53" s="156">
        <v>1</v>
      </c>
      <c r="H53" s="157"/>
      <c r="I53" s="565"/>
      <c r="J53" s="158">
        <f t="shared" si="1"/>
        <v>0</v>
      </c>
      <c r="K53" s="153">
        <v>0</v>
      </c>
      <c r="L53" s="153">
        <v>0</v>
      </c>
    </row>
    <row r="54" spans="1:12">
      <c r="A54" s="154" t="s">
        <v>3149</v>
      </c>
      <c r="B54" s="154" t="s">
        <v>3181</v>
      </c>
      <c r="C54" s="154" t="s">
        <v>1908</v>
      </c>
      <c r="D54" s="155" t="s">
        <v>3246</v>
      </c>
      <c r="E54" s="161" t="s">
        <v>3247</v>
      </c>
      <c r="F54" s="155" t="s">
        <v>2833</v>
      </c>
      <c r="G54" s="156">
        <v>1</v>
      </c>
      <c r="H54" s="157"/>
      <c r="I54" s="565"/>
      <c r="J54" s="158">
        <f>ROUND(G54*(H54+I54),2)</f>
        <v>0</v>
      </c>
      <c r="K54" s="153">
        <v>0</v>
      </c>
      <c r="L54" s="153">
        <v>0</v>
      </c>
    </row>
    <row r="55" spans="1:12">
      <c r="A55" s="154" t="s">
        <v>3149</v>
      </c>
      <c r="B55" s="154" t="s">
        <v>3181</v>
      </c>
      <c r="C55" s="154" t="s">
        <v>1908</v>
      </c>
      <c r="D55" s="155" t="s">
        <v>3248</v>
      </c>
      <c r="E55" s="159" t="s">
        <v>3249</v>
      </c>
      <c r="F55" s="155" t="s">
        <v>2833</v>
      </c>
      <c r="G55" s="156">
        <v>4</v>
      </c>
      <c r="H55" s="157"/>
      <c r="I55" s="565"/>
      <c r="J55" s="158">
        <f t="shared" si="1"/>
        <v>0</v>
      </c>
      <c r="K55" s="153">
        <v>0</v>
      </c>
      <c r="L55" s="153">
        <v>0</v>
      </c>
    </row>
    <row r="56" spans="1:12">
      <c r="A56" s="154" t="s">
        <v>3149</v>
      </c>
      <c r="B56" s="154" t="s">
        <v>3181</v>
      </c>
      <c r="C56" s="154" t="s">
        <v>1908</v>
      </c>
      <c r="D56" s="155" t="s">
        <v>3250</v>
      </c>
      <c r="E56" s="159" t="s">
        <v>3251</v>
      </c>
      <c r="F56" s="155" t="s">
        <v>2833</v>
      </c>
      <c r="G56" s="156">
        <v>1</v>
      </c>
      <c r="H56" s="157"/>
      <c r="I56" s="565"/>
      <c r="J56" s="158">
        <f t="shared" si="1"/>
        <v>0</v>
      </c>
      <c r="K56" s="153">
        <v>0</v>
      </c>
      <c r="L56" s="153">
        <v>0</v>
      </c>
    </row>
    <row r="57" spans="1:12">
      <c r="A57" s="154" t="s">
        <v>3149</v>
      </c>
      <c r="B57" s="154" t="s">
        <v>3181</v>
      </c>
      <c r="C57" s="154" t="s">
        <v>1908</v>
      </c>
      <c r="D57" s="155" t="s">
        <v>3252</v>
      </c>
      <c r="E57" s="159" t="s">
        <v>3253</v>
      </c>
      <c r="F57" s="155" t="s">
        <v>2833</v>
      </c>
      <c r="G57" s="156">
        <v>2</v>
      </c>
      <c r="H57" s="157"/>
      <c r="I57" s="565"/>
      <c r="J57" s="158">
        <f t="shared" si="1"/>
        <v>0</v>
      </c>
      <c r="K57" s="153">
        <v>0</v>
      </c>
      <c r="L57" s="153">
        <v>0</v>
      </c>
    </row>
    <row r="58" spans="1:12" ht="25.5">
      <c r="A58" s="154" t="s">
        <v>3149</v>
      </c>
      <c r="B58" s="154" t="s">
        <v>3181</v>
      </c>
      <c r="C58" s="154" t="s">
        <v>1908</v>
      </c>
      <c r="D58" s="155" t="s">
        <v>3254</v>
      </c>
      <c r="E58" s="161" t="s">
        <v>3255</v>
      </c>
      <c r="F58" s="155" t="s">
        <v>2833</v>
      </c>
      <c r="G58" s="156">
        <v>1</v>
      </c>
      <c r="H58" s="157"/>
      <c r="I58" s="565"/>
      <c r="J58" s="158">
        <f t="shared" si="1"/>
        <v>0</v>
      </c>
      <c r="K58" s="153">
        <v>0</v>
      </c>
      <c r="L58" s="153">
        <v>0</v>
      </c>
    </row>
    <row r="59" spans="1:12" ht="15.75">
      <c r="A59" s="154" t="s">
        <v>3149</v>
      </c>
      <c r="B59" s="154" t="s">
        <v>3181</v>
      </c>
      <c r="C59" s="154" t="s">
        <v>1908</v>
      </c>
      <c r="D59" s="155" t="s">
        <v>3256</v>
      </c>
      <c r="E59" s="161" t="s">
        <v>3257</v>
      </c>
      <c r="F59" s="155" t="s">
        <v>2833</v>
      </c>
      <c r="G59" s="156">
        <v>9</v>
      </c>
      <c r="H59" s="157"/>
      <c r="I59" s="565"/>
      <c r="J59" s="158">
        <f t="shared" si="1"/>
        <v>0</v>
      </c>
      <c r="K59" s="153">
        <v>0</v>
      </c>
      <c r="L59" s="153">
        <v>0</v>
      </c>
    </row>
    <row r="60" spans="1:12" ht="38.25">
      <c r="A60" s="154" t="s">
        <v>3149</v>
      </c>
      <c r="B60" s="154" t="s">
        <v>3181</v>
      </c>
      <c r="C60" s="154" t="s">
        <v>1908</v>
      </c>
      <c r="D60" s="155" t="s">
        <v>3258</v>
      </c>
      <c r="E60" s="162" t="s">
        <v>3259</v>
      </c>
      <c r="F60" s="155" t="s">
        <v>2833</v>
      </c>
      <c r="G60" s="156">
        <v>2</v>
      </c>
      <c r="H60" s="157"/>
      <c r="I60" s="565"/>
      <c r="J60" s="158">
        <f t="shared" si="1"/>
        <v>0</v>
      </c>
      <c r="K60" s="153">
        <v>0</v>
      </c>
      <c r="L60" s="153">
        <v>0</v>
      </c>
    </row>
    <row r="61" spans="1:12" ht="38.25">
      <c r="A61" s="154" t="s">
        <v>3149</v>
      </c>
      <c r="B61" s="154" t="s">
        <v>3181</v>
      </c>
      <c r="C61" s="154" t="s">
        <v>1908</v>
      </c>
      <c r="D61" s="155" t="s">
        <v>3260</v>
      </c>
      <c r="E61" s="162" t="s">
        <v>3261</v>
      </c>
      <c r="F61" s="155" t="s">
        <v>2833</v>
      </c>
      <c r="G61" s="156">
        <v>4</v>
      </c>
      <c r="H61" s="157"/>
      <c r="I61" s="565"/>
      <c r="J61" s="158">
        <f>ROUND(G61*(H61+I61),2)</f>
        <v>0</v>
      </c>
      <c r="K61" s="153">
        <v>0</v>
      </c>
      <c r="L61" s="153">
        <v>0</v>
      </c>
    </row>
    <row r="62" spans="1:12">
      <c r="A62" s="147" t="s">
        <v>3144</v>
      </c>
      <c r="B62" s="147" t="s">
        <v>3145</v>
      </c>
      <c r="C62" s="147"/>
      <c r="D62" s="148" t="s">
        <v>3262</v>
      </c>
      <c r="E62" s="149" t="s">
        <v>3263</v>
      </c>
      <c r="F62" s="148"/>
      <c r="G62" s="150">
        <v>0</v>
      </c>
      <c r="H62" s="151"/>
      <c r="I62" s="151"/>
      <c r="J62" s="152">
        <f t="shared" ref="J62:J80" si="2">ROUND(G62*(H62+I62),2)</f>
        <v>0</v>
      </c>
      <c r="K62" s="153"/>
      <c r="L62" s="153"/>
    </row>
    <row r="63" spans="1:12">
      <c r="A63" s="154" t="s">
        <v>3149</v>
      </c>
      <c r="B63" s="154" t="s">
        <v>3181</v>
      </c>
      <c r="C63" s="154" t="s">
        <v>1908</v>
      </c>
      <c r="D63" s="155" t="s">
        <v>3264</v>
      </c>
      <c r="E63" s="161" t="s">
        <v>3265</v>
      </c>
      <c r="F63" s="155" t="s">
        <v>2019</v>
      </c>
      <c r="G63" s="156">
        <v>28</v>
      </c>
      <c r="H63" s="157"/>
      <c r="I63" s="565"/>
      <c r="J63" s="158">
        <f t="shared" si="2"/>
        <v>0</v>
      </c>
      <c r="K63" s="153">
        <v>0</v>
      </c>
      <c r="L63" s="153">
        <v>0</v>
      </c>
    </row>
    <row r="64" spans="1:12">
      <c r="A64" s="154" t="s">
        <v>3149</v>
      </c>
      <c r="B64" s="154" t="s">
        <v>3181</v>
      </c>
      <c r="C64" s="154" t="s">
        <v>1908</v>
      </c>
      <c r="D64" s="155" t="s">
        <v>3266</v>
      </c>
      <c r="E64" s="159" t="s">
        <v>3267</v>
      </c>
      <c r="F64" s="155" t="s">
        <v>2019</v>
      </c>
      <c r="G64" s="156">
        <v>5</v>
      </c>
      <c r="H64" s="157"/>
      <c r="I64" s="565"/>
      <c r="J64" s="158">
        <f>ROUND(G64*(H64+I64),2)</f>
        <v>0</v>
      </c>
      <c r="K64" s="153">
        <v>0</v>
      </c>
      <c r="L64" s="153">
        <v>0</v>
      </c>
    </row>
    <row r="65" spans="1:12">
      <c r="A65" s="154" t="s">
        <v>3149</v>
      </c>
      <c r="B65" s="154" t="s">
        <v>3181</v>
      </c>
      <c r="C65" s="154" t="s">
        <v>1908</v>
      </c>
      <c r="D65" s="155" t="s">
        <v>3268</v>
      </c>
      <c r="E65" s="159" t="s">
        <v>3269</v>
      </c>
      <c r="F65" s="155" t="s">
        <v>2019</v>
      </c>
      <c r="G65" s="156">
        <v>68</v>
      </c>
      <c r="H65" s="157"/>
      <c r="I65" s="565"/>
      <c r="J65" s="158">
        <f t="shared" si="2"/>
        <v>0</v>
      </c>
      <c r="K65" s="153">
        <v>0</v>
      </c>
      <c r="L65" s="153">
        <v>0</v>
      </c>
    </row>
    <row r="66" spans="1:12">
      <c r="A66" s="154" t="s">
        <v>3149</v>
      </c>
      <c r="B66" s="154" t="s">
        <v>3181</v>
      </c>
      <c r="C66" s="154" t="s">
        <v>1908</v>
      </c>
      <c r="D66" s="155" t="s">
        <v>3270</v>
      </c>
      <c r="E66" s="159" t="s">
        <v>3271</v>
      </c>
      <c r="F66" s="155" t="s">
        <v>2019</v>
      </c>
      <c r="G66" s="156">
        <v>37</v>
      </c>
      <c r="H66" s="157"/>
      <c r="I66" s="565"/>
      <c r="J66" s="158">
        <f t="shared" si="2"/>
        <v>0</v>
      </c>
      <c r="K66" s="153">
        <v>0</v>
      </c>
      <c r="L66" s="153">
        <v>0</v>
      </c>
    </row>
    <row r="67" spans="1:12">
      <c r="A67" s="154" t="s">
        <v>3149</v>
      </c>
      <c r="B67" s="154" t="s">
        <v>3181</v>
      </c>
      <c r="C67" s="154" t="s">
        <v>1908</v>
      </c>
      <c r="D67" s="155" t="s">
        <v>3272</v>
      </c>
      <c r="E67" s="159" t="s">
        <v>3273</v>
      </c>
      <c r="F67" s="155" t="s">
        <v>2019</v>
      </c>
      <c r="G67" s="156">
        <v>81</v>
      </c>
      <c r="H67" s="157"/>
      <c r="I67" s="565"/>
      <c r="J67" s="158">
        <f t="shared" si="2"/>
        <v>0</v>
      </c>
      <c r="K67" s="153">
        <v>0</v>
      </c>
      <c r="L67" s="153">
        <v>0</v>
      </c>
    </row>
    <row r="68" spans="1:12">
      <c r="A68" s="154" t="s">
        <v>3149</v>
      </c>
      <c r="B68" s="154" t="s">
        <v>3181</v>
      </c>
      <c r="C68" s="154" t="s">
        <v>1908</v>
      </c>
      <c r="D68" s="155" t="s">
        <v>3274</v>
      </c>
      <c r="E68" s="159" t="s">
        <v>3275</v>
      </c>
      <c r="F68" s="155" t="s">
        <v>2019</v>
      </c>
      <c r="G68" s="156">
        <v>175</v>
      </c>
      <c r="H68" s="157"/>
      <c r="I68" s="565"/>
      <c r="J68" s="158">
        <f t="shared" si="2"/>
        <v>0</v>
      </c>
      <c r="K68" s="153">
        <v>0</v>
      </c>
      <c r="L68" s="153">
        <v>0</v>
      </c>
    </row>
    <row r="69" spans="1:12">
      <c r="A69" s="154" t="s">
        <v>3149</v>
      </c>
      <c r="B69" s="154" t="s">
        <v>3181</v>
      </c>
      <c r="C69" s="154" t="s">
        <v>1908</v>
      </c>
      <c r="D69" s="155" t="s">
        <v>3276</v>
      </c>
      <c r="E69" s="159" t="s">
        <v>3277</v>
      </c>
      <c r="F69" s="155" t="s">
        <v>2019</v>
      </c>
      <c r="G69" s="156">
        <v>14</v>
      </c>
      <c r="H69" s="157"/>
      <c r="I69" s="565"/>
      <c r="J69" s="158">
        <f>ROUND(G69*(H69+I69),2)</f>
        <v>0</v>
      </c>
      <c r="K69" s="153">
        <v>0</v>
      </c>
      <c r="L69" s="153">
        <v>0</v>
      </c>
    </row>
    <row r="70" spans="1:12">
      <c r="A70" s="154" t="s">
        <v>3149</v>
      </c>
      <c r="B70" s="154" t="s">
        <v>3181</v>
      </c>
      <c r="C70" s="154" t="s">
        <v>1908</v>
      </c>
      <c r="D70" s="155" t="s">
        <v>3278</v>
      </c>
      <c r="E70" s="159" t="s">
        <v>3279</v>
      </c>
      <c r="F70" s="155" t="s">
        <v>2019</v>
      </c>
      <c r="G70" s="156">
        <v>9</v>
      </c>
      <c r="H70" s="157"/>
      <c r="I70" s="565"/>
      <c r="J70" s="158">
        <f t="shared" si="2"/>
        <v>0</v>
      </c>
      <c r="K70" s="153">
        <v>0</v>
      </c>
      <c r="L70" s="153">
        <v>0</v>
      </c>
    </row>
    <row r="71" spans="1:12">
      <c r="A71" s="154" t="s">
        <v>3149</v>
      </c>
      <c r="B71" s="154" t="s">
        <v>3181</v>
      </c>
      <c r="C71" s="154" t="s">
        <v>1908</v>
      </c>
      <c r="D71" s="155" t="s">
        <v>3280</v>
      </c>
      <c r="E71" s="159" t="s">
        <v>3281</v>
      </c>
      <c r="F71" s="155" t="s">
        <v>2019</v>
      </c>
      <c r="G71" s="156">
        <v>51</v>
      </c>
      <c r="H71" s="157"/>
      <c r="I71" s="565"/>
      <c r="J71" s="158">
        <f t="shared" si="2"/>
        <v>0</v>
      </c>
      <c r="K71" s="153">
        <v>0</v>
      </c>
      <c r="L71" s="153">
        <v>0</v>
      </c>
    </row>
    <row r="72" spans="1:12">
      <c r="A72" s="154" t="s">
        <v>3149</v>
      </c>
      <c r="B72" s="154" t="s">
        <v>3181</v>
      </c>
      <c r="C72" s="154" t="s">
        <v>1908</v>
      </c>
      <c r="D72" s="155" t="s">
        <v>3282</v>
      </c>
      <c r="E72" s="159" t="s">
        <v>3283</v>
      </c>
      <c r="F72" s="155" t="s">
        <v>2019</v>
      </c>
      <c r="G72" s="156">
        <v>40</v>
      </c>
      <c r="H72" s="157"/>
      <c r="I72" s="565"/>
      <c r="J72" s="158">
        <f t="shared" si="2"/>
        <v>0</v>
      </c>
      <c r="K72" s="153">
        <v>0</v>
      </c>
      <c r="L72" s="153">
        <v>0</v>
      </c>
    </row>
    <row r="73" spans="1:12">
      <c r="A73" s="154" t="s">
        <v>3149</v>
      </c>
      <c r="B73" s="154" t="s">
        <v>3181</v>
      </c>
      <c r="C73" s="154" t="s">
        <v>1908</v>
      </c>
      <c r="D73" s="155" t="s">
        <v>3284</v>
      </c>
      <c r="E73" s="161" t="s">
        <v>3285</v>
      </c>
      <c r="F73" s="155" t="s">
        <v>2019</v>
      </c>
      <c r="G73" s="156">
        <v>3225</v>
      </c>
      <c r="H73" s="157"/>
      <c r="I73" s="565"/>
      <c r="J73" s="158">
        <f t="shared" si="2"/>
        <v>0</v>
      </c>
      <c r="K73" s="153">
        <v>0</v>
      </c>
      <c r="L73" s="153">
        <v>0</v>
      </c>
    </row>
    <row r="74" spans="1:12">
      <c r="A74" s="154" t="s">
        <v>3149</v>
      </c>
      <c r="B74" s="154" t="s">
        <v>3181</v>
      </c>
      <c r="C74" s="154" t="s">
        <v>1908</v>
      </c>
      <c r="D74" s="155" t="s">
        <v>3286</v>
      </c>
      <c r="E74" s="161" t="s">
        <v>3287</v>
      </c>
      <c r="F74" s="155" t="s">
        <v>2019</v>
      </c>
      <c r="G74" s="156">
        <v>35</v>
      </c>
      <c r="H74" s="157"/>
      <c r="I74" s="565"/>
      <c r="J74" s="158">
        <f t="shared" si="2"/>
        <v>0</v>
      </c>
      <c r="K74" s="153">
        <v>0</v>
      </c>
      <c r="L74" s="153">
        <v>0</v>
      </c>
    </row>
    <row r="75" spans="1:12">
      <c r="A75" s="154" t="s">
        <v>3149</v>
      </c>
      <c r="B75" s="154" t="s">
        <v>3181</v>
      </c>
      <c r="C75" s="154" t="s">
        <v>1908</v>
      </c>
      <c r="D75" s="155" t="s">
        <v>3288</v>
      </c>
      <c r="E75" s="161" t="s">
        <v>3289</v>
      </c>
      <c r="F75" s="155" t="s">
        <v>2019</v>
      </c>
      <c r="G75" s="156">
        <v>140</v>
      </c>
      <c r="H75" s="157"/>
      <c r="I75" s="565"/>
      <c r="J75" s="158">
        <f t="shared" si="2"/>
        <v>0</v>
      </c>
      <c r="K75" s="153">
        <v>0</v>
      </c>
      <c r="L75" s="153">
        <v>0</v>
      </c>
    </row>
    <row r="76" spans="1:12" ht="14.25">
      <c r="A76" s="154" t="s">
        <v>3149</v>
      </c>
      <c r="B76" s="154" t="s">
        <v>3181</v>
      </c>
      <c r="C76" s="154" t="s">
        <v>1908</v>
      </c>
      <c r="D76" s="155" t="s">
        <v>3290</v>
      </c>
      <c r="E76" s="161" t="s">
        <v>3291</v>
      </c>
      <c r="F76" s="155" t="s">
        <v>3292</v>
      </c>
      <c r="G76" s="156">
        <v>680</v>
      </c>
      <c r="H76" s="157"/>
      <c r="I76" s="565"/>
      <c r="J76" s="158">
        <f t="shared" si="2"/>
        <v>0</v>
      </c>
      <c r="K76" s="153">
        <v>0</v>
      </c>
      <c r="L76" s="153">
        <v>0</v>
      </c>
    </row>
    <row r="77" spans="1:12">
      <c r="A77" s="154" t="s">
        <v>3149</v>
      </c>
      <c r="B77" s="154" t="s">
        <v>3181</v>
      </c>
      <c r="C77" s="154" t="s">
        <v>1908</v>
      </c>
      <c r="D77" s="155" t="s">
        <v>3293</v>
      </c>
      <c r="E77" s="161" t="s">
        <v>3294</v>
      </c>
      <c r="F77" s="155" t="s">
        <v>2019</v>
      </c>
      <c r="G77" s="156">
        <v>715</v>
      </c>
      <c r="H77" s="157"/>
      <c r="I77" s="565"/>
      <c r="J77" s="158">
        <f t="shared" si="2"/>
        <v>0</v>
      </c>
      <c r="K77" s="153">
        <v>0</v>
      </c>
      <c r="L77" s="153">
        <v>0</v>
      </c>
    </row>
    <row r="78" spans="1:12">
      <c r="A78" s="154" t="s">
        <v>3149</v>
      </c>
      <c r="B78" s="154" t="s">
        <v>3181</v>
      </c>
      <c r="C78" s="154" t="s">
        <v>1908</v>
      </c>
      <c r="D78" s="155" t="s">
        <v>3295</v>
      </c>
      <c r="E78" s="161" t="s">
        <v>3296</v>
      </c>
      <c r="F78" s="155" t="s">
        <v>2833</v>
      </c>
      <c r="G78" s="156">
        <v>92</v>
      </c>
      <c r="H78" s="157"/>
      <c r="I78" s="565"/>
      <c r="J78" s="158">
        <f t="shared" si="2"/>
        <v>0</v>
      </c>
      <c r="K78" s="153">
        <v>0</v>
      </c>
      <c r="L78" s="153">
        <v>0</v>
      </c>
    </row>
    <row r="79" spans="1:12">
      <c r="A79" s="154" t="s">
        <v>3149</v>
      </c>
      <c r="B79" s="154" t="s">
        <v>3181</v>
      </c>
      <c r="C79" s="154" t="s">
        <v>1908</v>
      </c>
      <c r="D79" s="155" t="s">
        <v>3297</v>
      </c>
      <c r="E79" s="161" t="s">
        <v>3298</v>
      </c>
      <c r="F79" s="155" t="s">
        <v>2833</v>
      </c>
      <c r="G79" s="156">
        <v>4</v>
      </c>
      <c r="H79" s="157"/>
      <c r="I79" s="565"/>
      <c r="J79" s="158">
        <f t="shared" si="2"/>
        <v>0</v>
      </c>
      <c r="K79" s="153">
        <v>0</v>
      </c>
      <c r="L79" s="153">
        <v>0</v>
      </c>
    </row>
    <row r="80" spans="1:12">
      <c r="A80" s="154" t="s">
        <v>3149</v>
      </c>
      <c r="B80" s="154" t="s">
        <v>3181</v>
      </c>
      <c r="C80" s="154" t="s">
        <v>1908</v>
      </c>
      <c r="D80" s="155" t="s">
        <v>3299</v>
      </c>
      <c r="E80" s="161" t="s">
        <v>3300</v>
      </c>
      <c r="F80" s="155" t="s">
        <v>2833</v>
      </c>
      <c r="G80" s="156">
        <v>4</v>
      </c>
      <c r="H80" s="157"/>
      <c r="I80" s="565"/>
      <c r="J80" s="158">
        <f t="shared" si="2"/>
        <v>0</v>
      </c>
      <c r="K80" s="153">
        <v>0</v>
      </c>
      <c r="L80" s="153">
        <v>0</v>
      </c>
    </row>
    <row r="81" spans="1:12">
      <c r="A81" s="154" t="s">
        <v>3149</v>
      </c>
      <c r="B81" s="154" t="s">
        <v>3181</v>
      </c>
      <c r="C81" s="154" t="s">
        <v>1908</v>
      </c>
      <c r="D81" s="155" t="s">
        <v>3301</v>
      </c>
      <c r="E81" s="161" t="s">
        <v>3302</v>
      </c>
      <c r="F81" s="155" t="s">
        <v>2019</v>
      </c>
      <c r="G81" s="156">
        <v>28</v>
      </c>
      <c r="H81" s="157"/>
      <c r="I81" s="565"/>
      <c r="J81" s="158">
        <f>ROUND(G81*(H81+I81),2)</f>
        <v>0</v>
      </c>
      <c r="K81" s="153">
        <v>0</v>
      </c>
      <c r="L81" s="153">
        <v>0</v>
      </c>
    </row>
    <row r="82" spans="1:12">
      <c r="A82" s="154" t="s">
        <v>3149</v>
      </c>
      <c r="B82" s="154" t="s">
        <v>3181</v>
      </c>
      <c r="C82" s="154" t="s">
        <v>1908</v>
      </c>
      <c r="D82" s="155" t="s">
        <v>3303</v>
      </c>
      <c r="E82" s="159" t="s">
        <v>3304</v>
      </c>
      <c r="F82" s="155" t="s">
        <v>2019</v>
      </c>
      <c r="G82" s="156">
        <v>5</v>
      </c>
      <c r="H82" s="157"/>
      <c r="I82" s="565"/>
      <c r="J82" s="158">
        <f t="shared" ref="J82:J94" si="3">ROUND(G82*(H82+I82),2)</f>
        <v>0</v>
      </c>
      <c r="K82" s="153">
        <v>0</v>
      </c>
      <c r="L82" s="153">
        <v>0</v>
      </c>
    </row>
    <row r="83" spans="1:12">
      <c r="A83" s="154" t="s">
        <v>3149</v>
      </c>
      <c r="B83" s="154" t="s">
        <v>3181</v>
      </c>
      <c r="C83" s="154" t="s">
        <v>1908</v>
      </c>
      <c r="D83" s="155" t="s">
        <v>3305</v>
      </c>
      <c r="E83" s="159" t="s">
        <v>3306</v>
      </c>
      <c r="F83" s="155" t="s">
        <v>2019</v>
      </c>
      <c r="G83" s="156">
        <v>68</v>
      </c>
      <c r="H83" s="157"/>
      <c r="I83" s="565"/>
      <c r="J83" s="158">
        <f t="shared" si="3"/>
        <v>0</v>
      </c>
      <c r="K83" s="153">
        <v>0</v>
      </c>
      <c r="L83" s="153">
        <v>0</v>
      </c>
    </row>
    <row r="84" spans="1:12">
      <c r="A84" s="154" t="s">
        <v>3149</v>
      </c>
      <c r="B84" s="154" t="s">
        <v>3181</v>
      </c>
      <c r="C84" s="154" t="s">
        <v>1908</v>
      </c>
      <c r="D84" s="155" t="s">
        <v>3307</v>
      </c>
      <c r="E84" s="159" t="s">
        <v>3308</v>
      </c>
      <c r="F84" s="155" t="s">
        <v>2019</v>
      </c>
      <c r="G84" s="156">
        <v>37</v>
      </c>
      <c r="H84" s="157"/>
      <c r="I84" s="565"/>
      <c r="J84" s="158">
        <f t="shared" si="3"/>
        <v>0</v>
      </c>
      <c r="K84" s="153">
        <v>0</v>
      </c>
      <c r="L84" s="153">
        <v>0</v>
      </c>
    </row>
    <row r="85" spans="1:12">
      <c r="A85" s="154" t="s">
        <v>3149</v>
      </c>
      <c r="B85" s="154" t="s">
        <v>3181</v>
      </c>
      <c r="C85" s="154" t="s">
        <v>1908</v>
      </c>
      <c r="D85" s="155" t="s">
        <v>3309</v>
      </c>
      <c r="E85" s="159" t="s">
        <v>3310</v>
      </c>
      <c r="F85" s="155" t="s">
        <v>2019</v>
      </c>
      <c r="G85" s="156">
        <v>81</v>
      </c>
      <c r="H85" s="157"/>
      <c r="I85" s="565"/>
      <c r="J85" s="158">
        <f t="shared" si="3"/>
        <v>0</v>
      </c>
      <c r="K85" s="153">
        <v>0</v>
      </c>
      <c r="L85" s="153">
        <v>0</v>
      </c>
    </row>
    <row r="86" spans="1:12">
      <c r="A86" s="154" t="s">
        <v>3149</v>
      </c>
      <c r="B86" s="154" t="s">
        <v>3181</v>
      </c>
      <c r="C86" s="154" t="s">
        <v>1908</v>
      </c>
      <c r="D86" s="155" t="s">
        <v>3311</v>
      </c>
      <c r="E86" s="159" t="s">
        <v>3312</v>
      </c>
      <c r="F86" s="155" t="s">
        <v>2019</v>
      </c>
      <c r="G86" s="156">
        <v>175</v>
      </c>
      <c r="H86" s="157"/>
      <c r="I86" s="565"/>
      <c r="J86" s="158">
        <f t="shared" si="3"/>
        <v>0</v>
      </c>
      <c r="K86" s="153">
        <v>0</v>
      </c>
      <c r="L86" s="153">
        <v>0</v>
      </c>
    </row>
    <row r="87" spans="1:12">
      <c r="A87" s="154" t="s">
        <v>3149</v>
      </c>
      <c r="B87" s="154" t="s">
        <v>3181</v>
      </c>
      <c r="C87" s="154" t="s">
        <v>1908</v>
      </c>
      <c r="D87" s="155" t="s">
        <v>3313</v>
      </c>
      <c r="E87" s="159" t="s">
        <v>3314</v>
      </c>
      <c r="F87" s="155" t="s">
        <v>2019</v>
      </c>
      <c r="G87" s="156">
        <v>14</v>
      </c>
      <c r="H87" s="157"/>
      <c r="I87" s="565"/>
      <c r="J87" s="158">
        <f>ROUND(G87*(H87+I87),2)</f>
        <v>0</v>
      </c>
      <c r="K87" s="153">
        <v>0</v>
      </c>
      <c r="L87" s="153">
        <v>0</v>
      </c>
    </row>
    <row r="88" spans="1:12">
      <c r="A88" s="154" t="s">
        <v>3149</v>
      </c>
      <c r="B88" s="154" t="s">
        <v>3181</v>
      </c>
      <c r="C88" s="154" t="s">
        <v>1908</v>
      </c>
      <c r="D88" s="155" t="s">
        <v>3315</v>
      </c>
      <c r="E88" s="159" t="s">
        <v>3316</v>
      </c>
      <c r="F88" s="155" t="s">
        <v>2019</v>
      </c>
      <c r="G88" s="156">
        <v>9</v>
      </c>
      <c r="H88" s="157"/>
      <c r="I88" s="565"/>
      <c r="J88" s="158">
        <f t="shared" si="3"/>
        <v>0</v>
      </c>
      <c r="K88" s="153">
        <v>0</v>
      </c>
      <c r="L88" s="153"/>
    </row>
    <row r="89" spans="1:12">
      <c r="A89" s="154" t="s">
        <v>3149</v>
      </c>
      <c r="B89" s="154" t="s">
        <v>3181</v>
      </c>
      <c r="C89" s="154" t="s">
        <v>1908</v>
      </c>
      <c r="D89" s="155" t="s">
        <v>3317</v>
      </c>
      <c r="E89" s="159" t="s">
        <v>3318</v>
      </c>
      <c r="F89" s="155" t="s">
        <v>2019</v>
      </c>
      <c r="G89" s="156">
        <v>51</v>
      </c>
      <c r="H89" s="157"/>
      <c r="I89" s="565"/>
      <c r="J89" s="158">
        <f t="shared" si="3"/>
        <v>0</v>
      </c>
      <c r="K89" s="153"/>
      <c r="L89" s="153"/>
    </row>
    <row r="90" spans="1:12">
      <c r="A90" s="154" t="s">
        <v>3149</v>
      </c>
      <c r="B90" s="154" t="s">
        <v>3181</v>
      </c>
      <c r="C90" s="154" t="s">
        <v>1908</v>
      </c>
      <c r="D90" s="155" t="s">
        <v>3319</v>
      </c>
      <c r="E90" s="159" t="s">
        <v>3320</v>
      </c>
      <c r="F90" s="155" t="s">
        <v>2302</v>
      </c>
      <c r="G90" s="156">
        <v>33</v>
      </c>
      <c r="H90" s="157"/>
      <c r="I90" s="565"/>
      <c r="J90" s="158">
        <f t="shared" si="3"/>
        <v>0</v>
      </c>
      <c r="K90" s="153"/>
      <c r="L90" s="153"/>
    </row>
    <row r="91" spans="1:12" ht="25.5">
      <c r="A91" s="154" t="s">
        <v>3149</v>
      </c>
      <c r="B91" s="154" t="s">
        <v>3181</v>
      </c>
      <c r="C91" s="154" t="s">
        <v>1908</v>
      </c>
      <c r="D91" s="155" t="s">
        <v>3321</v>
      </c>
      <c r="E91" s="159" t="s">
        <v>3322</v>
      </c>
      <c r="F91" s="155" t="s">
        <v>1876</v>
      </c>
      <c r="G91" s="156">
        <v>1</v>
      </c>
      <c r="H91" s="157"/>
      <c r="I91" s="565"/>
      <c r="J91" s="158">
        <f t="shared" si="3"/>
        <v>0</v>
      </c>
      <c r="K91" s="153"/>
      <c r="L91" s="153"/>
    </row>
    <row r="92" spans="1:12" ht="25.5">
      <c r="A92" s="154" t="s">
        <v>3149</v>
      </c>
      <c r="B92" s="154" t="s">
        <v>3181</v>
      </c>
      <c r="C92" s="154" t="s">
        <v>1908</v>
      </c>
      <c r="D92" s="155" t="s">
        <v>3323</v>
      </c>
      <c r="E92" s="159" t="s">
        <v>3324</v>
      </c>
      <c r="F92" s="155" t="s">
        <v>2302</v>
      </c>
      <c r="G92" s="156">
        <v>400</v>
      </c>
      <c r="H92" s="157"/>
      <c r="I92" s="565"/>
      <c r="J92" s="158">
        <f t="shared" si="3"/>
        <v>0</v>
      </c>
      <c r="K92" s="153"/>
      <c r="L92" s="153"/>
    </row>
    <row r="93" spans="1:12">
      <c r="A93" s="154" t="s">
        <v>3149</v>
      </c>
      <c r="B93" s="154" t="s">
        <v>3181</v>
      </c>
      <c r="C93" s="154" t="s">
        <v>1908</v>
      </c>
      <c r="D93" s="155" t="s">
        <v>3325</v>
      </c>
      <c r="E93" s="159" t="s">
        <v>3326</v>
      </c>
      <c r="F93" s="155" t="s">
        <v>1876</v>
      </c>
      <c r="G93" s="156">
        <v>1</v>
      </c>
      <c r="H93" s="157"/>
      <c r="I93" s="565"/>
      <c r="J93" s="158">
        <f t="shared" si="3"/>
        <v>0</v>
      </c>
      <c r="K93" s="153"/>
      <c r="L93" s="153"/>
    </row>
    <row r="94" spans="1:12">
      <c r="A94" s="154" t="s">
        <v>3149</v>
      </c>
      <c r="B94" s="154" t="s">
        <v>3181</v>
      </c>
      <c r="C94" s="154" t="s">
        <v>1908</v>
      </c>
      <c r="D94" s="155" t="s">
        <v>3327</v>
      </c>
      <c r="E94" s="159" t="s">
        <v>3328</v>
      </c>
      <c r="F94" s="155" t="s">
        <v>2833</v>
      </c>
      <c r="G94" s="156">
        <v>300</v>
      </c>
      <c r="H94" s="157"/>
      <c r="I94" s="565"/>
      <c r="J94" s="158">
        <f t="shared" si="3"/>
        <v>0</v>
      </c>
      <c r="K94" s="153">
        <v>0</v>
      </c>
      <c r="L94" s="153">
        <v>0</v>
      </c>
    </row>
    <row r="96" spans="1:12">
      <c r="F96" s="163" t="s">
        <v>335</v>
      </c>
      <c r="G96" s="163"/>
      <c r="H96" s="164"/>
      <c r="I96" s="163"/>
      <c r="J96" s="165">
        <f>SUM(J7:J94)</f>
        <v>0</v>
      </c>
      <c r="K96" s="166"/>
    </row>
    <row r="97" spans="5:12">
      <c r="F97" s="167"/>
      <c r="G97" s="167"/>
      <c r="H97" s="168"/>
      <c r="I97" s="167"/>
      <c r="J97" s="169"/>
    </row>
    <row r="98" spans="5:12">
      <c r="E98" s="166"/>
      <c r="F98" s="167" t="s">
        <v>3329</v>
      </c>
      <c r="G98" s="167"/>
      <c r="H98" s="168">
        <f>H6</f>
        <v>0.15</v>
      </c>
      <c r="I98" s="167"/>
      <c r="J98" s="169" t="s">
        <v>2262</v>
      </c>
    </row>
    <row r="99" spans="5:12">
      <c r="F99" s="167" t="s">
        <v>3330</v>
      </c>
      <c r="G99" s="167"/>
      <c r="H99" s="168">
        <f>I6</f>
        <v>0.21</v>
      </c>
      <c r="I99" s="167"/>
      <c r="J99" s="169" t="s">
        <v>2262</v>
      </c>
    </row>
    <row r="100" spans="5:12">
      <c r="F100" s="167"/>
      <c r="G100" s="167"/>
      <c r="H100" s="168"/>
      <c r="I100" s="167"/>
      <c r="J100" s="169"/>
    </row>
    <row r="101" spans="5:12">
      <c r="F101" s="163" t="s">
        <v>3331</v>
      </c>
      <c r="G101" s="163"/>
      <c r="H101" s="164"/>
      <c r="I101" s="163"/>
      <c r="J101" s="165" t="s">
        <v>2262</v>
      </c>
    </row>
    <row r="103" spans="5:12" ht="13.5" thickBot="1"/>
    <row r="104" spans="5:12" ht="13.5" thickBot="1">
      <c r="E104" s="170" t="s">
        <v>3332</v>
      </c>
      <c r="J104" s="171">
        <f>SUM(J22:J94)</f>
        <v>0</v>
      </c>
    </row>
    <row r="105" spans="5:12" ht="13.5" thickBot="1">
      <c r="E105" s="170" t="s">
        <v>3333</v>
      </c>
      <c r="J105" s="171">
        <f>SUM(J8:J20)</f>
        <v>0</v>
      </c>
      <c r="L105" s="166"/>
    </row>
    <row r="106" spans="5:12" ht="13.5" thickBot="1">
      <c r="E106" s="172" t="s">
        <v>3334</v>
      </c>
      <c r="J106" s="173">
        <f>J104+J105</f>
        <v>0</v>
      </c>
    </row>
  </sheetData>
  <pageMargins left="0.7" right="0.7" top="0.37" bottom="0.38" header="0.3" footer="0.3"/>
  <pageSetup paperSize="9" scale="58" orientation="landscape" r:id="rId1"/>
  <rowBreaks count="1" manualBreakCount="1">
    <brk id="79" max="9" man="1"/>
  </rowBreaks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3:G44"/>
  <sheetViews>
    <sheetView topLeftCell="A3" zoomScaleNormal="100" workbookViewId="0">
      <selection activeCell="L16" sqref="L16"/>
    </sheetView>
  </sheetViews>
  <sheetFormatPr defaultColWidth="14.5" defaultRowHeight="15"/>
  <cols>
    <col min="1" max="1" width="7.5" style="179" customWidth="1"/>
    <col min="2" max="2" width="16.75" style="179" customWidth="1"/>
    <col min="3" max="3" width="102" style="179" customWidth="1"/>
    <col min="4" max="4" width="18.5" style="221" customWidth="1"/>
    <col min="5" max="5" width="23.25" style="222" customWidth="1"/>
    <col min="6" max="6" width="26.25" style="196" customWidth="1"/>
    <col min="7" max="7" width="1.75" style="179" customWidth="1"/>
    <col min="8" max="16384" width="14.5" style="179"/>
  </cols>
  <sheetData>
    <row r="3" spans="1:7" ht="15.75">
      <c r="A3" s="174"/>
      <c r="B3" s="175" t="s">
        <v>1683</v>
      </c>
      <c r="C3" s="175"/>
      <c r="D3" s="176"/>
      <c r="E3" s="177"/>
      <c r="F3" s="178"/>
      <c r="G3" s="174"/>
    </row>
    <row r="4" spans="1:7" ht="15.75">
      <c r="A4" s="174"/>
      <c r="B4" s="175" t="s">
        <v>3335</v>
      </c>
      <c r="C4" s="175"/>
      <c r="D4" s="176"/>
      <c r="E4" s="177"/>
      <c r="F4" s="178"/>
      <c r="G4" s="174"/>
    </row>
    <row r="5" spans="1:7" ht="15.75">
      <c r="A5" s="174"/>
      <c r="B5" s="175" t="s">
        <v>3336</v>
      </c>
      <c r="C5" s="175"/>
      <c r="D5" s="176"/>
      <c r="E5" s="177"/>
      <c r="F5" s="178"/>
      <c r="G5" s="174"/>
    </row>
    <row r="6" spans="1:7" ht="16.5" thickBot="1">
      <c r="A6" s="174"/>
      <c r="B6" s="175"/>
      <c r="C6" s="175"/>
      <c r="D6" s="176"/>
      <c r="E6" s="177"/>
      <c r="F6" s="178"/>
      <c r="G6" s="174"/>
    </row>
    <row r="7" spans="1:7" s="185" customFormat="1" ht="33.950000000000003" customHeight="1" thickBot="1">
      <c r="A7" s="180" t="s">
        <v>3337</v>
      </c>
      <c r="B7" s="181"/>
      <c r="C7" s="181"/>
      <c r="D7" s="182"/>
      <c r="E7" s="183"/>
      <c r="F7" s="184"/>
    </row>
    <row r="8" spans="1:7" ht="16.5" thickBot="1">
      <c r="A8" s="186" t="s">
        <v>3338</v>
      </c>
      <c r="B8" s="187"/>
      <c r="C8" s="187"/>
      <c r="D8" s="188" t="s">
        <v>2149</v>
      </c>
      <c r="E8" s="189" t="s">
        <v>3339</v>
      </c>
      <c r="F8" s="190" t="s">
        <v>3340</v>
      </c>
    </row>
    <row r="9" spans="1:7" ht="15.75">
      <c r="A9" s="191">
        <v>1</v>
      </c>
      <c r="B9" s="192" t="s">
        <v>3341</v>
      </c>
      <c r="C9" s="192"/>
      <c r="D9" s="193"/>
      <c r="E9" s="194"/>
      <c r="F9" s="195">
        <f>'Soupis položek+'!G55</f>
        <v>0</v>
      </c>
    </row>
    <row r="10" spans="1:7" ht="15.75">
      <c r="A10" s="191">
        <v>2</v>
      </c>
      <c r="B10" s="192" t="s">
        <v>3342</v>
      </c>
      <c r="C10" s="192"/>
      <c r="D10" s="193">
        <v>3.6</v>
      </c>
      <c r="E10" s="194">
        <f>SUM(F9:F9)</f>
        <v>0</v>
      </c>
      <c r="F10" s="195">
        <f>D10*E10/100</f>
        <v>0</v>
      </c>
    </row>
    <row r="11" spans="1:7" ht="15.75">
      <c r="A11" s="191">
        <v>3</v>
      </c>
      <c r="B11" s="192" t="s">
        <v>3343</v>
      </c>
      <c r="C11" s="192"/>
      <c r="D11" s="193">
        <v>1</v>
      </c>
      <c r="E11" s="194">
        <f>SUM(F9:F9)</f>
        <v>0</v>
      </c>
      <c r="F11" s="195">
        <f>D11*E11/100</f>
        <v>0</v>
      </c>
    </row>
    <row r="12" spans="1:7" ht="15.75">
      <c r="A12" s="191">
        <v>4</v>
      </c>
      <c r="B12" s="192" t="s">
        <v>3344</v>
      </c>
      <c r="C12" s="192"/>
      <c r="D12" s="193"/>
      <c r="E12" s="194"/>
      <c r="F12" s="195">
        <f>'Soupis položek+'!G137</f>
        <v>0</v>
      </c>
    </row>
    <row r="13" spans="1:7" ht="15.75">
      <c r="A13" s="191">
        <v>5</v>
      </c>
      <c r="B13" s="192" t="s">
        <v>3345</v>
      </c>
      <c r="C13" s="192"/>
      <c r="D13" s="193">
        <v>5</v>
      </c>
      <c r="E13" s="194">
        <f>'Soupis položek+'!N137</f>
        <v>0</v>
      </c>
      <c r="F13" s="195">
        <f>D13*E13/100</f>
        <v>0</v>
      </c>
    </row>
    <row r="14" spans="1:7" ht="15.75">
      <c r="A14" s="191">
        <v>6</v>
      </c>
      <c r="B14" s="192" t="s">
        <v>3346</v>
      </c>
      <c r="C14" s="192"/>
      <c r="D14" s="193">
        <v>3</v>
      </c>
      <c r="E14" s="194">
        <f>SUM(F12:F12)</f>
        <v>0</v>
      </c>
      <c r="F14" s="195">
        <f>D14*E14/100</f>
        <v>0</v>
      </c>
    </row>
    <row r="15" spans="1:7" ht="15.75">
      <c r="A15" s="191">
        <v>7</v>
      </c>
      <c r="B15" s="192" t="s">
        <v>3347</v>
      </c>
      <c r="C15" s="192"/>
      <c r="D15" s="193"/>
      <c r="E15" s="194"/>
      <c r="F15" s="195">
        <f>'Soupis položek+'!G144</f>
        <v>0</v>
      </c>
    </row>
    <row r="16" spans="1:7" ht="15.75">
      <c r="A16" s="191">
        <v>8</v>
      </c>
      <c r="B16" s="192" t="s">
        <v>3348</v>
      </c>
      <c r="C16" s="192"/>
      <c r="D16" s="193"/>
      <c r="E16" s="194"/>
      <c r="F16" s="195">
        <f>'Soupis položek+'!G250</f>
        <v>0</v>
      </c>
      <c r="G16" s="196">
        <f>SUM(F12:F14)</f>
        <v>0</v>
      </c>
    </row>
    <row r="17" spans="1:7" ht="15.75">
      <c r="A17" s="191">
        <v>9</v>
      </c>
      <c r="B17" s="192" t="s">
        <v>3349</v>
      </c>
      <c r="C17" s="192"/>
      <c r="D17" s="193"/>
      <c r="E17" s="194"/>
      <c r="F17" s="195">
        <f>'Soupis položek+'!G260</f>
        <v>0</v>
      </c>
    </row>
    <row r="18" spans="1:7" ht="15.75">
      <c r="A18" s="191">
        <v>10</v>
      </c>
      <c r="B18" s="192" t="s">
        <v>3350</v>
      </c>
      <c r="C18" s="192"/>
      <c r="D18" s="193">
        <v>1</v>
      </c>
      <c r="E18" s="194">
        <f>SUM(F16:G16)</f>
        <v>0</v>
      </c>
      <c r="F18" s="195">
        <f>D18*E18/100</f>
        <v>0</v>
      </c>
    </row>
    <row r="19" spans="1:7" ht="16.5" thickBot="1">
      <c r="A19" s="191">
        <v>11</v>
      </c>
      <c r="B19" s="192" t="s">
        <v>3351</v>
      </c>
      <c r="C19" s="192"/>
      <c r="D19" s="193">
        <v>1</v>
      </c>
      <c r="E19" s="194">
        <f>SUM(F17:G17)</f>
        <v>0</v>
      </c>
      <c r="F19" s="195">
        <f>D19*E19/100</f>
        <v>0</v>
      </c>
    </row>
    <row r="20" spans="1:7" ht="15.75">
      <c r="A20" s="197">
        <v>12</v>
      </c>
      <c r="B20" s="198" t="s">
        <v>3352</v>
      </c>
      <c r="C20" s="198"/>
      <c r="D20" s="199"/>
      <c r="E20" s="200"/>
      <c r="F20" s="201">
        <f>SUM(F9:F10)</f>
        <v>0</v>
      </c>
    </row>
    <row r="21" spans="1:7" ht="15.75">
      <c r="A21" s="191">
        <v>13</v>
      </c>
      <c r="B21" s="192" t="s">
        <v>3353</v>
      </c>
      <c r="C21" s="192"/>
      <c r="D21" s="193"/>
      <c r="E21" s="194"/>
      <c r="F21" s="195">
        <f>SUM(F11:F19)</f>
        <v>0</v>
      </c>
    </row>
    <row r="22" spans="1:7" ht="16.5" thickBot="1">
      <c r="A22" s="191">
        <v>14</v>
      </c>
      <c r="B22" s="192" t="s">
        <v>3354</v>
      </c>
      <c r="C22" s="192"/>
      <c r="D22" s="193"/>
      <c r="E22" s="194"/>
      <c r="F22" s="195">
        <f>'Soupis položek+'!G282</f>
        <v>0</v>
      </c>
    </row>
    <row r="23" spans="1:7" ht="15.75">
      <c r="A23" s="202">
        <v>15</v>
      </c>
      <c r="B23" s="203" t="s">
        <v>3355</v>
      </c>
      <c r="C23" s="203"/>
      <c r="D23" s="204"/>
      <c r="E23" s="205"/>
      <c r="F23" s="206">
        <f>SUM(F20:F22)</f>
        <v>0</v>
      </c>
      <c r="G23" s="196">
        <f>SUM(F23:F23)</f>
        <v>0</v>
      </c>
    </row>
    <row r="24" spans="1:7" ht="15.75">
      <c r="A24" s="207"/>
      <c r="B24" s="208"/>
      <c r="C24" s="208"/>
      <c r="D24" s="209"/>
      <c r="E24" s="210"/>
      <c r="F24" s="211"/>
    </row>
    <row r="25" spans="1:7" ht="15.75">
      <c r="A25" s="191">
        <v>16</v>
      </c>
      <c r="B25" s="192" t="s">
        <v>3356</v>
      </c>
      <c r="C25" s="192"/>
      <c r="D25" s="193">
        <v>0</v>
      </c>
      <c r="E25" s="194">
        <f>SUM(F21:F21)</f>
        <v>0</v>
      </c>
      <c r="F25" s="195">
        <f>D25*E25/100</f>
        <v>0</v>
      </c>
    </row>
    <row r="26" spans="1:7" ht="16.5" thickBot="1">
      <c r="A26" s="191">
        <v>17</v>
      </c>
      <c r="B26" s="192" t="s">
        <v>3357</v>
      </c>
      <c r="C26" s="192"/>
      <c r="D26" s="193">
        <v>0</v>
      </c>
      <c r="E26" s="194">
        <f>SUM(F21:F21)</f>
        <v>0</v>
      </c>
      <c r="F26" s="195">
        <f>D26*E26/100</f>
        <v>0</v>
      </c>
    </row>
    <row r="27" spans="1:7" ht="15.75">
      <c r="A27" s="202">
        <v>18</v>
      </c>
      <c r="B27" s="203" t="s">
        <v>3358</v>
      </c>
      <c r="C27" s="203"/>
      <c r="D27" s="204"/>
      <c r="E27" s="205"/>
      <c r="F27" s="206">
        <f>SUM(F25:F26)</f>
        <v>0</v>
      </c>
      <c r="G27" s="196">
        <f>SUM(F27:F27)</f>
        <v>0</v>
      </c>
    </row>
    <row r="28" spans="1:7" ht="15.75">
      <c r="A28" s="207"/>
      <c r="B28" s="208"/>
      <c r="C28" s="208"/>
      <c r="D28" s="209"/>
      <c r="E28" s="210"/>
      <c r="F28" s="211"/>
    </row>
    <row r="29" spans="1:7" ht="15.75">
      <c r="A29" s="191">
        <v>19</v>
      </c>
      <c r="B29" s="192" t="s">
        <v>3359</v>
      </c>
      <c r="C29" s="192"/>
      <c r="D29" s="193"/>
      <c r="E29" s="194"/>
      <c r="F29" s="564"/>
    </row>
    <row r="30" spans="1:7" ht="15.75">
      <c r="A30" s="191">
        <v>20</v>
      </c>
      <c r="B30" s="192" t="s">
        <v>3360</v>
      </c>
      <c r="C30" s="192"/>
      <c r="D30" s="193"/>
      <c r="E30" s="194"/>
      <c r="F30" s="564"/>
    </row>
    <row r="31" spans="1:7" ht="16.5" thickBot="1">
      <c r="A31" s="191">
        <v>21</v>
      </c>
      <c r="B31" s="192" t="s">
        <v>3361</v>
      </c>
      <c r="C31" s="192"/>
      <c r="D31" s="193"/>
      <c r="E31" s="194"/>
      <c r="F31" s="195">
        <v>0</v>
      </c>
    </row>
    <row r="32" spans="1:7" ht="15.75">
      <c r="A32" s="202">
        <v>22</v>
      </c>
      <c r="B32" s="203" t="s">
        <v>3362</v>
      </c>
      <c r="C32" s="203"/>
      <c r="D32" s="204"/>
      <c r="E32" s="205"/>
      <c r="F32" s="206">
        <f>SUM(F29:F31)</f>
        <v>0</v>
      </c>
      <c r="G32" s="196">
        <f>SUM(F32:F32)</f>
        <v>0</v>
      </c>
    </row>
    <row r="33" spans="1:7" ht="15.75">
      <c r="A33" s="207"/>
      <c r="B33" s="208"/>
      <c r="C33" s="208"/>
      <c r="D33" s="209"/>
      <c r="E33" s="210"/>
      <c r="F33" s="211"/>
    </row>
    <row r="34" spans="1:7" ht="15.75">
      <c r="A34" s="191">
        <v>23</v>
      </c>
      <c r="B34" s="192" t="s">
        <v>3363</v>
      </c>
      <c r="C34" s="192"/>
      <c r="D34" s="193"/>
      <c r="E34" s="194"/>
      <c r="F34" s="564"/>
    </row>
    <row r="35" spans="1:7" ht="16.5" thickBot="1">
      <c r="A35" s="191">
        <v>24</v>
      </c>
      <c r="B35" s="192" t="s">
        <v>3364</v>
      </c>
      <c r="C35" s="192"/>
      <c r="D35" s="193"/>
      <c r="E35" s="194"/>
      <c r="F35" s="195">
        <v>0</v>
      </c>
    </row>
    <row r="36" spans="1:7" ht="15.75">
      <c r="A36" s="202">
        <v>25</v>
      </c>
      <c r="B36" s="203" t="s">
        <v>3365</v>
      </c>
      <c r="C36" s="203"/>
      <c r="D36" s="204"/>
      <c r="E36" s="205"/>
      <c r="F36" s="206">
        <f>SUM(F34:F35)</f>
        <v>0</v>
      </c>
      <c r="G36" s="196">
        <f>SUM(F36:F36)</f>
        <v>0</v>
      </c>
    </row>
    <row r="37" spans="1:7" ht="16.5" thickBot="1">
      <c r="A37" s="207"/>
      <c r="B37" s="208"/>
      <c r="C37" s="208"/>
      <c r="D37" s="209"/>
      <c r="E37" s="210"/>
      <c r="F37" s="211"/>
    </row>
    <row r="38" spans="1:7" ht="17.25" thickTop="1" thickBot="1">
      <c r="A38" s="212">
        <v>26</v>
      </c>
      <c r="B38" s="213" t="s">
        <v>3366</v>
      </c>
      <c r="C38" s="213"/>
      <c r="D38" s="214"/>
      <c r="E38" s="215"/>
      <c r="F38" s="216">
        <f>SUM(G20:G37)</f>
        <v>0</v>
      </c>
    </row>
    <row r="39" spans="1:7" ht="15.75">
      <c r="A39" s="174"/>
      <c r="B39" s="174"/>
      <c r="C39" s="174"/>
      <c r="D39" s="176"/>
      <c r="E39" s="177"/>
      <c r="F39" s="178"/>
    </row>
    <row r="40" spans="1:7" ht="16.5" thickBot="1">
      <c r="A40" s="174"/>
      <c r="B40" s="174"/>
      <c r="C40" s="174"/>
      <c r="D40" s="176"/>
      <c r="E40" s="177"/>
      <c r="F40" s="178"/>
    </row>
    <row r="41" spans="1:7" ht="16.5" thickBot="1">
      <c r="A41" s="174"/>
      <c r="B41" s="174"/>
      <c r="C41" s="217" t="s">
        <v>3367</v>
      </c>
      <c r="D41" s="176"/>
      <c r="E41" s="177"/>
      <c r="F41" s="218">
        <f>F9+F10+F11+F12+F13+F14+F15</f>
        <v>0</v>
      </c>
    </row>
    <row r="42" spans="1:7" ht="16.5" thickBot="1">
      <c r="A42" s="174"/>
      <c r="B42" s="174"/>
      <c r="C42" s="217" t="s">
        <v>3368</v>
      </c>
      <c r="D42" s="176"/>
      <c r="E42" s="177"/>
      <c r="F42" s="218">
        <f>F16+F17+F18+F19+F22+F27+F32+F36</f>
        <v>0</v>
      </c>
    </row>
    <row r="43" spans="1:7" ht="16.5" thickBot="1">
      <c r="A43" s="174"/>
      <c r="B43" s="174"/>
      <c r="C43" s="219" t="s">
        <v>3334</v>
      </c>
      <c r="D43" s="176"/>
      <c r="E43" s="177"/>
      <c r="F43" s="220">
        <f>F41+F42</f>
        <v>0</v>
      </c>
    </row>
    <row r="44" spans="1:7" ht="15.75">
      <c r="A44" s="174"/>
      <c r="B44" s="174"/>
      <c r="C44" s="174"/>
      <c r="D44" s="176"/>
      <c r="E44" s="177"/>
      <c r="F44" s="178"/>
    </row>
  </sheetData>
  <pageMargins left="0.7" right="0.7" top="0.33" bottom="0.36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4</vt:i4>
      </vt:variant>
    </vt:vector>
  </HeadingPairs>
  <TitlesOfParts>
    <vt:vector size="18" baseType="lpstr">
      <vt:lpstr>Krycí list rozpočtu</vt:lpstr>
      <vt:lpstr>VORN</vt:lpstr>
      <vt:lpstr>Rozpočet - objekty</vt:lpstr>
      <vt:lpstr>Rozpočet - skupiny</vt:lpstr>
      <vt:lpstr>Stavební rozpočet</vt:lpstr>
      <vt:lpstr>REKAPITULACE VZT</vt:lpstr>
      <vt:lpstr>ROZPOČET VZT</vt:lpstr>
      <vt:lpstr>TOP</vt:lpstr>
      <vt:lpstr>Rekapitulace NN</vt:lpstr>
      <vt:lpstr>Soupis položek+</vt:lpstr>
      <vt:lpstr>Rekapitulace ROZVADĚČE SUMA</vt:lpstr>
      <vt:lpstr>MAR rekapitulace</vt:lpstr>
      <vt:lpstr>MAR Materiál</vt:lpstr>
      <vt:lpstr>MAR montáž</vt:lpstr>
      <vt:lpstr>'Stavební rozpočet'!Názvy_tisku</vt:lpstr>
      <vt:lpstr>'Stavební rozpočet'!Oblast_tisku</vt:lpstr>
      <vt:lpstr>TOP!Oblast_tisku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HP</dc:creator>
  <cp:lastModifiedBy>Michaela Lemanova</cp:lastModifiedBy>
  <cp:lastPrinted>2023-11-05T16:50:43Z</cp:lastPrinted>
  <dcterms:created xsi:type="dcterms:W3CDTF">2021-06-10T20:06:38Z</dcterms:created>
  <dcterms:modified xsi:type="dcterms:W3CDTF">2023-12-08T06:52:37Z</dcterms:modified>
</cp:coreProperties>
</file>