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:\Dokumenty\Veřejné zakázky\Modrozeleny ostrov\"/>
    </mc:Choice>
  </mc:AlternateContent>
  <xr:revisionPtr revIDLastSave="0" documentId="8_{06E40FA4-52AB-4DC2-BF41-0D25CA88363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tavební rozpočet" sheetId="1" r:id="rId1"/>
    <sheet name="Krycí list rozpočtu" sheetId="2" r:id="rId2"/>
    <sheet name="VORN" sheetId="3" state="hidden" r:id="rId3"/>
  </sheets>
  <definedNames>
    <definedName name="_xlnm.Print_Titles" localSheetId="0">'Stavební rozpočet'!$10:$11</definedName>
    <definedName name="vorn_sum">VORN!$I$45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4" i="3" l="1"/>
  <c r="I44" i="3" s="1"/>
  <c r="I43" i="3"/>
  <c r="F43" i="3"/>
  <c r="F42" i="3"/>
  <c r="I42" i="3" s="1"/>
  <c r="I41" i="3"/>
  <c r="F41" i="3"/>
  <c r="F40" i="3"/>
  <c r="I40" i="3" s="1"/>
  <c r="I39" i="3"/>
  <c r="F39" i="3"/>
  <c r="F38" i="3"/>
  <c r="I38" i="3" s="1"/>
  <c r="F36" i="3"/>
  <c r="I36" i="3" s="1"/>
  <c r="I27" i="3"/>
  <c r="I26" i="3"/>
  <c r="I19" i="2" s="1"/>
  <c r="I25" i="3"/>
  <c r="I24" i="3"/>
  <c r="I23" i="3"/>
  <c r="I16" i="2" s="1"/>
  <c r="I22" i="3"/>
  <c r="I15" i="2" s="1"/>
  <c r="I21" i="3"/>
  <c r="I17" i="3"/>
  <c r="F16" i="2" s="1"/>
  <c r="I16" i="3"/>
  <c r="I15" i="3"/>
  <c r="I10" i="3"/>
  <c r="F10" i="3"/>
  <c r="C10" i="3"/>
  <c r="F8" i="3"/>
  <c r="C8" i="3"/>
  <c r="F6" i="3"/>
  <c r="C6" i="3"/>
  <c r="F4" i="3"/>
  <c r="C4" i="3"/>
  <c r="F2" i="3"/>
  <c r="C2" i="3"/>
  <c r="I18" i="2"/>
  <c r="I17" i="2"/>
  <c r="F15" i="2"/>
  <c r="I14" i="2"/>
  <c r="F14" i="2"/>
  <c r="I10" i="2"/>
  <c r="F10" i="2"/>
  <c r="C10" i="2"/>
  <c r="F8" i="2"/>
  <c r="C8" i="2"/>
  <c r="F6" i="2"/>
  <c r="C6" i="2"/>
  <c r="F4" i="2"/>
  <c r="C4" i="2"/>
  <c r="F2" i="2"/>
  <c r="C2" i="2"/>
  <c r="BJ352" i="1"/>
  <c r="BI352" i="1"/>
  <c r="BH352" i="1"/>
  <c r="AB352" i="1" s="1"/>
  <c r="BF352" i="1"/>
  <c r="BD352" i="1"/>
  <c r="AP352" i="1"/>
  <c r="AX352" i="1" s="1"/>
  <c r="AO352" i="1"/>
  <c r="H352" i="1" s="1"/>
  <c r="AK352" i="1"/>
  <c r="AJ352" i="1"/>
  <c r="AH352" i="1"/>
  <c r="AG352" i="1"/>
  <c r="AF352" i="1"/>
  <c r="AE352" i="1"/>
  <c r="AD352" i="1"/>
  <c r="AC352" i="1"/>
  <c r="Z352" i="1"/>
  <c r="J352" i="1"/>
  <c r="AL352" i="1" s="1"/>
  <c r="I352" i="1"/>
  <c r="BJ349" i="1"/>
  <c r="BH349" i="1"/>
  <c r="AB349" i="1" s="1"/>
  <c r="BF349" i="1"/>
  <c r="BD349" i="1"/>
  <c r="BC349" i="1"/>
  <c r="AX349" i="1"/>
  <c r="AV349" i="1" s="1"/>
  <c r="AP349" i="1"/>
  <c r="I349" i="1" s="1"/>
  <c r="AO349" i="1"/>
  <c r="AW349" i="1" s="1"/>
  <c r="AK349" i="1"/>
  <c r="AJ349" i="1"/>
  <c r="AS348" i="1" s="1"/>
  <c r="AH349" i="1"/>
  <c r="AG349" i="1"/>
  <c r="AF349" i="1"/>
  <c r="AE349" i="1"/>
  <c r="AD349" i="1"/>
  <c r="Z349" i="1"/>
  <c r="J349" i="1"/>
  <c r="H349" i="1"/>
  <c r="AT348" i="1"/>
  <c r="I348" i="1"/>
  <c r="H348" i="1"/>
  <c r="BJ347" i="1"/>
  <c r="BH347" i="1"/>
  <c r="AB347" i="1" s="1"/>
  <c r="BF347" i="1"/>
  <c r="BD347" i="1"/>
  <c r="AW347" i="1"/>
  <c r="AP347" i="1"/>
  <c r="AO347" i="1"/>
  <c r="H347" i="1" s="1"/>
  <c r="AK347" i="1"/>
  <c r="AJ347" i="1"/>
  <c r="AH347" i="1"/>
  <c r="AG347" i="1"/>
  <c r="AF347" i="1"/>
  <c r="AE347" i="1"/>
  <c r="AD347" i="1"/>
  <c r="Z347" i="1"/>
  <c r="J347" i="1"/>
  <c r="AL347" i="1" s="1"/>
  <c r="BJ346" i="1"/>
  <c r="BI346" i="1"/>
  <c r="AC346" i="1" s="1"/>
  <c r="BF346" i="1"/>
  <c r="BD346" i="1"/>
  <c r="AP346" i="1"/>
  <c r="AO346" i="1"/>
  <c r="AK346" i="1"/>
  <c r="AJ346" i="1"/>
  <c r="AH346" i="1"/>
  <c r="AG346" i="1"/>
  <c r="AF346" i="1"/>
  <c r="AE346" i="1"/>
  <c r="AD346" i="1"/>
  <c r="Z346" i="1"/>
  <c r="J346" i="1"/>
  <c r="AL346" i="1" s="1"/>
  <c r="BJ345" i="1"/>
  <c r="BI345" i="1"/>
  <c r="AC345" i="1" s="1"/>
  <c r="BF345" i="1"/>
  <c r="BD345" i="1"/>
  <c r="AW345" i="1"/>
  <c r="BC345" i="1" s="1"/>
  <c r="AV345" i="1"/>
  <c r="AP345" i="1"/>
  <c r="AX345" i="1" s="1"/>
  <c r="AO345" i="1"/>
  <c r="BH345" i="1" s="1"/>
  <c r="AL345" i="1"/>
  <c r="AK345" i="1"/>
  <c r="AJ345" i="1"/>
  <c r="AH345" i="1"/>
  <c r="AG345" i="1"/>
  <c r="AF345" i="1"/>
  <c r="AE345" i="1"/>
  <c r="AD345" i="1"/>
  <c r="AB345" i="1"/>
  <c r="Z345" i="1"/>
  <c r="J345" i="1"/>
  <c r="I345" i="1"/>
  <c r="H345" i="1"/>
  <c r="BJ344" i="1"/>
  <c r="BF344" i="1"/>
  <c r="BD344" i="1"/>
  <c r="AX344" i="1"/>
  <c r="AW344" i="1"/>
  <c r="BC344" i="1" s="1"/>
  <c r="AV344" i="1"/>
  <c r="AP344" i="1"/>
  <c r="BI344" i="1" s="1"/>
  <c r="AO344" i="1"/>
  <c r="BH344" i="1" s="1"/>
  <c r="AB344" i="1" s="1"/>
  <c r="AL344" i="1"/>
  <c r="AK344" i="1"/>
  <c r="AJ344" i="1"/>
  <c r="AH344" i="1"/>
  <c r="AG344" i="1"/>
  <c r="AF344" i="1"/>
  <c r="AE344" i="1"/>
  <c r="AD344" i="1"/>
  <c r="AC344" i="1"/>
  <c r="Z344" i="1"/>
  <c r="J344" i="1"/>
  <c r="I344" i="1"/>
  <c r="H344" i="1"/>
  <c r="BJ343" i="1"/>
  <c r="BF343" i="1"/>
  <c r="BD343" i="1"/>
  <c r="AX343" i="1"/>
  <c r="AP343" i="1"/>
  <c r="BI343" i="1" s="1"/>
  <c r="AO343" i="1"/>
  <c r="AL343" i="1"/>
  <c r="AU339" i="1" s="1"/>
  <c r="AK343" i="1"/>
  <c r="AJ343" i="1"/>
  <c r="AH343" i="1"/>
  <c r="AG343" i="1"/>
  <c r="AF343" i="1"/>
  <c r="AE343" i="1"/>
  <c r="AD343" i="1"/>
  <c r="AC343" i="1"/>
  <c r="Z343" i="1"/>
  <c r="J343" i="1"/>
  <c r="I343" i="1"/>
  <c r="BJ340" i="1"/>
  <c r="BI340" i="1"/>
  <c r="AC340" i="1" s="1"/>
  <c r="BH340" i="1"/>
  <c r="AB340" i="1" s="1"/>
  <c r="BF340" i="1"/>
  <c r="BD340" i="1"/>
  <c r="AX340" i="1"/>
  <c r="AP340" i="1"/>
  <c r="I340" i="1" s="1"/>
  <c r="AO340" i="1"/>
  <c r="AK340" i="1"/>
  <c r="AJ340" i="1"/>
  <c r="AS339" i="1" s="1"/>
  <c r="AH340" i="1"/>
  <c r="AG340" i="1"/>
  <c r="AF340" i="1"/>
  <c r="AE340" i="1"/>
  <c r="AD340" i="1"/>
  <c r="Z340" i="1"/>
  <c r="J340" i="1"/>
  <c r="AL340" i="1" s="1"/>
  <c r="AT339" i="1"/>
  <c r="J339" i="1"/>
  <c r="BJ334" i="1"/>
  <c r="BH334" i="1"/>
  <c r="AB334" i="1" s="1"/>
  <c r="BF334" i="1"/>
  <c r="BD334" i="1"/>
  <c r="AX334" i="1"/>
  <c r="AP334" i="1"/>
  <c r="BI334" i="1" s="1"/>
  <c r="AO334" i="1"/>
  <c r="H334" i="1" s="1"/>
  <c r="AK334" i="1"/>
  <c r="AJ334" i="1"/>
  <c r="AH334" i="1"/>
  <c r="AG334" i="1"/>
  <c r="AF334" i="1"/>
  <c r="AE334" i="1"/>
  <c r="AD334" i="1"/>
  <c r="AC334" i="1"/>
  <c r="Z334" i="1"/>
  <c r="J334" i="1"/>
  <c r="I334" i="1"/>
  <c r="BJ329" i="1"/>
  <c r="BF329" i="1"/>
  <c r="BD329" i="1"/>
  <c r="AX329" i="1"/>
  <c r="AP329" i="1"/>
  <c r="AO329" i="1"/>
  <c r="AK329" i="1"/>
  <c r="AJ329" i="1"/>
  <c r="AH329" i="1"/>
  <c r="AG329" i="1"/>
  <c r="AF329" i="1"/>
  <c r="AE329" i="1"/>
  <c r="AD329" i="1"/>
  <c r="Z329" i="1"/>
  <c r="J329" i="1"/>
  <c r="AL329" i="1" s="1"/>
  <c r="BJ323" i="1"/>
  <c r="BF323" i="1"/>
  <c r="BD323" i="1"/>
  <c r="AP323" i="1"/>
  <c r="BI323" i="1" s="1"/>
  <c r="AC323" i="1" s="1"/>
  <c r="AO323" i="1"/>
  <c r="BH323" i="1" s="1"/>
  <c r="AB323" i="1" s="1"/>
  <c r="AK323" i="1"/>
  <c r="AT322" i="1" s="1"/>
  <c r="AJ323" i="1"/>
  <c r="AH323" i="1"/>
  <c r="AG323" i="1"/>
  <c r="AF323" i="1"/>
  <c r="AE323" i="1"/>
  <c r="AD323" i="1"/>
  <c r="Z323" i="1"/>
  <c r="J323" i="1"/>
  <c r="AL323" i="1" s="1"/>
  <c r="H323" i="1"/>
  <c r="BJ315" i="1"/>
  <c r="BI315" i="1"/>
  <c r="AC315" i="1" s="1"/>
  <c r="BH315" i="1"/>
  <c r="AB315" i="1" s="1"/>
  <c r="BF315" i="1"/>
  <c r="BD315" i="1"/>
  <c r="AP315" i="1"/>
  <c r="I315" i="1" s="1"/>
  <c r="I314" i="1" s="1"/>
  <c r="AO315" i="1"/>
  <c r="AK315" i="1"/>
  <c r="AT314" i="1" s="1"/>
  <c r="AJ315" i="1"/>
  <c r="AS314" i="1" s="1"/>
  <c r="AH315" i="1"/>
  <c r="AG315" i="1"/>
  <c r="AF315" i="1"/>
  <c r="AE315" i="1"/>
  <c r="AD315" i="1"/>
  <c r="Z315" i="1"/>
  <c r="J315" i="1"/>
  <c r="BJ312" i="1"/>
  <c r="Z312" i="1" s="1"/>
  <c r="BH312" i="1"/>
  <c r="BF312" i="1"/>
  <c r="BD312" i="1"/>
  <c r="AX312" i="1"/>
  <c r="AP312" i="1"/>
  <c r="BI312" i="1" s="1"/>
  <c r="AO312" i="1"/>
  <c r="AL312" i="1"/>
  <c r="AK312" i="1"/>
  <c r="AJ312" i="1"/>
  <c r="AH312" i="1"/>
  <c r="AG312" i="1"/>
  <c r="AF312" i="1"/>
  <c r="AE312" i="1"/>
  <c r="AD312" i="1"/>
  <c r="AC312" i="1"/>
  <c r="AB312" i="1"/>
  <c r="J312" i="1"/>
  <c r="I312" i="1"/>
  <c r="BJ309" i="1"/>
  <c r="BI309" i="1"/>
  <c r="BH309" i="1"/>
  <c r="AB309" i="1" s="1"/>
  <c r="BF309" i="1"/>
  <c r="BD309" i="1"/>
  <c r="AP309" i="1"/>
  <c r="AX309" i="1" s="1"/>
  <c r="AO309" i="1"/>
  <c r="H309" i="1" s="1"/>
  <c r="AK309" i="1"/>
  <c r="AJ309" i="1"/>
  <c r="AH309" i="1"/>
  <c r="AG309" i="1"/>
  <c r="AF309" i="1"/>
  <c r="AE309" i="1"/>
  <c r="AD309" i="1"/>
  <c r="AC309" i="1"/>
  <c r="Z309" i="1"/>
  <c r="J309" i="1"/>
  <c r="AL309" i="1" s="1"/>
  <c r="I309" i="1"/>
  <c r="BJ306" i="1"/>
  <c r="BH306" i="1"/>
  <c r="AB306" i="1" s="1"/>
  <c r="BF306" i="1"/>
  <c r="BD306" i="1"/>
  <c r="AX306" i="1"/>
  <c r="AV306" i="1" s="1"/>
  <c r="AP306" i="1"/>
  <c r="I306" i="1" s="1"/>
  <c r="AO306" i="1"/>
  <c r="AW306" i="1" s="1"/>
  <c r="AK306" i="1"/>
  <c r="AJ306" i="1"/>
  <c r="AH306" i="1"/>
  <c r="AG306" i="1"/>
  <c r="AF306" i="1"/>
  <c r="AE306" i="1"/>
  <c r="AD306" i="1"/>
  <c r="Z306" i="1"/>
  <c r="J306" i="1"/>
  <c r="AL306" i="1" s="1"/>
  <c r="H306" i="1"/>
  <c r="BJ303" i="1"/>
  <c r="BI303" i="1"/>
  <c r="AC303" i="1" s="1"/>
  <c r="BF303" i="1"/>
  <c r="BD303" i="1"/>
  <c r="AW303" i="1"/>
  <c r="AP303" i="1"/>
  <c r="AX303" i="1" s="1"/>
  <c r="BC303" i="1" s="1"/>
  <c r="AO303" i="1"/>
  <c r="BH303" i="1" s="1"/>
  <c r="AL303" i="1"/>
  <c r="AK303" i="1"/>
  <c r="AJ303" i="1"/>
  <c r="AH303" i="1"/>
  <c r="AG303" i="1"/>
  <c r="AF303" i="1"/>
  <c r="AE303" i="1"/>
  <c r="AD303" i="1"/>
  <c r="AB303" i="1"/>
  <c r="Z303" i="1"/>
  <c r="J303" i="1"/>
  <c r="H303" i="1"/>
  <c r="BJ300" i="1"/>
  <c r="BF300" i="1"/>
  <c r="BD300" i="1"/>
  <c r="AX300" i="1"/>
  <c r="AW300" i="1"/>
  <c r="BC300" i="1" s="1"/>
  <c r="AP300" i="1"/>
  <c r="BI300" i="1" s="1"/>
  <c r="AO300" i="1"/>
  <c r="BH300" i="1" s="1"/>
  <c r="AK300" i="1"/>
  <c r="AJ300" i="1"/>
  <c r="AH300" i="1"/>
  <c r="AG300" i="1"/>
  <c r="AF300" i="1"/>
  <c r="AE300" i="1"/>
  <c r="AD300" i="1"/>
  <c r="AC300" i="1"/>
  <c r="AB300" i="1"/>
  <c r="Z300" i="1"/>
  <c r="J300" i="1"/>
  <c r="AL300" i="1" s="1"/>
  <c r="I300" i="1"/>
  <c r="H300" i="1"/>
  <c r="BJ297" i="1"/>
  <c r="BF297" i="1"/>
  <c r="BD297" i="1"/>
  <c r="AX297" i="1"/>
  <c r="AP297" i="1"/>
  <c r="BI297" i="1" s="1"/>
  <c r="AC297" i="1" s="1"/>
  <c r="AO297" i="1"/>
  <c r="H297" i="1" s="1"/>
  <c r="AK297" i="1"/>
  <c r="AJ297" i="1"/>
  <c r="AH297" i="1"/>
  <c r="AG297" i="1"/>
  <c r="AF297" i="1"/>
  <c r="AE297" i="1"/>
  <c r="AD297" i="1"/>
  <c r="Z297" i="1"/>
  <c r="J297" i="1"/>
  <c r="AL297" i="1" s="1"/>
  <c r="BJ296" i="1"/>
  <c r="BI296" i="1"/>
  <c r="AC296" i="1" s="1"/>
  <c r="BF296" i="1"/>
  <c r="BD296" i="1"/>
  <c r="AP296" i="1"/>
  <c r="I296" i="1" s="1"/>
  <c r="AO296" i="1"/>
  <c r="AK296" i="1"/>
  <c r="AJ296" i="1"/>
  <c r="AH296" i="1"/>
  <c r="AG296" i="1"/>
  <c r="AF296" i="1"/>
  <c r="AE296" i="1"/>
  <c r="AD296" i="1"/>
  <c r="Z296" i="1"/>
  <c r="J296" i="1"/>
  <c r="AL296" i="1" s="1"/>
  <c r="BJ295" i="1"/>
  <c r="BF295" i="1"/>
  <c r="BD295" i="1"/>
  <c r="AW295" i="1"/>
  <c r="AP295" i="1"/>
  <c r="AO295" i="1"/>
  <c r="BH295" i="1" s="1"/>
  <c r="AL295" i="1"/>
  <c r="AK295" i="1"/>
  <c r="AJ295" i="1"/>
  <c r="AH295" i="1"/>
  <c r="AG295" i="1"/>
  <c r="AF295" i="1"/>
  <c r="AE295" i="1"/>
  <c r="AD295" i="1"/>
  <c r="AB295" i="1"/>
  <c r="Z295" i="1"/>
  <c r="J295" i="1"/>
  <c r="H295" i="1"/>
  <c r="BJ293" i="1"/>
  <c r="BH293" i="1"/>
  <c r="AB293" i="1" s="1"/>
  <c r="BF293" i="1"/>
  <c r="BD293" i="1"/>
  <c r="AX293" i="1"/>
  <c r="AP293" i="1"/>
  <c r="BI293" i="1" s="1"/>
  <c r="AC293" i="1" s="1"/>
  <c r="AO293" i="1"/>
  <c r="AL293" i="1"/>
  <c r="AK293" i="1"/>
  <c r="AJ293" i="1"/>
  <c r="AH293" i="1"/>
  <c r="AG293" i="1"/>
  <c r="AF293" i="1"/>
  <c r="AE293" i="1"/>
  <c r="AD293" i="1"/>
  <c r="Z293" i="1"/>
  <c r="J293" i="1"/>
  <c r="I293" i="1"/>
  <c r="BJ292" i="1"/>
  <c r="BI292" i="1"/>
  <c r="AC292" i="1" s="1"/>
  <c r="BH292" i="1"/>
  <c r="AB292" i="1" s="1"/>
  <c r="BF292" i="1"/>
  <c r="BD292" i="1"/>
  <c r="AP292" i="1"/>
  <c r="I292" i="1" s="1"/>
  <c r="AO292" i="1"/>
  <c r="AL292" i="1"/>
  <c r="AK292" i="1"/>
  <c r="AJ292" i="1"/>
  <c r="AH292" i="1"/>
  <c r="AG292" i="1"/>
  <c r="AF292" i="1"/>
  <c r="AE292" i="1"/>
  <c r="AD292" i="1"/>
  <c r="Z292" i="1"/>
  <c r="J292" i="1"/>
  <c r="BJ289" i="1"/>
  <c r="BI289" i="1"/>
  <c r="AC289" i="1" s="1"/>
  <c r="BH289" i="1"/>
  <c r="AB289" i="1" s="1"/>
  <c r="BF289" i="1"/>
  <c r="BD289" i="1"/>
  <c r="AP289" i="1"/>
  <c r="I289" i="1" s="1"/>
  <c r="AO289" i="1"/>
  <c r="AW289" i="1" s="1"/>
  <c r="AK289" i="1"/>
  <c r="AJ289" i="1"/>
  <c r="AH289" i="1"/>
  <c r="AG289" i="1"/>
  <c r="AF289" i="1"/>
  <c r="AE289" i="1"/>
  <c r="AD289" i="1"/>
  <c r="Z289" i="1"/>
  <c r="J289" i="1"/>
  <c r="AL289" i="1" s="1"/>
  <c r="H289" i="1"/>
  <c r="BJ287" i="1"/>
  <c r="BF287" i="1"/>
  <c r="BD287" i="1"/>
  <c r="AW287" i="1"/>
  <c r="AP287" i="1"/>
  <c r="AO287" i="1"/>
  <c r="BH287" i="1" s="1"/>
  <c r="AB287" i="1" s="1"/>
  <c r="AL287" i="1"/>
  <c r="AK287" i="1"/>
  <c r="AJ287" i="1"/>
  <c r="AH287" i="1"/>
  <c r="AG287" i="1"/>
  <c r="AF287" i="1"/>
  <c r="AE287" i="1"/>
  <c r="AD287" i="1"/>
  <c r="Z287" i="1"/>
  <c r="J287" i="1"/>
  <c r="H287" i="1"/>
  <c r="BJ285" i="1"/>
  <c r="BF285" i="1"/>
  <c r="BD285" i="1"/>
  <c r="AX285" i="1"/>
  <c r="AW285" i="1"/>
  <c r="AP285" i="1"/>
  <c r="BI285" i="1" s="1"/>
  <c r="AO285" i="1"/>
  <c r="BH285" i="1" s="1"/>
  <c r="AK285" i="1"/>
  <c r="AJ285" i="1"/>
  <c r="AH285" i="1"/>
  <c r="AG285" i="1"/>
  <c r="AF285" i="1"/>
  <c r="AE285" i="1"/>
  <c r="AD285" i="1"/>
  <c r="AC285" i="1"/>
  <c r="AB285" i="1"/>
  <c r="Z285" i="1"/>
  <c r="J285" i="1"/>
  <c r="AL285" i="1" s="1"/>
  <c r="I285" i="1"/>
  <c r="H285" i="1"/>
  <c r="BJ282" i="1"/>
  <c r="BH282" i="1"/>
  <c r="AB282" i="1" s="1"/>
  <c r="BF282" i="1"/>
  <c r="BD282" i="1"/>
  <c r="AX282" i="1"/>
  <c r="AP282" i="1"/>
  <c r="BI282" i="1" s="1"/>
  <c r="AO282" i="1"/>
  <c r="H282" i="1" s="1"/>
  <c r="AK282" i="1"/>
  <c r="AJ282" i="1"/>
  <c r="AH282" i="1"/>
  <c r="AG282" i="1"/>
  <c r="AF282" i="1"/>
  <c r="AE282" i="1"/>
  <c r="AD282" i="1"/>
  <c r="AC282" i="1"/>
  <c r="Z282" i="1"/>
  <c r="J282" i="1"/>
  <c r="AL282" i="1" s="1"/>
  <c r="I282" i="1"/>
  <c r="BJ279" i="1"/>
  <c r="BF279" i="1"/>
  <c r="BD279" i="1"/>
  <c r="AX279" i="1"/>
  <c r="AP279" i="1"/>
  <c r="AO279" i="1"/>
  <c r="AK279" i="1"/>
  <c r="AJ279" i="1"/>
  <c r="AH279" i="1"/>
  <c r="AG279" i="1"/>
  <c r="AF279" i="1"/>
  <c r="AE279" i="1"/>
  <c r="AD279" i="1"/>
  <c r="Z279" i="1"/>
  <c r="J279" i="1"/>
  <c r="AL279" i="1" s="1"/>
  <c r="BJ278" i="1"/>
  <c r="BI278" i="1"/>
  <c r="BF278" i="1"/>
  <c r="BD278" i="1"/>
  <c r="AW278" i="1"/>
  <c r="AP278" i="1"/>
  <c r="AO278" i="1"/>
  <c r="BH278" i="1" s="1"/>
  <c r="AL278" i="1"/>
  <c r="AK278" i="1"/>
  <c r="AJ278" i="1"/>
  <c r="AH278" i="1"/>
  <c r="AG278" i="1"/>
  <c r="AF278" i="1"/>
  <c r="AE278" i="1"/>
  <c r="AD278" i="1"/>
  <c r="AC278" i="1"/>
  <c r="AB278" i="1"/>
  <c r="Z278" i="1"/>
  <c r="J278" i="1"/>
  <c r="H278" i="1"/>
  <c r="BJ275" i="1"/>
  <c r="BF275" i="1"/>
  <c r="BD275" i="1"/>
  <c r="AX275" i="1"/>
  <c r="AW275" i="1"/>
  <c r="BC275" i="1" s="1"/>
  <c r="AP275" i="1"/>
  <c r="BI275" i="1" s="1"/>
  <c r="AC275" i="1" s="1"/>
  <c r="AO275" i="1"/>
  <c r="BH275" i="1" s="1"/>
  <c r="AB275" i="1" s="1"/>
  <c r="AL275" i="1"/>
  <c r="AK275" i="1"/>
  <c r="AJ275" i="1"/>
  <c r="AH275" i="1"/>
  <c r="AG275" i="1"/>
  <c r="AF275" i="1"/>
  <c r="AE275" i="1"/>
  <c r="AD275" i="1"/>
  <c r="Z275" i="1"/>
  <c r="J275" i="1"/>
  <c r="I275" i="1"/>
  <c r="H275" i="1"/>
  <c r="BJ272" i="1"/>
  <c r="BF272" i="1"/>
  <c r="BD272" i="1"/>
  <c r="AW272" i="1"/>
  <c r="AP272" i="1"/>
  <c r="AO272" i="1"/>
  <c r="AK272" i="1"/>
  <c r="AJ272" i="1"/>
  <c r="AH272" i="1"/>
  <c r="AG272" i="1"/>
  <c r="AF272" i="1"/>
  <c r="AE272" i="1"/>
  <c r="AD272" i="1"/>
  <c r="Z272" i="1"/>
  <c r="J272" i="1"/>
  <c r="AL272" i="1" s="1"/>
  <c r="BJ270" i="1"/>
  <c r="BI270" i="1"/>
  <c r="AC270" i="1" s="1"/>
  <c r="BH270" i="1"/>
  <c r="AB270" i="1" s="1"/>
  <c r="BF270" i="1"/>
  <c r="BD270" i="1"/>
  <c r="AP270" i="1"/>
  <c r="I270" i="1" s="1"/>
  <c r="AO270" i="1"/>
  <c r="AW270" i="1" s="1"/>
  <c r="AK270" i="1"/>
  <c r="AJ270" i="1"/>
  <c r="AH270" i="1"/>
  <c r="AG270" i="1"/>
  <c r="AF270" i="1"/>
  <c r="AE270" i="1"/>
  <c r="AD270" i="1"/>
  <c r="Z270" i="1"/>
  <c r="J270" i="1"/>
  <c r="AL270" i="1" s="1"/>
  <c r="H270" i="1"/>
  <c r="BJ268" i="1"/>
  <c r="BF268" i="1"/>
  <c r="BD268" i="1"/>
  <c r="AW268" i="1"/>
  <c r="AP268" i="1"/>
  <c r="AO268" i="1"/>
  <c r="BH268" i="1" s="1"/>
  <c r="AK268" i="1"/>
  <c r="AJ268" i="1"/>
  <c r="AH268" i="1"/>
  <c r="AG268" i="1"/>
  <c r="AF268" i="1"/>
  <c r="AE268" i="1"/>
  <c r="AD268" i="1"/>
  <c r="AB268" i="1"/>
  <c r="Z268" i="1"/>
  <c r="J268" i="1"/>
  <c r="AL268" i="1" s="1"/>
  <c r="H268" i="1"/>
  <c r="BJ265" i="1"/>
  <c r="BF265" i="1"/>
  <c r="BD265" i="1"/>
  <c r="AX265" i="1"/>
  <c r="AW265" i="1"/>
  <c r="AV265" i="1"/>
  <c r="AP265" i="1"/>
  <c r="BI265" i="1" s="1"/>
  <c r="AO265" i="1"/>
  <c r="BH265" i="1" s="1"/>
  <c r="AL265" i="1"/>
  <c r="AK265" i="1"/>
  <c r="AJ265" i="1"/>
  <c r="AH265" i="1"/>
  <c r="AG265" i="1"/>
  <c r="AF265" i="1"/>
  <c r="AE265" i="1"/>
  <c r="AD265" i="1"/>
  <c r="AC265" i="1"/>
  <c r="AB265" i="1"/>
  <c r="Z265" i="1"/>
  <c r="J265" i="1"/>
  <c r="I265" i="1"/>
  <c r="H265" i="1"/>
  <c r="BJ263" i="1"/>
  <c r="BH263" i="1"/>
  <c r="AB263" i="1" s="1"/>
  <c r="BF263" i="1"/>
  <c r="BD263" i="1"/>
  <c r="AX263" i="1"/>
  <c r="AP263" i="1"/>
  <c r="BI263" i="1" s="1"/>
  <c r="AO263" i="1"/>
  <c r="H263" i="1" s="1"/>
  <c r="AK263" i="1"/>
  <c r="AJ263" i="1"/>
  <c r="AH263" i="1"/>
  <c r="AG263" i="1"/>
  <c r="AF263" i="1"/>
  <c r="AE263" i="1"/>
  <c r="AD263" i="1"/>
  <c r="AC263" i="1"/>
  <c r="Z263" i="1"/>
  <c r="J263" i="1"/>
  <c r="AL263" i="1" s="1"/>
  <c r="I263" i="1"/>
  <c r="BJ261" i="1"/>
  <c r="BH261" i="1"/>
  <c r="AB261" i="1" s="1"/>
  <c r="BF261" i="1"/>
  <c r="BD261" i="1"/>
  <c r="AX261" i="1"/>
  <c r="AP261" i="1"/>
  <c r="AO261" i="1"/>
  <c r="AK261" i="1"/>
  <c r="AJ261" i="1"/>
  <c r="AH261" i="1"/>
  <c r="AG261" i="1"/>
  <c r="AF261" i="1"/>
  <c r="AE261" i="1"/>
  <c r="AD261" i="1"/>
  <c r="Z261" i="1"/>
  <c r="J261" i="1"/>
  <c r="AL261" i="1" s="1"/>
  <c r="BJ259" i="1"/>
  <c r="BI259" i="1"/>
  <c r="BF259" i="1"/>
  <c r="BD259" i="1"/>
  <c r="AW259" i="1"/>
  <c r="AP259" i="1"/>
  <c r="AO259" i="1"/>
  <c r="BH259" i="1" s="1"/>
  <c r="AL259" i="1"/>
  <c r="AK259" i="1"/>
  <c r="AJ259" i="1"/>
  <c r="AH259" i="1"/>
  <c r="AG259" i="1"/>
  <c r="AF259" i="1"/>
  <c r="AE259" i="1"/>
  <c r="AD259" i="1"/>
  <c r="AC259" i="1"/>
  <c r="AB259" i="1"/>
  <c r="Z259" i="1"/>
  <c r="J259" i="1"/>
  <c r="H259" i="1"/>
  <c r="BJ257" i="1"/>
  <c r="BH257" i="1"/>
  <c r="BF257" i="1"/>
  <c r="BD257" i="1"/>
  <c r="AX257" i="1"/>
  <c r="AW257" i="1"/>
  <c r="AP257" i="1"/>
  <c r="BI257" i="1" s="1"/>
  <c r="AO257" i="1"/>
  <c r="AL257" i="1"/>
  <c r="AK257" i="1"/>
  <c r="AJ257" i="1"/>
  <c r="AH257" i="1"/>
  <c r="AG257" i="1"/>
  <c r="AF257" i="1"/>
  <c r="AE257" i="1"/>
  <c r="AD257" i="1"/>
  <c r="AC257" i="1"/>
  <c r="AB257" i="1"/>
  <c r="Z257" i="1"/>
  <c r="J257" i="1"/>
  <c r="I257" i="1"/>
  <c r="H257" i="1"/>
  <c r="BJ254" i="1"/>
  <c r="BH254" i="1"/>
  <c r="AB254" i="1" s="1"/>
  <c r="BF254" i="1"/>
  <c r="BD254" i="1"/>
  <c r="AW254" i="1"/>
  <c r="AP254" i="1"/>
  <c r="AO254" i="1"/>
  <c r="H254" i="1" s="1"/>
  <c r="AK254" i="1"/>
  <c r="AJ254" i="1"/>
  <c r="AH254" i="1"/>
  <c r="AG254" i="1"/>
  <c r="AF254" i="1"/>
  <c r="AE254" i="1"/>
  <c r="AD254" i="1"/>
  <c r="Z254" i="1"/>
  <c r="J254" i="1"/>
  <c r="AL254" i="1" s="1"/>
  <c r="BJ253" i="1"/>
  <c r="BH253" i="1"/>
  <c r="AB253" i="1" s="1"/>
  <c r="BF253" i="1"/>
  <c r="BD253" i="1"/>
  <c r="AP253" i="1"/>
  <c r="AO253" i="1"/>
  <c r="AK253" i="1"/>
  <c r="AJ253" i="1"/>
  <c r="AH253" i="1"/>
  <c r="AG253" i="1"/>
  <c r="AF253" i="1"/>
  <c r="AE253" i="1"/>
  <c r="AD253" i="1"/>
  <c r="Z253" i="1"/>
  <c r="J253" i="1"/>
  <c r="AL253" i="1" s="1"/>
  <c r="BJ252" i="1"/>
  <c r="BI252" i="1"/>
  <c r="AC252" i="1" s="1"/>
  <c r="BF252" i="1"/>
  <c r="BD252" i="1"/>
  <c r="AW252" i="1"/>
  <c r="AP252" i="1"/>
  <c r="AX252" i="1" s="1"/>
  <c r="AO252" i="1"/>
  <c r="BH252" i="1" s="1"/>
  <c r="AL252" i="1"/>
  <c r="AK252" i="1"/>
  <c r="AJ252" i="1"/>
  <c r="AH252" i="1"/>
  <c r="AG252" i="1"/>
  <c r="AF252" i="1"/>
  <c r="AE252" i="1"/>
  <c r="AD252" i="1"/>
  <c r="AB252" i="1"/>
  <c r="Z252" i="1"/>
  <c r="J252" i="1"/>
  <c r="I252" i="1"/>
  <c r="H252" i="1"/>
  <c r="BJ251" i="1"/>
  <c r="BF251" i="1"/>
  <c r="BD251" i="1"/>
  <c r="AX251" i="1"/>
  <c r="AW251" i="1"/>
  <c r="BC251" i="1" s="1"/>
  <c r="AV251" i="1"/>
  <c r="AP251" i="1"/>
  <c r="BI251" i="1" s="1"/>
  <c r="AO251" i="1"/>
  <c r="BH251" i="1" s="1"/>
  <c r="AB251" i="1" s="1"/>
  <c r="AL251" i="1"/>
  <c r="AK251" i="1"/>
  <c r="AJ251" i="1"/>
  <c r="AH251" i="1"/>
  <c r="AG251" i="1"/>
  <c r="AF251" i="1"/>
  <c r="AE251" i="1"/>
  <c r="AD251" i="1"/>
  <c r="AC251" i="1"/>
  <c r="Z251" i="1"/>
  <c r="J251" i="1"/>
  <c r="I251" i="1"/>
  <c r="H251" i="1"/>
  <c r="BJ248" i="1"/>
  <c r="BF248" i="1"/>
  <c r="BD248" i="1"/>
  <c r="AX248" i="1"/>
  <c r="AP248" i="1"/>
  <c r="BI248" i="1" s="1"/>
  <c r="AO248" i="1"/>
  <c r="AL248" i="1"/>
  <c r="AK248" i="1"/>
  <c r="AJ248" i="1"/>
  <c r="AH248" i="1"/>
  <c r="AG248" i="1"/>
  <c r="AF248" i="1"/>
  <c r="AE248" i="1"/>
  <c r="AD248" i="1"/>
  <c r="AC248" i="1"/>
  <c r="Z248" i="1"/>
  <c r="J248" i="1"/>
  <c r="I248" i="1"/>
  <c r="BJ246" i="1"/>
  <c r="BI246" i="1"/>
  <c r="AC246" i="1" s="1"/>
  <c r="BH246" i="1"/>
  <c r="AB246" i="1" s="1"/>
  <c r="BF246" i="1"/>
  <c r="BD246" i="1"/>
  <c r="AX246" i="1"/>
  <c r="AP246" i="1"/>
  <c r="I246" i="1" s="1"/>
  <c r="AO246" i="1"/>
  <c r="AK246" i="1"/>
  <c r="AJ246" i="1"/>
  <c r="AH246" i="1"/>
  <c r="AG246" i="1"/>
  <c r="AF246" i="1"/>
  <c r="AE246" i="1"/>
  <c r="AD246" i="1"/>
  <c r="Z246" i="1"/>
  <c r="J246" i="1"/>
  <c r="AL246" i="1" s="1"/>
  <c r="BJ240" i="1"/>
  <c r="BI240" i="1"/>
  <c r="AC240" i="1" s="1"/>
  <c r="BF240" i="1"/>
  <c r="BD240" i="1"/>
  <c r="AW240" i="1"/>
  <c r="AP240" i="1"/>
  <c r="AO240" i="1"/>
  <c r="BH240" i="1" s="1"/>
  <c r="AL240" i="1"/>
  <c r="AK240" i="1"/>
  <c r="AJ240" i="1"/>
  <c r="AH240" i="1"/>
  <c r="AG240" i="1"/>
  <c r="AF240" i="1"/>
  <c r="AE240" i="1"/>
  <c r="AD240" i="1"/>
  <c r="AB240" i="1"/>
  <c r="Z240" i="1"/>
  <c r="J240" i="1"/>
  <c r="H240" i="1"/>
  <c r="BJ236" i="1"/>
  <c r="BH236" i="1"/>
  <c r="BF236" i="1"/>
  <c r="BD236" i="1"/>
  <c r="AX236" i="1"/>
  <c r="AP236" i="1"/>
  <c r="BI236" i="1" s="1"/>
  <c r="AO236" i="1"/>
  <c r="AW236" i="1" s="1"/>
  <c r="AL236" i="1"/>
  <c r="AK236" i="1"/>
  <c r="AJ236" i="1"/>
  <c r="AH236" i="1"/>
  <c r="AG236" i="1"/>
  <c r="AF236" i="1"/>
  <c r="AE236" i="1"/>
  <c r="AD236" i="1"/>
  <c r="AC236" i="1"/>
  <c r="AB236" i="1"/>
  <c r="Z236" i="1"/>
  <c r="J236" i="1"/>
  <c r="I236" i="1"/>
  <c r="BJ233" i="1"/>
  <c r="BI233" i="1"/>
  <c r="BH233" i="1"/>
  <c r="AB233" i="1" s="1"/>
  <c r="BF233" i="1"/>
  <c r="BD233" i="1"/>
  <c r="AX233" i="1"/>
  <c r="AP233" i="1"/>
  <c r="AO233" i="1"/>
  <c r="H233" i="1" s="1"/>
  <c r="AK233" i="1"/>
  <c r="AJ233" i="1"/>
  <c r="AH233" i="1"/>
  <c r="AG233" i="1"/>
  <c r="AF233" i="1"/>
  <c r="AE233" i="1"/>
  <c r="AD233" i="1"/>
  <c r="AC233" i="1"/>
  <c r="Z233" i="1"/>
  <c r="J233" i="1"/>
  <c r="AL233" i="1" s="1"/>
  <c r="I233" i="1"/>
  <c r="BJ232" i="1"/>
  <c r="BF232" i="1"/>
  <c r="BD232" i="1"/>
  <c r="AP232" i="1"/>
  <c r="AO232" i="1"/>
  <c r="AW232" i="1" s="1"/>
  <c r="AK232" i="1"/>
  <c r="AJ232" i="1"/>
  <c r="AH232" i="1"/>
  <c r="AG232" i="1"/>
  <c r="AF232" i="1"/>
  <c r="AE232" i="1"/>
  <c r="AD232" i="1"/>
  <c r="Z232" i="1"/>
  <c r="J232" i="1"/>
  <c r="AL232" i="1" s="1"/>
  <c r="H232" i="1"/>
  <c r="BJ231" i="1"/>
  <c r="BI231" i="1"/>
  <c r="AC231" i="1" s="1"/>
  <c r="BF231" i="1"/>
  <c r="BD231" i="1"/>
  <c r="BC231" i="1"/>
  <c r="AW231" i="1"/>
  <c r="AV231" i="1" s="1"/>
  <c r="AP231" i="1"/>
  <c r="AX231" i="1" s="1"/>
  <c r="AO231" i="1"/>
  <c r="BH231" i="1" s="1"/>
  <c r="AL231" i="1"/>
  <c r="AK231" i="1"/>
  <c r="AJ231" i="1"/>
  <c r="AH231" i="1"/>
  <c r="AG231" i="1"/>
  <c r="AF231" i="1"/>
  <c r="AE231" i="1"/>
  <c r="AD231" i="1"/>
  <c r="AB231" i="1"/>
  <c r="Z231" i="1"/>
  <c r="J231" i="1"/>
  <c r="I231" i="1"/>
  <c r="H231" i="1"/>
  <c r="BJ229" i="1"/>
  <c r="BF229" i="1"/>
  <c r="BD229" i="1"/>
  <c r="AX229" i="1"/>
  <c r="AW229" i="1"/>
  <c r="AP229" i="1"/>
  <c r="BI229" i="1" s="1"/>
  <c r="AC229" i="1" s="1"/>
  <c r="AO229" i="1"/>
  <c r="BH229" i="1" s="1"/>
  <c r="AK229" i="1"/>
  <c r="AJ229" i="1"/>
  <c r="AH229" i="1"/>
  <c r="AG229" i="1"/>
  <c r="AF229" i="1"/>
  <c r="AE229" i="1"/>
  <c r="AD229" i="1"/>
  <c r="AB229" i="1"/>
  <c r="Z229" i="1"/>
  <c r="J229" i="1"/>
  <c r="AL229" i="1" s="1"/>
  <c r="I229" i="1"/>
  <c r="H229" i="1"/>
  <c r="BJ227" i="1"/>
  <c r="BF227" i="1"/>
  <c r="BD227" i="1"/>
  <c r="AX227" i="1"/>
  <c r="AW227" i="1"/>
  <c r="AP227" i="1"/>
  <c r="BI227" i="1" s="1"/>
  <c r="AC227" i="1" s="1"/>
  <c r="AO227" i="1"/>
  <c r="AK227" i="1"/>
  <c r="AJ227" i="1"/>
  <c r="AH227" i="1"/>
  <c r="AG227" i="1"/>
  <c r="AF227" i="1"/>
  <c r="AE227" i="1"/>
  <c r="AD227" i="1"/>
  <c r="Z227" i="1"/>
  <c r="J227" i="1"/>
  <c r="AL227" i="1" s="1"/>
  <c r="I227" i="1"/>
  <c r="BJ226" i="1"/>
  <c r="BI226" i="1"/>
  <c r="AC226" i="1" s="1"/>
  <c r="BH226" i="1"/>
  <c r="AB226" i="1" s="1"/>
  <c r="BF226" i="1"/>
  <c r="BD226" i="1"/>
  <c r="AP226" i="1"/>
  <c r="I226" i="1" s="1"/>
  <c r="AO226" i="1"/>
  <c r="AK226" i="1"/>
  <c r="AJ226" i="1"/>
  <c r="AH226" i="1"/>
  <c r="AG226" i="1"/>
  <c r="AF226" i="1"/>
  <c r="AE226" i="1"/>
  <c r="AD226" i="1"/>
  <c r="Z226" i="1"/>
  <c r="J226" i="1"/>
  <c r="AL226" i="1" s="1"/>
  <c r="BJ225" i="1"/>
  <c r="BF225" i="1"/>
  <c r="BD225" i="1"/>
  <c r="AW225" i="1"/>
  <c r="AP225" i="1"/>
  <c r="AO225" i="1"/>
  <c r="BH225" i="1" s="1"/>
  <c r="AB225" i="1" s="1"/>
  <c r="AL225" i="1"/>
  <c r="AK225" i="1"/>
  <c r="AJ225" i="1"/>
  <c r="AH225" i="1"/>
  <c r="AG225" i="1"/>
  <c r="AF225" i="1"/>
  <c r="AE225" i="1"/>
  <c r="AD225" i="1"/>
  <c r="Z225" i="1"/>
  <c r="J225" i="1"/>
  <c r="H225" i="1"/>
  <c r="AS224" i="1"/>
  <c r="BJ221" i="1"/>
  <c r="BI221" i="1"/>
  <c r="AG221" i="1" s="1"/>
  <c r="BH221" i="1"/>
  <c r="AF221" i="1" s="1"/>
  <c r="BF221" i="1"/>
  <c r="BD221" i="1"/>
  <c r="AP221" i="1"/>
  <c r="AX221" i="1" s="1"/>
  <c r="AO221" i="1"/>
  <c r="H221" i="1" s="1"/>
  <c r="AK221" i="1"/>
  <c r="AJ221" i="1"/>
  <c r="AH221" i="1"/>
  <c r="AE221" i="1"/>
  <c r="AD221" i="1"/>
  <c r="AC221" i="1"/>
  <c r="AB221" i="1"/>
  <c r="Z221" i="1"/>
  <c r="J221" i="1"/>
  <c r="AL221" i="1" s="1"/>
  <c r="AU220" i="1" s="1"/>
  <c r="I221" i="1"/>
  <c r="AT220" i="1"/>
  <c r="AS220" i="1"/>
  <c r="J220" i="1"/>
  <c r="I220" i="1"/>
  <c r="H220" i="1"/>
  <c r="BJ217" i="1"/>
  <c r="BF217" i="1"/>
  <c r="BD217" i="1"/>
  <c r="AX217" i="1"/>
  <c r="AW217" i="1"/>
  <c r="BC217" i="1" s="1"/>
  <c r="AV217" i="1"/>
  <c r="AP217" i="1"/>
  <c r="BI217" i="1" s="1"/>
  <c r="AC217" i="1" s="1"/>
  <c r="AO217" i="1"/>
  <c r="BH217" i="1" s="1"/>
  <c r="AB217" i="1" s="1"/>
  <c r="AK217" i="1"/>
  <c r="AJ217" i="1"/>
  <c r="AS211" i="1" s="1"/>
  <c r="AH217" i="1"/>
  <c r="AG217" i="1"/>
  <c r="AF217" i="1"/>
  <c r="AE217" i="1"/>
  <c r="AD217" i="1"/>
  <c r="Z217" i="1"/>
  <c r="J217" i="1"/>
  <c r="AL217" i="1" s="1"/>
  <c r="I217" i="1"/>
  <c r="H217" i="1"/>
  <c r="BJ216" i="1"/>
  <c r="BF216" i="1"/>
  <c r="BD216" i="1"/>
  <c r="BC216" i="1"/>
  <c r="AX216" i="1"/>
  <c r="AW216" i="1"/>
  <c r="AV216" i="1" s="1"/>
  <c r="AP216" i="1"/>
  <c r="BI216" i="1" s="1"/>
  <c r="AO216" i="1"/>
  <c r="H216" i="1" s="1"/>
  <c r="AK216" i="1"/>
  <c r="AJ216" i="1"/>
  <c r="AH216" i="1"/>
  <c r="AG216" i="1"/>
  <c r="AF216" i="1"/>
  <c r="AE216" i="1"/>
  <c r="AD216" i="1"/>
  <c r="AC216" i="1"/>
  <c r="AB216" i="1"/>
  <c r="Z216" i="1"/>
  <c r="J216" i="1"/>
  <c r="AL216" i="1" s="1"/>
  <c r="I216" i="1"/>
  <c r="BJ214" i="1"/>
  <c r="BF214" i="1"/>
  <c r="BD214" i="1"/>
  <c r="AX214" i="1"/>
  <c r="AP214" i="1"/>
  <c r="I214" i="1" s="1"/>
  <c r="AO214" i="1"/>
  <c r="AW214" i="1" s="1"/>
  <c r="AK214" i="1"/>
  <c r="AJ214" i="1"/>
  <c r="AH214" i="1"/>
  <c r="AG214" i="1"/>
  <c r="AF214" i="1"/>
  <c r="AE214" i="1"/>
  <c r="AD214" i="1"/>
  <c r="Z214" i="1"/>
  <c r="J214" i="1"/>
  <c r="J211" i="1" s="1"/>
  <c r="BJ212" i="1"/>
  <c r="BH212" i="1"/>
  <c r="AB212" i="1" s="1"/>
  <c r="BF212" i="1"/>
  <c r="BD212" i="1"/>
  <c r="AP212" i="1"/>
  <c r="AX212" i="1" s="1"/>
  <c r="AO212" i="1"/>
  <c r="AL212" i="1"/>
  <c r="AK212" i="1"/>
  <c r="AJ212" i="1"/>
  <c r="AH212" i="1"/>
  <c r="AG212" i="1"/>
  <c r="AF212" i="1"/>
  <c r="AE212" i="1"/>
  <c r="AD212" i="1"/>
  <c r="Z212" i="1"/>
  <c r="J212" i="1"/>
  <c r="AT211" i="1"/>
  <c r="BJ208" i="1"/>
  <c r="BF208" i="1"/>
  <c r="BD208" i="1"/>
  <c r="AX208" i="1"/>
  <c r="BC208" i="1" s="1"/>
  <c r="AP208" i="1"/>
  <c r="I208" i="1" s="1"/>
  <c r="AO208" i="1"/>
  <c r="AW208" i="1" s="1"/>
  <c r="AK208" i="1"/>
  <c r="AT207" i="1" s="1"/>
  <c r="AJ208" i="1"/>
  <c r="AH208" i="1"/>
  <c r="AG208" i="1"/>
  <c r="AF208" i="1"/>
  <c r="AE208" i="1"/>
  <c r="AD208" i="1"/>
  <c r="Z208" i="1"/>
  <c r="J208" i="1"/>
  <c r="AL208" i="1" s="1"/>
  <c r="AU207" i="1" s="1"/>
  <c r="AS207" i="1"/>
  <c r="J207" i="1"/>
  <c r="I207" i="1"/>
  <c r="BJ203" i="1"/>
  <c r="BF203" i="1"/>
  <c r="BD203" i="1"/>
  <c r="AX203" i="1"/>
  <c r="AW203" i="1"/>
  <c r="AP203" i="1"/>
  <c r="BI203" i="1" s="1"/>
  <c r="AC203" i="1" s="1"/>
  <c r="AO203" i="1"/>
  <c r="H203" i="1" s="1"/>
  <c r="AK203" i="1"/>
  <c r="AT202" i="1" s="1"/>
  <c r="AJ203" i="1"/>
  <c r="AS202" i="1" s="1"/>
  <c r="AH203" i="1"/>
  <c r="AG203" i="1"/>
  <c r="AF203" i="1"/>
  <c r="AE203" i="1"/>
  <c r="AD203" i="1"/>
  <c r="Z203" i="1"/>
  <c r="J203" i="1"/>
  <c r="I203" i="1"/>
  <c r="I202" i="1" s="1"/>
  <c r="H202" i="1"/>
  <c r="BJ201" i="1"/>
  <c r="BF201" i="1"/>
  <c r="BD201" i="1"/>
  <c r="BC201" i="1"/>
  <c r="AX201" i="1"/>
  <c r="AW201" i="1"/>
  <c r="AV201" i="1" s="1"/>
  <c r="AP201" i="1"/>
  <c r="BI201" i="1" s="1"/>
  <c r="AG201" i="1" s="1"/>
  <c r="AO201" i="1"/>
  <c r="BH201" i="1" s="1"/>
  <c r="AF201" i="1" s="1"/>
  <c r="AK201" i="1"/>
  <c r="AJ201" i="1"/>
  <c r="AH201" i="1"/>
  <c r="AE201" i="1"/>
  <c r="AD201" i="1"/>
  <c r="AC201" i="1"/>
  <c r="AB201" i="1"/>
  <c r="Z201" i="1"/>
  <c r="J201" i="1"/>
  <c r="AL201" i="1" s="1"/>
  <c r="I201" i="1"/>
  <c r="H201" i="1"/>
  <c r="BJ199" i="1"/>
  <c r="BF199" i="1"/>
  <c r="BD199" i="1"/>
  <c r="AX199" i="1"/>
  <c r="AW199" i="1"/>
  <c r="AP199" i="1"/>
  <c r="BI199" i="1" s="1"/>
  <c r="AC199" i="1" s="1"/>
  <c r="AO199" i="1"/>
  <c r="H199" i="1" s="1"/>
  <c r="AK199" i="1"/>
  <c r="AJ199" i="1"/>
  <c r="AH199" i="1"/>
  <c r="AG199" i="1"/>
  <c r="AF199" i="1"/>
  <c r="AE199" i="1"/>
  <c r="AD199" i="1"/>
  <c r="Z199" i="1"/>
  <c r="J199" i="1"/>
  <c r="AL199" i="1" s="1"/>
  <c r="I199" i="1"/>
  <c r="BJ196" i="1"/>
  <c r="BF196" i="1"/>
  <c r="BD196" i="1"/>
  <c r="AX196" i="1"/>
  <c r="AP196" i="1"/>
  <c r="I196" i="1" s="1"/>
  <c r="AO196" i="1"/>
  <c r="AW196" i="1" s="1"/>
  <c r="AL196" i="1"/>
  <c r="AK196" i="1"/>
  <c r="AJ196" i="1"/>
  <c r="AH196" i="1"/>
  <c r="AG196" i="1"/>
  <c r="AF196" i="1"/>
  <c r="AE196" i="1"/>
  <c r="AD196" i="1"/>
  <c r="Z196" i="1"/>
  <c r="J196" i="1"/>
  <c r="BJ191" i="1"/>
  <c r="BF191" i="1"/>
  <c r="BD191" i="1"/>
  <c r="AP191" i="1"/>
  <c r="AO191" i="1"/>
  <c r="AW191" i="1" s="1"/>
  <c r="AL191" i="1"/>
  <c r="AK191" i="1"/>
  <c r="AJ191" i="1"/>
  <c r="AS186" i="1" s="1"/>
  <c r="AH191" i="1"/>
  <c r="AG191" i="1"/>
  <c r="AF191" i="1"/>
  <c r="AE191" i="1"/>
  <c r="AD191" i="1"/>
  <c r="Z191" i="1"/>
  <c r="J191" i="1"/>
  <c r="BJ189" i="1"/>
  <c r="BI189" i="1"/>
  <c r="BH189" i="1"/>
  <c r="BF189" i="1"/>
  <c r="BD189" i="1"/>
  <c r="AW189" i="1"/>
  <c r="BC189" i="1" s="1"/>
  <c r="AP189" i="1"/>
  <c r="AX189" i="1" s="1"/>
  <c r="AO189" i="1"/>
  <c r="AL189" i="1"/>
  <c r="AK189" i="1"/>
  <c r="AT186" i="1" s="1"/>
  <c r="AJ189" i="1"/>
  <c r="AH189" i="1"/>
  <c r="AG189" i="1"/>
  <c r="AF189" i="1"/>
  <c r="AE189" i="1"/>
  <c r="AD189" i="1"/>
  <c r="AC189" i="1"/>
  <c r="AB189" i="1"/>
  <c r="Z189" i="1"/>
  <c r="J189" i="1"/>
  <c r="I189" i="1"/>
  <c r="H189" i="1"/>
  <c r="BJ187" i="1"/>
  <c r="BI187" i="1"/>
  <c r="BH187" i="1"/>
  <c r="AB187" i="1" s="1"/>
  <c r="BF187" i="1"/>
  <c r="BD187" i="1"/>
  <c r="AX187" i="1"/>
  <c r="AW187" i="1"/>
  <c r="BC187" i="1" s="1"/>
  <c r="AP187" i="1"/>
  <c r="AO187" i="1"/>
  <c r="AL187" i="1"/>
  <c r="AU186" i="1" s="1"/>
  <c r="AK187" i="1"/>
  <c r="AJ187" i="1"/>
  <c r="AH187" i="1"/>
  <c r="AG187" i="1"/>
  <c r="AF187" i="1"/>
  <c r="AE187" i="1"/>
  <c r="AD187" i="1"/>
  <c r="AC187" i="1"/>
  <c r="Z187" i="1"/>
  <c r="J187" i="1"/>
  <c r="I187" i="1"/>
  <c r="H187" i="1"/>
  <c r="BJ182" i="1"/>
  <c r="BF182" i="1"/>
  <c r="BD182" i="1"/>
  <c r="AP182" i="1"/>
  <c r="AO182" i="1"/>
  <c r="AW182" i="1" s="1"/>
  <c r="AL182" i="1"/>
  <c r="AK182" i="1"/>
  <c r="AJ182" i="1"/>
  <c r="AH182" i="1"/>
  <c r="AG182" i="1"/>
  <c r="AF182" i="1"/>
  <c r="AE182" i="1"/>
  <c r="AD182" i="1"/>
  <c r="Z182" i="1"/>
  <c r="J182" i="1"/>
  <c r="BJ179" i="1"/>
  <c r="BH179" i="1"/>
  <c r="AB179" i="1" s="1"/>
  <c r="BF179" i="1"/>
  <c r="BD179" i="1"/>
  <c r="AP179" i="1"/>
  <c r="BI179" i="1" s="1"/>
  <c r="AC179" i="1" s="1"/>
  <c r="AO179" i="1"/>
  <c r="AW179" i="1" s="1"/>
  <c r="AK179" i="1"/>
  <c r="AJ179" i="1"/>
  <c r="AH179" i="1"/>
  <c r="AG179" i="1"/>
  <c r="AF179" i="1"/>
  <c r="AE179" i="1"/>
  <c r="AD179" i="1"/>
  <c r="Z179" i="1"/>
  <c r="J179" i="1"/>
  <c r="AL179" i="1" s="1"/>
  <c r="BJ178" i="1"/>
  <c r="BI178" i="1"/>
  <c r="AC178" i="1" s="1"/>
  <c r="BF178" i="1"/>
  <c r="BD178" i="1"/>
  <c r="AX178" i="1"/>
  <c r="BC178" i="1" s="1"/>
  <c r="AP178" i="1"/>
  <c r="I178" i="1" s="1"/>
  <c r="AO178" i="1"/>
  <c r="AW178" i="1" s="1"/>
  <c r="AK178" i="1"/>
  <c r="AJ178" i="1"/>
  <c r="AH178" i="1"/>
  <c r="AG178" i="1"/>
  <c r="AF178" i="1"/>
  <c r="AE178" i="1"/>
  <c r="AD178" i="1"/>
  <c r="Z178" i="1"/>
  <c r="J178" i="1"/>
  <c r="AL178" i="1" s="1"/>
  <c r="H178" i="1"/>
  <c r="BJ175" i="1"/>
  <c r="BF175" i="1"/>
  <c r="BD175" i="1"/>
  <c r="AW175" i="1"/>
  <c r="AP175" i="1"/>
  <c r="AO175" i="1"/>
  <c r="BH175" i="1" s="1"/>
  <c r="AK175" i="1"/>
  <c r="AJ175" i="1"/>
  <c r="AH175" i="1"/>
  <c r="AG175" i="1"/>
  <c r="AF175" i="1"/>
  <c r="AE175" i="1"/>
  <c r="AD175" i="1"/>
  <c r="AB175" i="1"/>
  <c r="Z175" i="1"/>
  <c r="J175" i="1"/>
  <c r="H175" i="1"/>
  <c r="BJ171" i="1"/>
  <c r="BF171" i="1"/>
  <c r="BD171" i="1"/>
  <c r="AX171" i="1"/>
  <c r="AW171" i="1"/>
  <c r="AP171" i="1"/>
  <c r="BI171" i="1" s="1"/>
  <c r="AO171" i="1"/>
  <c r="BH171" i="1" s="1"/>
  <c r="AL171" i="1"/>
  <c r="AK171" i="1"/>
  <c r="AJ171" i="1"/>
  <c r="AH171" i="1"/>
  <c r="AG171" i="1"/>
  <c r="AF171" i="1"/>
  <c r="AE171" i="1"/>
  <c r="AD171" i="1"/>
  <c r="AC171" i="1"/>
  <c r="AB171" i="1"/>
  <c r="Z171" i="1"/>
  <c r="J171" i="1"/>
  <c r="I171" i="1"/>
  <c r="H171" i="1"/>
  <c r="BJ166" i="1"/>
  <c r="BF166" i="1"/>
  <c r="BD166" i="1"/>
  <c r="AX166" i="1"/>
  <c r="AW166" i="1"/>
  <c r="AP166" i="1"/>
  <c r="BI166" i="1" s="1"/>
  <c r="AC166" i="1" s="1"/>
  <c r="AO166" i="1"/>
  <c r="H166" i="1" s="1"/>
  <c r="AL166" i="1"/>
  <c r="AK166" i="1"/>
  <c r="AT165" i="1" s="1"/>
  <c r="AJ166" i="1"/>
  <c r="AS165" i="1" s="1"/>
  <c r="AH166" i="1"/>
  <c r="AG166" i="1"/>
  <c r="AF166" i="1"/>
  <c r="AE166" i="1"/>
  <c r="AD166" i="1"/>
  <c r="Z166" i="1"/>
  <c r="J166" i="1"/>
  <c r="I166" i="1"/>
  <c r="BJ164" i="1"/>
  <c r="BF164" i="1"/>
  <c r="BD164" i="1"/>
  <c r="BC164" i="1"/>
  <c r="AX164" i="1"/>
  <c r="AW164" i="1"/>
  <c r="AV164" i="1" s="1"/>
  <c r="AP164" i="1"/>
  <c r="BI164" i="1" s="1"/>
  <c r="AC164" i="1" s="1"/>
  <c r="AO164" i="1"/>
  <c r="BH164" i="1" s="1"/>
  <c r="AB164" i="1" s="1"/>
  <c r="AK164" i="1"/>
  <c r="AJ164" i="1"/>
  <c r="AH164" i="1"/>
  <c r="AG164" i="1"/>
  <c r="AF164" i="1"/>
  <c r="AE164" i="1"/>
  <c r="AD164" i="1"/>
  <c r="Z164" i="1"/>
  <c r="J164" i="1"/>
  <c r="AL164" i="1" s="1"/>
  <c r="I164" i="1"/>
  <c r="H164" i="1"/>
  <c r="BJ163" i="1"/>
  <c r="BH163" i="1"/>
  <c r="AB163" i="1" s="1"/>
  <c r="BF163" i="1"/>
  <c r="BD163" i="1"/>
  <c r="AX163" i="1"/>
  <c r="AP163" i="1"/>
  <c r="BI163" i="1" s="1"/>
  <c r="AO163" i="1"/>
  <c r="AL163" i="1"/>
  <c r="AK163" i="1"/>
  <c r="AJ163" i="1"/>
  <c r="AH163" i="1"/>
  <c r="AG163" i="1"/>
  <c r="AF163" i="1"/>
  <c r="AE163" i="1"/>
  <c r="AD163" i="1"/>
  <c r="AC163" i="1"/>
  <c r="Z163" i="1"/>
  <c r="J163" i="1"/>
  <c r="J156" i="1" s="1"/>
  <c r="I163" i="1"/>
  <c r="BJ162" i="1"/>
  <c r="BH162" i="1"/>
  <c r="AB162" i="1" s="1"/>
  <c r="BF162" i="1"/>
  <c r="BD162" i="1"/>
  <c r="AX162" i="1"/>
  <c r="AP162" i="1"/>
  <c r="I162" i="1" s="1"/>
  <c r="AO162" i="1"/>
  <c r="AL162" i="1"/>
  <c r="AK162" i="1"/>
  <c r="AJ162" i="1"/>
  <c r="AH162" i="1"/>
  <c r="AG162" i="1"/>
  <c r="AF162" i="1"/>
  <c r="AE162" i="1"/>
  <c r="AD162" i="1"/>
  <c r="Z162" i="1"/>
  <c r="J162" i="1"/>
  <c r="BJ161" i="1"/>
  <c r="BI161" i="1"/>
  <c r="BH161" i="1"/>
  <c r="BF161" i="1"/>
  <c r="BD161" i="1"/>
  <c r="AP161" i="1"/>
  <c r="AO161" i="1"/>
  <c r="AW161" i="1" s="1"/>
  <c r="AL161" i="1"/>
  <c r="AK161" i="1"/>
  <c r="AJ161" i="1"/>
  <c r="AH161" i="1"/>
  <c r="AG161" i="1"/>
  <c r="AF161" i="1"/>
  <c r="AE161" i="1"/>
  <c r="AD161" i="1"/>
  <c r="AC161" i="1"/>
  <c r="AB161" i="1"/>
  <c r="Z161" i="1"/>
  <c r="J161" i="1"/>
  <c r="H161" i="1"/>
  <c r="BJ157" i="1"/>
  <c r="BF157" i="1"/>
  <c r="BD157" i="1"/>
  <c r="AX157" i="1"/>
  <c r="AW157" i="1"/>
  <c r="BC157" i="1" s="1"/>
  <c r="AV157" i="1"/>
  <c r="AP157" i="1"/>
  <c r="BI157" i="1" s="1"/>
  <c r="AO157" i="1"/>
  <c r="BH157" i="1" s="1"/>
  <c r="AB157" i="1" s="1"/>
  <c r="AL157" i="1"/>
  <c r="AK157" i="1"/>
  <c r="AJ157" i="1"/>
  <c r="AH157" i="1"/>
  <c r="AG157" i="1"/>
  <c r="AF157" i="1"/>
  <c r="AE157" i="1"/>
  <c r="AD157" i="1"/>
  <c r="AC157" i="1"/>
  <c r="Z157" i="1"/>
  <c r="J157" i="1"/>
  <c r="I157" i="1"/>
  <c r="H157" i="1"/>
  <c r="AS156" i="1"/>
  <c r="BJ155" i="1"/>
  <c r="BF155" i="1"/>
  <c r="BD155" i="1"/>
  <c r="AW155" i="1"/>
  <c r="AP155" i="1"/>
  <c r="AO155" i="1"/>
  <c r="BH155" i="1" s="1"/>
  <c r="AK155" i="1"/>
  <c r="AJ155" i="1"/>
  <c r="AH155" i="1"/>
  <c r="AG155" i="1"/>
  <c r="AF155" i="1"/>
  <c r="AE155" i="1"/>
  <c r="AD155" i="1"/>
  <c r="AB155" i="1"/>
  <c r="Z155" i="1"/>
  <c r="J155" i="1"/>
  <c r="AL155" i="1" s="1"/>
  <c r="H155" i="1"/>
  <c r="BJ149" i="1"/>
  <c r="BF149" i="1"/>
  <c r="BD149" i="1"/>
  <c r="AX149" i="1"/>
  <c r="AW149" i="1"/>
  <c r="BC149" i="1" s="1"/>
  <c r="AP149" i="1"/>
  <c r="BI149" i="1" s="1"/>
  <c r="AO149" i="1"/>
  <c r="BH149" i="1" s="1"/>
  <c r="AB149" i="1" s="1"/>
  <c r="AL149" i="1"/>
  <c r="AU148" i="1" s="1"/>
  <c r="AK149" i="1"/>
  <c r="AJ149" i="1"/>
  <c r="AH149" i="1"/>
  <c r="AG149" i="1"/>
  <c r="AF149" i="1"/>
  <c r="AE149" i="1"/>
  <c r="AD149" i="1"/>
  <c r="AC149" i="1"/>
  <c r="Z149" i="1"/>
  <c r="J149" i="1"/>
  <c r="I149" i="1"/>
  <c r="H149" i="1"/>
  <c r="H148" i="1" s="1"/>
  <c r="AS148" i="1"/>
  <c r="J148" i="1"/>
  <c r="BJ145" i="1"/>
  <c r="BI145" i="1"/>
  <c r="AC145" i="1" s="1"/>
  <c r="BF145" i="1"/>
  <c r="BD145" i="1"/>
  <c r="AW145" i="1"/>
  <c r="AP145" i="1"/>
  <c r="AO145" i="1"/>
  <c r="BH145" i="1" s="1"/>
  <c r="AK145" i="1"/>
  <c r="AT139" i="1" s="1"/>
  <c r="AJ145" i="1"/>
  <c r="AH145" i="1"/>
  <c r="AG145" i="1"/>
  <c r="AF145" i="1"/>
  <c r="AE145" i="1"/>
  <c r="AD145" i="1"/>
  <c r="AB145" i="1"/>
  <c r="Z145" i="1"/>
  <c r="J145" i="1"/>
  <c r="AL145" i="1" s="1"/>
  <c r="H145" i="1"/>
  <c r="BJ143" i="1"/>
  <c r="BF143" i="1"/>
  <c r="BD143" i="1"/>
  <c r="AX143" i="1"/>
  <c r="AW143" i="1"/>
  <c r="BC143" i="1" s="1"/>
  <c r="AV143" i="1"/>
  <c r="AP143" i="1"/>
  <c r="BI143" i="1" s="1"/>
  <c r="AC143" i="1" s="1"/>
  <c r="AO143" i="1"/>
  <c r="BH143" i="1" s="1"/>
  <c r="AB143" i="1" s="1"/>
  <c r="AL143" i="1"/>
  <c r="AK143" i="1"/>
  <c r="AJ143" i="1"/>
  <c r="AH143" i="1"/>
  <c r="AG143" i="1"/>
  <c r="AF143" i="1"/>
  <c r="AE143" i="1"/>
  <c r="AD143" i="1"/>
  <c r="Z143" i="1"/>
  <c r="J143" i="1"/>
  <c r="I143" i="1"/>
  <c r="H143" i="1"/>
  <c r="BJ140" i="1"/>
  <c r="BH140" i="1"/>
  <c r="AB140" i="1" s="1"/>
  <c r="BF140" i="1"/>
  <c r="BD140" i="1"/>
  <c r="AX140" i="1"/>
  <c r="AW140" i="1"/>
  <c r="AP140" i="1"/>
  <c r="BI140" i="1" s="1"/>
  <c r="AC140" i="1" s="1"/>
  <c r="AO140" i="1"/>
  <c r="H140" i="1" s="1"/>
  <c r="AK140" i="1"/>
  <c r="AJ140" i="1"/>
  <c r="AH140" i="1"/>
  <c r="AG140" i="1"/>
  <c r="AF140" i="1"/>
  <c r="AE140" i="1"/>
  <c r="AD140" i="1"/>
  <c r="Z140" i="1"/>
  <c r="J140" i="1"/>
  <c r="I140" i="1"/>
  <c r="AS139" i="1"/>
  <c r="H139" i="1"/>
  <c r="BJ132" i="1"/>
  <c r="BF132" i="1"/>
  <c r="BD132" i="1"/>
  <c r="AX132" i="1"/>
  <c r="AW132" i="1"/>
  <c r="BC132" i="1" s="1"/>
  <c r="AP132" i="1"/>
  <c r="BI132" i="1" s="1"/>
  <c r="AO132" i="1"/>
  <c r="BH132" i="1" s="1"/>
  <c r="AB132" i="1" s="1"/>
  <c r="AL132" i="1"/>
  <c r="AU131" i="1" s="1"/>
  <c r="AK132" i="1"/>
  <c r="AT131" i="1" s="1"/>
  <c r="AJ132" i="1"/>
  <c r="AH132" i="1"/>
  <c r="AG132" i="1"/>
  <c r="AF132" i="1"/>
  <c r="AE132" i="1"/>
  <c r="AD132" i="1"/>
  <c r="AC132" i="1"/>
  <c r="Z132" i="1"/>
  <c r="J132" i="1"/>
  <c r="I132" i="1"/>
  <c r="I131" i="1" s="1"/>
  <c r="H132" i="1"/>
  <c r="H131" i="1" s="1"/>
  <c r="AS131" i="1"/>
  <c r="J131" i="1"/>
  <c r="BO129" i="1"/>
  <c r="BJ129" i="1"/>
  <c r="BF129" i="1"/>
  <c r="BD129" i="1"/>
  <c r="AP129" i="1"/>
  <c r="AX129" i="1" s="1"/>
  <c r="AO129" i="1"/>
  <c r="AW129" i="1" s="1"/>
  <c r="BC129" i="1" s="1"/>
  <c r="AL129" i="1"/>
  <c r="AK129" i="1"/>
  <c r="AJ129" i="1"/>
  <c r="AH129" i="1"/>
  <c r="AG129" i="1"/>
  <c r="AF129" i="1"/>
  <c r="AE129" i="1"/>
  <c r="AD129" i="1"/>
  <c r="AC129" i="1"/>
  <c r="AB129" i="1"/>
  <c r="Z129" i="1"/>
  <c r="J129" i="1"/>
  <c r="H129" i="1"/>
  <c r="BO128" i="1"/>
  <c r="BJ128" i="1"/>
  <c r="BH128" i="1"/>
  <c r="BF128" i="1"/>
  <c r="BD128" i="1"/>
  <c r="AX128" i="1"/>
  <c r="AP128" i="1"/>
  <c r="BI128" i="1" s="1"/>
  <c r="AO128" i="1"/>
  <c r="AK128" i="1"/>
  <c r="AJ128" i="1"/>
  <c r="AH128" i="1"/>
  <c r="AG128" i="1"/>
  <c r="AF128" i="1"/>
  <c r="AE128" i="1"/>
  <c r="AD128" i="1"/>
  <c r="AC128" i="1"/>
  <c r="AB128" i="1"/>
  <c r="Z128" i="1"/>
  <c r="J128" i="1"/>
  <c r="AL128" i="1" s="1"/>
  <c r="I128" i="1"/>
  <c r="BO127" i="1"/>
  <c r="BJ127" i="1"/>
  <c r="BF127" i="1"/>
  <c r="BD127" i="1"/>
  <c r="AW127" i="1"/>
  <c r="AP127" i="1"/>
  <c r="BI127" i="1" s="1"/>
  <c r="AO127" i="1"/>
  <c r="BH127" i="1" s="1"/>
  <c r="AK127" i="1"/>
  <c r="AJ127" i="1"/>
  <c r="AH127" i="1"/>
  <c r="AG127" i="1"/>
  <c r="AF127" i="1"/>
  <c r="AE127" i="1"/>
  <c r="AD127" i="1"/>
  <c r="AC127" i="1"/>
  <c r="AB127" i="1"/>
  <c r="Z127" i="1"/>
  <c r="J127" i="1"/>
  <c r="AL127" i="1" s="1"/>
  <c r="H127" i="1"/>
  <c r="BO125" i="1"/>
  <c r="BJ125" i="1"/>
  <c r="BF125" i="1"/>
  <c r="BD125" i="1"/>
  <c r="AX125" i="1"/>
  <c r="AP125" i="1"/>
  <c r="BI125" i="1" s="1"/>
  <c r="AO125" i="1"/>
  <c r="H125" i="1" s="1"/>
  <c r="AK125" i="1"/>
  <c r="AJ125" i="1"/>
  <c r="AH125" i="1"/>
  <c r="AG125" i="1"/>
  <c r="AF125" i="1"/>
  <c r="AE125" i="1"/>
  <c r="AD125" i="1"/>
  <c r="AC125" i="1"/>
  <c r="AB125" i="1"/>
  <c r="Z125" i="1"/>
  <c r="J125" i="1"/>
  <c r="AL125" i="1" s="1"/>
  <c r="I125" i="1"/>
  <c r="BO124" i="1"/>
  <c r="BJ124" i="1"/>
  <c r="BF124" i="1"/>
  <c r="BD124" i="1"/>
  <c r="AW124" i="1"/>
  <c r="AV124" i="1"/>
  <c r="AP124" i="1"/>
  <c r="AX124" i="1" s="1"/>
  <c r="BC124" i="1" s="1"/>
  <c r="AO124" i="1"/>
  <c r="BH124" i="1" s="1"/>
  <c r="AL124" i="1"/>
  <c r="AK124" i="1"/>
  <c r="AT123" i="1" s="1"/>
  <c r="AJ124" i="1"/>
  <c r="AS123" i="1" s="1"/>
  <c r="AH124" i="1"/>
  <c r="AG124" i="1"/>
  <c r="AF124" i="1"/>
  <c r="AE124" i="1"/>
  <c r="AD124" i="1"/>
  <c r="AC124" i="1"/>
  <c r="AB124" i="1"/>
  <c r="Z124" i="1"/>
  <c r="J124" i="1"/>
  <c r="I124" i="1"/>
  <c r="H124" i="1"/>
  <c r="BM122" i="1"/>
  <c r="BJ122" i="1"/>
  <c r="BF122" i="1"/>
  <c r="BD122" i="1"/>
  <c r="BC122" i="1"/>
  <c r="AW122" i="1"/>
  <c r="AV122" i="1"/>
  <c r="AP122" i="1"/>
  <c r="AX122" i="1" s="1"/>
  <c r="AO122" i="1"/>
  <c r="BH122" i="1" s="1"/>
  <c r="AL122" i="1"/>
  <c r="AK122" i="1"/>
  <c r="AJ122" i="1"/>
  <c r="AS119" i="1" s="1"/>
  <c r="AH122" i="1"/>
  <c r="AG122" i="1"/>
  <c r="AF122" i="1"/>
  <c r="AE122" i="1"/>
  <c r="AD122" i="1"/>
  <c r="AC122" i="1"/>
  <c r="AB122" i="1"/>
  <c r="Z122" i="1"/>
  <c r="J122" i="1"/>
  <c r="I122" i="1"/>
  <c r="H122" i="1"/>
  <c r="BM121" i="1"/>
  <c r="BJ121" i="1"/>
  <c r="BH121" i="1"/>
  <c r="BF121" i="1"/>
  <c r="BD121" i="1"/>
  <c r="AX121" i="1"/>
  <c r="AP121" i="1"/>
  <c r="BI121" i="1" s="1"/>
  <c r="AO121" i="1"/>
  <c r="AK121" i="1"/>
  <c r="AJ121" i="1"/>
  <c r="AH121" i="1"/>
  <c r="AG121" i="1"/>
  <c r="AF121" i="1"/>
  <c r="AE121" i="1"/>
  <c r="AD121" i="1"/>
  <c r="AC121" i="1"/>
  <c r="AB121" i="1"/>
  <c r="Z121" i="1"/>
  <c r="J121" i="1"/>
  <c r="J119" i="1" s="1"/>
  <c r="I121" i="1"/>
  <c r="BM120" i="1"/>
  <c r="BJ120" i="1"/>
  <c r="BI120" i="1"/>
  <c r="BF120" i="1"/>
  <c r="BD120" i="1"/>
  <c r="AW120" i="1"/>
  <c r="AP120" i="1"/>
  <c r="AO120" i="1"/>
  <c r="BH120" i="1" s="1"/>
  <c r="AL120" i="1"/>
  <c r="AK120" i="1"/>
  <c r="AJ120" i="1"/>
  <c r="AH120" i="1"/>
  <c r="AG120" i="1"/>
  <c r="AF120" i="1"/>
  <c r="AE120" i="1"/>
  <c r="AD120" i="1"/>
  <c r="AC120" i="1"/>
  <c r="AB120" i="1"/>
  <c r="Z120" i="1"/>
  <c r="J120" i="1"/>
  <c r="H120" i="1"/>
  <c r="BJ116" i="1"/>
  <c r="BF116" i="1"/>
  <c r="BD116" i="1"/>
  <c r="AX116" i="1"/>
  <c r="AP116" i="1"/>
  <c r="BI116" i="1" s="1"/>
  <c r="AO116" i="1"/>
  <c r="H116" i="1" s="1"/>
  <c r="AK116" i="1"/>
  <c r="AJ116" i="1"/>
  <c r="AH116" i="1"/>
  <c r="AG116" i="1"/>
  <c r="AF116" i="1"/>
  <c r="AE116" i="1"/>
  <c r="AD116" i="1"/>
  <c r="AC116" i="1"/>
  <c r="AB116" i="1"/>
  <c r="Z116" i="1"/>
  <c r="J116" i="1"/>
  <c r="AL116" i="1" s="1"/>
  <c r="I116" i="1"/>
  <c r="BJ114" i="1"/>
  <c r="BI114" i="1"/>
  <c r="BF114" i="1"/>
  <c r="BD114" i="1"/>
  <c r="AP114" i="1"/>
  <c r="I114" i="1" s="1"/>
  <c r="AO114" i="1"/>
  <c r="AW114" i="1" s="1"/>
  <c r="AK114" i="1"/>
  <c r="AJ114" i="1"/>
  <c r="AH114" i="1"/>
  <c r="AG114" i="1"/>
  <c r="AF114" i="1"/>
  <c r="AE114" i="1"/>
  <c r="AD114" i="1"/>
  <c r="AC114" i="1"/>
  <c r="AB114" i="1"/>
  <c r="Z114" i="1"/>
  <c r="J114" i="1"/>
  <c r="AL114" i="1" s="1"/>
  <c r="H114" i="1"/>
  <c r="BJ112" i="1"/>
  <c r="Z112" i="1" s="1"/>
  <c r="BF112" i="1"/>
  <c r="BD112" i="1"/>
  <c r="BC112" i="1"/>
  <c r="AW112" i="1"/>
  <c r="AP112" i="1"/>
  <c r="AX112" i="1" s="1"/>
  <c r="AV112" i="1" s="1"/>
  <c r="AO112" i="1"/>
  <c r="BH112" i="1" s="1"/>
  <c r="AL112" i="1"/>
  <c r="AK112" i="1"/>
  <c r="AJ112" i="1"/>
  <c r="AH112" i="1"/>
  <c r="AG112" i="1"/>
  <c r="AF112" i="1"/>
  <c r="AE112" i="1"/>
  <c r="AD112" i="1"/>
  <c r="AC112" i="1"/>
  <c r="AB112" i="1"/>
  <c r="J112" i="1"/>
  <c r="I112" i="1"/>
  <c r="H112" i="1"/>
  <c r="BJ108" i="1"/>
  <c r="Z108" i="1" s="1"/>
  <c r="BF108" i="1"/>
  <c r="BD108" i="1"/>
  <c r="AX108" i="1"/>
  <c r="AW108" i="1"/>
  <c r="AP108" i="1"/>
  <c r="BI108" i="1" s="1"/>
  <c r="AO108" i="1"/>
  <c r="BH108" i="1" s="1"/>
  <c r="AL108" i="1"/>
  <c r="AK108" i="1"/>
  <c r="AT104" i="1" s="1"/>
  <c r="AJ108" i="1"/>
  <c r="AH108" i="1"/>
  <c r="AG108" i="1"/>
  <c r="AF108" i="1"/>
  <c r="AE108" i="1"/>
  <c r="AD108" i="1"/>
  <c r="AC108" i="1"/>
  <c r="AB108" i="1"/>
  <c r="J108" i="1"/>
  <c r="I108" i="1"/>
  <c r="H108" i="1"/>
  <c r="BJ106" i="1"/>
  <c r="BH106" i="1"/>
  <c r="BF106" i="1"/>
  <c r="BD106" i="1"/>
  <c r="AX106" i="1"/>
  <c r="AP106" i="1"/>
  <c r="BI106" i="1" s="1"/>
  <c r="AO106" i="1"/>
  <c r="AK106" i="1"/>
  <c r="AJ106" i="1"/>
  <c r="AH106" i="1"/>
  <c r="AG106" i="1"/>
  <c r="AF106" i="1"/>
  <c r="AE106" i="1"/>
  <c r="AD106" i="1"/>
  <c r="AC106" i="1"/>
  <c r="AB106" i="1"/>
  <c r="Z106" i="1"/>
  <c r="J106" i="1"/>
  <c r="J104" i="1" s="1"/>
  <c r="I106" i="1"/>
  <c r="BJ105" i="1"/>
  <c r="BH105" i="1"/>
  <c r="BF105" i="1"/>
  <c r="BD105" i="1"/>
  <c r="AP105" i="1"/>
  <c r="AO105" i="1"/>
  <c r="AK105" i="1"/>
  <c r="AJ105" i="1"/>
  <c r="AS104" i="1" s="1"/>
  <c r="AH105" i="1"/>
  <c r="AG105" i="1"/>
  <c r="AF105" i="1"/>
  <c r="AE105" i="1"/>
  <c r="AD105" i="1"/>
  <c r="AC105" i="1"/>
  <c r="AB105" i="1"/>
  <c r="Z105" i="1"/>
  <c r="J105" i="1"/>
  <c r="AL105" i="1" s="1"/>
  <c r="BJ102" i="1"/>
  <c r="BH102" i="1"/>
  <c r="AF102" i="1" s="1"/>
  <c r="BF102" i="1"/>
  <c r="BD102" i="1"/>
  <c r="AX102" i="1"/>
  <c r="AP102" i="1"/>
  <c r="BI102" i="1" s="1"/>
  <c r="AG102" i="1" s="1"/>
  <c r="AO102" i="1"/>
  <c r="AK102" i="1"/>
  <c r="AJ102" i="1"/>
  <c r="AH102" i="1"/>
  <c r="AE102" i="1"/>
  <c r="AD102" i="1"/>
  <c r="AC102" i="1"/>
  <c r="AB102" i="1"/>
  <c r="Z102" i="1"/>
  <c r="J102" i="1"/>
  <c r="J94" i="1" s="1"/>
  <c r="I102" i="1"/>
  <c r="BJ100" i="1"/>
  <c r="BH100" i="1"/>
  <c r="AF100" i="1" s="1"/>
  <c r="BF100" i="1"/>
  <c r="BD100" i="1"/>
  <c r="AP100" i="1"/>
  <c r="AO100" i="1"/>
  <c r="AK100" i="1"/>
  <c r="AJ100" i="1"/>
  <c r="AS94" i="1" s="1"/>
  <c r="AH100" i="1"/>
  <c r="AE100" i="1"/>
  <c r="AD100" i="1"/>
  <c r="AC100" i="1"/>
  <c r="AB100" i="1"/>
  <c r="Z100" i="1"/>
  <c r="J100" i="1"/>
  <c r="AL100" i="1" s="1"/>
  <c r="BJ97" i="1"/>
  <c r="BI97" i="1"/>
  <c r="AG97" i="1" s="1"/>
  <c r="BF97" i="1"/>
  <c r="BD97" i="1"/>
  <c r="AW97" i="1"/>
  <c r="AP97" i="1"/>
  <c r="AO97" i="1"/>
  <c r="BH97" i="1" s="1"/>
  <c r="AL97" i="1"/>
  <c r="AK97" i="1"/>
  <c r="AT94" i="1" s="1"/>
  <c r="AJ97" i="1"/>
  <c r="AH97" i="1"/>
  <c r="AF97" i="1"/>
  <c r="AE97" i="1"/>
  <c r="AD97" i="1"/>
  <c r="AC97" i="1"/>
  <c r="AB97" i="1"/>
  <c r="Z97" i="1"/>
  <c r="J97" i="1"/>
  <c r="H97" i="1"/>
  <c r="BJ95" i="1"/>
  <c r="BF95" i="1"/>
  <c r="BD95" i="1"/>
  <c r="AX95" i="1"/>
  <c r="AW95" i="1"/>
  <c r="BC95" i="1" s="1"/>
  <c r="AP95" i="1"/>
  <c r="BI95" i="1" s="1"/>
  <c r="AO95" i="1"/>
  <c r="BH95" i="1" s="1"/>
  <c r="AL95" i="1"/>
  <c r="AK95" i="1"/>
  <c r="AJ95" i="1"/>
  <c r="AH95" i="1"/>
  <c r="AG95" i="1"/>
  <c r="AF95" i="1"/>
  <c r="AE95" i="1"/>
  <c r="AD95" i="1"/>
  <c r="AC95" i="1"/>
  <c r="AB95" i="1"/>
  <c r="Z95" i="1"/>
  <c r="J95" i="1"/>
  <c r="I95" i="1"/>
  <c r="H95" i="1"/>
  <c r="BJ92" i="1"/>
  <c r="BI92" i="1"/>
  <c r="AC92" i="1" s="1"/>
  <c r="BF92" i="1"/>
  <c r="BD92" i="1"/>
  <c r="AW92" i="1"/>
  <c r="AP92" i="1"/>
  <c r="AO92" i="1"/>
  <c r="BH92" i="1" s="1"/>
  <c r="AL92" i="1"/>
  <c r="AK92" i="1"/>
  <c r="AT91" i="1" s="1"/>
  <c r="AJ92" i="1"/>
  <c r="AH92" i="1"/>
  <c r="AG92" i="1"/>
  <c r="AF92" i="1"/>
  <c r="AE92" i="1"/>
  <c r="AD92" i="1"/>
  <c r="AB92" i="1"/>
  <c r="Z92" i="1"/>
  <c r="J92" i="1"/>
  <c r="H92" i="1"/>
  <c r="H91" i="1" s="1"/>
  <c r="AU91" i="1"/>
  <c r="AS91" i="1"/>
  <c r="J91" i="1"/>
  <c r="BJ88" i="1"/>
  <c r="BH88" i="1"/>
  <c r="AB88" i="1" s="1"/>
  <c r="BF88" i="1"/>
  <c r="BD88" i="1"/>
  <c r="AP88" i="1"/>
  <c r="BI88" i="1" s="1"/>
  <c r="AC88" i="1" s="1"/>
  <c r="AO88" i="1"/>
  <c r="AK88" i="1"/>
  <c r="AJ88" i="1"/>
  <c r="AS82" i="1" s="1"/>
  <c r="AH88" i="1"/>
  <c r="AG88" i="1"/>
  <c r="AF88" i="1"/>
  <c r="AE88" i="1"/>
  <c r="AD88" i="1"/>
  <c r="Z88" i="1"/>
  <c r="J88" i="1"/>
  <c r="AL88" i="1" s="1"/>
  <c r="BJ83" i="1"/>
  <c r="BI83" i="1"/>
  <c r="AC83" i="1" s="1"/>
  <c r="BF83" i="1"/>
  <c r="BD83" i="1"/>
  <c r="AP83" i="1"/>
  <c r="AO83" i="1"/>
  <c r="BH83" i="1" s="1"/>
  <c r="AB83" i="1" s="1"/>
  <c r="AL83" i="1"/>
  <c r="AK83" i="1"/>
  <c r="AT82" i="1" s="1"/>
  <c r="AJ83" i="1"/>
  <c r="AH83" i="1"/>
  <c r="AG83" i="1"/>
  <c r="AF83" i="1"/>
  <c r="AE83" i="1"/>
  <c r="AD83" i="1"/>
  <c r="Z83" i="1"/>
  <c r="J83" i="1"/>
  <c r="H83" i="1"/>
  <c r="AU82" i="1"/>
  <c r="J82" i="1"/>
  <c r="BJ78" i="1"/>
  <c r="BI78" i="1"/>
  <c r="BF78" i="1"/>
  <c r="BD78" i="1"/>
  <c r="AP78" i="1"/>
  <c r="AO78" i="1"/>
  <c r="BH78" i="1" s="1"/>
  <c r="AD78" i="1" s="1"/>
  <c r="AK78" i="1"/>
  <c r="AJ78" i="1"/>
  <c r="AS77" i="1" s="1"/>
  <c r="AH78" i="1"/>
  <c r="AG78" i="1"/>
  <c r="AF78" i="1"/>
  <c r="AE78" i="1"/>
  <c r="AC78" i="1"/>
  <c r="AB78" i="1"/>
  <c r="Z78" i="1"/>
  <c r="J78" i="1"/>
  <c r="AL78" i="1" s="1"/>
  <c r="AU77" i="1"/>
  <c r="AT77" i="1"/>
  <c r="J77" i="1"/>
  <c r="BJ72" i="1"/>
  <c r="BF72" i="1"/>
  <c r="BD72" i="1"/>
  <c r="AX72" i="1"/>
  <c r="AP72" i="1"/>
  <c r="BI72" i="1" s="1"/>
  <c r="AC72" i="1" s="1"/>
  <c r="AO72" i="1"/>
  <c r="AK72" i="1"/>
  <c r="AJ72" i="1"/>
  <c r="AH72" i="1"/>
  <c r="AG72" i="1"/>
  <c r="AF72" i="1"/>
  <c r="AE72" i="1"/>
  <c r="AD72" i="1"/>
  <c r="Z72" i="1"/>
  <c r="J72" i="1"/>
  <c r="AL72" i="1" s="1"/>
  <c r="I72" i="1"/>
  <c r="BJ70" i="1"/>
  <c r="BH70" i="1"/>
  <c r="AB70" i="1" s="1"/>
  <c r="BF70" i="1"/>
  <c r="BD70" i="1"/>
  <c r="AP70" i="1"/>
  <c r="BI70" i="1" s="1"/>
  <c r="AC70" i="1" s="1"/>
  <c r="AO70" i="1"/>
  <c r="AK70" i="1"/>
  <c r="AJ70" i="1"/>
  <c r="AH70" i="1"/>
  <c r="AG70" i="1"/>
  <c r="AF70" i="1"/>
  <c r="AE70" i="1"/>
  <c r="AD70" i="1"/>
  <c r="Z70" i="1"/>
  <c r="J70" i="1"/>
  <c r="AL70" i="1" s="1"/>
  <c r="BJ65" i="1"/>
  <c r="BI65" i="1"/>
  <c r="AC65" i="1" s="1"/>
  <c r="BF65" i="1"/>
  <c r="BD65" i="1"/>
  <c r="AP65" i="1"/>
  <c r="AO65" i="1"/>
  <c r="BH65" i="1" s="1"/>
  <c r="AL65" i="1"/>
  <c r="AK65" i="1"/>
  <c r="AJ65" i="1"/>
  <c r="AH65" i="1"/>
  <c r="AG65" i="1"/>
  <c r="AF65" i="1"/>
  <c r="AE65" i="1"/>
  <c r="AD65" i="1"/>
  <c r="AB65" i="1"/>
  <c r="Z65" i="1"/>
  <c r="J65" i="1"/>
  <c r="H65" i="1"/>
  <c r="BJ61" i="1"/>
  <c r="BH61" i="1"/>
  <c r="BF61" i="1"/>
  <c r="BD61" i="1"/>
  <c r="AW61" i="1"/>
  <c r="AP61" i="1"/>
  <c r="BI61" i="1" s="1"/>
  <c r="AO61" i="1"/>
  <c r="AL61" i="1"/>
  <c r="AK61" i="1"/>
  <c r="AT60" i="1" s="1"/>
  <c r="AJ61" i="1"/>
  <c r="AH61" i="1"/>
  <c r="AG61" i="1"/>
  <c r="AF61" i="1"/>
  <c r="AE61" i="1"/>
  <c r="AD61" i="1"/>
  <c r="AC61" i="1"/>
  <c r="AB61" i="1"/>
  <c r="Z61" i="1"/>
  <c r="J61" i="1"/>
  <c r="I61" i="1"/>
  <c r="H61" i="1"/>
  <c r="AS60" i="1"/>
  <c r="J60" i="1"/>
  <c r="BJ57" i="1"/>
  <c r="BH57" i="1"/>
  <c r="BF57" i="1"/>
  <c r="BD57" i="1"/>
  <c r="AP57" i="1"/>
  <c r="I57" i="1" s="1"/>
  <c r="AO57" i="1"/>
  <c r="AW57" i="1" s="1"/>
  <c r="AK57" i="1"/>
  <c r="AT56" i="1" s="1"/>
  <c r="AJ57" i="1"/>
  <c r="AS56" i="1" s="1"/>
  <c r="AH57" i="1"/>
  <c r="AG57" i="1"/>
  <c r="AF57" i="1"/>
  <c r="AE57" i="1"/>
  <c r="AD57" i="1"/>
  <c r="AB57" i="1"/>
  <c r="Z57" i="1"/>
  <c r="J57" i="1"/>
  <c r="AL57" i="1" s="1"/>
  <c r="AU56" i="1" s="1"/>
  <c r="H57" i="1"/>
  <c r="I56" i="1"/>
  <c r="H56" i="1"/>
  <c r="BJ49" i="1"/>
  <c r="BF49" i="1"/>
  <c r="BD49" i="1"/>
  <c r="AX49" i="1"/>
  <c r="AW49" i="1"/>
  <c r="AV49" i="1" s="1"/>
  <c r="AP49" i="1"/>
  <c r="BI49" i="1" s="1"/>
  <c r="AC49" i="1" s="1"/>
  <c r="AO49" i="1"/>
  <c r="H49" i="1" s="1"/>
  <c r="AK49" i="1"/>
  <c r="AJ49" i="1"/>
  <c r="AH49" i="1"/>
  <c r="AG49" i="1"/>
  <c r="AF49" i="1"/>
  <c r="AE49" i="1"/>
  <c r="AD49" i="1"/>
  <c r="Z49" i="1"/>
  <c r="J49" i="1"/>
  <c r="AL49" i="1" s="1"/>
  <c r="I49" i="1"/>
  <c r="BJ45" i="1"/>
  <c r="BF45" i="1"/>
  <c r="BD45" i="1"/>
  <c r="AX45" i="1"/>
  <c r="AP45" i="1"/>
  <c r="I45" i="1" s="1"/>
  <c r="I44" i="1" s="1"/>
  <c r="AO45" i="1"/>
  <c r="AW45" i="1" s="1"/>
  <c r="AK45" i="1"/>
  <c r="AJ45" i="1"/>
  <c r="AS44" i="1" s="1"/>
  <c r="AH45" i="1"/>
  <c r="AG45" i="1"/>
  <c r="AF45" i="1"/>
  <c r="AE45" i="1"/>
  <c r="AD45" i="1"/>
  <c r="Z45" i="1"/>
  <c r="J45" i="1"/>
  <c r="AL45" i="1" s="1"/>
  <c r="AU44" i="1" s="1"/>
  <c r="AT44" i="1"/>
  <c r="BJ42" i="1"/>
  <c r="BF42" i="1"/>
  <c r="BD42" i="1"/>
  <c r="AX42" i="1"/>
  <c r="AW42" i="1"/>
  <c r="AV42" i="1" s="1"/>
  <c r="AP42" i="1"/>
  <c r="BI42" i="1" s="1"/>
  <c r="AG42" i="1" s="1"/>
  <c r="AO42" i="1"/>
  <c r="H42" i="1" s="1"/>
  <c r="AK42" i="1"/>
  <c r="AJ42" i="1"/>
  <c r="AH42" i="1"/>
  <c r="AE42" i="1"/>
  <c r="AD42" i="1"/>
  <c r="AC42" i="1"/>
  <c r="AB42" i="1"/>
  <c r="Z42" i="1"/>
  <c r="J42" i="1"/>
  <c r="AL42" i="1" s="1"/>
  <c r="I42" i="1"/>
  <c r="BJ40" i="1"/>
  <c r="BF40" i="1"/>
  <c r="BD40" i="1"/>
  <c r="AX40" i="1"/>
  <c r="AP40" i="1"/>
  <c r="I40" i="1" s="1"/>
  <c r="AO40" i="1"/>
  <c r="AW40" i="1" s="1"/>
  <c r="AK40" i="1"/>
  <c r="AJ40" i="1"/>
  <c r="AH40" i="1"/>
  <c r="AG40" i="1"/>
  <c r="AF40" i="1"/>
  <c r="AE40" i="1"/>
  <c r="AD40" i="1"/>
  <c r="Z40" i="1"/>
  <c r="J40" i="1"/>
  <c r="AL40" i="1" s="1"/>
  <c r="BJ37" i="1"/>
  <c r="BF37" i="1"/>
  <c r="BD37" i="1"/>
  <c r="AW37" i="1"/>
  <c r="AP37" i="1"/>
  <c r="AX37" i="1" s="1"/>
  <c r="AO37" i="1"/>
  <c r="BH37" i="1" s="1"/>
  <c r="AB37" i="1" s="1"/>
  <c r="AK37" i="1"/>
  <c r="AJ37" i="1"/>
  <c r="AH37" i="1"/>
  <c r="AG37" i="1"/>
  <c r="AF37" i="1"/>
  <c r="AE37" i="1"/>
  <c r="AD37" i="1"/>
  <c r="Z37" i="1"/>
  <c r="J37" i="1"/>
  <c r="AL37" i="1" s="1"/>
  <c r="H37" i="1"/>
  <c r="BJ35" i="1"/>
  <c r="BF35" i="1"/>
  <c r="BD35" i="1"/>
  <c r="AX35" i="1"/>
  <c r="AW35" i="1"/>
  <c r="BC35" i="1" s="1"/>
  <c r="AP35" i="1"/>
  <c r="BI35" i="1" s="1"/>
  <c r="AC35" i="1" s="1"/>
  <c r="AO35" i="1"/>
  <c r="BH35" i="1" s="1"/>
  <c r="AB35" i="1" s="1"/>
  <c r="AL35" i="1"/>
  <c r="AK35" i="1"/>
  <c r="AT19" i="1" s="1"/>
  <c r="AJ35" i="1"/>
  <c r="AH35" i="1"/>
  <c r="AG35" i="1"/>
  <c r="AF35" i="1"/>
  <c r="AE35" i="1"/>
  <c r="AD35" i="1"/>
  <c r="Z35" i="1"/>
  <c r="J35" i="1"/>
  <c r="I35" i="1"/>
  <c r="H35" i="1"/>
  <c r="BJ33" i="1"/>
  <c r="BF33" i="1"/>
  <c r="BD33" i="1"/>
  <c r="AX33" i="1"/>
  <c r="AP33" i="1"/>
  <c r="BI33" i="1" s="1"/>
  <c r="AC33" i="1" s="1"/>
  <c r="AO33" i="1"/>
  <c r="AW33" i="1" s="1"/>
  <c r="AL33" i="1"/>
  <c r="AK33" i="1"/>
  <c r="AJ33" i="1"/>
  <c r="AH33" i="1"/>
  <c r="AG33" i="1"/>
  <c r="AF33" i="1"/>
  <c r="AE33" i="1"/>
  <c r="AD33" i="1"/>
  <c r="Z33" i="1"/>
  <c r="J33" i="1"/>
  <c r="I33" i="1"/>
  <c r="BJ30" i="1"/>
  <c r="BF30" i="1"/>
  <c r="BD30" i="1"/>
  <c r="AP30" i="1"/>
  <c r="AX30" i="1" s="1"/>
  <c r="AO30" i="1"/>
  <c r="BH30" i="1" s="1"/>
  <c r="AB30" i="1" s="1"/>
  <c r="AK30" i="1"/>
  <c r="AJ30" i="1"/>
  <c r="AS19" i="1" s="1"/>
  <c r="AH30" i="1"/>
  <c r="AG30" i="1"/>
  <c r="AF30" i="1"/>
  <c r="AE30" i="1"/>
  <c r="AD30" i="1"/>
  <c r="Z30" i="1"/>
  <c r="J30" i="1"/>
  <c r="AL30" i="1" s="1"/>
  <c r="BJ25" i="1"/>
  <c r="BF25" i="1"/>
  <c r="BD25" i="1"/>
  <c r="AP25" i="1"/>
  <c r="BI25" i="1" s="1"/>
  <c r="AC25" i="1" s="1"/>
  <c r="AO25" i="1"/>
  <c r="BH25" i="1" s="1"/>
  <c r="AB25" i="1" s="1"/>
  <c r="AL25" i="1"/>
  <c r="AK25" i="1"/>
  <c r="AJ25" i="1"/>
  <c r="AH25" i="1"/>
  <c r="AG25" i="1"/>
  <c r="AF25" i="1"/>
  <c r="AE25" i="1"/>
  <c r="AD25" i="1"/>
  <c r="Z25" i="1"/>
  <c r="J25" i="1"/>
  <c r="H25" i="1"/>
  <c r="BJ23" i="1"/>
  <c r="BF23" i="1"/>
  <c r="BD23" i="1"/>
  <c r="AW23" i="1"/>
  <c r="AP23" i="1"/>
  <c r="BI23" i="1" s="1"/>
  <c r="AC23" i="1" s="1"/>
  <c r="AO23" i="1"/>
  <c r="BH23" i="1" s="1"/>
  <c r="AB23" i="1" s="1"/>
  <c r="AL23" i="1"/>
  <c r="AK23" i="1"/>
  <c r="AJ23" i="1"/>
  <c r="AH23" i="1"/>
  <c r="AG23" i="1"/>
  <c r="AF23" i="1"/>
  <c r="AE23" i="1"/>
  <c r="AD23" i="1"/>
  <c r="Z23" i="1"/>
  <c r="J23" i="1"/>
  <c r="I23" i="1"/>
  <c r="H23" i="1"/>
  <c r="BJ20" i="1"/>
  <c r="BF20" i="1"/>
  <c r="BD20" i="1"/>
  <c r="AX20" i="1"/>
  <c r="AW20" i="1"/>
  <c r="AV20" i="1" s="1"/>
  <c r="AP20" i="1"/>
  <c r="BI20" i="1" s="1"/>
  <c r="AC20" i="1" s="1"/>
  <c r="AO20" i="1"/>
  <c r="H20" i="1" s="1"/>
  <c r="AK20" i="1"/>
  <c r="AJ20" i="1"/>
  <c r="AH20" i="1"/>
  <c r="AG20" i="1"/>
  <c r="AF20" i="1"/>
  <c r="AE20" i="1"/>
  <c r="AD20" i="1"/>
  <c r="Z20" i="1"/>
  <c r="J20" i="1"/>
  <c r="AL20" i="1" s="1"/>
  <c r="I20" i="1"/>
  <c r="BJ16" i="1"/>
  <c r="BF16" i="1"/>
  <c r="BD16" i="1"/>
  <c r="AW16" i="1"/>
  <c r="AP16" i="1"/>
  <c r="BI16" i="1" s="1"/>
  <c r="AC16" i="1" s="1"/>
  <c r="AO16" i="1"/>
  <c r="BH16" i="1" s="1"/>
  <c r="AB16" i="1" s="1"/>
  <c r="AL16" i="1"/>
  <c r="AK16" i="1"/>
  <c r="AJ16" i="1"/>
  <c r="AH16" i="1"/>
  <c r="AG16" i="1"/>
  <c r="AF16" i="1"/>
  <c r="AE16" i="1"/>
  <c r="AD16" i="1"/>
  <c r="Z16" i="1"/>
  <c r="J16" i="1"/>
  <c r="I16" i="1"/>
  <c r="H16" i="1"/>
  <c r="BJ14" i="1"/>
  <c r="BF14" i="1"/>
  <c r="BD14" i="1"/>
  <c r="AX14" i="1"/>
  <c r="AW14" i="1"/>
  <c r="AV14" i="1" s="1"/>
  <c r="AP14" i="1"/>
  <c r="BI14" i="1" s="1"/>
  <c r="AC14" i="1" s="1"/>
  <c r="AO14" i="1"/>
  <c r="H14" i="1" s="1"/>
  <c r="H13" i="1" s="1"/>
  <c r="AK14" i="1"/>
  <c r="AJ14" i="1"/>
  <c r="AH14" i="1"/>
  <c r="AG14" i="1"/>
  <c r="AF14" i="1"/>
  <c r="AE14" i="1"/>
  <c r="AD14" i="1"/>
  <c r="Z14" i="1"/>
  <c r="J14" i="1"/>
  <c r="AL14" i="1" s="1"/>
  <c r="I14" i="1"/>
  <c r="I13" i="1" s="1"/>
  <c r="AT13" i="1"/>
  <c r="AS13" i="1"/>
  <c r="AU1" i="1"/>
  <c r="AT1" i="1"/>
  <c r="AS1" i="1"/>
  <c r="AW323" i="1" l="1"/>
  <c r="AW297" i="1"/>
  <c r="AU224" i="1"/>
  <c r="I297" i="1"/>
  <c r="AV40" i="1"/>
  <c r="BC40" i="1"/>
  <c r="AV45" i="1"/>
  <c r="BC45" i="1"/>
  <c r="BC16" i="1"/>
  <c r="BC33" i="1"/>
  <c r="AV33" i="1"/>
  <c r="AU13" i="1"/>
  <c r="AV37" i="1"/>
  <c r="BC37" i="1"/>
  <c r="H19" i="1"/>
  <c r="J118" i="1"/>
  <c r="AU19" i="1"/>
  <c r="AX100" i="1"/>
  <c r="I100" i="1"/>
  <c r="BI30" i="1"/>
  <c r="AC30" i="1" s="1"/>
  <c r="C15" i="2" s="1"/>
  <c r="AX155" i="1"/>
  <c r="I155" i="1"/>
  <c r="I148" i="1" s="1"/>
  <c r="C21" i="2"/>
  <c r="C27" i="2"/>
  <c r="BC14" i="1"/>
  <c r="AX16" i="1"/>
  <c r="AV16" i="1" s="1"/>
  <c r="BC20" i="1"/>
  <c r="AX23" i="1"/>
  <c r="AV23" i="1" s="1"/>
  <c r="I25" i="1"/>
  <c r="I19" i="1" s="1"/>
  <c r="AW25" i="1"/>
  <c r="H30" i="1"/>
  <c r="BC42" i="1"/>
  <c r="J44" i="1"/>
  <c r="BC49" i="1"/>
  <c r="J56" i="1"/>
  <c r="AW102" i="1"/>
  <c r="H102" i="1"/>
  <c r="BC108" i="1"/>
  <c r="AV108" i="1"/>
  <c r="AW125" i="1"/>
  <c r="AV129" i="1"/>
  <c r="H163" i="1"/>
  <c r="AW163" i="1"/>
  <c r="BC171" i="1"/>
  <c r="AV171" i="1"/>
  <c r="AL214" i="1"/>
  <c r="BC252" i="1"/>
  <c r="AV252" i="1"/>
  <c r="AW346" i="1"/>
  <c r="H346" i="1"/>
  <c r="BH346" i="1"/>
  <c r="AB346" i="1" s="1"/>
  <c r="BI347" i="1"/>
  <c r="AC347" i="1" s="1"/>
  <c r="I347" i="1"/>
  <c r="AX347" i="1"/>
  <c r="AX105" i="1"/>
  <c r="I105" i="1"/>
  <c r="I104" i="1" s="1"/>
  <c r="AL175" i="1"/>
  <c r="J165" i="1"/>
  <c r="AU94" i="1"/>
  <c r="AL203" i="1"/>
  <c r="AU202" i="1" s="1"/>
  <c r="J202" i="1"/>
  <c r="BC236" i="1"/>
  <c r="AV236" i="1"/>
  <c r="I253" i="1"/>
  <c r="AX253" i="1"/>
  <c r="BI254" i="1"/>
  <c r="AC254" i="1" s="1"/>
  <c r="I254" i="1"/>
  <c r="AX254" i="1"/>
  <c r="H343" i="1"/>
  <c r="AW343" i="1"/>
  <c r="BH343" i="1"/>
  <c r="AB343" i="1" s="1"/>
  <c r="J13" i="1"/>
  <c r="C28" i="2"/>
  <c r="F28" i="2" s="1"/>
  <c r="J19" i="1"/>
  <c r="AX25" i="1"/>
  <c r="I30" i="1"/>
  <c r="AW30" i="1"/>
  <c r="H33" i="1"/>
  <c r="BI57" i="1"/>
  <c r="AC57" i="1" s="1"/>
  <c r="AL106" i="1"/>
  <c r="AU104" i="1" s="1"/>
  <c r="AX114" i="1"/>
  <c r="BC114" i="1" s="1"/>
  <c r="BH116" i="1"/>
  <c r="AL121" i="1"/>
  <c r="AU119" i="1" s="1"/>
  <c r="AW128" i="1"/>
  <c r="H128" i="1"/>
  <c r="AV132" i="1"/>
  <c r="AT148" i="1"/>
  <c r="BI175" i="1"/>
  <c r="AC175" i="1" s="1"/>
  <c r="I175" i="1"/>
  <c r="I165" i="1" s="1"/>
  <c r="AX175" i="1"/>
  <c r="AV178" i="1"/>
  <c r="I179" i="1"/>
  <c r="AV214" i="1"/>
  <c r="BC214" i="1"/>
  <c r="AX287" i="1"/>
  <c r="AV287" i="1" s="1"/>
  <c r="I287" i="1"/>
  <c r="AV289" i="1"/>
  <c r="BC306" i="1"/>
  <c r="I346" i="1"/>
  <c r="I339" i="1" s="1"/>
  <c r="AX346" i="1"/>
  <c r="AW72" i="1"/>
  <c r="H72" i="1"/>
  <c r="BC229" i="1"/>
  <c r="AV229" i="1"/>
  <c r="C20" i="2"/>
  <c r="BH33" i="1"/>
  <c r="AB33" i="1" s="1"/>
  <c r="AL102" i="1"/>
  <c r="AV35" i="1"/>
  <c r="BI37" i="1"/>
  <c r="AC37" i="1" s="1"/>
  <c r="BH40" i="1"/>
  <c r="AB40" i="1" s="1"/>
  <c r="BH45" i="1"/>
  <c r="AB45" i="1" s="1"/>
  <c r="AX65" i="1"/>
  <c r="I65" i="1"/>
  <c r="I60" i="1" s="1"/>
  <c r="AW70" i="1"/>
  <c r="H70" i="1"/>
  <c r="H60" i="1" s="1"/>
  <c r="H12" i="1" s="1"/>
  <c r="AW88" i="1"/>
  <c r="H88" i="1"/>
  <c r="H82" i="1" s="1"/>
  <c r="AX92" i="1"/>
  <c r="I92" i="1"/>
  <c r="I91" i="1" s="1"/>
  <c r="AV95" i="1"/>
  <c r="AW106" i="1"/>
  <c r="H106" i="1"/>
  <c r="AT119" i="1"/>
  <c r="AW121" i="1"/>
  <c r="H121" i="1"/>
  <c r="H119" i="1" s="1"/>
  <c r="H118" i="1" s="1"/>
  <c r="J123" i="1"/>
  <c r="AT156" i="1"/>
  <c r="AV187" i="1"/>
  <c r="AV189" i="1"/>
  <c r="AV203" i="1"/>
  <c r="BC203" i="1"/>
  <c r="I279" i="1"/>
  <c r="BI279" i="1"/>
  <c r="AC279" i="1" s="1"/>
  <c r="AV140" i="1"/>
  <c r="BC140" i="1"/>
  <c r="AU211" i="1"/>
  <c r="BH20" i="1"/>
  <c r="AB20" i="1" s="1"/>
  <c r="BH42" i="1"/>
  <c r="AF42" i="1" s="1"/>
  <c r="C18" i="2" s="1"/>
  <c r="BH72" i="1"/>
  <c r="AB72" i="1" s="1"/>
  <c r="AX88" i="1"/>
  <c r="I88" i="1"/>
  <c r="BI100" i="1"/>
  <c r="AG100" i="1" s="1"/>
  <c r="C19" i="2" s="1"/>
  <c r="BI105" i="1"/>
  <c r="AU123" i="1"/>
  <c r="AL140" i="1"/>
  <c r="AU139" i="1" s="1"/>
  <c r="J139" i="1"/>
  <c r="J130" i="1" s="1"/>
  <c r="AU156" i="1"/>
  <c r="AV196" i="1"/>
  <c r="BC196" i="1"/>
  <c r="C17" i="2"/>
  <c r="I37" i="1"/>
  <c r="H40" i="1"/>
  <c r="H45" i="1"/>
  <c r="H44" i="1" s="1"/>
  <c r="AX57" i="1"/>
  <c r="AW78" i="1"/>
  <c r="H78" i="1"/>
  <c r="H77" i="1" s="1"/>
  <c r="BH125" i="1"/>
  <c r="AX127" i="1"/>
  <c r="I127" i="1"/>
  <c r="I123" i="1" s="1"/>
  <c r="BI155" i="1"/>
  <c r="AC155" i="1" s="1"/>
  <c r="AX191" i="1"/>
  <c r="AV191" i="1" s="1"/>
  <c r="I191" i="1"/>
  <c r="BI191" i="1"/>
  <c r="AC191" i="1" s="1"/>
  <c r="BC268" i="1"/>
  <c r="AV268" i="1"/>
  <c r="H248" i="1"/>
  <c r="AW248" i="1"/>
  <c r="BH248" i="1"/>
  <c r="AB248" i="1" s="1"/>
  <c r="C16" i="2"/>
  <c r="BH14" i="1"/>
  <c r="AB14" i="1" s="1"/>
  <c r="BI40" i="1"/>
  <c r="AC40" i="1" s="1"/>
  <c r="BI45" i="1"/>
  <c r="AC45" i="1" s="1"/>
  <c r="BH49" i="1"/>
  <c r="AB49" i="1" s="1"/>
  <c r="AU60" i="1"/>
  <c r="AX70" i="1"/>
  <c r="I70" i="1"/>
  <c r="AX83" i="1"/>
  <c r="I83" i="1"/>
  <c r="I82" i="1" s="1"/>
  <c r="I94" i="1"/>
  <c r="H123" i="1"/>
  <c r="AV166" i="1"/>
  <c r="BC166" i="1"/>
  <c r="AV227" i="1"/>
  <c r="BC227" i="1"/>
  <c r="BI253" i="1"/>
  <c r="AC253" i="1" s="1"/>
  <c r="AX78" i="1"/>
  <c r="I78" i="1"/>
  <c r="I77" i="1" s="1"/>
  <c r="AX97" i="1"/>
  <c r="I97" i="1"/>
  <c r="AW100" i="1"/>
  <c r="H100" i="1"/>
  <c r="H94" i="1" s="1"/>
  <c r="AW105" i="1"/>
  <c r="H105" i="1"/>
  <c r="H104" i="1" s="1"/>
  <c r="AW116" i="1"/>
  <c r="AX120" i="1"/>
  <c r="I120" i="1"/>
  <c r="I119" i="1" s="1"/>
  <c r="AX145" i="1"/>
  <c r="I145" i="1"/>
  <c r="I139" i="1" s="1"/>
  <c r="AV149" i="1"/>
  <c r="AX179" i="1"/>
  <c r="BC179" i="1" s="1"/>
  <c r="AX182" i="1"/>
  <c r="BC182" i="1" s="1"/>
  <c r="I182" i="1"/>
  <c r="BI182" i="1"/>
  <c r="AC182" i="1" s="1"/>
  <c r="AV199" i="1"/>
  <c r="BC199" i="1"/>
  <c r="BC257" i="1"/>
  <c r="AV257" i="1"/>
  <c r="BI287" i="1"/>
  <c r="AC287" i="1" s="1"/>
  <c r="AX61" i="1"/>
  <c r="AV61" i="1" s="1"/>
  <c r="AW65" i="1"/>
  <c r="AW83" i="1"/>
  <c r="F35" i="3"/>
  <c r="I35" i="3" s="1"/>
  <c r="BI162" i="1"/>
  <c r="AC162" i="1" s="1"/>
  <c r="AU165" i="1"/>
  <c r="BH166" i="1"/>
  <c r="AB166" i="1" s="1"/>
  <c r="BH182" i="1"/>
  <c r="AB182" i="1" s="1"/>
  <c r="I186" i="1"/>
  <c r="BH191" i="1"/>
  <c r="AB191" i="1" s="1"/>
  <c r="I232" i="1"/>
  <c r="BI232" i="1"/>
  <c r="AC232" i="1" s="1"/>
  <c r="I261" i="1"/>
  <c r="BI261" i="1"/>
  <c r="AC261" i="1" s="1"/>
  <c r="AV275" i="1"/>
  <c r="BC287" i="1"/>
  <c r="AV300" i="1"/>
  <c r="J322" i="1"/>
  <c r="AL334" i="1"/>
  <c r="AU322" i="1" s="1"/>
  <c r="BC347" i="1"/>
  <c r="AV347" i="1"/>
  <c r="BH129" i="1"/>
  <c r="AW162" i="1"/>
  <c r="H162" i="1"/>
  <c r="H156" i="1" s="1"/>
  <c r="J186" i="1"/>
  <c r="AX295" i="1"/>
  <c r="I295" i="1"/>
  <c r="BI295" i="1"/>
  <c r="AC295" i="1" s="1"/>
  <c r="AW296" i="1"/>
  <c r="H296" i="1"/>
  <c r="AW329" i="1"/>
  <c r="H329" i="1"/>
  <c r="H322" i="1" s="1"/>
  <c r="BH329" i="1"/>
  <c r="AB329" i="1" s="1"/>
  <c r="I18" i="3"/>
  <c r="F29" i="3" s="1"/>
  <c r="BI112" i="1"/>
  <c r="BH114" i="1"/>
  <c r="BI122" i="1"/>
  <c r="BI124" i="1"/>
  <c r="BI129" i="1"/>
  <c r="BH178" i="1"/>
  <c r="AB178" i="1" s="1"/>
  <c r="AX232" i="1"/>
  <c r="AW253" i="1"/>
  <c r="H253" i="1"/>
  <c r="H292" i="1"/>
  <c r="AW292" i="1"/>
  <c r="AW312" i="1"/>
  <c r="H312" i="1"/>
  <c r="AL315" i="1"/>
  <c r="AU314" i="1" s="1"/>
  <c r="J314" i="1"/>
  <c r="I329" i="1"/>
  <c r="BI329" i="1"/>
  <c r="AC329" i="1" s="1"/>
  <c r="F22" i="2"/>
  <c r="F37" i="3"/>
  <c r="I37" i="3" s="1"/>
  <c r="I129" i="1"/>
  <c r="H182" i="1"/>
  <c r="AW212" i="1"/>
  <c r="H212" i="1"/>
  <c r="AX225" i="1"/>
  <c r="I225" i="1"/>
  <c r="BI225" i="1"/>
  <c r="AC225" i="1" s="1"/>
  <c r="AW226" i="1"/>
  <c r="H226" i="1"/>
  <c r="H224" i="1" s="1"/>
  <c r="H223" i="1" s="1"/>
  <c r="BC254" i="1"/>
  <c r="AV254" i="1"/>
  <c r="AX268" i="1"/>
  <c r="BI268" i="1"/>
  <c r="AC268" i="1" s="1"/>
  <c r="I268" i="1"/>
  <c r="BC270" i="1"/>
  <c r="AV270" i="1"/>
  <c r="H272" i="1"/>
  <c r="BH272" i="1"/>
  <c r="AB272" i="1" s="1"/>
  <c r="AV297" i="1"/>
  <c r="BC297" i="1"/>
  <c r="AS322" i="1"/>
  <c r="AX161" i="1"/>
  <c r="I161" i="1"/>
  <c r="I156" i="1" s="1"/>
  <c r="H179" i="1"/>
  <c r="H165" i="1" s="1"/>
  <c r="H191" i="1"/>
  <c r="H186" i="1" s="1"/>
  <c r="AV208" i="1"/>
  <c r="J224" i="1"/>
  <c r="J223" i="1" s="1"/>
  <c r="H227" i="1"/>
  <c r="BH227" i="1"/>
  <c r="AB227" i="1" s="1"/>
  <c r="BI272" i="1"/>
  <c r="AC272" i="1" s="1"/>
  <c r="I272" i="1"/>
  <c r="AX272" i="1"/>
  <c r="BC272" i="1" s="1"/>
  <c r="AW279" i="1"/>
  <c r="H279" i="1"/>
  <c r="BH279" i="1"/>
  <c r="AB279" i="1" s="1"/>
  <c r="AV285" i="1"/>
  <c r="AW293" i="1"/>
  <c r="H293" i="1"/>
  <c r="BH296" i="1"/>
  <c r="AB296" i="1" s="1"/>
  <c r="AX240" i="1"/>
  <c r="I240" i="1"/>
  <c r="AW315" i="1"/>
  <c r="H315" i="1"/>
  <c r="H314" i="1" s="1"/>
  <c r="I22" i="2"/>
  <c r="BH196" i="1"/>
  <c r="AB196" i="1" s="1"/>
  <c r="BH208" i="1"/>
  <c r="AB208" i="1" s="1"/>
  <c r="BI212" i="1"/>
  <c r="AC212" i="1" s="1"/>
  <c r="BH214" i="1"/>
  <c r="AB214" i="1" s="1"/>
  <c r="AX296" i="1"/>
  <c r="BI196" i="1"/>
  <c r="AC196" i="1" s="1"/>
  <c r="BH199" i="1"/>
  <c r="AB199" i="1" s="1"/>
  <c r="BH203" i="1"/>
  <c r="AB203" i="1" s="1"/>
  <c r="BI208" i="1"/>
  <c r="AC208" i="1" s="1"/>
  <c r="BI214" i="1"/>
  <c r="AC214" i="1" s="1"/>
  <c r="BH216" i="1"/>
  <c r="AX226" i="1"/>
  <c r="AW246" i="1"/>
  <c r="H246" i="1"/>
  <c r="AX259" i="1"/>
  <c r="I259" i="1"/>
  <c r="AX270" i="1"/>
  <c r="AX292" i="1"/>
  <c r="AV303" i="1"/>
  <c r="AX315" i="1"/>
  <c r="AW340" i="1"/>
  <c r="H340" i="1"/>
  <c r="AL349" i="1"/>
  <c r="AU348" i="1" s="1"/>
  <c r="J348" i="1"/>
  <c r="H196" i="1"/>
  <c r="H208" i="1"/>
  <c r="H207" i="1" s="1"/>
  <c r="I212" i="1"/>
  <c r="I211" i="1" s="1"/>
  <c r="H214" i="1"/>
  <c r="AW221" i="1"/>
  <c r="AT224" i="1"/>
  <c r="BH232" i="1"/>
  <c r="AB232" i="1" s="1"/>
  <c r="H236" i="1"/>
  <c r="AW263" i="1"/>
  <c r="BC265" i="1"/>
  <c r="AX278" i="1"/>
  <c r="I278" i="1"/>
  <c r="BH297" i="1"/>
  <c r="AB297" i="1" s="1"/>
  <c r="BI306" i="1"/>
  <c r="AC306" i="1" s="1"/>
  <c r="AW309" i="1"/>
  <c r="AX323" i="1"/>
  <c r="I323" i="1"/>
  <c r="I322" i="1" s="1"/>
  <c r="BI349" i="1"/>
  <c r="AC349" i="1" s="1"/>
  <c r="AW352" i="1"/>
  <c r="AW233" i="1"/>
  <c r="AW261" i="1"/>
  <c r="H261" i="1"/>
  <c r="AW282" i="1"/>
  <c r="BC285" i="1"/>
  <c r="AX289" i="1"/>
  <c r="BC289" i="1" s="1"/>
  <c r="I303" i="1"/>
  <c r="AW334" i="1"/>
  <c r="I313" i="1" l="1"/>
  <c r="I130" i="1"/>
  <c r="I12" i="1"/>
  <c r="BC240" i="1"/>
  <c r="AV240" i="1"/>
  <c r="BC312" i="1"/>
  <c r="AV312" i="1"/>
  <c r="C29" i="2"/>
  <c r="F29" i="2" s="1"/>
  <c r="BC72" i="1"/>
  <c r="AV72" i="1"/>
  <c r="BC30" i="1"/>
  <c r="AV30" i="1"/>
  <c r="BC346" i="1"/>
  <c r="AV346" i="1"/>
  <c r="AV116" i="1"/>
  <c r="BC116" i="1"/>
  <c r="AV334" i="1"/>
  <c r="BC334" i="1"/>
  <c r="AV226" i="1"/>
  <c r="BC226" i="1"/>
  <c r="AV329" i="1"/>
  <c r="BC329" i="1"/>
  <c r="AV162" i="1"/>
  <c r="BC162" i="1"/>
  <c r="BC92" i="1"/>
  <c r="AV92" i="1"/>
  <c r="J357" i="1"/>
  <c r="J12" i="1"/>
  <c r="BC161" i="1"/>
  <c r="AV161" i="1"/>
  <c r="AV105" i="1"/>
  <c r="BC105" i="1"/>
  <c r="AV114" i="1"/>
  <c r="BC23" i="1"/>
  <c r="AV263" i="1"/>
  <c r="BC263" i="1"/>
  <c r="BC191" i="1"/>
  <c r="BC309" i="1"/>
  <c r="AV309" i="1"/>
  <c r="AV259" i="1"/>
  <c r="BC259" i="1"/>
  <c r="H211" i="1"/>
  <c r="H130" i="1" s="1"/>
  <c r="I45" i="3"/>
  <c r="I24" i="2" s="1"/>
  <c r="BC145" i="1"/>
  <c r="AV145" i="1"/>
  <c r="AV182" i="1"/>
  <c r="BC57" i="1"/>
  <c r="AV57" i="1"/>
  <c r="AV179" i="1"/>
  <c r="BC106" i="1"/>
  <c r="AV106" i="1"/>
  <c r="AV70" i="1"/>
  <c r="BC70" i="1"/>
  <c r="BC128" i="1"/>
  <c r="AV128" i="1"/>
  <c r="BC155" i="1"/>
  <c r="AV155" i="1"/>
  <c r="BC102" i="1"/>
  <c r="AV102" i="1"/>
  <c r="BC293" i="1"/>
  <c r="AV293" i="1"/>
  <c r="I224" i="1"/>
  <c r="I223" i="1" s="1"/>
  <c r="BC292" i="1"/>
  <c r="AV292" i="1"/>
  <c r="BC61" i="1"/>
  <c r="AV323" i="1"/>
  <c r="BC323" i="1"/>
  <c r="AV78" i="1"/>
  <c r="BC78" i="1"/>
  <c r="H339" i="1"/>
  <c r="H313" i="1" s="1"/>
  <c r="AV315" i="1"/>
  <c r="BC315" i="1"/>
  <c r="AV212" i="1"/>
  <c r="BC212" i="1"/>
  <c r="BC253" i="1"/>
  <c r="AV253" i="1"/>
  <c r="BC295" i="1"/>
  <c r="AV295" i="1"/>
  <c r="BC83" i="1"/>
  <c r="AV83" i="1"/>
  <c r="I118" i="1"/>
  <c r="BC97" i="1"/>
  <c r="AV97" i="1"/>
  <c r="AV272" i="1"/>
  <c r="AV125" i="1"/>
  <c r="BC125" i="1"/>
  <c r="BC233" i="1"/>
  <c r="AV233" i="1"/>
  <c r="BC25" i="1"/>
  <c r="AV25" i="1"/>
  <c r="BC352" i="1"/>
  <c r="AV352" i="1"/>
  <c r="AV278" i="1"/>
  <c r="BC278" i="1"/>
  <c r="C14" i="2"/>
  <c r="C22" i="2" s="1"/>
  <c r="BC127" i="1"/>
  <c r="AV127" i="1"/>
  <c r="BC121" i="1"/>
  <c r="AV121" i="1"/>
  <c r="AV163" i="1"/>
  <c r="BC163" i="1"/>
  <c r="AV296" i="1"/>
  <c r="BC296" i="1"/>
  <c r="AV88" i="1"/>
  <c r="BC88" i="1"/>
  <c r="AV343" i="1"/>
  <c r="BC343" i="1"/>
  <c r="BC225" i="1"/>
  <c r="AV225" i="1"/>
  <c r="AV100" i="1"/>
  <c r="BC100" i="1"/>
  <c r="AV248" i="1"/>
  <c r="BC248" i="1"/>
  <c r="AV282" i="1"/>
  <c r="BC282" i="1"/>
  <c r="AV261" i="1"/>
  <c r="BC261" i="1"/>
  <c r="BC221" i="1"/>
  <c r="AV221" i="1"/>
  <c r="AV340" i="1"/>
  <c r="BC340" i="1"/>
  <c r="AV246" i="1"/>
  <c r="BC246" i="1"/>
  <c r="AV279" i="1"/>
  <c r="BC279" i="1"/>
  <c r="J313" i="1"/>
  <c r="BC232" i="1"/>
  <c r="AV232" i="1"/>
  <c r="BC65" i="1"/>
  <c r="AV65" i="1"/>
  <c r="BC120" i="1"/>
  <c r="AV120" i="1"/>
  <c r="BC175" i="1"/>
  <c r="AV175" i="1"/>
  <c r="I28" i="2" l="1"/>
  <c r="I29" i="2" s="1"/>
</calcChain>
</file>

<file path=xl/sharedStrings.xml><?xml version="1.0" encoding="utf-8"?>
<sst xmlns="http://schemas.openxmlformats.org/spreadsheetml/2006/main" count="2392" uniqueCount="790">
  <si>
    <t>Slepý stavební rozpočet</t>
  </si>
  <si>
    <t>Název stavby:</t>
  </si>
  <si>
    <t>Modrozelený ostrov Urxova x Vrbenského x Jožky Jabůrkové</t>
  </si>
  <si>
    <t>Doba výstavby:</t>
  </si>
  <si>
    <t xml:space="preserve"> </t>
  </si>
  <si>
    <t>Objednatel:</t>
  </si>
  <si>
    <t>Statutární město Brno, MČ Brno - Komín</t>
  </si>
  <si>
    <t>Druh stavby:</t>
  </si>
  <si>
    <t>Veřejné prostranství</t>
  </si>
  <si>
    <t>Začátek výstavby:</t>
  </si>
  <si>
    <t>Projektant:</t>
  </si>
  <si>
    <t>Atelier V8 s.r.o., Vez Zmolách 10, 675 73 Kralice</t>
  </si>
  <si>
    <t>Lokalita:</t>
  </si>
  <si>
    <t>Brno - Komín</t>
  </si>
  <si>
    <t>Konec výstavby:</t>
  </si>
  <si>
    <t>Zhotovitel:</t>
  </si>
  <si>
    <t> </t>
  </si>
  <si>
    <t>JKSO:</t>
  </si>
  <si>
    <t>823</t>
  </si>
  <si>
    <t>Zpracováno dne:</t>
  </si>
  <si>
    <t>Zpracoval:</t>
  </si>
  <si>
    <t>Č</t>
  </si>
  <si>
    <t>Kód</t>
  </si>
  <si>
    <t>Zkrácený popis / Varianta</t>
  </si>
  <si>
    <t>MJ</t>
  </si>
  <si>
    <t>Množství</t>
  </si>
  <si>
    <t>Cena/MJ</t>
  </si>
  <si>
    <t>Náklady (Kč)</t>
  </si>
  <si>
    <t>Cenová</t>
  </si>
  <si>
    <t>ISWORK</t>
  </si>
  <si>
    <t>GROUPCODE</t>
  </si>
  <si>
    <t>VATTAX</t>
  </si>
  <si>
    <t>Rozměry</t>
  </si>
  <si>
    <t>(Kč)</t>
  </si>
  <si>
    <t>Dodávka</t>
  </si>
  <si>
    <t>Montáž</t>
  </si>
  <si>
    <t>Celkem</t>
  </si>
  <si>
    <t>soustava</t>
  </si>
  <si>
    <t>Přesuny</t>
  </si>
  <si>
    <t>Typ skupiny</t>
  </si>
  <si>
    <t>HSV mat</t>
  </si>
  <si>
    <t>HSV prac</t>
  </si>
  <si>
    <t>PSV mat</t>
  </si>
  <si>
    <t>PSV prac</t>
  </si>
  <si>
    <t>Mont mat</t>
  </si>
  <si>
    <t>Mont prac</t>
  </si>
  <si>
    <t>Ostatní mat.</t>
  </si>
  <si>
    <t>MAT</t>
  </si>
  <si>
    <t>WORK</t>
  </si>
  <si>
    <t>CELK</t>
  </si>
  <si>
    <t/>
  </si>
  <si>
    <t>Příprava území</t>
  </si>
  <si>
    <t>000VD</t>
  </si>
  <si>
    <t>Ochrana a řez dřevin</t>
  </si>
  <si>
    <t>001</t>
  </si>
  <si>
    <t>1</t>
  </si>
  <si>
    <t>0000100</t>
  </si>
  <si>
    <t>Ochrana stromů na staveništi - viz popis v PD</t>
  </si>
  <si>
    <t>kpl</t>
  </si>
  <si>
    <t>000VD_</t>
  </si>
  <si>
    <t>001_0_</t>
  </si>
  <si>
    <t>001_</t>
  </si>
  <si>
    <t>P</t>
  </si>
  <si>
    <t>Varianta:</t>
  </si>
  <si>
    <t>vyznačení ploch, umístění výstražných tabulek, udržování po dobu stavby</t>
  </si>
  <si>
    <t>2</t>
  </si>
  <si>
    <t>00001001</t>
  </si>
  <si>
    <t>Ochrana vegetačních ploch při stavební činnosti - dočasné oplocení - zápůjčka týdenní</t>
  </si>
  <si>
    <t>bm/týd</t>
  </si>
  <si>
    <t>vlastní</t>
  </si>
  <si>
    <t>- pevně ukotvené mobilní opůlocení o výšce min. 1,8 m, včetně stavby, demontáže, odvozu</t>
  </si>
  <si>
    <t>(45+50+58)*3</t>
  </si>
  <si>
    <t>stabilně u dřevin</t>
  </si>
  <si>
    <t>11</t>
  </si>
  <si>
    <t>Přípravné a přidružené práce</t>
  </si>
  <si>
    <t>3</t>
  </si>
  <si>
    <t>113108406R00</t>
  </si>
  <si>
    <t>Odstranění asfaltové vrstvy pl.nad 50 m2, tl. 6 cm</t>
  </si>
  <si>
    <t>m2</t>
  </si>
  <si>
    <t>RTS I / 2025</t>
  </si>
  <si>
    <t>11_</t>
  </si>
  <si>
    <t>001_1_</t>
  </si>
  <si>
    <t>356+15</t>
  </si>
  <si>
    <t>asfaltové chodníky vč. schodiště</t>
  </si>
  <si>
    <t>RTS komentář:</t>
  </si>
  <si>
    <t>Položka není určena pro odstranění podkladu nebo krytu frézováním. Pro volbu položky z hlediska množství se uvažuje každá souvisle odstraňovaná plocha krytu nebo podkladu stejného druhu samostatně.Odstraňuje-li se několik vrstev vozovky najednou, jednotlivé vrstvy se oceňují každá samostatně</t>
  </si>
  <si>
    <t>4</t>
  </si>
  <si>
    <t>113108306R00</t>
  </si>
  <si>
    <t>Odstranění asfaltové vrstvy pl.do 50 m2, tl. 6 cm</t>
  </si>
  <si>
    <t>17*0,5</t>
  </si>
  <si>
    <t>asfalt z vozovky pro uložení obrub</t>
  </si>
  <si>
    <t>5</t>
  </si>
  <si>
    <t>113201012RA0</t>
  </si>
  <si>
    <t>Vytrhání obrubníků chodníkových a parkových</t>
  </si>
  <si>
    <t>m</t>
  </si>
  <si>
    <t>170</t>
  </si>
  <si>
    <t>obrubníky</t>
  </si>
  <si>
    <t>7*2</t>
  </si>
  <si>
    <t>obruby jako schody</t>
  </si>
  <si>
    <t>14</t>
  </si>
  <si>
    <t>u asf. chodníku</t>
  </si>
  <si>
    <t>Položka obsahuje: - vytrhání obrubníků s vybouráním lože a s přemístěním hmot na vzdálenost do 3 m - naložení na dopravní prostředek - vodorovnou dopravu do 1 km  Položka neobsahuje poplatek za skládku</t>
  </si>
  <si>
    <t>6</t>
  </si>
  <si>
    <t>113109410R00</t>
  </si>
  <si>
    <t>Odstranění podkladu pl.nad 50 m2, beton, tl. 10 cm</t>
  </si>
  <si>
    <t>Položka je určena i pro odstranění dlažeb uložených do betonového lože a dlažeb z mozaiky uložených do cementové malty nebo podkladu ze zemin stabilizovaných cementem. Pro volbu položky z hlediska množství se uvažuje každá souvisle odstraňovaná plocha krytu nebo podkladu stejného druhu samostatně.Odstraňuje-li se několik vrstev vozovky najednou, jednotlivé vrstvy se oceňují každá samostatně</t>
  </si>
  <si>
    <t>7</t>
  </si>
  <si>
    <t>113109310R00</t>
  </si>
  <si>
    <t>Odstranění podkladu pl.50 m2, bet.prostý tl.10 cm</t>
  </si>
  <si>
    <t>8</t>
  </si>
  <si>
    <t>113109320R00</t>
  </si>
  <si>
    <t>Odstranění podkladu pl.50 m2, bet.prostý tl.20 cm</t>
  </si>
  <si>
    <t>dno u popelnic</t>
  </si>
  <si>
    <t>9</t>
  </si>
  <si>
    <t>113107610R00</t>
  </si>
  <si>
    <t>Odstranění podkladu nad 50 m2,kam.drcené tl.10 cm</t>
  </si>
  <si>
    <t>Položka je určena i pro odstranění podkladů nebo krytů ze zemin stabilizovaných vápnem. Pro volbu položky z hlediska množství se uvažuje každá souvisle odstraňovaná plocha krytu nebo podkladu stejného druhu samostatně.Odstraňuje-li se několik vrstev vozovky najednou, jednotlivé vrstvy se oceňují každá samostatně</t>
  </si>
  <si>
    <t>10</t>
  </si>
  <si>
    <t>112101112R00</t>
  </si>
  <si>
    <t>Kácení stromů listnatých průměru 30 cm, svah 1:5</t>
  </si>
  <si>
    <t>kus</t>
  </si>
  <si>
    <t>inv. č. 4</t>
  </si>
  <si>
    <t>460030025RT3</t>
  </si>
  <si>
    <t>Odstranění dřevit. porostu - ostnatý,středně hustý</t>
  </si>
  <si>
    <t>z plochy nad 10 m2</t>
  </si>
  <si>
    <t>12</t>
  </si>
  <si>
    <t>Odkopávky a prokopávky</t>
  </si>
  <si>
    <t>121101101R01</t>
  </si>
  <si>
    <t>Sejmutí ornice s přemístěním do 50 m</t>
  </si>
  <si>
    <t>m3</t>
  </si>
  <si>
    <t>RTS I / 2024</t>
  </si>
  <si>
    <t>12_</t>
  </si>
  <si>
    <t>ručně</t>
  </si>
  <si>
    <t>30*0,25</t>
  </si>
  <si>
    <t>pro nový chodník</t>
  </si>
  <si>
    <t xml:space="preserve">V položce je obsaženo i uložení na dočasnou skládku v příslušné vzdálenosti, pokud na 1 m2 skládky nepřipadá více jak 2 m3 ornice. V opačném případě se uložení musí dokalkulovat. STANDARDY KONSTRUKCÍ Obsah standardu je popsán následujícími technickými a kvalitativními parametry.  Odstranění travin, rákosu ruderálního porostu, stařiny, zřízení protipožárních pásů a kosení ve vegetačním období s ponecháním na místě Odstraněním travin a rákosu se rozumí ruční posekání travin, rákosu a také všech zemědělských plodin, ruderálního porostu, stařiny apod. kosou. Obsahem standardu je pro odstranění travin ruční posekání trávy a rákosu se shrabání hráběmi a odnosem 50 m a uložením na hromady, pro odstranění ruderálního porostu a odstranění stařiny kosení, naložení shrabků, odvoz do 20 km a složení, pro protipožární pásy srýpnutí organického půdního krytu až na minerální půdu, vykopání a odhrabání organických látek a jejich odstranění na vzdálenost do 2 m, pro odstranění rákosu, plazivého rostlinstva a bodláčí práce při hloubce vody do 300 mm, vybrání a svázání prutů pro průmyslové účely do snopků vázacím drátem a odklizení a uložení až na vzdálenost do 20 m od kraje hladiny v dané době, pro vytrhání bodláčí uložení na hromady mimo pěstované travní plochy a spálení po seschnutí Popis standardu musí vymezit druh traviny, hustotu porostu a kosenou plochu.  Celoplošné vyžínání buřeně v lesních výsadbách Celoplošným vyžínáním buřeně v lesních výsadbách se rozumí odstranění maliní, ostružiní, křovin apod. Obsahem standardu je kosení, shrabání a složení do hromad  Odstranění křovin a stromů s odstraněním nebo ponecháním kořenů, seřezání vrbového proutí, prořezávka porostů.  Odstraněním křovin a stromů s odstraněním nebo ponecháním kořenů, seřezání vrbového proutí, prořezávka porostů a spálení křovin větví a stromů se rozumí odstranění křovin a stromů o průměru kmene do 100 mm, seřezávka vrbového proutí na vegetačních zpevněních, prořezávka porostů, spálení křovin, větví a stromů a odstranění pařezů odfrézováním. Obsahem standardu je: odstranění keřovitého porostu a seřezání vrbového proutí na vegetačních zpevněních (křoviny a stromky o průměru kmenů do 5 cm) ruční pilkou nebo sekerkou nad 5 cm motorovou pilou s odstraněním kořenů a složením do hromad do vzdálenosti 20 m ( průměrný počet stromků nebo keřů na 1 m2: řídký porost 1 ks, středně hustý 3 ks, hustý přes 3 ks), prořezávka porostů, výběr, prořezání a ponechání vytěženého nehroubí na místě, spálení odstraněných křovin, přihrnování křovin, očištění spáleniště, uložení popela a zbytků na hromadu, odstranění pařezů pojezdem traktoru s frézou na pařezy, nutné přemístění a uložení na hromady na vzdálenost do50 m nebo naložení na dopravní prostředek do sklonu terénu 1 : 5. </t>
  </si>
  <si>
    <t>13</t>
  </si>
  <si>
    <t>122201101R00</t>
  </si>
  <si>
    <t>Odkopávky nezapažené v hor. 3 do 100 m3</t>
  </si>
  <si>
    <t>pro schodiště</t>
  </si>
  <si>
    <t>10*0,6*0,5</t>
  </si>
  <si>
    <t>pro patky zábradlí</t>
  </si>
  <si>
    <t>178*0,15</t>
  </si>
  <si>
    <t>pro dlažbu</t>
  </si>
  <si>
    <t>73,6*0,17</t>
  </si>
  <si>
    <t>pro odseky</t>
  </si>
  <si>
    <t>44,2*0,11</t>
  </si>
  <si>
    <t>pro štěrky</t>
  </si>
  <si>
    <t>46,1*0,45</t>
  </si>
  <si>
    <t>pro zapravení vozovky</t>
  </si>
  <si>
    <t>17</t>
  </si>
  <si>
    <t>Konstrukce ze zemin</t>
  </si>
  <si>
    <t>174101101R00</t>
  </si>
  <si>
    <t>Zásyp jam, rýh, šachet se zhutněním</t>
  </si>
  <si>
    <t>17_</t>
  </si>
  <si>
    <t>3*0,8*1</t>
  </si>
  <si>
    <t>zásyp uložených kabelů VO do chráničky</t>
  </si>
  <si>
    <t>Položka obsahuje strojní přemístění materiálu pro zásyp ze vzdálenosti do 10 m od okraje zásypu.</t>
  </si>
  <si>
    <t>18</t>
  </si>
  <si>
    <t>Povrchové úpravy terénu</t>
  </si>
  <si>
    <t>15</t>
  </si>
  <si>
    <t>181301104R00</t>
  </si>
  <si>
    <t>Rozprostření ornice, rovina, tl. 20-25 cm,do 500m2</t>
  </si>
  <si>
    <t>18_</t>
  </si>
  <si>
    <t>96</t>
  </si>
  <si>
    <t>okolí</t>
  </si>
  <si>
    <t>122</t>
  </si>
  <si>
    <t>centrální záhon</t>
  </si>
  <si>
    <t>Položka se používá pro souvislé plochy do 500 m2.</t>
  </si>
  <si>
    <t>16</t>
  </si>
  <si>
    <t>5832012</t>
  </si>
  <si>
    <t>Zemina zahradní, tříděná 0/8 - kvalitní ornice nebo substrát. Bude vzorkováno</t>
  </si>
  <si>
    <t>t</t>
  </si>
  <si>
    <t>M</t>
  </si>
  <si>
    <t>218*0,25*1,6</t>
  </si>
  <si>
    <t>rovina</t>
  </si>
  <si>
    <t>51*0,25*1,6</t>
  </si>
  <si>
    <t>svahy</t>
  </si>
  <si>
    <t>-7,5*1,6</t>
  </si>
  <si>
    <t>použití ornice v místě</t>
  </si>
  <si>
    <t>Vhodná k úpravě zahrad, parků</t>
  </si>
  <si>
    <t>182301124R00</t>
  </si>
  <si>
    <t>Rozprostření ornice, svah, tl. 20-25 cm, do 500 m2</t>
  </si>
  <si>
    <t>182001121R00</t>
  </si>
  <si>
    <t>Plošná úprava terénu, nerovnosti do 15 cm v rovině</t>
  </si>
  <si>
    <t>urovnání a prokypření před ohumusováním</t>
  </si>
  <si>
    <t>plochy po odstranění zpevnění</t>
  </si>
  <si>
    <t>85</t>
  </si>
  <si>
    <t>plochy okrajů</t>
  </si>
  <si>
    <t>767</t>
  </si>
  <si>
    <t>Konstrukce doplňkové stavební (zámečnické)</t>
  </si>
  <si>
    <t>19</t>
  </si>
  <si>
    <t>767996802R00</t>
  </si>
  <si>
    <t>Demontáž atypických ocelových konstr. do 100 kg</t>
  </si>
  <si>
    <t>kg</t>
  </si>
  <si>
    <t>767_</t>
  </si>
  <si>
    <t>001_76_</t>
  </si>
  <si>
    <t>5*55</t>
  </si>
  <si>
    <t>lavičky</t>
  </si>
  <si>
    <t>2*40</t>
  </si>
  <si>
    <t>koš</t>
  </si>
  <si>
    <t>2*30</t>
  </si>
  <si>
    <t>sloupky</t>
  </si>
  <si>
    <t>Bourání konstrukcí</t>
  </si>
  <si>
    <t>20</t>
  </si>
  <si>
    <t>962052211R00</t>
  </si>
  <si>
    <t>Bourání zdiva železobetonového nadzákladového</t>
  </si>
  <si>
    <t>96_</t>
  </si>
  <si>
    <t>001_9_</t>
  </si>
  <si>
    <t>0,15*8</t>
  </si>
  <si>
    <t>plocha pro popelnice dno</t>
  </si>
  <si>
    <t>(3,6+1,5+1,5)*0,15*1,5</t>
  </si>
  <si>
    <t>popelnice - boky</t>
  </si>
  <si>
    <t>44*0,15*0,4</t>
  </si>
  <si>
    <t>obruba pískoviště</t>
  </si>
  <si>
    <t>V položce není kalkulována manipulace se sutí, která se oceňuje samostatně položkami souboru 979</t>
  </si>
  <si>
    <t>21</t>
  </si>
  <si>
    <t>961055111R00</t>
  </si>
  <si>
    <t>Bourání základů železobetonových</t>
  </si>
  <si>
    <t>44*0,15*0,6</t>
  </si>
  <si>
    <t>97</t>
  </si>
  <si>
    <t>Prorážení otvorů a ostatní bourací práce</t>
  </si>
  <si>
    <t>22</t>
  </si>
  <si>
    <t>976071111R00</t>
  </si>
  <si>
    <t>Vybourání kovových zábradlí a madel</t>
  </si>
  <si>
    <t>97_</t>
  </si>
  <si>
    <t>V položce není kalkulována manipulace se sutí, která se oceňuje samostatně položkami souboru 979.</t>
  </si>
  <si>
    <t>M46</t>
  </si>
  <si>
    <t>Zemní práce při montážích</t>
  </si>
  <si>
    <t>23</t>
  </si>
  <si>
    <t>460201063RT2</t>
  </si>
  <si>
    <t>Výkop kabelové rýhy 100/100cm hor.3</t>
  </si>
  <si>
    <t>M46_</t>
  </si>
  <si>
    <t>ruční výkop rýhy - opatrné odkrytí trasy VO pod budoucím chodníkem</t>
  </si>
  <si>
    <t>24</t>
  </si>
  <si>
    <t>460510201RT1</t>
  </si>
  <si>
    <t>Žlab kabelový prefabrikovaný TK 1, neasfaltovaný</t>
  </si>
  <si>
    <t>včetně dodávky žlabu a poklopu</t>
  </si>
  <si>
    <t>uložení stávajícího kabelu VO do žlabu s víkem - trasa pod novým chodníkem, práce+materiál</t>
  </si>
  <si>
    <t>25</t>
  </si>
  <si>
    <t>460420304R01</t>
  </si>
  <si>
    <t>Zřízení kabel.lože š.60cm,na šířku,zemi</t>
  </si>
  <si>
    <t>zásyp pískem</t>
  </si>
  <si>
    <t>26</t>
  </si>
  <si>
    <t>460490012R00</t>
  </si>
  <si>
    <t>Fólie výstražná z PVC, šířka 33 cm</t>
  </si>
  <si>
    <t>včetně uložení</t>
  </si>
  <si>
    <t>S</t>
  </si>
  <si>
    <t>Přesuny sutí</t>
  </si>
  <si>
    <t>27</t>
  </si>
  <si>
    <t>979081111R00</t>
  </si>
  <si>
    <t>Odvoz suti a vybour. hmot na skládku do 1 km</t>
  </si>
  <si>
    <t>S_</t>
  </si>
  <si>
    <t>28</t>
  </si>
  <si>
    <t>979082119R00</t>
  </si>
  <si>
    <t>Příplatek k přesunu suti za každých dalších 1000 m</t>
  </si>
  <si>
    <t>10*389</t>
  </si>
  <si>
    <t>29</t>
  </si>
  <si>
    <t>979999981R00</t>
  </si>
  <si>
    <t>Poplatek za recyklaci betonu kusovost do 1600 cm2, čistý (skup.170101)</t>
  </si>
  <si>
    <t>137,6</t>
  </si>
  <si>
    <t>plochy</t>
  </si>
  <si>
    <t>22,3</t>
  </si>
  <si>
    <t>zídky</t>
  </si>
  <si>
    <t>skupina 17 01 01 z Katalogu odpadů kusy do 40 x 40 cm Thermoservis - transport s.r.o. Roviny 4 643 00 Brno – Chrlice, ČR IČ: 269 12 643 DIČ: CZ 269 12 64</t>
  </si>
  <si>
    <t>30</t>
  </si>
  <si>
    <t>979999995R00</t>
  </si>
  <si>
    <t>Poplatek za recyklaci asfaltu, kusovost do 1600 cm2, (skup.170302)</t>
  </si>
  <si>
    <t>skupina 17 03 02 z Katalogu odpadů  Thermoservis - transport s.r.o. Roviny 4 643 00 Brno – Chrlice, ČR IČ: 269 12 643 DIČ: CZ 269 12 64</t>
  </si>
  <si>
    <t>31</t>
  </si>
  <si>
    <t>979990161R00</t>
  </si>
  <si>
    <t>Poplatek za uložení - dřevo, skupina odpadu 170201</t>
  </si>
  <si>
    <t>Thermoservis - transport s.r.o. Roviny 4 643 00 Brno – Chrlice, ČR IČ: 269 12 643 DIČ: CZ 269 12 64</t>
  </si>
  <si>
    <t>32</t>
  </si>
  <si>
    <t>979999974R00</t>
  </si>
  <si>
    <t>Poplatek za uložení, zemina a kamení s příměsí 5 % (cihla, beton), (skup.170504)</t>
  </si>
  <si>
    <t>VORN</t>
  </si>
  <si>
    <t>Vedlejší a ostatní rozpočtové náklady</t>
  </si>
  <si>
    <t>01VRN</t>
  </si>
  <si>
    <t>Průzkumy, geodetické a projektové práce</t>
  </si>
  <si>
    <t>33</t>
  </si>
  <si>
    <t>012002VRN</t>
  </si>
  <si>
    <t>Geodetické práce - vytýčení stavby</t>
  </si>
  <si>
    <t>Soubor</t>
  </si>
  <si>
    <t>99</t>
  </si>
  <si>
    <t>01VRN_</t>
  </si>
  <si>
    <t>001_Â _</t>
  </si>
  <si>
    <t>34</t>
  </si>
  <si>
    <t>01200202VRN</t>
  </si>
  <si>
    <t>Vytýčení inženýrských sítí správci sítí</t>
  </si>
  <si>
    <t>35</t>
  </si>
  <si>
    <t>Geodetické práce - zaměření skutečného provedení</t>
  </si>
  <si>
    <t>03VRN</t>
  </si>
  <si>
    <t>Zařízení staveniště</t>
  </si>
  <si>
    <t>36</t>
  </si>
  <si>
    <t>030001VRN</t>
  </si>
  <si>
    <t>03VRN_</t>
  </si>
  <si>
    <t>37</t>
  </si>
  <si>
    <t>043002VRN</t>
  </si>
  <si>
    <t>Zkoušky</t>
  </si>
  <si>
    <t>'Zatěžovací zkoušky na pláni 2 ks navíc oproti standardům určených plochou : 4</t>
  </si>
  <si>
    <t>38</t>
  </si>
  <si>
    <t>039002VRN</t>
  </si>
  <si>
    <t>Odstranění zařízení staveniště</t>
  </si>
  <si>
    <t>39</t>
  </si>
  <si>
    <t>032002VRN</t>
  </si>
  <si>
    <t>Vybavení staveniště</t>
  </si>
  <si>
    <t>40</t>
  </si>
  <si>
    <t>034002VRN</t>
  </si>
  <si>
    <t>Zabezpečení staveniště</t>
  </si>
  <si>
    <t>Zpevněné plochy</t>
  </si>
  <si>
    <t>101</t>
  </si>
  <si>
    <t>41</t>
  </si>
  <si>
    <t>181101102R00</t>
  </si>
  <si>
    <t>Úprava pláně v zářezech v hor. 1-4, se zhutněním</t>
  </si>
  <si>
    <t>101_1_</t>
  </si>
  <si>
    <t>101_</t>
  </si>
  <si>
    <t>30 MPa</t>
  </si>
  <si>
    <t>181,8</t>
  </si>
  <si>
    <t>dlažby</t>
  </si>
  <si>
    <t>77,3</t>
  </si>
  <si>
    <t>odseky</t>
  </si>
  <si>
    <t>62,8</t>
  </si>
  <si>
    <t>rohože</t>
  </si>
  <si>
    <t>6,1</t>
  </si>
  <si>
    <t>zapravení vozovky</t>
  </si>
  <si>
    <t>Položky jsou shodné i pro úpravu pláně v násypech.</t>
  </si>
  <si>
    <t>Základy</t>
  </si>
  <si>
    <t>42</t>
  </si>
  <si>
    <t>273320040RA0</t>
  </si>
  <si>
    <t>Základová deska ŽB z betonu C 20/25, včetně bednění</t>
  </si>
  <si>
    <t>27_</t>
  </si>
  <si>
    <t>101_2_</t>
  </si>
  <si>
    <t xml:space="preserve">beton C20/25 XF2+XD1
</t>
  </si>
  <si>
    <t>1,9*15,4*0,18</t>
  </si>
  <si>
    <t>Betonová deska pod schodiště šířky 1,9 m délky 15,4 m tl. Min 0,1 m</t>
  </si>
  <si>
    <t>43</t>
  </si>
  <si>
    <t>31390031.A</t>
  </si>
  <si>
    <t>Síť svařovaná Kari, typ KY80, d 8 mm, oko 150 x 150 mm, formát 5 x 2,15 m</t>
  </si>
  <si>
    <t>Svařovaná síť z ocelových drátů žebírkových tvářených za studena dle DIN 488 a ČSN 42 0139 Přesah drátů podélně 100 mm, příčně 25 m</t>
  </si>
  <si>
    <t>44</t>
  </si>
  <si>
    <t>275313711R00</t>
  </si>
  <si>
    <t>Beton základových patek prostý C 25/30</t>
  </si>
  <si>
    <t>Položka obsahuje náklady na dodávku a uložení betonu do připravené konstrukce. Bednění se oceňuje samostatně.</t>
  </si>
  <si>
    <t>56</t>
  </si>
  <si>
    <t>Podkladní vrstvy komunikací, letišť a ploch</t>
  </si>
  <si>
    <t>45</t>
  </si>
  <si>
    <t>564851111R00</t>
  </si>
  <si>
    <t>Podklad ze štěrkodrti po zhutnění tloušťky 15 cm</t>
  </si>
  <si>
    <t>56_</t>
  </si>
  <si>
    <t>101_5_</t>
  </si>
  <si>
    <t>včetně štěrkodrti 0-32</t>
  </si>
  <si>
    <t>173,1+3+1</t>
  </si>
  <si>
    <t>73,6</t>
  </si>
  <si>
    <t>59,9</t>
  </si>
  <si>
    <t>5,8</t>
  </si>
  <si>
    <t>zapravení asfalt</t>
  </si>
  <si>
    <t>46</t>
  </si>
  <si>
    <t>567142115R00</t>
  </si>
  <si>
    <t>Podklad z kameniva zpev.cementem SC C8/10 tl.25 cm</t>
  </si>
  <si>
    <t>57</t>
  </si>
  <si>
    <t>Kryty pozemních komunikací, letišť a ploch z kameniva nebo živičné</t>
  </si>
  <si>
    <t>47</t>
  </si>
  <si>
    <t>571102</t>
  </si>
  <si>
    <t>Zřízení ploch ze stabilizovaného štěrku - pokládka voštinových rohoží s natavenou textilií, zásyp drceným kamenivem, fr. 2-4, včetně materiálu,</t>
  </si>
  <si>
    <t>RTS II / 2022</t>
  </si>
  <si>
    <t>57_</t>
  </si>
  <si>
    <t>voština bílá s natavenou textilií, nostnost až 400t/m2, předpoklad použití 70 ks rohoží</t>
  </si>
  <si>
    <t>Poznámka:</t>
  </si>
  <si>
    <t>Jedná se o velmi složitý tvar - nutné počítat s prořezem u voštinových rohoží a vyšší pracností</t>
  </si>
  <si>
    <t>48</t>
  </si>
  <si>
    <t>577181226R00</t>
  </si>
  <si>
    <t>Beton asfalt. ACL 22 ložný, š. do 3 m, tl.10 cm</t>
  </si>
  <si>
    <t>49</t>
  </si>
  <si>
    <t>577141112R00</t>
  </si>
  <si>
    <t>Beton asfalt. ACO 11+,do 3 m, tl.5 cm</t>
  </si>
  <si>
    <t>50</t>
  </si>
  <si>
    <t>573231143R00</t>
  </si>
  <si>
    <t>Postřik spojovací z KAE modifikované, množství zbytkového asfaltu 0,3 kg/m2</t>
  </si>
  <si>
    <t>51</t>
  </si>
  <si>
    <t>573231147R00</t>
  </si>
  <si>
    <t>Postřik spojovací z KAE modifikované, množství zbytkového asfaltu 0,7 kg/m2</t>
  </si>
  <si>
    <t>59</t>
  </si>
  <si>
    <t>Kryty pozemních komunikací, letišť a ploch dlážděných (předlažby)</t>
  </si>
  <si>
    <t>52</t>
  </si>
  <si>
    <t>596215021R00</t>
  </si>
  <si>
    <t>Kladení zámkové dlažby tl. 6 cm do drtě tl. 4 cm</t>
  </si>
  <si>
    <t>59_</t>
  </si>
  <si>
    <t>173,1</t>
  </si>
  <si>
    <t>dlažba šedá</t>
  </si>
  <si>
    <t>dlažba reliefní černá</t>
  </si>
  <si>
    <t>Od CÚ 2015/ II. není v jednotkové ceně započteno řezání dlaždic!!! Rozpočtuje se samostatnou položkou 596 29-1111.R00 Řezání zámkové dlažby tl. 60 mm. V položce jsou zakalkulovány i náklady na dodání hmot pro lože a na dodání materiálu na výplň spár. V položce nejsou zakalkulovány náklady na dodání zámkové dlažby, která se oceňuje ve specifikaci, ztratné se doporučuje ve výši 5%.</t>
  </si>
  <si>
    <t>53</t>
  </si>
  <si>
    <t>59248071</t>
  </si>
  <si>
    <t>Kámen dlažební  vodicí linie 20/20/ barva</t>
  </si>
  <si>
    <t>vodící, černá, proužky</t>
  </si>
  <si>
    <t>varovná, červená, tečky</t>
  </si>
  <si>
    <t>;ztratné 5%; 0,75</t>
  </si>
  <si>
    <t>54</t>
  </si>
  <si>
    <t>592480301</t>
  </si>
  <si>
    <t>Dlažba zámková  20/10/6  přírodní</t>
  </si>
  <si>
    <t>;ztratné 5%; 8,655</t>
  </si>
  <si>
    <t>55</t>
  </si>
  <si>
    <t>596291111R00</t>
  </si>
  <si>
    <t>Řezání zámkové dlažby tl. 60 mm</t>
  </si>
  <si>
    <t>594111111R00</t>
  </si>
  <si>
    <t>Dlažba z lomového kamene,lože z kam.těž.do 5 cm</t>
  </si>
  <si>
    <t>dlažba z kamenných odseků do drti</t>
  </si>
  <si>
    <t>5838005812</t>
  </si>
  <si>
    <t>Odseky kamenné, žula 60 až 80 mm</t>
  </si>
  <si>
    <t>73,6/6,5</t>
  </si>
  <si>
    <t>dle m2</t>
  </si>
  <si>
    <t>;ztratné 5%; 0,566</t>
  </si>
  <si>
    <t>K dláždění venkovních zpevněných ploch určených pro pěší (chodníky, náměstí, terasy a v zahradní architektuře).  1 t = 6,5 m</t>
  </si>
  <si>
    <t>91</t>
  </si>
  <si>
    <t>Doplňující konstrukce a práce na pozemních komunikacích a zpevněných plochách</t>
  </si>
  <si>
    <t>58</t>
  </si>
  <si>
    <t>917862114R00</t>
  </si>
  <si>
    <t>Osazení stojatého obrubníku betonového, s boční opěrou, do lože z betonu C 25/30</t>
  </si>
  <si>
    <t>91_</t>
  </si>
  <si>
    <t>101_9_</t>
  </si>
  <si>
    <t>Osazení betonového silničního nebo chodníkového obrubníku</t>
  </si>
  <si>
    <t>59217421</t>
  </si>
  <si>
    <t>Obrubník chodníkový ABO 14-10 v. 250 x 100 x 1000 mm přírodní</t>
  </si>
  <si>
    <t>Vibrolisované chodníkové obrubníky jsou opatřeny fazetou a některé typy i zámkem, a slouží k oddělení chodníků od záhonů, trávníků, parkovišť nebo jiných ploch, kde vyhovuje jejich rozměr a vzhled.  Impregnace Protect System IN pochozí odolnost vůči mrazu  výška 250 mm šířka 100 mm délka 1000 m</t>
  </si>
  <si>
    <t>60</t>
  </si>
  <si>
    <t>917862114RV4</t>
  </si>
  <si>
    <t>včetně obrubníku nájezdového náběhového 1000 x 150 x 150-250 mm</t>
  </si>
  <si>
    <t>nižší 1000x150x150</t>
  </si>
  <si>
    <t>přechodový - levý+pravý</t>
  </si>
  <si>
    <t>61</t>
  </si>
  <si>
    <t>917862114RT7</t>
  </si>
  <si>
    <t>včetně obrubníku 1000 x 150 x 250 mm</t>
  </si>
  <si>
    <t>62</t>
  </si>
  <si>
    <t>918101111R01</t>
  </si>
  <si>
    <t>Lože pod obrubníky nebo obruby dlažeb z beton C25/30; XF2+XD1</t>
  </si>
  <si>
    <t>beton C25/30; XF2+XD1 - lože pod obruvníky navíc</t>
  </si>
  <si>
    <t>63</t>
  </si>
  <si>
    <t>46062vlastní</t>
  </si>
  <si>
    <t>Připlatek - osazení obruby 100/250/1000 mm jako schodišťový stupeň, včetně řezání 1,7 m 30ks</t>
  </si>
  <si>
    <t>ks</t>
  </si>
  <si>
    <t>916</t>
  </si>
  <si>
    <t>obrubníky a krajníky</t>
  </si>
  <si>
    <t>64</t>
  </si>
  <si>
    <t>916581111RX1</t>
  </si>
  <si>
    <t>D+M Ocelová pásovina (výšky 80 mm, tl. 5 mm, včetně roxoru průmeru 10 mm dl. 500 mm po 700 mm - dálka roxoru /0,7*0,5=65 m)</t>
  </si>
  <si>
    <t>916_</t>
  </si>
  <si>
    <t>22+7+4,5+2+7,5+14+5,5+19,5</t>
  </si>
  <si>
    <t>rovné úseky</t>
  </si>
  <si>
    <t>křivka</t>
  </si>
  <si>
    <t>11+9</t>
  </si>
  <si>
    <t>u laviček</t>
  </si>
  <si>
    <t>93</t>
  </si>
  <si>
    <t>Různé dokončovací konstrukce a práce inženýrských staveb</t>
  </si>
  <si>
    <t>65</t>
  </si>
  <si>
    <t>931627111R00</t>
  </si>
  <si>
    <t>Úprava dilatační spáry asfaltovou izolač. zálivkou</t>
  </si>
  <si>
    <t>93_</t>
  </si>
  <si>
    <t>zálivka spáry z modifik. asfaltu</t>
  </si>
  <si>
    <t>13,3*1,1</t>
  </si>
  <si>
    <t>95</t>
  </si>
  <si>
    <t>Různé dokončovací konstrukce a práce na pozemních stavbách</t>
  </si>
  <si>
    <t>66</t>
  </si>
  <si>
    <t>953941110R00</t>
  </si>
  <si>
    <t>Osazení zábradlí schodišťového, balkonového apod.</t>
  </si>
  <si>
    <t>95_</t>
  </si>
  <si>
    <t>V položce není kalkulována dodávka kovových prvků, která se oceňuje ve specifikaci. Ztratné se nedoporučuje. V položce jsou kalkulovány náklady na vysekání kapes pro upevňovací prvky a jejich zazdění, zabetonování nebo zalití</t>
  </si>
  <si>
    <t>67</t>
  </si>
  <si>
    <t>5534709512</t>
  </si>
  <si>
    <t>Zábradlí pozinkované délky 15,6 m, výšky 1 m nad dlažbou</t>
  </si>
  <si>
    <t>dle specifikace v PD</t>
  </si>
  <si>
    <t>68</t>
  </si>
  <si>
    <t>998223011R00</t>
  </si>
  <si>
    <t>Přesun hmot, pozemní komunikace, kryt dlážděný</t>
  </si>
  <si>
    <t>69</t>
  </si>
  <si>
    <t>953981102R00</t>
  </si>
  <si>
    <t>Chemické kotvy do betonu, hl. 90 mm, M 10, ampule</t>
  </si>
  <si>
    <t>10*4</t>
  </si>
  <si>
    <t>kotvy pro sloupky zábradlí</t>
  </si>
  <si>
    <t>V položce je zakalkulováno vyvrtání a vyčištění otvoru požadovaného průměru a hloubky, zasunutí ampule s chemickou kotvou do otvoru a zavrtání svorníku s hrotem, maticí a podložkou pozink. CH - M10 x 170/57 GV. Položka je určena i pro kotvy do zdiva z plných cihel.</t>
  </si>
  <si>
    <t>70</t>
  </si>
  <si>
    <t>460030081RT3</t>
  </si>
  <si>
    <t>Řezání spáry v asfaltu nebo betonu</t>
  </si>
  <si>
    <t>v tloušťce vrstvy do 8-10 cm</t>
  </si>
  <si>
    <t>Vegetační úpravy</t>
  </si>
  <si>
    <t>801</t>
  </si>
  <si>
    <t>71</t>
  </si>
  <si>
    <t>183101121R00</t>
  </si>
  <si>
    <t>Hloubení jamek bez výměny půdy do 1 m3, svah 1:5</t>
  </si>
  <si>
    <t>801_1_</t>
  </si>
  <si>
    <t>801_</t>
  </si>
  <si>
    <t>72</t>
  </si>
  <si>
    <t>184102116R00</t>
  </si>
  <si>
    <t>Výsadba dřevin s balem D do 80 cm, v rovině</t>
  </si>
  <si>
    <t>73</t>
  </si>
  <si>
    <t>184202112R00</t>
  </si>
  <si>
    <t>Ukotvení dřeviny kůly D do 10 cm, dl. do 3 m</t>
  </si>
  <si>
    <t>Ukotvení dřeviny třemi a více kůly, s ochranou proti poškození v místě vzepření, (příloha č. 8) při průměru kůlů do 10 cm</t>
  </si>
  <si>
    <t>74</t>
  </si>
  <si>
    <t>184813161</t>
  </si>
  <si>
    <t>Zřízení ochranného nátěru kmene stromu do výšky 1 m obvodu do 180 mm</t>
  </si>
  <si>
    <t>URS2023</t>
  </si>
  <si>
    <t>u bříz nebude prováděn</t>
  </si>
  <si>
    <t>75</t>
  </si>
  <si>
    <t>184215412</t>
  </si>
  <si>
    <t>Zhotovení závlahové mísy dřevin D přes 0,5 do 1,0 m v rovině nebo na svahu do 1:5</t>
  </si>
  <si>
    <t>URS</t>
  </si>
  <si>
    <t>76</t>
  </si>
  <si>
    <t>185802114R00</t>
  </si>
  <si>
    <t>Hnojení umělým hnojivem k rostlinám v rovině</t>
  </si>
  <si>
    <t>77</t>
  </si>
  <si>
    <t>184921093R00</t>
  </si>
  <si>
    <t>Mulčování rostlin tl. do 0,1 m rovina</t>
  </si>
  <si>
    <t>3*0,5*0,5*3,14</t>
  </si>
  <si>
    <t>mulčování závlahových mís mimo záhon</t>
  </si>
  <si>
    <t>121</t>
  </si>
  <si>
    <t>mulčování záhonu - štěrk</t>
  </si>
  <si>
    <t>78</t>
  </si>
  <si>
    <t>184801121R00</t>
  </si>
  <si>
    <t>Ošetřování vysazených dřevin soliterních, v rovině</t>
  </si>
  <si>
    <t>3x pletí a úprava závlahových mís v prvním roce po výsadbě</t>
  </si>
  <si>
    <t>9*3</t>
  </si>
  <si>
    <t>první rok</t>
  </si>
  <si>
    <t>druhý rok</t>
  </si>
  <si>
    <t>79</t>
  </si>
  <si>
    <t>185804312R00</t>
  </si>
  <si>
    <t>Zalití rostlin vodou plochy nad 20 m2</t>
  </si>
  <si>
    <t>zálivka během 1 sezóny</t>
  </si>
  <si>
    <t>9*0,1*10</t>
  </si>
  <si>
    <t>10 opakování zálivek v 1 sezoně - stromy</t>
  </si>
  <si>
    <t>9*0,1*8</t>
  </si>
  <si>
    <t>8 opakování zálivek v 2 sezoně - stromy</t>
  </si>
  <si>
    <t>122*0,02*5</t>
  </si>
  <si>
    <t>5 zálivek v 1. sezoně trvalky</t>
  </si>
  <si>
    <t>122*0,02*3</t>
  </si>
  <si>
    <t>3 zálivky v 2. sezoně trvalky</t>
  </si>
  <si>
    <t>80</t>
  </si>
  <si>
    <t>185851111R00</t>
  </si>
  <si>
    <t>Dovoz vody pro zálivku rostlin do 6 km</t>
  </si>
  <si>
    <t>dovoz vody nebo vyřízení odběru z přírodního zdroje</t>
  </si>
  <si>
    <t>81</t>
  </si>
  <si>
    <t>184818112R00</t>
  </si>
  <si>
    <t>Vyvětvení a tvar. ořez dřevin při H stromu do 5 m</t>
  </si>
  <si>
    <t>výchovný řez</t>
  </si>
  <si>
    <t>9*2</t>
  </si>
  <si>
    <t>každý rok</t>
  </si>
  <si>
    <t>82</t>
  </si>
  <si>
    <t>0265603452</t>
  </si>
  <si>
    <t>Betula nigra, vysokokmen OK 12-14 cm, airpot</t>
  </si>
  <si>
    <t>83</t>
  </si>
  <si>
    <t>026560487</t>
  </si>
  <si>
    <t>Třešeň plnokvětá - Prunus avium ´Plena´ OK 12-14 cm, airpot</t>
  </si>
  <si>
    <t>84</t>
  </si>
  <si>
    <t>0265604892</t>
  </si>
  <si>
    <t>Acer campestre OK 12-14 cm, airpot</t>
  </si>
  <si>
    <t>70836140.A</t>
  </si>
  <si>
    <t>Popruh jednovrstvý polypropylen šíře 40 mm</t>
  </si>
  <si>
    <t>9*3*0,5</t>
  </si>
  <si>
    <t>;ztratné 2%; 0,27</t>
  </si>
  <si>
    <t>86</t>
  </si>
  <si>
    <t>608500305</t>
  </si>
  <si>
    <t>Příčka spojovací ke kůlům 50 x 8 cm</t>
  </si>
  <si>
    <t>3*9*3</t>
  </si>
  <si>
    <t>pro vysoké kotvení</t>
  </si>
  <si>
    <t>87</t>
  </si>
  <si>
    <t>60850025</t>
  </si>
  <si>
    <t>Kůl vyvazovací 250 x 8 cm</t>
  </si>
  <si>
    <t>88</t>
  </si>
  <si>
    <t>252001</t>
  </si>
  <si>
    <t>Ochranný nátěr na kmeny, spotřeba 1 kg/1m2 - svrchní nátěr</t>
  </si>
  <si>
    <t>3*0,15*2*1</t>
  </si>
  <si>
    <t>89</t>
  </si>
  <si>
    <t>252002</t>
  </si>
  <si>
    <t>Základ pod ochranný nátěr na kmeny, spotřeba 0,2 kg/1m2</t>
  </si>
  <si>
    <t>l</t>
  </si>
  <si>
    <t>2023</t>
  </si>
  <si>
    <t>3*0,15*2*0,2</t>
  </si>
  <si>
    <t>90</t>
  </si>
  <si>
    <t>10391505.A</t>
  </si>
  <si>
    <t>Fyzikální půdní kondicionér s dávkou postupně se uvolňujícího hnojiva po 20 kg</t>
  </si>
  <si>
    <t>9*1</t>
  </si>
  <si>
    <t>1 kg ke stromům</t>
  </si>
  <si>
    <t>120*6*0,05</t>
  </si>
  <si>
    <t>0,05 kg k trvalkám</t>
  </si>
  <si>
    <t>25192</t>
  </si>
  <si>
    <t>Tabletové hnojivo k jedn. rostlinám</t>
  </si>
  <si>
    <t>9*0,1</t>
  </si>
  <si>
    <t>92</t>
  </si>
  <si>
    <t>10391100</t>
  </si>
  <si>
    <t>Kůra mulčovací VL</t>
  </si>
  <si>
    <t>3*0,5*0,5*3,14*0,1</t>
  </si>
  <si>
    <t>stromové mísy</t>
  </si>
  <si>
    <t>583424802</t>
  </si>
  <si>
    <t>Kamenivo drcené 4/8</t>
  </si>
  <si>
    <t>126*0,06*2,1</t>
  </si>
  <si>
    <t>;ztratné 5%; 0,794</t>
  </si>
  <si>
    <t>94</t>
  </si>
  <si>
    <t>185802112R00</t>
  </si>
  <si>
    <t>Hnojení kompostem nebo hnojem v rovině</t>
  </si>
  <si>
    <t>126*0,02</t>
  </si>
  <si>
    <t>trvalkový záhon</t>
  </si>
  <si>
    <t>409*0,01</t>
  </si>
  <si>
    <t>trávníky</t>
  </si>
  <si>
    <t>103715032</t>
  </si>
  <si>
    <t>Kompost vyzrálý</t>
  </si>
  <si>
    <t>182001111R00</t>
  </si>
  <si>
    <t>Plošná úprava terénu, nerovnosti do 10 cm v rovině</t>
  </si>
  <si>
    <t>226</t>
  </si>
  <si>
    <t>záhon</t>
  </si>
  <si>
    <t>183205112R00</t>
  </si>
  <si>
    <t>Založení záhonu v rovině/svah 1 : 5, hor. 3</t>
  </si>
  <si>
    <t>98</t>
  </si>
  <si>
    <t>183205132R00</t>
  </si>
  <si>
    <t>Založení záhonu na svahu 1 : 2, hor. 3</t>
  </si>
  <si>
    <t>184</t>
  </si>
  <si>
    <t>trávník svah</t>
  </si>
  <si>
    <t>182001112R00</t>
  </si>
  <si>
    <t>Plošná úprava terénu, nerovnosti do 10 cm svah 1:2</t>
  </si>
  <si>
    <t>100</t>
  </si>
  <si>
    <t>183101111R00</t>
  </si>
  <si>
    <t>Hloub. jamek bez výměny půdy do 0,01 m3, svah 1:5</t>
  </si>
  <si>
    <t>589</t>
  </si>
  <si>
    <t>trvalky</t>
  </si>
  <si>
    <t>2500</t>
  </si>
  <si>
    <t>cibuloviny</t>
  </si>
  <si>
    <t>183204116R00</t>
  </si>
  <si>
    <t>Výsadba květin hrnkovaných, květináč do 25 cm</t>
  </si>
  <si>
    <t>102</t>
  </si>
  <si>
    <t>02610017</t>
  </si>
  <si>
    <t>Trvalky viz seznam</t>
  </si>
  <si>
    <t>Květináč průměr 11 c</t>
  </si>
  <si>
    <t>103</t>
  </si>
  <si>
    <t>183204113R00</t>
  </si>
  <si>
    <t>Výsadba cibulí nebo hlíz</t>
  </si>
  <si>
    <t>104</t>
  </si>
  <si>
    <t>026111115</t>
  </si>
  <si>
    <t>Cibuloviny</t>
  </si>
  <si>
    <t>RTS I / 2022</t>
  </si>
  <si>
    <t>105</t>
  </si>
  <si>
    <t>180402111R00</t>
  </si>
  <si>
    <t>Založení trávníku parkového výsevem v rovině</t>
  </si>
  <si>
    <t xml:space="preserve"> V položce nejsou zakalkulovány náklady na vypletí a zalévání.</t>
  </si>
  <si>
    <t>106</t>
  </si>
  <si>
    <t>00522</t>
  </si>
  <si>
    <t>Krajinný trávník s bylinami pro suché podmínky</t>
  </si>
  <si>
    <t>226*0,03</t>
  </si>
  <si>
    <t>;ztratné 10%; 0,678</t>
  </si>
  <si>
    <t>107</t>
  </si>
  <si>
    <t>180402112R00</t>
  </si>
  <si>
    <t>Založení trávníku parkového výsevem svah do 1:2</t>
  </si>
  <si>
    <t>trávníky svah</t>
  </si>
  <si>
    <t xml:space="preserve"> V položce nejsou zakalkulovány náklady na vypletí a zalévání</t>
  </si>
  <si>
    <t>108</t>
  </si>
  <si>
    <t>184*0,03</t>
  </si>
  <si>
    <t>;ztratné 10%; 0,552</t>
  </si>
  <si>
    <t>109</t>
  </si>
  <si>
    <t>185804211R00</t>
  </si>
  <si>
    <t>Vypletí záhonu květin v rovině</t>
  </si>
  <si>
    <t>126*4</t>
  </si>
  <si>
    <t>1. rok</t>
  </si>
  <si>
    <t>2. rok</t>
  </si>
  <si>
    <t>110</t>
  </si>
  <si>
    <t>998231311R00</t>
  </si>
  <si>
    <t>Přesun hmot pro sadovnické a krajin. úpravy do 5km</t>
  </si>
  <si>
    <t>Mobiliář</t>
  </si>
  <si>
    <t>Hloubené vykopávky</t>
  </si>
  <si>
    <t>901</t>
  </si>
  <si>
    <t>111</t>
  </si>
  <si>
    <t>139600012RBD</t>
  </si>
  <si>
    <t>Ruční výkop v hornině 3</t>
  </si>
  <si>
    <t>13_</t>
  </si>
  <si>
    <t>901_1_</t>
  </si>
  <si>
    <t>901_</t>
  </si>
  <si>
    <t>hloubka do 1 m, odvoz do 15 km</t>
  </si>
  <si>
    <t>0,3*0,3*0,3*2*5</t>
  </si>
  <si>
    <t>patky pro lavičky</t>
  </si>
  <si>
    <t>0,3*0,3*0,3*2*4</t>
  </si>
  <si>
    <t>patky pro sedátka</t>
  </si>
  <si>
    <t>0,4*0,3*0,3*2</t>
  </si>
  <si>
    <t>patky pro stolky</t>
  </si>
  <si>
    <t>0,4*0,3*0,3*2*13</t>
  </si>
  <si>
    <t>patky pro obloukovou lavici</t>
  </si>
  <si>
    <t>V položce není kalkulován poplatek za skládku zeminy. Tyto náklady se oceňují individuálně podle místních podmínek</t>
  </si>
  <si>
    <t>112</t>
  </si>
  <si>
    <t>901_2_</t>
  </si>
  <si>
    <t>113</t>
  </si>
  <si>
    <t>275354111R00</t>
  </si>
  <si>
    <t>Bednění stěn základových patek zřízení</t>
  </si>
  <si>
    <t>1,2*0,3*2*5</t>
  </si>
  <si>
    <t>1,2*0,3*2*4</t>
  </si>
  <si>
    <t>1,4*0,3*2</t>
  </si>
  <si>
    <t>1,4*0,3*2*13</t>
  </si>
  <si>
    <t>114</t>
  </si>
  <si>
    <t>275354211R00</t>
  </si>
  <si>
    <t>Bednění základových patek odstranění</t>
  </si>
  <si>
    <t>115</t>
  </si>
  <si>
    <t>936124112R00</t>
  </si>
  <si>
    <t>Zřízení lavice stabilní se zabetonováním noh</t>
  </si>
  <si>
    <t>901_9_</t>
  </si>
  <si>
    <t>montáž lavic a stolů</t>
  </si>
  <si>
    <t>5+12+4+2</t>
  </si>
  <si>
    <t>116</t>
  </si>
  <si>
    <t>0100000</t>
  </si>
  <si>
    <t>Lavice oblouková atyp z 12 segmentů, dřevo akát přírodní, konstra žárově zinkovánaá ocel + komacit RAL 7022</t>
  </si>
  <si>
    <t>117</t>
  </si>
  <si>
    <t>010003</t>
  </si>
  <si>
    <t>Stůl pro šachy a člověče nezlob se 1+1 ks kostra FeZn+ RAL 7022, design viz PD</t>
  </si>
  <si>
    <t>118</t>
  </si>
  <si>
    <t>010001</t>
  </si>
  <si>
    <t>Lavička s dřevěnými latěmi 30x30, akát přírodní, s opěrkou a područkami, Dřevo s nátěrem, kostra RAL 7022. Design viz PD, délka 1,8m</t>
  </si>
  <si>
    <t>119</t>
  </si>
  <si>
    <t>010002</t>
  </si>
  <si>
    <t>Lavička s dřevěnými latěmi 30x30, akát,s opěrkou bez područek. Dřevo s přírodní, kostra RAL 7022, délka 0,6 m</t>
  </si>
  <si>
    <t>120</t>
  </si>
  <si>
    <t>15525</t>
  </si>
  <si>
    <t>Dodávka a montáž odpakdového koše</t>
  </si>
  <si>
    <t>953981103R01</t>
  </si>
  <si>
    <t>Chemické kotvy do betonu, hl. 140 mm, M 12, ampule - komplet kotevní sada nerez</t>
  </si>
  <si>
    <t>stolky</t>
  </si>
  <si>
    <t>V položce je zakalkulováno vyvrtání a vyčištění otvoru požadovaného průměru a hloubky, zasunutí ampule s chemickou kotvou do otvoru a zavrtání svorníku s hrotem, maticí a podložkou nerez +matice+plastová krytka+závitová konzola M12x140 nerez.</t>
  </si>
  <si>
    <t>953981102R01</t>
  </si>
  <si>
    <t>Chemické kotvy do betonu, hl. 140 mm, M 10, ampule, komplet kotevní sada nerez</t>
  </si>
  <si>
    <t>oblouková lavice</t>
  </si>
  <si>
    <t>lavičky s opěrkou a područkou</t>
  </si>
  <si>
    <t>lavičky krátké</t>
  </si>
  <si>
    <t>V položce je zakalkulováno vyvrtání a vyčištění otvoru požadovaného průměru a hloubky, zasunutí ampule s chemickou kotvou do otvoru a zavrtání svorníku s hrotem, maticí a podložkou nerez +matice+plastová krytka+závitová konzola M10x140 nerez</t>
  </si>
  <si>
    <t>Celkem:</t>
  </si>
  <si>
    <t>Krycí list slepého rozpočtu</t>
  </si>
  <si>
    <t>IČO/DIČ:</t>
  </si>
  <si>
    <t>44992785/CZ44992785</t>
  </si>
  <si>
    <t>09080988/</t>
  </si>
  <si>
    <t>Položek:</t>
  </si>
  <si>
    <t>Datum:</t>
  </si>
  <si>
    <t>Rozpočtové náklady v Kč</t>
  </si>
  <si>
    <t>A</t>
  </si>
  <si>
    <t>Základní rozpočtové náklady</t>
  </si>
  <si>
    <t>B</t>
  </si>
  <si>
    <t>Doplňkové náklady</t>
  </si>
  <si>
    <t>C</t>
  </si>
  <si>
    <t>Náklady na umístění stavby (NUS)</t>
  </si>
  <si>
    <t>HSV</t>
  </si>
  <si>
    <t>Dodávky</t>
  </si>
  <si>
    <t>Práce přesčas</t>
  </si>
  <si>
    <t>Bez pevné podl.</t>
  </si>
  <si>
    <t>Mimostav. doprava</t>
  </si>
  <si>
    <t>PSV</t>
  </si>
  <si>
    <t>Kulturní památka</t>
  </si>
  <si>
    <t>Územní vlivy</t>
  </si>
  <si>
    <t>Provozní vlivy</t>
  </si>
  <si>
    <t>"M"</t>
  </si>
  <si>
    <t>Ostatní</t>
  </si>
  <si>
    <t>NUS z rozpočtu</t>
  </si>
  <si>
    <t>Ostatní materiál</t>
  </si>
  <si>
    <t>Přesun hmot a sutí</t>
  </si>
  <si>
    <t>ZRN celkem</t>
  </si>
  <si>
    <t>DN celkem</t>
  </si>
  <si>
    <t>NUS celkem</t>
  </si>
  <si>
    <t>DN celkem z obj.</t>
  </si>
  <si>
    <t>NUS celkem z obj.</t>
  </si>
  <si>
    <t>VORN celkem</t>
  </si>
  <si>
    <t>VORN celkem z obj.</t>
  </si>
  <si>
    <t>Základ 0%</t>
  </si>
  <si>
    <t>Základ 12%</t>
  </si>
  <si>
    <t>DPH 12%</t>
  </si>
  <si>
    <t>Celkem bez DPH</t>
  </si>
  <si>
    <t>Základ 21%</t>
  </si>
  <si>
    <t>DPH 21%</t>
  </si>
  <si>
    <t>Celkem včetně DPH</t>
  </si>
  <si>
    <t>Projektant</t>
  </si>
  <si>
    <t>Objednatel</t>
  </si>
  <si>
    <t>Zhotovitel</t>
  </si>
  <si>
    <t>Datum, razítko a podpis</t>
  </si>
  <si>
    <t>Vedlejší rozpočtové náklady VRN</t>
  </si>
  <si>
    <t>Doplňkové náklady DN</t>
  </si>
  <si>
    <t>Kč</t>
  </si>
  <si>
    <t>%</t>
  </si>
  <si>
    <t>Základna</t>
  </si>
  <si>
    <t>Celkem DN</t>
  </si>
  <si>
    <t>Celkem NUS</t>
  </si>
  <si>
    <t>Celkem VRN</t>
  </si>
  <si>
    <t>Vedlejší a ostatní rozpočtové náklady VORN</t>
  </si>
  <si>
    <t>Ostatní rozpočtové náklady (VORN)</t>
  </si>
  <si>
    <t>Příprava staveniště</t>
  </si>
  <si>
    <t>Inženýrské činnosti</t>
  </si>
  <si>
    <t>Finanční náklady</t>
  </si>
  <si>
    <t>Náklady na pracovníky</t>
  </si>
  <si>
    <t>Ostatní náklady</t>
  </si>
  <si>
    <t>Vlastní VORN</t>
  </si>
  <si>
    <t>Celkem VORN</t>
  </si>
  <si>
    <t>dlažba reliefní červená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</si>
</sst>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name val="Calibri"/>
      <charset val="1"/>
    </font>
    <font>
      <sz val="18"/>
      <color rgb="FF000000"/>
      <name val="Arial"/>
      <charset val="238"/>
    </font>
    <font>
      <b/>
      <sz val="10"/>
      <color rgb="FF000000"/>
      <name val="Arial"/>
      <charset val="238"/>
    </font>
    <font>
      <sz val="10"/>
      <color rgb="FF000000"/>
      <name val="Arial"/>
      <charset val="238"/>
    </font>
    <font>
      <i/>
      <sz val="10"/>
      <color rgb="FF000080"/>
      <name val="Arial"/>
      <charset val="238"/>
    </font>
    <font>
      <i/>
      <sz val="10"/>
      <color rgb="FF000000"/>
      <name val="Arial"/>
      <charset val="238"/>
    </font>
    <font>
      <i/>
      <sz val="8"/>
      <color rgb="FF000000"/>
      <name val="Arial"/>
      <charset val="238"/>
    </font>
    <font>
      <b/>
      <sz val="18"/>
      <color rgb="FF000000"/>
      <name val="Arial"/>
      <charset val="238"/>
    </font>
    <font>
      <b/>
      <sz val="20"/>
      <color rgb="FF000000"/>
      <name val="Arial"/>
      <charset val="238"/>
    </font>
    <font>
      <b/>
      <sz val="11"/>
      <color rgb="FF000000"/>
      <name val="Arial"/>
      <charset val="238"/>
    </font>
    <font>
      <b/>
      <sz val="12"/>
      <color rgb="FF000000"/>
      <name val="Arial"/>
      <charset val="238"/>
    </font>
    <font>
      <sz val="12"/>
      <color rgb="FF000000"/>
      <name val="Arial"/>
      <charset val="238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CCFFFF"/>
        <bgColor rgb="FFCCFFFF"/>
      </patternFill>
    </fill>
    <fill>
      <patternFill patternType="solid">
        <fgColor rgb="FFCCFFFF"/>
        <bgColor rgb="FFCCFFFF"/>
      </patternFill>
    </fill>
  </fills>
  <borders count="74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69">
    <xf numFmtId="0" fontId="0" fillId="0" borderId="0" xfId="0"/>
    <xf numFmtId="4" fontId="2" fillId="2" borderId="0" xfId="0" applyNumberFormat="1" applyFont="1" applyFill="1" applyAlignment="1">
      <alignment horizontal="right" vertical="center"/>
    </xf>
    <xf numFmtId="0" fontId="3" fillId="0" borderId="5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1" xfId="0" applyFont="1" applyBorder="1" applyAlignment="1">
      <alignment horizontal="center" vertical="center"/>
    </xf>
    <xf numFmtId="0" fontId="2" fillId="3" borderId="14" xfId="0" applyFont="1" applyFill="1" applyBorder="1" applyAlignment="1" applyProtection="1">
      <alignment horizontal="center" vertical="center"/>
      <protection locked="0"/>
    </xf>
    <xf numFmtId="0" fontId="2" fillId="0" borderId="18" xfId="0" applyFont="1" applyBorder="1" applyAlignment="1">
      <alignment horizontal="center" vertical="center"/>
    </xf>
    <xf numFmtId="0" fontId="2" fillId="2" borderId="0" xfId="0" applyFont="1" applyFill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3" fillId="0" borderId="19" xfId="0" applyFont="1" applyBorder="1" applyAlignment="1">
      <alignment horizontal="left" vertical="center"/>
    </xf>
    <xf numFmtId="0" fontId="3" fillId="0" borderId="20" xfId="0" applyFont="1" applyBorder="1" applyAlignment="1">
      <alignment horizontal="left" vertical="center"/>
    </xf>
    <xf numFmtId="0" fontId="2" fillId="3" borderId="23" xfId="0" applyFont="1" applyFill="1" applyBorder="1" applyAlignment="1" applyProtection="1">
      <alignment horizontal="center" vertical="center"/>
      <protection locked="0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3" fillId="2" borderId="28" xfId="0" applyFont="1" applyFill="1" applyBorder="1" applyAlignment="1">
      <alignment horizontal="left" vertical="center"/>
    </xf>
    <xf numFmtId="0" fontId="2" fillId="2" borderId="29" xfId="0" applyFont="1" applyFill="1" applyBorder="1" applyAlignment="1">
      <alignment horizontal="left" vertical="center"/>
    </xf>
    <xf numFmtId="0" fontId="3" fillId="2" borderId="29" xfId="0" applyFont="1" applyFill="1" applyBorder="1" applyAlignment="1">
      <alignment horizontal="left" vertical="center"/>
    </xf>
    <xf numFmtId="0" fontId="3" fillId="4" borderId="29" xfId="0" applyFont="1" applyFill="1" applyBorder="1" applyAlignment="1" applyProtection="1">
      <alignment horizontal="left" vertical="center"/>
      <protection locked="0"/>
    </xf>
    <xf numFmtId="4" fontId="2" fillId="2" borderId="29" xfId="0" applyNumberFormat="1" applyFont="1" applyFill="1" applyBorder="1" applyAlignment="1">
      <alignment horizontal="right" vertical="center"/>
    </xf>
    <xf numFmtId="0" fontId="2" fillId="2" borderId="30" xfId="0" applyFont="1" applyFill="1" applyBorder="1" applyAlignment="1">
      <alignment horizontal="right" vertical="center"/>
    </xf>
    <xf numFmtId="0" fontId="3" fillId="2" borderId="5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3" fillId="4" borderId="0" xfId="0" applyFont="1" applyFill="1" applyAlignment="1" applyProtection="1">
      <alignment horizontal="left" vertical="center"/>
      <protection locked="0"/>
    </xf>
    <xf numFmtId="0" fontId="2" fillId="2" borderId="6" xfId="0" applyFont="1" applyFill="1" applyBorder="1" applyAlignment="1">
      <alignment horizontal="right" vertical="center"/>
    </xf>
    <xf numFmtId="4" fontId="3" fillId="0" borderId="0" xfId="0" applyNumberFormat="1" applyFont="1" applyAlignment="1">
      <alignment horizontal="right" vertical="center"/>
    </xf>
    <xf numFmtId="4" fontId="3" fillId="3" borderId="0" xfId="0" applyNumberFormat="1" applyFont="1" applyFill="1" applyAlignment="1" applyProtection="1">
      <alignment horizontal="right" vertical="center"/>
      <protection locked="0"/>
    </xf>
    <xf numFmtId="0" fontId="3" fillId="0" borderId="6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0" fillId="0" borderId="5" xfId="0" applyBorder="1"/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4" fontId="4" fillId="0" borderId="0" xfId="0" applyNumberFormat="1" applyFont="1" applyAlignment="1">
      <alignment horizontal="right" vertical="center"/>
    </xf>
    <xf numFmtId="0" fontId="0" fillId="0" borderId="6" xfId="0" applyBorder="1"/>
    <xf numFmtId="0" fontId="5" fillId="0" borderId="0" xfId="0" applyFont="1" applyAlignment="1">
      <alignment horizontal="right" vertical="center"/>
    </xf>
    <xf numFmtId="0" fontId="0" fillId="0" borderId="31" xfId="0" applyBorder="1"/>
    <xf numFmtId="0" fontId="4" fillId="0" borderId="32" xfId="0" applyFont="1" applyBorder="1" applyAlignment="1">
      <alignment horizontal="right" vertical="center"/>
    </xf>
    <xf numFmtId="4" fontId="2" fillId="0" borderId="34" xfId="0" applyNumberFormat="1" applyFont="1" applyBorder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8" fillId="2" borderId="36" xfId="0" applyFont="1" applyFill="1" applyBorder="1" applyAlignment="1">
      <alignment horizontal="center" vertical="center"/>
    </xf>
    <xf numFmtId="0" fontId="8" fillId="2" borderId="39" xfId="0" applyFont="1" applyFill="1" applyBorder="1" applyAlignment="1">
      <alignment horizontal="center" vertical="center"/>
    </xf>
    <xf numFmtId="0" fontId="10" fillId="0" borderId="40" xfId="0" applyFont="1" applyBorder="1" applyAlignment="1">
      <alignment horizontal="left" vertical="center"/>
    </xf>
    <xf numFmtId="0" fontId="11" fillId="0" borderId="41" xfId="0" applyFont="1" applyBorder="1" applyAlignment="1">
      <alignment horizontal="left" vertical="center"/>
    </xf>
    <xf numFmtId="4" fontId="11" fillId="0" borderId="41" xfId="0" applyNumberFormat="1" applyFont="1" applyBorder="1" applyAlignment="1">
      <alignment horizontal="right" vertical="center"/>
    </xf>
    <xf numFmtId="0" fontId="11" fillId="0" borderId="41" xfId="0" applyFont="1" applyBorder="1" applyAlignment="1">
      <alignment horizontal="right" vertical="center"/>
    </xf>
    <xf numFmtId="0" fontId="10" fillId="0" borderId="44" xfId="0" applyFont="1" applyBorder="1" applyAlignment="1">
      <alignment horizontal="left" vertical="center"/>
    </xf>
    <xf numFmtId="4" fontId="11" fillId="0" borderId="48" xfId="0" applyNumberFormat="1" applyFont="1" applyBorder="1" applyAlignment="1">
      <alignment horizontal="right" vertical="center"/>
    </xf>
    <xf numFmtId="0" fontId="11" fillId="0" borderId="48" xfId="0" applyFont="1" applyBorder="1" applyAlignment="1">
      <alignment horizontal="right" vertical="center"/>
    </xf>
    <xf numFmtId="4" fontId="11" fillId="0" borderId="39" xfId="0" applyNumberFormat="1" applyFont="1" applyBorder="1" applyAlignment="1">
      <alignment horizontal="right" vertical="center"/>
    </xf>
    <xf numFmtId="4" fontId="11" fillId="0" borderId="25" xfId="0" applyNumberFormat="1" applyFont="1" applyBorder="1" applyAlignment="1">
      <alignment horizontal="right" vertical="center"/>
    </xf>
    <xf numFmtId="4" fontId="10" fillId="2" borderId="38" xfId="0" applyNumberFormat="1" applyFont="1" applyFill="1" applyBorder="1" applyAlignment="1">
      <alignment horizontal="right" vertical="center"/>
    </xf>
    <xf numFmtId="4" fontId="10" fillId="2" borderId="43" xfId="0" applyNumberFormat="1" applyFont="1" applyFill="1" applyBorder="1" applyAlignment="1">
      <alignment horizontal="right" vertical="center"/>
    </xf>
    <xf numFmtId="0" fontId="6" fillId="0" borderId="29" xfId="0" applyFont="1" applyBorder="1" applyAlignment="1">
      <alignment horizontal="left" vertical="center"/>
    </xf>
    <xf numFmtId="0" fontId="2" fillId="0" borderId="64" xfId="0" applyFont="1" applyBorder="1" applyAlignment="1">
      <alignment horizontal="right" vertical="center"/>
    </xf>
    <xf numFmtId="4" fontId="3" fillId="0" borderId="41" xfId="0" applyNumberFormat="1" applyFont="1" applyBorder="1" applyAlignment="1">
      <alignment horizontal="right" vertical="center"/>
    </xf>
    <xf numFmtId="0" fontId="3" fillId="0" borderId="41" xfId="0" applyFont="1" applyBorder="1" applyAlignment="1">
      <alignment horizontal="left" vertical="center"/>
    </xf>
    <xf numFmtId="4" fontId="3" fillId="0" borderId="68" xfId="0" applyNumberFormat="1" applyFont="1" applyBorder="1" applyAlignment="1">
      <alignment horizontal="right" vertical="center"/>
    </xf>
    <xf numFmtId="0" fontId="3" fillId="0" borderId="68" xfId="0" applyFont="1" applyBorder="1" applyAlignment="1">
      <alignment horizontal="left" vertical="center"/>
    </xf>
    <xf numFmtId="0" fontId="2" fillId="0" borderId="72" xfId="0" applyFont="1" applyBorder="1" applyAlignment="1">
      <alignment horizontal="left" vertical="center"/>
    </xf>
    <xf numFmtId="0" fontId="2" fillId="0" borderId="72" xfId="0" applyFont="1" applyBorder="1" applyAlignment="1">
      <alignment horizontal="right" vertical="center"/>
    </xf>
    <xf numFmtId="4" fontId="2" fillId="0" borderId="72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5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3" borderId="0" xfId="0" applyFont="1" applyFill="1" applyAlignment="1" applyProtection="1">
      <alignment horizontal="left" vertical="center"/>
      <protection locked="0"/>
    </xf>
    <xf numFmtId="0" fontId="3" fillId="3" borderId="6" xfId="0" applyFont="1" applyFill="1" applyBorder="1" applyAlignment="1" applyProtection="1">
      <alignment horizontal="left" vertical="center"/>
      <protection locked="0"/>
    </xf>
    <xf numFmtId="0" fontId="3" fillId="3" borderId="8" xfId="0" applyFont="1" applyFill="1" applyBorder="1" applyAlignment="1" applyProtection="1">
      <alignment horizontal="left" vertical="center"/>
      <protection locked="0"/>
    </xf>
    <xf numFmtId="0" fontId="3" fillId="3" borderId="9" xfId="0" applyFont="1" applyFill="1" applyBorder="1" applyAlignment="1" applyProtection="1">
      <alignment horizontal="left" vertical="center"/>
      <protection locked="0"/>
    </xf>
    <xf numFmtId="0" fontId="2" fillId="0" borderId="12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3" fillId="3" borderId="3" xfId="0" applyFont="1" applyFill="1" applyBorder="1" applyAlignment="1" applyProtection="1">
      <alignment horizontal="left" vertical="center"/>
      <protection locked="0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5" fillId="3" borderId="0" xfId="0" applyFont="1" applyFill="1" applyAlignment="1" applyProtection="1">
      <alignment horizontal="left" vertical="center"/>
      <protection locked="0"/>
    </xf>
    <xf numFmtId="0" fontId="5" fillId="0" borderId="6" xfId="0" applyFont="1" applyBorder="1" applyAlignment="1">
      <alignment horizontal="left" vertical="center"/>
    </xf>
    <xf numFmtId="0" fontId="2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2" fillId="0" borderId="22" xfId="0" applyFont="1" applyBorder="1" applyAlignment="1">
      <alignment horizontal="left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2" borderId="29" xfId="0" applyFont="1" applyFill="1" applyBorder="1" applyAlignment="1">
      <alignment horizontal="left" vertical="center" wrapText="1"/>
    </xf>
    <xf numFmtId="0" fontId="2" fillId="2" borderId="29" xfId="0" applyFont="1" applyFill="1" applyBorder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4" fillId="3" borderId="0" xfId="0" applyFont="1" applyFill="1" applyAlignment="1" applyProtection="1">
      <alignment horizontal="left" vertical="center"/>
      <protection locked="0"/>
    </xf>
    <xf numFmtId="0" fontId="4" fillId="0" borderId="6" xfId="0" applyFont="1" applyBorder="1" applyAlignment="1">
      <alignment horizontal="left" vertical="center"/>
    </xf>
    <xf numFmtId="0" fontId="4" fillId="0" borderId="32" xfId="0" applyFont="1" applyBorder="1" applyAlignment="1">
      <alignment horizontal="left" vertical="center" wrapText="1"/>
    </xf>
    <xf numFmtId="0" fontId="4" fillId="0" borderId="32" xfId="0" applyFont="1" applyBorder="1" applyAlignment="1">
      <alignment horizontal="left" vertical="center"/>
    </xf>
    <xf numFmtId="0" fontId="4" fillId="3" borderId="32" xfId="0" applyFont="1" applyFill="1" applyBorder="1" applyAlignment="1" applyProtection="1">
      <alignment horizontal="left" vertical="center"/>
      <protection locked="0"/>
    </xf>
    <xf numFmtId="0" fontId="4" fillId="0" borderId="33" xfId="0" applyFont="1" applyBorder="1" applyAlignment="1">
      <alignment horizontal="left" vertical="center"/>
    </xf>
    <xf numFmtId="0" fontId="2" fillId="0" borderId="34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left" vertical="center"/>
    </xf>
    <xf numFmtId="0" fontId="3" fillId="0" borderId="32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 wrapText="1"/>
    </xf>
    <xf numFmtId="0" fontId="3" fillId="0" borderId="33" xfId="0" applyFont="1" applyBorder="1" applyAlignment="1">
      <alignment horizontal="left" vertical="center"/>
    </xf>
    <xf numFmtId="0" fontId="7" fillId="0" borderId="35" xfId="0" applyFont="1" applyBorder="1" applyAlignment="1">
      <alignment horizontal="center" vertical="center"/>
    </xf>
    <xf numFmtId="0" fontId="9" fillId="0" borderId="37" xfId="0" applyFont="1" applyBorder="1" applyAlignment="1">
      <alignment horizontal="left" vertical="center"/>
    </xf>
    <xf numFmtId="0" fontId="9" fillId="0" borderId="38" xfId="0" applyFont="1" applyBorder="1" applyAlignment="1">
      <alignment horizontal="left" vertical="center"/>
    </xf>
    <xf numFmtId="0" fontId="3" fillId="0" borderId="31" xfId="0" applyFont="1" applyBorder="1" applyAlignment="1">
      <alignment horizontal="left" vertical="center"/>
    </xf>
    <xf numFmtId="0" fontId="10" fillId="0" borderId="45" xfId="0" applyFont="1" applyBorder="1" applyAlignment="1">
      <alignment horizontal="left" vertical="center"/>
    </xf>
    <xf numFmtId="0" fontId="10" fillId="0" borderId="43" xfId="0" applyFont="1" applyBorder="1" applyAlignment="1">
      <alignment horizontal="left" vertical="center"/>
    </xf>
    <xf numFmtId="0" fontId="10" fillId="0" borderId="46" xfId="0" applyFont="1" applyBorder="1" applyAlignment="1">
      <alignment horizontal="left" vertical="center"/>
    </xf>
    <xf numFmtId="0" fontId="10" fillId="0" borderId="47" xfId="0" applyFont="1" applyBorder="1" applyAlignment="1">
      <alignment horizontal="left" vertical="center"/>
    </xf>
    <xf numFmtId="0" fontId="10" fillId="0" borderId="50" xfId="0" applyFont="1" applyBorder="1" applyAlignment="1">
      <alignment horizontal="left" vertical="center"/>
    </xf>
    <xf numFmtId="0" fontId="10" fillId="0" borderId="38" xfId="0" applyFont="1" applyBorder="1" applyAlignment="1">
      <alignment horizontal="left" vertical="center"/>
    </xf>
    <xf numFmtId="0" fontId="11" fillId="0" borderId="42" xfId="0" applyFont="1" applyBorder="1" applyAlignment="1">
      <alignment horizontal="left" vertical="center"/>
    </xf>
    <xf numFmtId="0" fontId="11" fillId="0" borderId="43" xfId="0" applyFont="1" applyBorder="1" applyAlignment="1">
      <alignment horizontal="left" vertical="center"/>
    </xf>
    <xf numFmtId="0" fontId="11" fillId="0" borderId="49" xfId="0" applyFont="1" applyBorder="1" applyAlignment="1">
      <alignment horizontal="left" vertical="center"/>
    </xf>
    <xf numFmtId="0" fontId="11" fillId="0" borderId="47" xfId="0" applyFont="1" applyBorder="1" applyAlignment="1">
      <alignment horizontal="left" vertical="center"/>
    </xf>
    <xf numFmtId="0" fontId="10" fillId="0" borderId="37" xfId="0" applyFont="1" applyBorder="1" applyAlignment="1">
      <alignment horizontal="left" vertical="center"/>
    </xf>
    <xf numFmtId="0" fontId="10" fillId="0" borderId="42" xfId="0" applyFont="1" applyBorder="1" applyAlignment="1">
      <alignment horizontal="left" vertical="center"/>
    </xf>
    <xf numFmtId="0" fontId="10" fillId="2" borderId="50" xfId="0" applyFont="1" applyFill="1" applyBorder="1" applyAlignment="1">
      <alignment horizontal="left" vertical="center"/>
    </xf>
    <xf numFmtId="0" fontId="10" fillId="2" borderId="51" xfId="0" applyFont="1" applyFill="1" applyBorder="1" applyAlignment="1">
      <alignment horizontal="left" vertical="center"/>
    </xf>
    <xf numFmtId="0" fontId="10" fillId="2" borderId="45" xfId="0" applyFont="1" applyFill="1" applyBorder="1" applyAlignment="1">
      <alignment horizontal="left" vertical="center"/>
    </xf>
    <xf numFmtId="0" fontId="10" fillId="2" borderId="52" xfId="0" applyFont="1" applyFill="1" applyBorder="1" applyAlignment="1">
      <alignment horizontal="left" vertical="center"/>
    </xf>
    <xf numFmtId="0" fontId="10" fillId="2" borderId="37" xfId="0" applyFont="1" applyFill="1" applyBorder="1" applyAlignment="1">
      <alignment horizontal="left" vertical="center"/>
    </xf>
    <xf numFmtId="0" fontId="10" fillId="2" borderId="42" xfId="0" applyFont="1" applyFill="1" applyBorder="1" applyAlignment="1">
      <alignment horizontal="left" vertical="center"/>
    </xf>
    <xf numFmtId="0" fontId="11" fillId="0" borderId="56" xfId="0" applyFont="1" applyBorder="1" applyAlignment="1">
      <alignment horizontal="left" vertical="center"/>
    </xf>
    <xf numFmtId="0" fontId="11" fillId="0" borderId="54" xfId="0" applyFont="1" applyBorder="1" applyAlignment="1">
      <alignment horizontal="left" vertical="center"/>
    </xf>
    <xf numFmtId="0" fontId="11" fillId="0" borderId="55" xfId="0" applyFont="1" applyBorder="1" applyAlignment="1">
      <alignment horizontal="left" vertical="center"/>
    </xf>
    <xf numFmtId="0" fontId="11" fillId="0" borderId="59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58" xfId="0" applyFont="1" applyBorder="1" applyAlignment="1">
      <alignment horizontal="left" vertical="center"/>
    </xf>
    <xf numFmtId="0" fontId="11" fillId="0" borderId="63" xfId="0" applyFont="1" applyBorder="1" applyAlignment="1">
      <alignment horizontal="left" vertical="center"/>
    </xf>
    <xf numFmtId="0" fontId="11" fillId="0" borderId="61" xfId="0" applyFont="1" applyBorder="1" applyAlignment="1">
      <alignment horizontal="left" vertical="center"/>
    </xf>
    <xf numFmtId="0" fontId="11" fillId="0" borderId="62" xfId="0" applyFont="1" applyBorder="1" applyAlignment="1">
      <alignment horizontal="left" vertical="center"/>
    </xf>
    <xf numFmtId="0" fontId="11" fillId="0" borderId="53" xfId="0" applyFont="1" applyBorder="1" applyAlignment="1">
      <alignment horizontal="left" vertical="center"/>
    </xf>
    <xf numFmtId="0" fontId="11" fillId="0" borderId="57" xfId="0" applyFont="1" applyBorder="1" applyAlignment="1">
      <alignment horizontal="left" vertical="center"/>
    </xf>
    <xf numFmtId="0" fontId="11" fillId="0" borderId="60" xfId="0" applyFont="1" applyBorder="1" applyAlignment="1">
      <alignment horizontal="left" vertical="center"/>
    </xf>
    <xf numFmtId="0" fontId="10" fillId="0" borderId="8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3" fillId="0" borderId="45" xfId="0" applyFont="1" applyBorder="1" applyAlignment="1">
      <alignment horizontal="left" vertical="center"/>
    </xf>
    <xf numFmtId="0" fontId="3" fillId="0" borderId="52" xfId="0" applyFont="1" applyBorder="1" applyAlignment="1">
      <alignment horizontal="left" vertical="center"/>
    </xf>
    <xf numFmtId="0" fontId="3" fillId="0" borderId="43" xfId="0" applyFont="1" applyBorder="1" applyAlignment="1">
      <alignment horizontal="left" vertical="center"/>
    </xf>
    <xf numFmtId="0" fontId="3" fillId="0" borderId="65" xfId="0" applyFont="1" applyBorder="1" applyAlignment="1">
      <alignment horizontal="left" vertical="center"/>
    </xf>
    <xf numFmtId="0" fontId="3" fillId="0" borderId="66" xfId="0" applyFont="1" applyBorder="1" applyAlignment="1">
      <alignment horizontal="left" vertical="center"/>
    </xf>
    <xf numFmtId="0" fontId="3" fillId="0" borderId="67" xfId="0" applyFont="1" applyBorder="1" applyAlignment="1">
      <alignment horizontal="left" vertical="center"/>
    </xf>
    <xf numFmtId="0" fontId="2" fillId="0" borderId="69" xfId="0" applyFont="1" applyBorder="1" applyAlignment="1">
      <alignment horizontal="left" vertical="center"/>
    </xf>
    <xf numFmtId="0" fontId="2" fillId="0" borderId="70" xfId="0" applyFont="1" applyBorder="1" applyAlignment="1">
      <alignment horizontal="left" vertical="center"/>
    </xf>
    <xf numFmtId="0" fontId="2" fillId="0" borderId="71" xfId="0" applyFont="1" applyBorder="1" applyAlignment="1">
      <alignment horizontal="left" vertical="center"/>
    </xf>
    <xf numFmtId="0" fontId="10" fillId="0" borderId="69" xfId="0" applyFont="1" applyBorder="1" applyAlignment="1">
      <alignment horizontal="left" vertical="center"/>
    </xf>
    <xf numFmtId="0" fontId="10" fillId="0" borderId="70" xfId="0" applyFont="1" applyBorder="1" applyAlignment="1">
      <alignment horizontal="left" vertical="center"/>
    </xf>
    <xf numFmtId="0" fontId="10" fillId="0" borderId="71" xfId="0" applyFont="1" applyBorder="1" applyAlignment="1">
      <alignment horizontal="left" vertical="center"/>
    </xf>
    <xf numFmtId="4" fontId="10" fillId="0" borderId="73" xfId="0" applyNumberFormat="1" applyFont="1" applyBorder="1" applyAlignment="1">
      <alignment horizontal="right" vertical="center"/>
    </xf>
    <xf numFmtId="0" fontId="10" fillId="0" borderId="70" xfId="0" applyFont="1" applyBorder="1" applyAlignment="1">
      <alignment horizontal="right" vertical="center"/>
    </xf>
    <xf numFmtId="0" fontId="10" fillId="0" borderId="71" xfId="0" applyFont="1" applyBorder="1" applyAlignment="1">
      <alignment horizontal="righ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666750" cy="666750"/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66750" cy="666750"/>
        </a:xfrm>
        <a:prstGeom prst="rect">
          <a:avLst/>
        </a:prstGeom>
        <a:noFill/>
        <a:ln w="9525">
          <a:noFill/>
        </a:ln>
      </xdr:spPr>
    </xdr:pic>
    <xdr:clientData/>
  </xdr:absolute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Z359"/>
  <sheetViews>
    <sheetView tabSelected="1" workbookViewId="0">
      <pane ySplit="11" topLeftCell="A310" activePane="bottomLeft" state="frozen"/>
      <selection pane="bottomLeft" activeCell="G326" sqref="G326"/>
    </sheetView>
  </sheetViews>
  <sheetFormatPr defaultColWidth="12.140625" defaultRowHeight="15" customHeight="1" x14ac:dyDescent="0.25"/>
  <cols>
    <col min="1" max="1" width="4" customWidth="1"/>
    <col min="2" max="2" width="17.85546875" customWidth="1"/>
    <col min="3" max="3" width="42.85546875" customWidth="1"/>
    <col min="4" max="4" width="35.7109375" customWidth="1"/>
    <col min="5" max="5" width="8.42578125" customWidth="1"/>
    <col min="6" max="6" width="12.85546875" customWidth="1"/>
    <col min="7" max="7" width="12" customWidth="1"/>
    <col min="8" max="10" width="15.7109375" customWidth="1"/>
    <col min="11" max="11" width="14.7109375" customWidth="1"/>
    <col min="25" max="75" width="12.140625" hidden="1"/>
    <col min="76" max="76" width="173.7109375" hidden="1" customWidth="1"/>
    <col min="77" max="78" width="12.140625" hidden="1"/>
  </cols>
  <sheetData>
    <row r="1" spans="1:76" ht="54.75" customHeight="1" x14ac:dyDescent="0.25">
      <c r="A1" s="67" t="s">
        <v>0</v>
      </c>
      <c r="B1" s="67"/>
      <c r="C1" s="67"/>
      <c r="D1" s="67"/>
      <c r="E1" s="67"/>
      <c r="F1" s="67"/>
      <c r="G1" s="67"/>
      <c r="H1" s="67"/>
      <c r="I1" s="67"/>
      <c r="J1" s="67"/>
      <c r="K1" s="67"/>
      <c r="AS1" s="1">
        <f>SUM(AJ1:AJ2)</f>
        <v>0</v>
      </c>
      <c r="AT1" s="1">
        <f>SUM(AK1:AK2)</f>
        <v>0</v>
      </c>
      <c r="AU1" s="1">
        <f>SUM(AL1:AL2)</f>
        <v>0</v>
      </c>
    </row>
    <row r="2" spans="1:76" x14ac:dyDescent="0.25">
      <c r="A2" s="68" t="s">
        <v>1</v>
      </c>
      <c r="B2" s="69"/>
      <c r="C2" s="77" t="s">
        <v>2</v>
      </c>
      <c r="D2" s="78"/>
      <c r="E2" s="69" t="s">
        <v>3</v>
      </c>
      <c r="F2" s="69"/>
      <c r="G2" s="88" t="s">
        <v>4</v>
      </c>
      <c r="H2" s="75" t="s">
        <v>5</v>
      </c>
      <c r="I2" s="75" t="s">
        <v>6</v>
      </c>
      <c r="J2" s="69"/>
      <c r="K2" s="80"/>
    </row>
    <row r="3" spans="1:76" x14ac:dyDescent="0.25">
      <c r="A3" s="70"/>
      <c r="B3" s="71"/>
      <c r="C3" s="79"/>
      <c r="D3" s="79"/>
      <c r="E3" s="71"/>
      <c r="F3" s="71"/>
      <c r="G3" s="82"/>
      <c r="H3" s="71"/>
      <c r="I3" s="71"/>
      <c r="J3" s="71"/>
      <c r="K3" s="81"/>
    </row>
    <row r="4" spans="1:76" x14ac:dyDescent="0.25">
      <c r="A4" s="72" t="s">
        <v>7</v>
      </c>
      <c r="B4" s="71"/>
      <c r="C4" s="76" t="s">
        <v>8</v>
      </c>
      <c r="D4" s="71"/>
      <c r="E4" s="71" t="s">
        <v>9</v>
      </c>
      <c r="F4" s="71"/>
      <c r="G4" s="82">
        <v>0</v>
      </c>
      <c r="H4" s="76" t="s">
        <v>10</v>
      </c>
      <c r="I4" s="76" t="s">
        <v>11</v>
      </c>
      <c r="J4" s="71"/>
      <c r="K4" s="81"/>
    </row>
    <row r="5" spans="1:76" x14ac:dyDescent="0.25">
      <c r="A5" s="70"/>
      <c r="B5" s="71"/>
      <c r="C5" s="71"/>
      <c r="D5" s="71"/>
      <c r="E5" s="71"/>
      <c r="F5" s="71"/>
      <c r="G5" s="82"/>
      <c r="H5" s="71"/>
      <c r="I5" s="71"/>
      <c r="J5" s="71"/>
      <c r="K5" s="81"/>
    </row>
    <row r="6" spans="1:76" x14ac:dyDescent="0.25">
      <c r="A6" s="72" t="s">
        <v>12</v>
      </c>
      <c r="B6" s="71"/>
      <c r="C6" s="76" t="s">
        <v>13</v>
      </c>
      <c r="D6" s="71"/>
      <c r="E6" s="71" t="s">
        <v>14</v>
      </c>
      <c r="F6" s="71"/>
      <c r="G6" s="82" t="s">
        <v>4</v>
      </c>
      <c r="H6" s="76" t="s">
        <v>15</v>
      </c>
      <c r="I6" s="82" t="s">
        <v>16</v>
      </c>
      <c r="J6" s="82"/>
      <c r="K6" s="83"/>
    </row>
    <row r="7" spans="1:76" x14ac:dyDescent="0.25">
      <c r="A7" s="70"/>
      <c r="B7" s="71"/>
      <c r="C7" s="71"/>
      <c r="D7" s="71"/>
      <c r="E7" s="71"/>
      <c r="F7" s="71"/>
      <c r="G7" s="82"/>
      <c r="H7" s="71"/>
      <c r="I7" s="82"/>
      <c r="J7" s="82"/>
      <c r="K7" s="83"/>
    </row>
    <row r="8" spans="1:76" x14ac:dyDescent="0.25">
      <c r="A8" s="72" t="s">
        <v>17</v>
      </c>
      <c r="B8" s="71"/>
      <c r="C8" s="76" t="s">
        <v>18</v>
      </c>
      <c r="D8" s="71"/>
      <c r="E8" s="71" t="s">
        <v>19</v>
      </c>
      <c r="F8" s="71"/>
      <c r="G8" s="82">
        <v>0</v>
      </c>
      <c r="H8" s="76" t="s">
        <v>20</v>
      </c>
      <c r="I8" s="82"/>
      <c r="J8" s="82"/>
      <c r="K8" s="83"/>
    </row>
    <row r="9" spans="1:76" x14ac:dyDescent="0.25">
      <c r="A9" s="73"/>
      <c r="B9" s="74"/>
      <c r="C9" s="74"/>
      <c r="D9" s="74"/>
      <c r="E9" s="74"/>
      <c r="F9" s="74"/>
      <c r="G9" s="84"/>
      <c r="H9" s="74"/>
      <c r="I9" s="84"/>
      <c r="J9" s="84"/>
      <c r="K9" s="85"/>
    </row>
    <row r="10" spans="1:76" x14ac:dyDescent="0.25">
      <c r="A10" s="5" t="s">
        <v>21</v>
      </c>
      <c r="B10" s="6" t="s">
        <v>22</v>
      </c>
      <c r="C10" s="86" t="s">
        <v>23</v>
      </c>
      <c r="D10" s="87"/>
      <c r="E10" s="6" t="s">
        <v>24</v>
      </c>
      <c r="F10" s="7" t="s">
        <v>25</v>
      </c>
      <c r="G10" s="8" t="s">
        <v>26</v>
      </c>
      <c r="H10" s="97" t="s">
        <v>27</v>
      </c>
      <c r="I10" s="98"/>
      <c r="J10" s="99"/>
      <c r="K10" s="9" t="s">
        <v>28</v>
      </c>
      <c r="BK10" s="10" t="s">
        <v>29</v>
      </c>
      <c r="BL10" s="11" t="s">
        <v>30</v>
      </c>
      <c r="BW10" s="11" t="s">
        <v>31</v>
      </c>
    </row>
    <row r="11" spans="1:76" x14ac:dyDescent="0.25">
      <c r="A11" s="12" t="s">
        <v>4</v>
      </c>
      <c r="B11" s="13" t="s">
        <v>4</v>
      </c>
      <c r="C11" s="95" t="s">
        <v>32</v>
      </c>
      <c r="D11" s="96"/>
      <c r="E11" s="13" t="s">
        <v>4</v>
      </c>
      <c r="F11" s="13" t="s">
        <v>4</v>
      </c>
      <c r="G11" s="14" t="s">
        <v>33</v>
      </c>
      <c r="H11" s="15" t="s">
        <v>34</v>
      </c>
      <c r="I11" s="16" t="s">
        <v>35</v>
      </c>
      <c r="J11" s="17" t="s">
        <v>36</v>
      </c>
      <c r="K11" s="18" t="s">
        <v>37</v>
      </c>
      <c r="Z11" s="10" t="s">
        <v>38</v>
      </c>
      <c r="AA11" s="10" t="s">
        <v>39</v>
      </c>
      <c r="AB11" s="10" t="s">
        <v>40</v>
      </c>
      <c r="AC11" s="10" t="s">
        <v>41</v>
      </c>
      <c r="AD11" s="10" t="s">
        <v>42</v>
      </c>
      <c r="AE11" s="10" t="s">
        <v>43</v>
      </c>
      <c r="AF11" s="10" t="s">
        <v>44</v>
      </c>
      <c r="AG11" s="10" t="s">
        <v>45</v>
      </c>
      <c r="AH11" s="10" t="s">
        <v>46</v>
      </c>
      <c r="BH11" s="10" t="s">
        <v>47</v>
      </c>
      <c r="BI11" s="10" t="s">
        <v>48</v>
      </c>
      <c r="BJ11" s="10" t="s">
        <v>49</v>
      </c>
    </row>
    <row r="12" spans="1:76" x14ac:dyDescent="0.25">
      <c r="A12" s="19" t="s">
        <v>50</v>
      </c>
      <c r="B12" s="20" t="s">
        <v>50</v>
      </c>
      <c r="C12" s="100" t="s">
        <v>51</v>
      </c>
      <c r="D12" s="101"/>
      <c r="E12" s="21" t="s">
        <v>4</v>
      </c>
      <c r="F12" s="21" t="s">
        <v>4</v>
      </c>
      <c r="G12" s="22" t="s">
        <v>4</v>
      </c>
      <c r="H12" s="23">
        <f>H13+H19+H44+H56+H60+H77+H82+H91+H94+H104+H119+H123</f>
        <v>0</v>
      </c>
      <c r="I12" s="23">
        <f>I13+I19+I44+I56+I60+I77+I82+I91+I94+I104+I119+I123</f>
        <v>0</v>
      </c>
      <c r="J12" s="23">
        <f>J13+J19+J44+J56+J60+J77+J82+J91+J94+J104+J119+J123</f>
        <v>0</v>
      </c>
      <c r="K12" s="24" t="s">
        <v>50</v>
      </c>
    </row>
    <row r="13" spans="1:76" x14ac:dyDescent="0.25">
      <c r="A13" s="25" t="s">
        <v>50</v>
      </c>
      <c r="B13" s="26" t="s">
        <v>52</v>
      </c>
      <c r="C13" s="93" t="s">
        <v>53</v>
      </c>
      <c r="D13" s="94"/>
      <c r="E13" s="27" t="s">
        <v>4</v>
      </c>
      <c r="F13" s="27" t="s">
        <v>4</v>
      </c>
      <c r="G13" s="28" t="s">
        <v>4</v>
      </c>
      <c r="H13" s="1">
        <f>SUM(H14:H16)</f>
        <v>0</v>
      </c>
      <c r="I13" s="1">
        <f>SUM(I14:I16)</f>
        <v>0</v>
      </c>
      <c r="J13" s="1">
        <f>SUM(J14:J16)</f>
        <v>0</v>
      </c>
      <c r="K13" s="29" t="s">
        <v>50</v>
      </c>
      <c r="AI13" s="10" t="s">
        <v>54</v>
      </c>
      <c r="AS13" s="1">
        <f>SUM(AJ14:AJ16)</f>
        <v>0</v>
      </c>
      <c r="AT13" s="1">
        <f>SUM(AK14:AK16)</f>
        <v>0</v>
      </c>
      <c r="AU13" s="1">
        <f>SUM(AL14:AL16)</f>
        <v>0</v>
      </c>
    </row>
    <row r="14" spans="1:76" x14ac:dyDescent="0.25">
      <c r="A14" s="2" t="s">
        <v>55</v>
      </c>
      <c r="B14" s="3" t="s">
        <v>56</v>
      </c>
      <c r="C14" s="76" t="s">
        <v>57</v>
      </c>
      <c r="D14" s="71"/>
      <c r="E14" s="3" t="s">
        <v>58</v>
      </c>
      <c r="F14" s="30">
        <v>1</v>
      </c>
      <c r="G14" s="31">
        <v>0</v>
      </c>
      <c r="H14" s="30">
        <f>ROUND(F14*AO14,2)</f>
        <v>0</v>
      </c>
      <c r="I14" s="30">
        <f>ROUND(F14*AP14,2)</f>
        <v>0</v>
      </c>
      <c r="J14" s="30">
        <f>ROUND(F14*G14,2)</f>
        <v>0</v>
      </c>
      <c r="K14" s="32" t="s">
        <v>50</v>
      </c>
      <c r="Z14" s="30">
        <f>ROUND(IF(AQ14="5",BJ14,0),2)</f>
        <v>0</v>
      </c>
      <c r="AB14" s="30">
        <f>ROUND(IF(AQ14="1",BH14,0),2)</f>
        <v>0</v>
      </c>
      <c r="AC14" s="30">
        <f>ROUND(IF(AQ14="1",BI14,0),2)</f>
        <v>0</v>
      </c>
      <c r="AD14" s="30">
        <f>ROUND(IF(AQ14="7",BH14,0),2)</f>
        <v>0</v>
      </c>
      <c r="AE14" s="30">
        <f>ROUND(IF(AQ14="7",BI14,0),2)</f>
        <v>0</v>
      </c>
      <c r="AF14" s="30">
        <f>ROUND(IF(AQ14="2",BH14,0),2)</f>
        <v>0</v>
      </c>
      <c r="AG14" s="30">
        <f>ROUND(IF(AQ14="2",BI14,0),2)</f>
        <v>0</v>
      </c>
      <c r="AH14" s="30">
        <f>ROUND(IF(AQ14="0",BJ14,0),2)</f>
        <v>0</v>
      </c>
      <c r="AI14" s="10" t="s">
        <v>54</v>
      </c>
      <c r="AJ14" s="30">
        <f>IF(AN14=0,J14,0)</f>
        <v>0</v>
      </c>
      <c r="AK14" s="30">
        <f>IF(AN14=12,J14,0)</f>
        <v>0</v>
      </c>
      <c r="AL14" s="30">
        <f>IF(AN14=21,J14,0)</f>
        <v>0</v>
      </c>
      <c r="AN14" s="30">
        <v>21</v>
      </c>
      <c r="AO14" s="30">
        <f>G14*0.5</f>
        <v>0</v>
      </c>
      <c r="AP14" s="30">
        <f>G14*(1-0.5)</f>
        <v>0</v>
      </c>
      <c r="AQ14" s="33" t="s">
        <v>55</v>
      </c>
      <c r="AV14" s="30">
        <f>ROUND(AW14+AX14,2)</f>
        <v>0</v>
      </c>
      <c r="AW14" s="30">
        <f>ROUND(F14*AO14,2)</f>
        <v>0</v>
      </c>
      <c r="AX14" s="30">
        <f>ROUND(F14*AP14,2)</f>
        <v>0</v>
      </c>
      <c r="AY14" s="33" t="s">
        <v>59</v>
      </c>
      <c r="AZ14" s="33" t="s">
        <v>60</v>
      </c>
      <c r="BA14" s="10" t="s">
        <v>61</v>
      </c>
      <c r="BC14" s="30">
        <f>AW14+AX14</f>
        <v>0</v>
      </c>
      <c r="BD14" s="30">
        <f>G14/(100-BE14)*100</f>
        <v>0</v>
      </c>
      <c r="BE14" s="30">
        <v>0</v>
      </c>
      <c r="BF14" s="30">
        <f>14</f>
        <v>14</v>
      </c>
      <c r="BH14" s="30">
        <f>F14*AO14</f>
        <v>0</v>
      </c>
      <c r="BI14" s="30">
        <f>F14*AP14</f>
        <v>0</v>
      </c>
      <c r="BJ14" s="30">
        <f>F14*G14</f>
        <v>0</v>
      </c>
      <c r="BK14" s="33" t="s">
        <v>62</v>
      </c>
      <c r="BL14" s="30"/>
      <c r="BW14" s="30">
        <v>21</v>
      </c>
      <c r="BX14" s="4" t="s">
        <v>57</v>
      </c>
    </row>
    <row r="15" spans="1:76" ht="13.5" customHeight="1" x14ac:dyDescent="0.25">
      <c r="A15" s="34"/>
      <c r="B15" s="35" t="s">
        <v>63</v>
      </c>
      <c r="C15" s="89" t="s">
        <v>64</v>
      </c>
      <c r="D15" s="90"/>
      <c r="E15" s="90"/>
      <c r="F15" s="90"/>
      <c r="G15" s="91"/>
      <c r="H15" s="90"/>
      <c r="I15" s="90"/>
      <c r="J15" s="90"/>
      <c r="K15" s="92"/>
    </row>
    <row r="16" spans="1:76" x14ac:dyDescent="0.25">
      <c r="A16" s="2" t="s">
        <v>65</v>
      </c>
      <c r="B16" s="3" t="s">
        <v>66</v>
      </c>
      <c r="C16" s="76" t="s">
        <v>67</v>
      </c>
      <c r="D16" s="71"/>
      <c r="E16" s="3" t="s">
        <v>68</v>
      </c>
      <c r="F16" s="30">
        <v>459</v>
      </c>
      <c r="G16" s="31">
        <v>0</v>
      </c>
      <c r="H16" s="30">
        <f>ROUND(F16*AO16,2)</f>
        <v>0</v>
      </c>
      <c r="I16" s="30">
        <f>ROUND(F16*AP16,2)</f>
        <v>0</v>
      </c>
      <c r="J16" s="30">
        <f>ROUND(F16*G16,2)</f>
        <v>0</v>
      </c>
      <c r="K16" s="32" t="s">
        <v>69</v>
      </c>
      <c r="Z16" s="30">
        <f>ROUND(IF(AQ16="5",BJ16,0),2)</f>
        <v>0</v>
      </c>
      <c r="AB16" s="30">
        <f>ROUND(IF(AQ16="1",BH16,0),2)</f>
        <v>0</v>
      </c>
      <c r="AC16" s="30">
        <f>ROUND(IF(AQ16="1",BI16,0),2)</f>
        <v>0</v>
      </c>
      <c r="AD16" s="30">
        <f>ROUND(IF(AQ16="7",BH16,0),2)</f>
        <v>0</v>
      </c>
      <c r="AE16" s="30">
        <f>ROUND(IF(AQ16="7",BI16,0),2)</f>
        <v>0</v>
      </c>
      <c r="AF16" s="30">
        <f>ROUND(IF(AQ16="2",BH16,0),2)</f>
        <v>0</v>
      </c>
      <c r="AG16" s="30">
        <f>ROUND(IF(AQ16="2",BI16,0),2)</f>
        <v>0</v>
      </c>
      <c r="AH16" s="30">
        <f>ROUND(IF(AQ16="0",BJ16,0),2)</f>
        <v>0</v>
      </c>
      <c r="AI16" s="10" t="s">
        <v>54</v>
      </c>
      <c r="AJ16" s="30">
        <f>IF(AN16=0,J16,0)</f>
        <v>0</v>
      </c>
      <c r="AK16" s="30">
        <f>IF(AN16=12,J16,0)</f>
        <v>0</v>
      </c>
      <c r="AL16" s="30">
        <f>IF(AN16=21,J16,0)</f>
        <v>0</v>
      </c>
      <c r="AN16" s="30">
        <v>21</v>
      </c>
      <c r="AO16" s="30">
        <f>G16*0.804597701</f>
        <v>0</v>
      </c>
      <c r="AP16" s="30">
        <f>G16*(1-0.804597701)</f>
        <v>0</v>
      </c>
      <c r="AQ16" s="33" t="s">
        <v>55</v>
      </c>
      <c r="AV16" s="30">
        <f>ROUND(AW16+AX16,2)</f>
        <v>0</v>
      </c>
      <c r="AW16" s="30">
        <f>ROUND(F16*AO16,2)</f>
        <v>0</v>
      </c>
      <c r="AX16" s="30">
        <f>ROUND(F16*AP16,2)</f>
        <v>0</v>
      </c>
      <c r="AY16" s="33" t="s">
        <v>59</v>
      </c>
      <c r="AZ16" s="33" t="s">
        <v>60</v>
      </c>
      <c r="BA16" s="10" t="s">
        <v>61</v>
      </c>
      <c r="BC16" s="30">
        <f>AW16+AX16</f>
        <v>0</v>
      </c>
      <c r="BD16" s="30">
        <f>G16/(100-BE16)*100</f>
        <v>0</v>
      </c>
      <c r="BE16" s="30">
        <v>0</v>
      </c>
      <c r="BF16" s="30">
        <f>16</f>
        <v>16</v>
      </c>
      <c r="BH16" s="30">
        <f>F16*AO16</f>
        <v>0</v>
      </c>
      <c r="BI16" s="30">
        <f>F16*AP16</f>
        <v>0</v>
      </c>
      <c r="BJ16" s="30">
        <f>F16*G16</f>
        <v>0</v>
      </c>
      <c r="BK16" s="33" t="s">
        <v>62</v>
      </c>
      <c r="BL16" s="30"/>
      <c r="BW16" s="30">
        <v>21</v>
      </c>
      <c r="BX16" s="4" t="s">
        <v>67</v>
      </c>
    </row>
    <row r="17" spans="1:76" ht="13.5" customHeight="1" x14ac:dyDescent="0.25">
      <c r="A17" s="34"/>
      <c r="B17" s="35" t="s">
        <v>63</v>
      </c>
      <c r="C17" s="89" t="s">
        <v>70</v>
      </c>
      <c r="D17" s="90"/>
      <c r="E17" s="90"/>
      <c r="F17" s="90"/>
      <c r="G17" s="91"/>
      <c r="H17" s="90"/>
      <c r="I17" s="90"/>
      <c r="J17" s="90"/>
      <c r="K17" s="92"/>
    </row>
    <row r="18" spans="1:76" x14ac:dyDescent="0.25">
      <c r="A18" s="34"/>
      <c r="C18" s="37" t="s">
        <v>71</v>
      </c>
      <c r="D18" s="37" t="s">
        <v>72</v>
      </c>
      <c r="F18" s="38">
        <v>459</v>
      </c>
      <c r="K18" s="39"/>
    </row>
    <row r="19" spans="1:76" x14ac:dyDescent="0.25">
      <c r="A19" s="25" t="s">
        <v>50</v>
      </c>
      <c r="B19" s="26" t="s">
        <v>73</v>
      </c>
      <c r="C19" s="93" t="s">
        <v>74</v>
      </c>
      <c r="D19" s="94"/>
      <c r="E19" s="27" t="s">
        <v>4</v>
      </c>
      <c r="F19" s="27" t="s">
        <v>4</v>
      </c>
      <c r="G19" s="28" t="s">
        <v>4</v>
      </c>
      <c r="H19" s="1">
        <f>SUM(H20:H42)</f>
        <v>0</v>
      </c>
      <c r="I19" s="1">
        <f>SUM(I20:I42)</f>
        <v>0</v>
      </c>
      <c r="J19" s="1">
        <f>SUM(J20:J42)</f>
        <v>0</v>
      </c>
      <c r="K19" s="29" t="s">
        <v>50</v>
      </c>
      <c r="AI19" s="10" t="s">
        <v>54</v>
      </c>
      <c r="AS19" s="1">
        <f>SUM(AJ20:AJ42)</f>
        <v>0</v>
      </c>
      <c r="AT19" s="1">
        <f>SUM(AK20:AK42)</f>
        <v>0</v>
      </c>
      <c r="AU19" s="1">
        <f>SUM(AL20:AL42)</f>
        <v>0</v>
      </c>
    </row>
    <row r="20" spans="1:76" x14ac:dyDescent="0.25">
      <c r="A20" s="2" t="s">
        <v>75</v>
      </c>
      <c r="B20" s="3" t="s">
        <v>76</v>
      </c>
      <c r="C20" s="76" t="s">
        <v>77</v>
      </c>
      <c r="D20" s="71"/>
      <c r="E20" s="3" t="s">
        <v>78</v>
      </c>
      <c r="F20" s="30">
        <v>371</v>
      </c>
      <c r="G20" s="31">
        <v>0</v>
      </c>
      <c r="H20" s="30">
        <f>ROUND(F20*AO20,2)</f>
        <v>0</v>
      </c>
      <c r="I20" s="30">
        <f>ROUND(F20*AP20,2)</f>
        <v>0</v>
      </c>
      <c r="J20" s="30">
        <f>ROUND(F20*G20,2)</f>
        <v>0</v>
      </c>
      <c r="K20" s="32" t="s">
        <v>79</v>
      </c>
      <c r="Z20" s="30">
        <f>ROUND(IF(AQ20="5",BJ20,0),2)</f>
        <v>0</v>
      </c>
      <c r="AB20" s="30">
        <f>ROUND(IF(AQ20="1",BH20,0),2)</f>
        <v>0</v>
      </c>
      <c r="AC20" s="30">
        <f>ROUND(IF(AQ20="1",BI20,0),2)</f>
        <v>0</v>
      </c>
      <c r="AD20" s="30">
        <f>ROUND(IF(AQ20="7",BH20,0),2)</f>
        <v>0</v>
      </c>
      <c r="AE20" s="30">
        <f>ROUND(IF(AQ20="7",BI20,0),2)</f>
        <v>0</v>
      </c>
      <c r="AF20" s="30">
        <f>ROUND(IF(AQ20="2",BH20,0),2)</f>
        <v>0</v>
      </c>
      <c r="AG20" s="30">
        <f>ROUND(IF(AQ20="2",BI20,0),2)</f>
        <v>0</v>
      </c>
      <c r="AH20" s="30">
        <f>ROUND(IF(AQ20="0",BJ20,0),2)</f>
        <v>0</v>
      </c>
      <c r="AI20" s="10" t="s">
        <v>54</v>
      </c>
      <c r="AJ20" s="30">
        <f>IF(AN20=0,J20,0)</f>
        <v>0</v>
      </c>
      <c r="AK20" s="30">
        <f>IF(AN20=12,J20,0)</f>
        <v>0</v>
      </c>
      <c r="AL20" s="30">
        <f>IF(AN20=21,J20,0)</f>
        <v>0</v>
      </c>
      <c r="AN20" s="30">
        <v>21</v>
      </c>
      <c r="AO20" s="30">
        <f>G20*0</f>
        <v>0</v>
      </c>
      <c r="AP20" s="30">
        <f>G20*(1-0)</f>
        <v>0</v>
      </c>
      <c r="AQ20" s="33" t="s">
        <v>55</v>
      </c>
      <c r="AV20" s="30">
        <f>ROUND(AW20+AX20,2)</f>
        <v>0</v>
      </c>
      <c r="AW20" s="30">
        <f>ROUND(F20*AO20,2)</f>
        <v>0</v>
      </c>
      <c r="AX20" s="30">
        <f>ROUND(F20*AP20,2)</f>
        <v>0</v>
      </c>
      <c r="AY20" s="33" t="s">
        <v>80</v>
      </c>
      <c r="AZ20" s="33" t="s">
        <v>81</v>
      </c>
      <c r="BA20" s="10" t="s">
        <v>61</v>
      </c>
      <c r="BC20" s="30">
        <f>AW20+AX20</f>
        <v>0</v>
      </c>
      <c r="BD20" s="30">
        <f>G20/(100-BE20)*100</f>
        <v>0</v>
      </c>
      <c r="BE20" s="30">
        <v>0</v>
      </c>
      <c r="BF20" s="30">
        <f>20</f>
        <v>20</v>
      </c>
      <c r="BH20" s="30">
        <f>F20*AO20</f>
        <v>0</v>
      </c>
      <c r="BI20" s="30">
        <f>F20*AP20</f>
        <v>0</v>
      </c>
      <c r="BJ20" s="30">
        <f>F20*G20</f>
        <v>0</v>
      </c>
      <c r="BK20" s="33" t="s">
        <v>62</v>
      </c>
      <c r="BL20" s="30">
        <v>11</v>
      </c>
      <c r="BW20" s="30">
        <v>21</v>
      </c>
      <c r="BX20" s="4" t="s">
        <v>77</v>
      </c>
    </row>
    <row r="21" spans="1:76" x14ac:dyDescent="0.25">
      <c r="A21" s="34"/>
      <c r="C21" s="37" t="s">
        <v>82</v>
      </c>
      <c r="D21" s="37" t="s">
        <v>83</v>
      </c>
      <c r="F21" s="38">
        <v>371</v>
      </c>
      <c r="K21" s="39"/>
    </row>
    <row r="22" spans="1:76" ht="25.5" x14ac:dyDescent="0.25">
      <c r="A22" s="34"/>
      <c r="B22" s="35" t="s">
        <v>84</v>
      </c>
      <c r="C22" s="102" t="s">
        <v>85</v>
      </c>
      <c r="D22" s="103"/>
      <c r="E22" s="103"/>
      <c r="F22" s="103"/>
      <c r="G22" s="104"/>
      <c r="H22" s="103"/>
      <c r="I22" s="103"/>
      <c r="J22" s="103"/>
      <c r="K22" s="105"/>
      <c r="BX22" s="36" t="s">
        <v>85</v>
      </c>
    </row>
    <row r="23" spans="1:76" x14ac:dyDescent="0.25">
      <c r="A23" s="2" t="s">
        <v>86</v>
      </c>
      <c r="B23" s="3" t="s">
        <v>87</v>
      </c>
      <c r="C23" s="76" t="s">
        <v>88</v>
      </c>
      <c r="D23" s="71"/>
      <c r="E23" s="3" t="s">
        <v>78</v>
      </c>
      <c r="F23" s="30">
        <v>8.5</v>
      </c>
      <c r="G23" s="31">
        <v>0</v>
      </c>
      <c r="H23" s="30">
        <f>ROUND(F23*AO23,2)</f>
        <v>0</v>
      </c>
      <c r="I23" s="30">
        <f>ROUND(F23*AP23,2)</f>
        <v>0</v>
      </c>
      <c r="J23" s="30">
        <f>ROUND(F23*G23,2)</f>
        <v>0</v>
      </c>
      <c r="K23" s="32" t="s">
        <v>79</v>
      </c>
      <c r="Z23" s="30">
        <f>ROUND(IF(AQ23="5",BJ23,0),2)</f>
        <v>0</v>
      </c>
      <c r="AB23" s="30">
        <f>ROUND(IF(AQ23="1",BH23,0),2)</f>
        <v>0</v>
      </c>
      <c r="AC23" s="30">
        <f>ROUND(IF(AQ23="1",BI23,0),2)</f>
        <v>0</v>
      </c>
      <c r="AD23" s="30">
        <f>ROUND(IF(AQ23="7",BH23,0),2)</f>
        <v>0</v>
      </c>
      <c r="AE23" s="30">
        <f>ROUND(IF(AQ23="7",BI23,0),2)</f>
        <v>0</v>
      </c>
      <c r="AF23" s="30">
        <f>ROUND(IF(AQ23="2",BH23,0),2)</f>
        <v>0</v>
      </c>
      <c r="AG23" s="30">
        <f>ROUND(IF(AQ23="2",BI23,0),2)</f>
        <v>0</v>
      </c>
      <c r="AH23" s="30">
        <f>ROUND(IF(AQ23="0",BJ23,0),2)</f>
        <v>0</v>
      </c>
      <c r="AI23" s="10" t="s">
        <v>54</v>
      </c>
      <c r="AJ23" s="30">
        <f>IF(AN23=0,J23,0)</f>
        <v>0</v>
      </c>
      <c r="AK23" s="30">
        <f>IF(AN23=12,J23,0)</f>
        <v>0</v>
      </c>
      <c r="AL23" s="30">
        <f>IF(AN23=21,J23,0)</f>
        <v>0</v>
      </c>
      <c r="AN23" s="30">
        <v>21</v>
      </c>
      <c r="AO23" s="30">
        <f>G23*0</f>
        <v>0</v>
      </c>
      <c r="AP23" s="30">
        <f>G23*(1-0)</f>
        <v>0</v>
      </c>
      <c r="AQ23" s="33" t="s">
        <v>55</v>
      </c>
      <c r="AV23" s="30">
        <f>ROUND(AW23+AX23,2)</f>
        <v>0</v>
      </c>
      <c r="AW23" s="30">
        <f>ROUND(F23*AO23,2)</f>
        <v>0</v>
      </c>
      <c r="AX23" s="30">
        <f>ROUND(F23*AP23,2)</f>
        <v>0</v>
      </c>
      <c r="AY23" s="33" t="s">
        <v>80</v>
      </c>
      <c r="AZ23" s="33" t="s">
        <v>81</v>
      </c>
      <c r="BA23" s="10" t="s">
        <v>61</v>
      </c>
      <c r="BC23" s="30">
        <f>AW23+AX23</f>
        <v>0</v>
      </c>
      <c r="BD23" s="30">
        <f>G23/(100-BE23)*100</f>
        <v>0</v>
      </c>
      <c r="BE23" s="30">
        <v>0</v>
      </c>
      <c r="BF23" s="30">
        <f>23</f>
        <v>23</v>
      </c>
      <c r="BH23" s="30">
        <f>F23*AO23</f>
        <v>0</v>
      </c>
      <c r="BI23" s="30">
        <f>F23*AP23</f>
        <v>0</v>
      </c>
      <c r="BJ23" s="30">
        <f>F23*G23</f>
        <v>0</v>
      </c>
      <c r="BK23" s="33" t="s">
        <v>62</v>
      </c>
      <c r="BL23" s="30">
        <v>11</v>
      </c>
      <c r="BW23" s="30">
        <v>21</v>
      </c>
      <c r="BX23" s="4" t="s">
        <v>88</v>
      </c>
    </row>
    <row r="24" spans="1:76" x14ac:dyDescent="0.25">
      <c r="A24" s="34"/>
      <c r="C24" s="37" t="s">
        <v>89</v>
      </c>
      <c r="D24" s="37" t="s">
        <v>90</v>
      </c>
      <c r="F24" s="38">
        <v>8.5</v>
      </c>
      <c r="K24" s="39"/>
    </row>
    <row r="25" spans="1:76" x14ac:dyDescent="0.25">
      <c r="A25" s="2" t="s">
        <v>91</v>
      </c>
      <c r="B25" s="3" t="s">
        <v>92</v>
      </c>
      <c r="C25" s="76" t="s">
        <v>93</v>
      </c>
      <c r="D25" s="71"/>
      <c r="E25" s="3" t="s">
        <v>94</v>
      </c>
      <c r="F25" s="30">
        <v>198</v>
      </c>
      <c r="G25" s="31">
        <v>0</v>
      </c>
      <c r="H25" s="30">
        <f>ROUND(F25*AO25,2)</f>
        <v>0</v>
      </c>
      <c r="I25" s="30">
        <f>ROUND(F25*AP25,2)</f>
        <v>0</v>
      </c>
      <c r="J25" s="30">
        <f>ROUND(F25*G25,2)</f>
        <v>0</v>
      </c>
      <c r="K25" s="32" t="s">
        <v>79</v>
      </c>
      <c r="Z25" s="30">
        <f>ROUND(IF(AQ25="5",BJ25,0),2)</f>
        <v>0</v>
      </c>
      <c r="AB25" s="30">
        <f>ROUND(IF(AQ25="1",BH25,0),2)</f>
        <v>0</v>
      </c>
      <c r="AC25" s="30">
        <f>ROUND(IF(AQ25="1",BI25,0),2)</f>
        <v>0</v>
      </c>
      <c r="AD25" s="30">
        <f>ROUND(IF(AQ25="7",BH25,0),2)</f>
        <v>0</v>
      </c>
      <c r="AE25" s="30">
        <f>ROUND(IF(AQ25="7",BI25,0),2)</f>
        <v>0</v>
      </c>
      <c r="AF25" s="30">
        <f>ROUND(IF(AQ25="2",BH25,0),2)</f>
        <v>0</v>
      </c>
      <c r="AG25" s="30">
        <f>ROUND(IF(AQ25="2",BI25,0),2)</f>
        <v>0</v>
      </c>
      <c r="AH25" s="30">
        <f>ROUND(IF(AQ25="0",BJ25,0),2)</f>
        <v>0</v>
      </c>
      <c r="AI25" s="10" t="s">
        <v>54</v>
      </c>
      <c r="AJ25" s="30">
        <f>IF(AN25=0,J25,0)</f>
        <v>0</v>
      </c>
      <c r="AK25" s="30">
        <f>IF(AN25=12,J25,0)</f>
        <v>0</v>
      </c>
      <c r="AL25" s="30">
        <f>IF(AN25=21,J25,0)</f>
        <v>0</v>
      </c>
      <c r="AN25" s="30">
        <v>21</v>
      </c>
      <c r="AO25" s="30">
        <f>G25*0</f>
        <v>0</v>
      </c>
      <c r="AP25" s="30">
        <f>G25*(1-0)</f>
        <v>0</v>
      </c>
      <c r="AQ25" s="33" t="s">
        <v>55</v>
      </c>
      <c r="AV25" s="30">
        <f>ROUND(AW25+AX25,2)</f>
        <v>0</v>
      </c>
      <c r="AW25" s="30">
        <f>ROUND(F25*AO25,2)</f>
        <v>0</v>
      </c>
      <c r="AX25" s="30">
        <f>ROUND(F25*AP25,2)</f>
        <v>0</v>
      </c>
      <c r="AY25" s="33" t="s">
        <v>80</v>
      </c>
      <c r="AZ25" s="33" t="s">
        <v>81</v>
      </c>
      <c r="BA25" s="10" t="s">
        <v>61</v>
      </c>
      <c r="BC25" s="30">
        <f>AW25+AX25</f>
        <v>0</v>
      </c>
      <c r="BD25" s="30">
        <f>G25/(100-BE25)*100</f>
        <v>0</v>
      </c>
      <c r="BE25" s="30">
        <v>0</v>
      </c>
      <c r="BF25" s="30">
        <f>25</f>
        <v>25</v>
      </c>
      <c r="BH25" s="30">
        <f>F25*AO25</f>
        <v>0</v>
      </c>
      <c r="BI25" s="30">
        <f>F25*AP25</f>
        <v>0</v>
      </c>
      <c r="BJ25" s="30">
        <f>F25*G25</f>
        <v>0</v>
      </c>
      <c r="BK25" s="33" t="s">
        <v>62</v>
      </c>
      <c r="BL25" s="30">
        <v>11</v>
      </c>
      <c r="BW25" s="30">
        <v>21</v>
      </c>
      <c r="BX25" s="4" t="s">
        <v>93</v>
      </c>
    </row>
    <row r="26" spans="1:76" x14ac:dyDescent="0.25">
      <c r="A26" s="34"/>
      <c r="C26" s="37" t="s">
        <v>95</v>
      </c>
      <c r="D26" s="37" t="s">
        <v>96</v>
      </c>
      <c r="F26" s="38">
        <v>170</v>
      </c>
      <c r="K26" s="39"/>
    </row>
    <row r="27" spans="1:76" x14ac:dyDescent="0.25">
      <c r="A27" s="34"/>
      <c r="C27" s="37" t="s">
        <v>97</v>
      </c>
      <c r="D27" s="37" t="s">
        <v>98</v>
      </c>
      <c r="F27" s="38">
        <v>14</v>
      </c>
      <c r="K27" s="39"/>
    </row>
    <row r="28" spans="1:76" x14ac:dyDescent="0.25">
      <c r="A28" s="34"/>
      <c r="C28" s="37" t="s">
        <v>99</v>
      </c>
      <c r="D28" s="37" t="s">
        <v>100</v>
      </c>
      <c r="F28" s="38">
        <v>14</v>
      </c>
      <c r="K28" s="39"/>
    </row>
    <row r="29" spans="1:76" ht="25.5" x14ac:dyDescent="0.25">
      <c r="A29" s="34"/>
      <c r="B29" s="35" t="s">
        <v>84</v>
      </c>
      <c r="C29" s="102" t="s">
        <v>101</v>
      </c>
      <c r="D29" s="103"/>
      <c r="E29" s="103"/>
      <c r="F29" s="103"/>
      <c r="G29" s="104"/>
      <c r="H29" s="103"/>
      <c r="I29" s="103"/>
      <c r="J29" s="103"/>
      <c r="K29" s="105"/>
      <c r="BX29" s="36" t="s">
        <v>101</v>
      </c>
    </row>
    <row r="30" spans="1:76" x14ac:dyDescent="0.25">
      <c r="A30" s="2" t="s">
        <v>102</v>
      </c>
      <c r="B30" s="3" t="s">
        <v>103</v>
      </c>
      <c r="C30" s="76" t="s">
        <v>104</v>
      </c>
      <c r="D30" s="71"/>
      <c r="E30" s="3" t="s">
        <v>78</v>
      </c>
      <c r="F30" s="30">
        <v>371</v>
      </c>
      <c r="G30" s="31">
        <v>0</v>
      </c>
      <c r="H30" s="30">
        <f>ROUND(F30*AO30,2)</f>
        <v>0</v>
      </c>
      <c r="I30" s="30">
        <f>ROUND(F30*AP30,2)</f>
        <v>0</v>
      </c>
      <c r="J30" s="30">
        <f>ROUND(F30*G30,2)</f>
        <v>0</v>
      </c>
      <c r="K30" s="32" t="s">
        <v>79</v>
      </c>
      <c r="Z30" s="30">
        <f>ROUND(IF(AQ30="5",BJ30,0),2)</f>
        <v>0</v>
      </c>
      <c r="AB30" s="30">
        <f>ROUND(IF(AQ30="1",BH30,0),2)</f>
        <v>0</v>
      </c>
      <c r="AC30" s="30">
        <f>ROUND(IF(AQ30="1",BI30,0),2)</f>
        <v>0</v>
      </c>
      <c r="AD30" s="30">
        <f>ROUND(IF(AQ30="7",BH30,0),2)</f>
        <v>0</v>
      </c>
      <c r="AE30" s="30">
        <f>ROUND(IF(AQ30="7",BI30,0),2)</f>
        <v>0</v>
      </c>
      <c r="AF30" s="30">
        <f>ROUND(IF(AQ30="2",BH30,0),2)</f>
        <v>0</v>
      </c>
      <c r="AG30" s="30">
        <f>ROUND(IF(AQ30="2",BI30,0),2)</f>
        <v>0</v>
      </c>
      <c r="AH30" s="30">
        <f>ROUND(IF(AQ30="0",BJ30,0),2)</f>
        <v>0</v>
      </c>
      <c r="AI30" s="10" t="s">
        <v>54</v>
      </c>
      <c r="AJ30" s="30">
        <f>IF(AN30=0,J30,0)</f>
        <v>0</v>
      </c>
      <c r="AK30" s="30">
        <f>IF(AN30=12,J30,0)</f>
        <v>0</v>
      </c>
      <c r="AL30" s="30">
        <f>IF(AN30=21,J30,0)</f>
        <v>0</v>
      </c>
      <c r="AN30" s="30">
        <v>21</v>
      </c>
      <c r="AO30" s="30">
        <f>G30*0</f>
        <v>0</v>
      </c>
      <c r="AP30" s="30">
        <f>G30*(1-0)</f>
        <v>0</v>
      </c>
      <c r="AQ30" s="33" t="s">
        <v>55</v>
      </c>
      <c r="AV30" s="30">
        <f>ROUND(AW30+AX30,2)</f>
        <v>0</v>
      </c>
      <c r="AW30" s="30">
        <f>ROUND(F30*AO30,2)</f>
        <v>0</v>
      </c>
      <c r="AX30" s="30">
        <f>ROUND(F30*AP30,2)</f>
        <v>0</v>
      </c>
      <c r="AY30" s="33" t="s">
        <v>80</v>
      </c>
      <c r="AZ30" s="33" t="s">
        <v>81</v>
      </c>
      <c r="BA30" s="10" t="s">
        <v>61</v>
      </c>
      <c r="BC30" s="30">
        <f>AW30+AX30</f>
        <v>0</v>
      </c>
      <c r="BD30" s="30">
        <f>G30/(100-BE30)*100</f>
        <v>0</v>
      </c>
      <c r="BE30" s="30">
        <v>0</v>
      </c>
      <c r="BF30" s="30">
        <f>30</f>
        <v>30</v>
      </c>
      <c r="BH30" s="30">
        <f>F30*AO30</f>
        <v>0</v>
      </c>
      <c r="BI30" s="30">
        <f>F30*AP30</f>
        <v>0</v>
      </c>
      <c r="BJ30" s="30">
        <f>F30*G30</f>
        <v>0</v>
      </c>
      <c r="BK30" s="33" t="s">
        <v>62</v>
      </c>
      <c r="BL30" s="30">
        <v>11</v>
      </c>
      <c r="BW30" s="30">
        <v>21</v>
      </c>
      <c r="BX30" s="4" t="s">
        <v>104</v>
      </c>
    </row>
    <row r="31" spans="1:76" x14ac:dyDescent="0.25">
      <c r="A31" s="34"/>
      <c r="C31" s="37" t="s">
        <v>82</v>
      </c>
      <c r="D31" s="37" t="s">
        <v>83</v>
      </c>
      <c r="F31" s="38">
        <v>371</v>
      </c>
      <c r="K31" s="39"/>
    </row>
    <row r="32" spans="1:76" ht="38.25" x14ac:dyDescent="0.25">
      <c r="A32" s="34"/>
      <c r="B32" s="35" t="s">
        <v>84</v>
      </c>
      <c r="C32" s="102" t="s">
        <v>105</v>
      </c>
      <c r="D32" s="103"/>
      <c r="E32" s="103"/>
      <c r="F32" s="103"/>
      <c r="G32" s="104"/>
      <c r="H32" s="103"/>
      <c r="I32" s="103"/>
      <c r="J32" s="103"/>
      <c r="K32" s="105"/>
      <c r="BX32" s="36" t="s">
        <v>105</v>
      </c>
    </row>
    <row r="33" spans="1:76" x14ac:dyDescent="0.25">
      <c r="A33" s="2" t="s">
        <v>106</v>
      </c>
      <c r="B33" s="3" t="s">
        <v>107</v>
      </c>
      <c r="C33" s="76" t="s">
        <v>108</v>
      </c>
      <c r="D33" s="71"/>
      <c r="E33" s="3" t="s">
        <v>78</v>
      </c>
      <c r="F33" s="30">
        <v>8.5</v>
      </c>
      <c r="G33" s="31">
        <v>0</v>
      </c>
      <c r="H33" s="30">
        <f>ROUND(F33*AO33,2)</f>
        <v>0</v>
      </c>
      <c r="I33" s="30">
        <f>ROUND(F33*AP33,2)</f>
        <v>0</v>
      </c>
      <c r="J33" s="30">
        <f>ROUND(F33*G33,2)</f>
        <v>0</v>
      </c>
      <c r="K33" s="32" t="s">
        <v>79</v>
      </c>
      <c r="Z33" s="30">
        <f>ROUND(IF(AQ33="5",BJ33,0),2)</f>
        <v>0</v>
      </c>
      <c r="AB33" s="30">
        <f>ROUND(IF(AQ33="1",BH33,0),2)</f>
        <v>0</v>
      </c>
      <c r="AC33" s="30">
        <f>ROUND(IF(AQ33="1",BI33,0),2)</f>
        <v>0</v>
      </c>
      <c r="AD33" s="30">
        <f>ROUND(IF(AQ33="7",BH33,0),2)</f>
        <v>0</v>
      </c>
      <c r="AE33" s="30">
        <f>ROUND(IF(AQ33="7",BI33,0),2)</f>
        <v>0</v>
      </c>
      <c r="AF33" s="30">
        <f>ROUND(IF(AQ33="2",BH33,0),2)</f>
        <v>0</v>
      </c>
      <c r="AG33" s="30">
        <f>ROUND(IF(AQ33="2",BI33,0),2)</f>
        <v>0</v>
      </c>
      <c r="AH33" s="30">
        <f>ROUND(IF(AQ33="0",BJ33,0),2)</f>
        <v>0</v>
      </c>
      <c r="AI33" s="10" t="s">
        <v>54</v>
      </c>
      <c r="AJ33" s="30">
        <f>IF(AN33=0,J33,0)</f>
        <v>0</v>
      </c>
      <c r="AK33" s="30">
        <f>IF(AN33=12,J33,0)</f>
        <v>0</v>
      </c>
      <c r="AL33" s="30">
        <f>IF(AN33=21,J33,0)</f>
        <v>0</v>
      </c>
      <c r="AN33" s="30">
        <v>21</v>
      </c>
      <c r="AO33" s="30">
        <f>G33*0</f>
        <v>0</v>
      </c>
      <c r="AP33" s="30">
        <f>G33*(1-0)</f>
        <v>0</v>
      </c>
      <c r="AQ33" s="33" t="s">
        <v>55</v>
      </c>
      <c r="AV33" s="30">
        <f>ROUND(AW33+AX33,2)</f>
        <v>0</v>
      </c>
      <c r="AW33" s="30">
        <f>ROUND(F33*AO33,2)</f>
        <v>0</v>
      </c>
      <c r="AX33" s="30">
        <f>ROUND(F33*AP33,2)</f>
        <v>0</v>
      </c>
      <c r="AY33" s="33" t="s">
        <v>80</v>
      </c>
      <c r="AZ33" s="33" t="s">
        <v>81</v>
      </c>
      <c r="BA33" s="10" t="s">
        <v>61</v>
      </c>
      <c r="BC33" s="30">
        <f>AW33+AX33</f>
        <v>0</v>
      </c>
      <c r="BD33" s="30">
        <f>G33/(100-BE33)*100</f>
        <v>0</v>
      </c>
      <c r="BE33" s="30">
        <v>0</v>
      </c>
      <c r="BF33" s="30">
        <f>33</f>
        <v>33</v>
      </c>
      <c r="BH33" s="30">
        <f>F33*AO33</f>
        <v>0</v>
      </c>
      <c r="BI33" s="30">
        <f>F33*AP33</f>
        <v>0</v>
      </c>
      <c r="BJ33" s="30">
        <f>F33*G33</f>
        <v>0</v>
      </c>
      <c r="BK33" s="33" t="s">
        <v>62</v>
      </c>
      <c r="BL33" s="30">
        <v>11</v>
      </c>
      <c r="BW33" s="30">
        <v>21</v>
      </c>
      <c r="BX33" s="4" t="s">
        <v>108</v>
      </c>
    </row>
    <row r="34" spans="1:76" x14ac:dyDescent="0.25">
      <c r="A34" s="34"/>
      <c r="C34" s="37" t="s">
        <v>89</v>
      </c>
      <c r="D34" s="37" t="s">
        <v>90</v>
      </c>
      <c r="F34" s="38">
        <v>8.5</v>
      </c>
      <c r="K34" s="39"/>
    </row>
    <row r="35" spans="1:76" x14ac:dyDescent="0.25">
      <c r="A35" s="2" t="s">
        <v>109</v>
      </c>
      <c r="B35" s="3" t="s">
        <v>110</v>
      </c>
      <c r="C35" s="76" t="s">
        <v>111</v>
      </c>
      <c r="D35" s="71"/>
      <c r="E35" s="3" t="s">
        <v>78</v>
      </c>
      <c r="F35" s="30">
        <v>6</v>
      </c>
      <c r="G35" s="31">
        <v>0</v>
      </c>
      <c r="H35" s="30">
        <f>ROUND(F35*AO35,2)</f>
        <v>0</v>
      </c>
      <c r="I35" s="30">
        <f>ROUND(F35*AP35,2)</f>
        <v>0</v>
      </c>
      <c r="J35" s="30">
        <f>ROUND(F35*G35,2)</f>
        <v>0</v>
      </c>
      <c r="K35" s="32" t="s">
        <v>79</v>
      </c>
      <c r="Z35" s="30">
        <f>ROUND(IF(AQ35="5",BJ35,0),2)</f>
        <v>0</v>
      </c>
      <c r="AB35" s="30">
        <f>ROUND(IF(AQ35="1",BH35,0),2)</f>
        <v>0</v>
      </c>
      <c r="AC35" s="30">
        <f>ROUND(IF(AQ35="1",BI35,0),2)</f>
        <v>0</v>
      </c>
      <c r="AD35" s="30">
        <f>ROUND(IF(AQ35="7",BH35,0),2)</f>
        <v>0</v>
      </c>
      <c r="AE35" s="30">
        <f>ROUND(IF(AQ35="7",BI35,0),2)</f>
        <v>0</v>
      </c>
      <c r="AF35" s="30">
        <f>ROUND(IF(AQ35="2",BH35,0),2)</f>
        <v>0</v>
      </c>
      <c r="AG35" s="30">
        <f>ROUND(IF(AQ35="2",BI35,0),2)</f>
        <v>0</v>
      </c>
      <c r="AH35" s="30">
        <f>ROUND(IF(AQ35="0",BJ35,0),2)</f>
        <v>0</v>
      </c>
      <c r="AI35" s="10" t="s">
        <v>54</v>
      </c>
      <c r="AJ35" s="30">
        <f>IF(AN35=0,J35,0)</f>
        <v>0</v>
      </c>
      <c r="AK35" s="30">
        <f>IF(AN35=12,J35,0)</f>
        <v>0</v>
      </c>
      <c r="AL35" s="30">
        <f>IF(AN35=21,J35,0)</f>
        <v>0</v>
      </c>
      <c r="AN35" s="30">
        <v>21</v>
      </c>
      <c r="AO35" s="30">
        <f>G35*0</f>
        <v>0</v>
      </c>
      <c r="AP35" s="30">
        <f>G35*(1-0)</f>
        <v>0</v>
      </c>
      <c r="AQ35" s="33" t="s">
        <v>55</v>
      </c>
      <c r="AV35" s="30">
        <f>ROUND(AW35+AX35,2)</f>
        <v>0</v>
      </c>
      <c r="AW35" s="30">
        <f>ROUND(F35*AO35,2)</f>
        <v>0</v>
      </c>
      <c r="AX35" s="30">
        <f>ROUND(F35*AP35,2)</f>
        <v>0</v>
      </c>
      <c r="AY35" s="33" t="s">
        <v>80</v>
      </c>
      <c r="AZ35" s="33" t="s">
        <v>81</v>
      </c>
      <c r="BA35" s="10" t="s">
        <v>61</v>
      </c>
      <c r="BC35" s="30">
        <f>AW35+AX35</f>
        <v>0</v>
      </c>
      <c r="BD35" s="30">
        <f>G35/(100-BE35)*100</f>
        <v>0</v>
      </c>
      <c r="BE35" s="30">
        <v>0</v>
      </c>
      <c r="BF35" s="30">
        <f>35</f>
        <v>35</v>
      </c>
      <c r="BH35" s="30">
        <f>F35*AO35</f>
        <v>0</v>
      </c>
      <c r="BI35" s="30">
        <f>F35*AP35</f>
        <v>0</v>
      </c>
      <c r="BJ35" s="30">
        <f>F35*G35</f>
        <v>0</v>
      </c>
      <c r="BK35" s="33" t="s">
        <v>62</v>
      </c>
      <c r="BL35" s="30">
        <v>11</v>
      </c>
      <c r="BW35" s="30">
        <v>21</v>
      </c>
      <c r="BX35" s="4" t="s">
        <v>111</v>
      </c>
    </row>
    <row r="36" spans="1:76" x14ac:dyDescent="0.25">
      <c r="A36" s="34"/>
      <c r="C36" s="37" t="s">
        <v>102</v>
      </c>
      <c r="D36" s="37" t="s">
        <v>112</v>
      </c>
      <c r="F36" s="38">
        <v>6</v>
      </c>
      <c r="K36" s="39"/>
    </row>
    <row r="37" spans="1:76" x14ac:dyDescent="0.25">
      <c r="A37" s="2" t="s">
        <v>113</v>
      </c>
      <c r="B37" s="3" t="s">
        <v>114</v>
      </c>
      <c r="C37" s="76" t="s">
        <v>115</v>
      </c>
      <c r="D37" s="71"/>
      <c r="E37" s="3" t="s">
        <v>78</v>
      </c>
      <c r="F37" s="30">
        <v>371</v>
      </c>
      <c r="G37" s="31">
        <v>0</v>
      </c>
      <c r="H37" s="30">
        <f>ROUND(F37*AO37,2)</f>
        <v>0</v>
      </c>
      <c r="I37" s="30">
        <f>ROUND(F37*AP37,2)</f>
        <v>0</v>
      </c>
      <c r="J37" s="30">
        <f>ROUND(F37*G37,2)</f>
        <v>0</v>
      </c>
      <c r="K37" s="32" t="s">
        <v>79</v>
      </c>
      <c r="Z37" s="30">
        <f>ROUND(IF(AQ37="5",BJ37,0),2)</f>
        <v>0</v>
      </c>
      <c r="AB37" s="30">
        <f>ROUND(IF(AQ37="1",BH37,0),2)</f>
        <v>0</v>
      </c>
      <c r="AC37" s="30">
        <f>ROUND(IF(AQ37="1",BI37,0),2)</f>
        <v>0</v>
      </c>
      <c r="AD37" s="30">
        <f>ROUND(IF(AQ37="7",BH37,0),2)</f>
        <v>0</v>
      </c>
      <c r="AE37" s="30">
        <f>ROUND(IF(AQ37="7",BI37,0),2)</f>
        <v>0</v>
      </c>
      <c r="AF37" s="30">
        <f>ROUND(IF(AQ37="2",BH37,0),2)</f>
        <v>0</v>
      </c>
      <c r="AG37" s="30">
        <f>ROUND(IF(AQ37="2",BI37,0),2)</f>
        <v>0</v>
      </c>
      <c r="AH37" s="30">
        <f>ROUND(IF(AQ37="0",BJ37,0),2)</f>
        <v>0</v>
      </c>
      <c r="AI37" s="10" t="s">
        <v>54</v>
      </c>
      <c r="AJ37" s="30">
        <f>IF(AN37=0,J37,0)</f>
        <v>0</v>
      </c>
      <c r="AK37" s="30">
        <f>IF(AN37=12,J37,0)</f>
        <v>0</v>
      </c>
      <c r="AL37" s="30">
        <f>IF(AN37=21,J37,0)</f>
        <v>0</v>
      </c>
      <c r="AN37" s="30">
        <v>21</v>
      </c>
      <c r="AO37" s="30">
        <f>G37*0</f>
        <v>0</v>
      </c>
      <c r="AP37" s="30">
        <f>G37*(1-0)</f>
        <v>0</v>
      </c>
      <c r="AQ37" s="33" t="s">
        <v>55</v>
      </c>
      <c r="AV37" s="30">
        <f>ROUND(AW37+AX37,2)</f>
        <v>0</v>
      </c>
      <c r="AW37" s="30">
        <f>ROUND(F37*AO37,2)</f>
        <v>0</v>
      </c>
      <c r="AX37" s="30">
        <f>ROUND(F37*AP37,2)</f>
        <v>0</v>
      </c>
      <c r="AY37" s="33" t="s">
        <v>80</v>
      </c>
      <c r="AZ37" s="33" t="s">
        <v>81</v>
      </c>
      <c r="BA37" s="10" t="s">
        <v>61</v>
      </c>
      <c r="BC37" s="30">
        <f>AW37+AX37</f>
        <v>0</v>
      </c>
      <c r="BD37" s="30">
        <f>G37/(100-BE37)*100</f>
        <v>0</v>
      </c>
      <c r="BE37" s="30">
        <v>0</v>
      </c>
      <c r="BF37" s="30">
        <f>37</f>
        <v>37</v>
      </c>
      <c r="BH37" s="30">
        <f>F37*AO37</f>
        <v>0</v>
      </c>
      <c r="BI37" s="30">
        <f>F37*AP37</f>
        <v>0</v>
      </c>
      <c r="BJ37" s="30">
        <f>F37*G37</f>
        <v>0</v>
      </c>
      <c r="BK37" s="33" t="s">
        <v>62</v>
      </c>
      <c r="BL37" s="30">
        <v>11</v>
      </c>
      <c r="BW37" s="30">
        <v>21</v>
      </c>
      <c r="BX37" s="4" t="s">
        <v>115</v>
      </c>
    </row>
    <row r="38" spans="1:76" x14ac:dyDescent="0.25">
      <c r="A38" s="34"/>
      <c r="C38" s="37" t="s">
        <v>82</v>
      </c>
      <c r="D38" s="37" t="s">
        <v>83</v>
      </c>
      <c r="F38" s="38">
        <v>371</v>
      </c>
      <c r="K38" s="39"/>
    </row>
    <row r="39" spans="1:76" ht="25.5" x14ac:dyDescent="0.25">
      <c r="A39" s="34"/>
      <c r="B39" s="35" t="s">
        <v>84</v>
      </c>
      <c r="C39" s="102" t="s">
        <v>116</v>
      </c>
      <c r="D39" s="103"/>
      <c r="E39" s="103"/>
      <c r="F39" s="103"/>
      <c r="G39" s="104"/>
      <c r="H39" s="103"/>
      <c r="I39" s="103"/>
      <c r="J39" s="103"/>
      <c r="K39" s="105"/>
      <c r="BX39" s="36" t="s">
        <v>116</v>
      </c>
    </row>
    <row r="40" spans="1:76" x14ac:dyDescent="0.25">
      <c r="A40" s="2" t="s">
        <v>117</v>
      </c>
      <c r="B40" s="3" t="s">
        <v>118</v>
      </c>
      <c r="C40" s="76" t="s">
        <v>119</v>
      </c>
      <c r="D40" s="71"/>
      <c r="E40" s="3" t="s">
        <v>120</v>
      </c>
      <c r="F40" s="30">
        <v>1</v>
      </c>
      <c r="G40" s="31">
        <v>0</v>
      </c>
      <c r="H40" s="30">
        <f>ROUND(F40*AO40,2)</f>
        <v>0</v>
      </c>
      <c r="I40" s="30">
        <f>ROUND(F40*AP40,2)</f>
        <v>0</v>
      </c>
      <c r="J40" s="30">
        <f>ROUND(F40*G40,2)</f>
        <v>0</v>
      </c>
      <c r="K40" s="32" t="s">
        <v>79</v>
      </c>
      <c r="Z40" s="30">
        <f>ROUND(IF(AQ40="5",BJ40,0),2)</f>
        <v>0</v>
      </c>
      <c r="AB40" s="30">
        <f>ROUND(IF(AQ40="1",BH40,0),2)</f>
        <v>0</v>
      </c>
      <c r="AC40" s="30">
        <f>ROUND(IF(AQ40="1",BI40,0),2)</f>
        <v>0</v>
      </c>
      <c r="AD40" s="30">
        <f>ROUND(IF(AQ40="7",BH40,0),2)</f>
        <v>0</v>
      </c>
      <c r="AE40" s="30">
        <f>ROUND(IF(AQ40="7",BI40,0),2)</f>
        <v>0</v>
      </c>
      <c r="AF40" s="30">
        <f>ROUND(IF(AQ40="2",BH40,0),2)</f>
        <v>0</v>
      </c>
      <c r="AG40" s="30">
        <f>ROUND(IF(AQ40="2",BI40,0),2)</f>
        <v>0</v>
      </c>
      <c r="AH40" s="30">
        <f>ROUND(IF(AQ40="0",BJ40,0),2)</f>
        <v>0</v>
      </c>
      <c r="AI40" s="10" t="s">
        <v>54</v>
      </c>
      <c r="AJ40" s="30">
        <f>IF(AN40=0,J40,0)</f>
        <v>0</v>
      </c>
      <c r="AK40" s="30">
        <f>IF(AN40=12,J40,0)</f>
        <v>0</v>
      </c>
      <c r="AL40" s="30">
        <f>IF(AN40=21,J40,0)</f>
        <v>0</v>
      </c>
      <c r="AN40" s="30">
        <v>21</v>
      </c>
      <c r="AO40" s="30">
        <f>G40*0</f>
        <v>0</v>
      </c>
      <c r="AP40" s="30">
        <f>G40*(1-0)</f>
        <v>0</v>
      </c>
      <c r="AQ40" s="33" t="s">
        <v>55</v>
      </c>
      <c r="AV40" s="30">
        <f>ROUND(AW40+AX40,2)</f>
        <v>0</v>
      </c>
      <c r="AW40" s="30">
        <f>ROUND(F40*AO40,2)</f>
        <v>0</v>
      </c>
      <c r="AX40" s="30">
        <f>ROUND(F40*AP40,2)</f>
        <v>0</v>
      </c>
      <c r="AY40" s="33" t="s">
        <v>80</v>
      </c>
      <c r="AZ40" s="33" t="s">
        <v>81</v>
      </c>
      <c r="BA40" s="10" t="s">
        <v>61</v>
      </c>
      <c r="BC40" s="30">
        <f>AW40+AX40</f>
        <v>0</v>
      </c>
      <c r="BD40" s="30">
        <f>G40/(100-BE40)*100</f>
        <v>0</v>
      </c>
      <c r="BE40" s="30">
        <v>0</v>
      </c>
      <c r="BF40" s="30">
        <f>40</f>
        <v>40</v>
      </c>
      <c r="BH40" s="30">
        <f>F40*AO40</f>
        <v>0</v>
      </c>
      <c r="BI40" s="30">
        <f>F40*AP40</f>
        <v>0</v>
      </c>
      <c r="BJ40" s="30">
        <f>F40*G40</f>
        <v>0</v>
      </c>
      <c r="BK40" s="33" t="s">
        <v>62</v>
      </c>
      <c r="BL40" s="30">
        <v>11</v>
      </c>
      <c r="BW40" s="30">
        <v>21</v>
      </c>
      <c r="BX40" s="4" t="s">
        <v>119</v>
      </c>
    </row>
    <row r="41" spans="1:76" x14ac:dyDescent="0.25">
      <c r="A41" s="34"/>
      <c r="C41" s="37" t="s">
        <v>55</v>
      </c>
      <c r="D41" s="37" t="s">
        <v>121</v>
      </c>
      <c r="F41" s="38">
        <v>1</v>
      </c>
      <c r="K41" s="39"/>
    </row>
    <row r="42" spans="1:76" x14ac:dyDescent="0.25">
      <c r="A42" s="2" t="s">
        <v>73</v>
      </c>
      <c r="B42" s="3" t="s">
        <v>122</v>
      </c>
      <c r="C42" s="76" t="s">
        <v>123</v>
      </c>
      <c r="D42" s="71"/>
      <c r="E42" s="3" t="s">
        <v>78</v>
      </c>
      <c r="F42" s="30">
        <v>96</v>
      </c>
      <c r="G42" s="31">
        <v>0</v>
      </c>
      <c r="H42" s="30">
        <f>ROUND(F42*AO42,2)</f>
        <v>0</v>
      </c>
      <c r="I42" s="30">
        <f>ROUND(F42*AP42,2)</f>
        <v>0</v>
      </c>
      <c r="J42" s="30">
        <f>ROUND(F42*G42,2)</f>
        <v>0</v>
      </c>
      <c r="K42" s="32" t="s">
        <v>79</v>
      </c>
      <c r="Z42" s="30">
        <f>ROUND(IF(AQ42="5",BJ42,0),2)</f>
        <v>0</v>
      </c>
      <c r="AB42" s="30">
        <f>ROUND(IF(AQ42="1",BH42,0),2)</f>
        <v>0</v>
      </c>
      <c r="AC42" s="30">
        <f>ROUND(IF(AQ42="1",BI42,0),2)</f>
        <v>0</v>
      </c>
      <c r="AD42" s="30">
        <f>ROUND(IF(AQ42="7",BH42,0),2)</f>
        <v>0</v>
      </c>
      <c r="AE42" s="30">
        <f>ROUND(IF(AQ42="7",BI42,0),2)</f>
        <v>0</v>
      </c>
      <c r="AF42" s="30">
        <f>ROUND(IF(AQ42="2",BH42,0),2)</f>
        <v>0</v>
      </c>
      <c r="AG42" s="30">
        <f>ROUND(IF(AQ42="2",BI42,0),2)</f>
        <v>0</v>
      </c>
      <c r="AH42" s="30">
        <f>ROUND(IF(AQ42="0",BJ42,0),2)</f>
        <v>0</v>
      </c>
      <c r="AI42" s="10" t="s">
        <v>54</v>
      </c>
      <c r="AJ42" s="30">
        <f>IF(AN42=0,J42,0)</f>
        <v>0</v>
      </c>
      <c r="AK42" s="30">
        <f>IF(AN42=12,J42,0)</f>
        <v>0</v>
      </c>
      <c r="AL42" s="30">
        <f>IF(AN42=21,J42,0)</f>
        <v>0</v>
      </c>
      <c r="AN42" s="30">
        <v>21</v>
      </c>
      <c r="AO42" s="30">
        <f>G42*0</f>
        <v>0</v>
      </c>
      <c r="AP42" s="30">
        <f>G42*(1-0)</f>
        <v>0</v>
      </c>
      <c r="AQ42" s="33" t="s">
        <v>65</v>
      </c>
      <c r="AV42" s="30">
        <f>ROUND(AW42+AX42,2)</f>
        <v>0</v>
      </c>
      <c r="AW42" s="30">
        <f>ROUND(F42*AO42,2)</f>
        <v>0</v>
      </c>
      <c r="AX42" s="30">
        <f>ROUND(F42*AP42,2)</f>
        <v>0</v>
      </c>
      <c r="AY42" s="33" t="s">
        <v>80</v>
      </c>
      <c r="AZ42" s="33" t="s">
        <v>81</v>
      </c>
      <c r="BA42" s="10" t="s">
        <v>61</v>
      </c>
      <c r="BC42" s="30">
        <f>AW42+AX42</f>
        <v>0</v>
      </c>
      <c r="BD42" s="30">
        <f>G42/(100-BE42)*100</f>
        <v>0</v>
      </c>
      <c r="BE42" s="30">
        <v>0</v>
      </c>
      <c r="BF42" s="30">
        <f>42</f>
        <v>42</v>
      </c>
      <c r="BH42" s="30">
        <f>F42*AO42</f>
        <v>0</v>
      </c>
      <c r="BI42" s="30">
        <f>F42*AP42</f>
        <v>0</v>
      </c>
      <c r="BJ42" s="30">
        <f>F42*G42</f>
        <v>0</v>
      </c>
      <c r="BK42" s="33" t="s">
        <v>62</v>
      </c>
      <c r="BL42" s="30">
        <v>11</v>
      </c>
      <c r="BW42" s="30">
        <v>21</v>
      </c>
      <c r="BX42" s="4" t="s">
        <v>123</v>
      </c>
    </row>
    <row r="43" spans="1:76" ht="13.5" customHeight="1" x14ac:dyDescent="0.25">
      <c r="A43" s="34"/>
      <c r="B43" s="35" t="s">
        <v>63</v>
      </c>
      <c r="C43" s="89" t="s">
        <v>124</v>
      </c>
      <c r="D43" s="90"/>
      <c r="E43" s="90"/>
      <c r="F43" s="90"/>
      <c r="G43" s="91"/>
      <c r="H43" s="90"/>
      <c r="I43" s="90"/>
      <c r="J43" s="90"/>
      <c r="K43" s="92"/>
    </row>
    <row r="44" spans="1:76" x14ac:dyDescent="0.25">
      <c r="A44" s="25" t="s">
        <v>50</v>
      </c>
      <c r="B44" s="26" t="s">
        <v>125</v>
      </c>
      <c r="C44" s="93" t="s">
        <v>126</v>
      </c>
      <c r="D44" s="94"/>
      <c r="E44" s="27" t="s">
        <v>4</v>
      </c>
      <c r="F44" s="27" t="s">
        <v>4</v>
      </c>
      <c r="G44" s="28" t="s">
        <v>4</v>
      </c>
      <c r="H44" s="1">
        <f>SUM(H45:H49)</f>
        <v>0</v>
      </c>
      <c r="I44" s="1">
        <f>SUM(I45:I49)</f>
        <v>0</v>
      </c>
      <c r="J44" s="1">
        <f>SUM(J45:J49)</f>
        <v>0</v>
      </c>
      <c r="K44" s="29" t="s">
        <v>50</v>
      </c>
      <c r="AI44" s="10" t="s">
        <v>54</v>
      </c>
      <c r="AS44" s="1">
        <f>SUM(AJ45:AJ49)</f>
        <v>0</v>
      </c>
      <c r="AT44" s="1">
        <f>SUM(AK45:AK49)</f>
        <v>0</v>
      </c>
      <c r="AU44" s="1">
        <f>SUM(AL45:AL49)</f>
        <v>0</v>
      </c>
    </row>
    <row r="45" spans="1:76" x14ac:dyDescent="0.25">
      <c r="A45" s="2" t="s">
        <v>125</v>
      </c>
      <c r="B45" s="3" t="s">
        <v>127</v>
      </c>
      <c r="C45" s="76" t="s">
        <v>128</v>
      </c>
      <c r="D45" s="71"/>
      <c r="E45" s="3" t="s">
        <v>129</v>
      </c>
      <c r="F45" s="30">
        <v>7.5</v>
      </c>
      <c r="G45" s="31">
        <v>0</v>
      </c>
      <c r="H45" s="30">
        <f>ROUND(F45*AO45,2)</f>
        <v>0</v>
      </c>
      <c r="I45" s="30">
        <f>ROUND(F45*AP45,2)</f>
        <v>0</v>
      </c>
      <c r="J45" s="30">
        <f>ROUND(F45*G45,2)</f>
        <v>0</v>
      </c>
      <c r="K45" s="32" t="s">
        <v>130</v>
      </c>
      <c r="Z45" s="30">
        <f>ROUND(IF(AQ45="5",BJ45,0),2)</f>
        <v>0</v>
      </c>
      <c r="AB45" s="30">
        <f>ROUND(IF(AQ45="1",BH45,0),2)</f>
        <v>0</v>
      </c>
      <c r="AC45" s="30">
        <f>ROUND(IF(AQ45="1",BI45,0),2)</f>
        <v>0</v>
      </c>
      <c r="AD45" s="30">
        <f>ROUND(IF(AQ45="7",BH45,0),2)</f>
        <v>0</v>
      </c>
      <c r="AE45" s="30">
        <f>ROUND(IF(AQ45="7",BI45,0),2)</f>
        <v>0</v>
      </c>
      <c r="AF45" s="30">
        <f>ROUND(IF(AQ45="2",BH45,0),2)</f>
        <v>0</v>
      </c>
      <c r="AG45" s="30">
        <f>ROUND(IF(AQ45="2",BI45,0),2)</f>
        <v>0</v>
      </c>
      <c r="AH45" s="30">
        <f>ROUND(IF(AQ45="0",BJ45,0),2)</f>
        <v>0</v>
      </c>
      <c r="AI45" s="10" t="s">
        <v>54</v>
      </c>
      <c r="AJ45" s="30">
        <f>IF(AN45=0,J45,0)</f>
        <v>0</v>
      </c>
      <c r="AK45" s="30">
        <f>IF(AN45=12,J45,0)</f>
        <v>0</v>
      </c>
      <c r="AL45" s="30">
        <f>IF(AN45=21,J45,0)</f>
        <v>0</v>
      </c>
      <c r="AN45" s="30">
        <v>21</v>
      </c>
      <c r="AO45" s="30">
        <f>G45*0</f>
        <v>0</v>
      </c>
      <c r="AP45" s="30">
        <f>G45*(1-0)</f>
        <v>0</v>
      </c>
      <c r="AQ45" s="33" t="s">
        <v>55</v>
      </c>
      <c r="AV45" s="30">
        <f>ROUND(AW45+AX45,2)</f>
        <v>0</v>
      </c>
      <c r="AW45" s="30">
        <f>ROUND(F45*AO45,2)</f>
        <v>0</v>
      </c>
      <c r="AX45" s="30">
        <f>ROUND(F45*AP45,2)</f>
        <v>0</v>
      </c>
      <c r="AY45" s="33" t="s">
        <v>131</v>
      </c>
      <c r="AZ45" s="33" t="s">
        <v>81</v>
      </c>
      <c r="BA45" s="10" t="s">
        <v>61</v>
      </c>
      <c r="BC45" s="30">
        <f>AW45+AX45</f>
        <v>0</v>
      </c>
      <c r="BD45" s="30">
        <f>G45/(100-BE45)*100</f>
        <v>0</v>
      </c>
      <c r="BE45" s="30">
        <v>0</v>
      </c>
      <c r="BF45" s="30">
        <f>45</f>
        <v>45</v>
      </c>
      <c r="BH45" s="30">
        <f>F45*AO45</f>
        <v>0</v>
      </c>
      <c r="BI45" s="30">
        <f>F45*AP45</f>
        <v>0</v>
      </c>
      <c r="BJ45" s="30">
        <f>F45*G45</f>
        <v>0</v>
      </c>
      <c r="BK45" s="33" t="s">
        <v>62</v>
      </c>
      <c r="BL45" s="30">
        <v>12</v>
      </c>
      <c r="BW45" s="30">
        <v>21</v>
      </c>
      <c r="BX45" s="4" t="s">
        <v>128</v>
      </c>
    </row>
    <row r="46" spans="1:76" ht="13.5" customHeight="1" x14ac:dyDescent="0.25">
      <c r="A46" s="34"/>
      <c r="B46" s="35" t="s">
        <v>63</v>
      </c>
      <c r="C46" s="89" t="s">
        <v>132</v>
      </c>
      <c r="D46" s="90"/>
      <c r="E46" s="90"/>
      <c r="F46" s="90"/>
      <c r="G46" s="91"/>
      <c r="H46" s="90"/>
      <c r="I46" s="90"/>
      <c r="J46" s="90"/>
      <c r="K46" s="92"/>
    </row>
    <row r="47" spans="1:76" x14ac:dyDescent="0.25">
      <c r="A47" s="34"/>
      <c r="C47" s="37" t="s">
        <v>133</v>
      </c>
      <c r="D47" s="37" t="s">
        <v>134</v>
      </c>
      <c r="F47" s="38">
        <v>7.5</v>
      </c>
      <c r="K47" s="39"/>
    </row>
    <row r="48" spans="1:76" ht="191.25" x14ac:dyDescent="0.25">
      <c r="A48" s="34"/>
      <c r="B48" s="35" t="s">
        <v>84</v>
      </c>
      <c r="C48" s="102" t="s">
        <v>135</v>
      </c>
      <c r="D48" s="103"/>
      <c r="E48" s="103"/>
      <c r="F48" s="103"/>
      <c r="G48" s="104"/>
      <c r="H48" s="103"/>
      <c r="I48" s="103"/>
      <c r="J48" s="103"/>
      <c r="K48" s="105"/>
      <c r="BX48" s="36" t="s">
        <v>135</v>
      </c>
    </row>
    <row r="49" spans="1:76" x14ac:dyDescent="0.25">
      <c r="A49" s="2" t="s">
        <v>136</v>
      </c>
      <c r="B49" s="3" t="s">
        <v>137</v>
      </c>
      <c r="C49" s="76" t="s">
        <v>138</v>
      </c>
      <c r="D49" s="71"/>
      <c r="E49" s="3" t="s">
        <v>129</v>
      </c>
      <c r="F49" s="30">
        <v>73.819999999999993</v>
      </c>
      <c r="G49" s="31">
        <v>0</v>
      </c>
      <c r="H49" s="30">
        <f>ROUND(F49*AO49,2)</f>
        <v>0</v>
      </c>
      <c r="I49" s="30">
        <f>ROUND(F49*AP49,2)</f>
        <v>0</v>
      </c>
      <c r="J49" s="30">
        <f>ROUND(F49*G49,2)</f>
        <v>0</v>
      </c>
      <c r="K49" s="32" t="s">
        <v>79</v>
      </c>
      <c r="Z49" s="30">
        <f>ROUND(IF(AQ49="5",BJ49,0),2)</f>
        <v>0</v>
      </c>
      <c r="AB49" s="30">
        <f>ROUND(IF(AQ49="1",BH49,0),2)</f>
        <v>0</v>
      </c>
      <c r="AC49" s="30">
        <f>ROUND(IF(AQ49="1",BI49,0),2)</f>
        <v>0</v>
      </c>
      <c r="AD49" s="30">
        <f>ROUND(IF(AQ49="7",BH49,0),2)</f>
        <v>0</v>
      </c>
      <c r="AE49" s="30">
        <f>ROUND(IF(AQ49="7",BI49,0),2)</f>
        <v>0</v>
      </c>
      <c r="AF49" s="30">
        <f>ROUND(IF(AQ49="2",BH49,0),2)</f>
        <v>0</v>
      </c>
      <c r="AG49" s="30">
        <f>ROUND(IF(AQ49="2",BI49,0),2)</f>
        <v>0</v>
      </c>
      <c r="AH49" s="30">
        <f>ROUND(IF(AQ49="0",BJ49,0),2)</f>
        <v>0</v>
      </c>
      <c r="AI49" s="10" t="s">
        <v>54</v>
      </c>
      <c r="AJ49" s="30">
        <f>IF(AN49=0,J49,0)</f>
        <v>0</v>
      </c>
      <c r="AK49" s="30">
        <f>IF(AN49=12,J49,0)</f>
        <v>0</v>
      </c>
      <c r="AL49" s="30">
        <f>IF(AN49=21,J49,0)</f>
        <v>0</v>
      </c>
      <c r="AN49" s="30">
        <v>21</v>
      </c>
      <c r="AO49" s="30">
        <f>G49*0</f>
        <v>0</v>
      </c>
      <c r="AP49" s="30">
        <f>G49*(1-0)</f>
        <v>0</v>
      </c>
      <c r="AQ49" s="33" t="s">
        <v>55</v>
      </c>
      <c r="AV49" s="30">
        <f>ROUND(AW49+AX49,2)</f>
        <v>0</v>
      </c>
      <c r="AW49" s="30">
        <f>ROUND(F49*AO49,2)</f>
        <v>0</v>
      </c>
      <c r="AX49" s="30">
        <f>ROUND(F49*AP49,2)</f>
        <v>0</v>
      </c>
      <c r="AY49" s="33" t="s">
        <v>131</v>
      </c>
      <c r="AZ49" s="33" t="s">
        <v>81</v>
      </c>
      <c r="BA49" s="10" t="s">
        <v>61</v>
      </c>
      <c r="BC49" s="30">
        <f>AW49+AX49</f>
        <v>0</v>
      </c>
      <c r="BD49" s="30">
        <f>G49/(100-BE49)*100</f>
        <v>0</v>
      </c>
      <c r="BE49" s="30">
        <v>0</v>
      </c>
      <c r="BF49" s="30">
        <f>49</f>
        <v>49</v>
      </c>
      <c r="BH49" s="30">
        <f>F49*AO49</f>
        <v>0</v>
      </c>
      <c r="BI49" s="30">
        <f>F49*AP49</f>
        <v>0</v>
      </c>
      <c r="BJ49" s="30">
        <f>F49*G49</f>
        <v>0</v>
      </c>
      <c r="BK49" s="33" t="s">
        <v>62</v>
      </c>
      <c r="BL49" s="30">
        <v>12</v>
      </c>
      <c r="BW49" s="30">
        <v>21</v>
      </c>
      <c r="BX49" s="4" t="s">
        <v>138</v>
      </c>
    </row>
    <row r="50" spans="1:76" x14ac:dyDescent="0.25">
      <c r="A50" s="34"/>
      <c r="C50" s="37" t="s">
        <v>102</v>
      </c>
      <c r="D50" s="37" t="s">
        <v>139</v>
      </c>
      <c r="F50" s="38">
        <v>6</v>
      </c>
      <c r="K50" s="39"/>
    </row>
    <row r="51" spans="1:76" x14ac:dyDescent="0.25">
      <c r="A51" s="34"/>
      <c r="C51" s="37" t="s">
        <v>140</v>
      </c>
      <c r="D51" s="37" t="s">
        <v>141</v>
      </c>
      <c r="F51" s="38">
        <v>3</v>
      </c>
      <c r="K51" s="39"/>
    </row>
    <row r="52" spans="1:76" x14ac:dyDescent="0.25">
      <c r="A52" s="34"/>
      <c r="C52" s="37" t="s">
        <v>142</v>
      </c>
      <c r="D52" s="37" t="s">
        <v>143</v>
      </c>
      <c r="F52" s="38">
        <v>26.7</v>
      </c>
      <c r="K52" s="39"/>
    </row>
    <row r="53" spans="1:76" x14ac:dyDescent="0.25">
      <c r="A53" s="34"/>
      <c r="C53" s="37" t="s">
        <v>144</v>
      </c>
      <c r="D53" s="37" t="s">
        <v>145</v>
      </c>
      <c r="F53" s="38">
        <v>12.51</v>
      </c>
      <c r="K53" s="39"/>
    </row>
    <row r="54" spans="1:76" x14ac:dyDescent="0.25">
      <c r="A54" s="34"/>
      <c r="C54" s="37" t="s">
        <v>146</v>
      </c>
      <c r="D54" s="37" t="s">
        <v>147</v>
      </c>
      <c r="F54" s="38">
        <v>4.8600000000000003</v>
      </c>
      <c r="K54" s="39"/>
    </row>
    <row r="55" spans="1:76" x14ac:dyDescent="0.25">
      <c r="A55" s="34"/>
      <c r="C55" s="37" t="s">
        <v>148</v>
      </c>
      <c r="D55" s="37" t="s">
        <v>149</v>
      </c>
      <c r="F55" s="38">
        <v>20.75</v>
      </c>
      <c r="K55" s="39"/>
    </row>
    <row r="56" spans="1:76" x14ac:dyDescent="0.25">
      <c r="A56" s="25" t="s">
        <v>50</v>
      </c>
      <c r="B56" s="26" t="s">
        <v>150</v>
      </c>
      <c r="C56" s="93" t="s">
        <v>151</v>
      </c>
      <c r="D56" s="94"/>
      <c r="E56" s="27" t="s">
        <v>4</v>
      </c>
      <c r="F56" s="27" t="s">
        <v>4</v>
      </c>
      <c r="G56" s="28" t="s">
        <v>4</v>
      </c>
      <c r="H56" s="1">
        <f>SUM(H57:H57)</f>
        <v>0</v>
      </c>
      <c r="I56" s="1">
        <f>SUM(I57:I57)</f>
        <v>0</v>
      </c>
      <c r="J56" s="1">
        <f>SUM(J57:J57)</f>
        <v>0</v>
      </c>
      <c r="K56" s="29" t="s">
        <v>50</v>
      </c>
      <c r="AI56" s="10" t="s">
        <v>54</v>
      </c>
      <c r="AS56" s="1">
        <f>SUM(AJ57:AJ57)</f>
        <v>0</v>
      </c>
      <c r="AT56" s="1">
        <f>SUM(AK57:AK57)</f>
        <v>0</v>
      </c>
      <c r="AU56" s="1">
        <f>SUM(AL57:AL57)</f>
        <v>0</v>
      </c>
    </row>
    <row r="57" spans="1:76" x14ac:dyDescent="0.25">
      <c r="A57" s="2" t="s">
        <v>99</v>
      </c>
      <c r="B57" s="3" t="s">
        <v>152</v>
      </c>
      <c r="C57" s="76" t="s">
        <v>153</v>
      </c>
      <c r="D57" s="71"/>
      <c r="E57" s="3" t="s">
        <v>129</v>
      </c>
      <c r="F57" s="30">
        <v>2.4</v>
      </c>
      <c r="G57" s="31">
        <v>0</v>
      </c>
      <c r="H57" s="30">
        <f>ROUND(F57*AO57,2)</f>
        <v>0</v>
      </c>
      <c r="I57" s="30">
        <f>ROUND(F57*AP57,2)</f>
        <v>0</v>
      </c>
      <c r="J57" s="30">
        <f>ROUND(F57*G57,2)</f>
        <v>0</v>
      </c>
      <c r="K57" s="32" t="s">
        <v>79</v>
      </c>
      <c r="Z57" s="30">
        <f>ROUND(IF(AQ57="5",BJ57,0),2)</f>
        <v>0</v>
      </c>
      <c r="AB57" s="30">
        <f>ROUND(IF(AQ57="1",BH57,0),2)</f>
        <v>0</v>
      </c>
      <c r="AC57" s="30">
        <f>ROUND(IF(AQ57="1",BI57,0),2)</f>
        <v>0</v>
      </c>
      <c r="AD57" s="30">
        <f>ROUND(IF(AQ57="7",BH57,0),2)</f>
        <v>0</v>
      </c>
      <c r="AE57" s="30">
        <f>ROUND(IF(AQ57="7",BI57,0),2)</f>
        <v>0</v>
      </c>
      <c r="AF57" s="30">
        <f>ROUND(IF(AQ57="2",BH57,0),2)</f>
        <v>0</v>
      </c>
      <c r="AG57" s="30">
        <f>ROUND(IF(AQ57="2",BI57,0),2)</f>
        <v>0</v>
      </c>
      <c r="AH57" s="30">
        <f>ROUND(IF(AQ57="0",BJ57,0),2)</f>
        <v>0</v>
      </c>
      <c r="AI57" s="10" t="s">
        <v>54</v>
      </c>
      <c r="AJ57" s="30">
        <f>IF(AN57=0,J57,0)</f>
        <v>0</v>
      </c>
      <c r="AK57" s="30">
        <f>IF(AN57=12,J57,0)</f>
        <v>0</v>
      </c>
      <c r="AL57" s="30">
        <f>IF(AN57=21,J57,0)</f>
        <v>0</v>
      </c>
      <c r="AN57" s="30">
        <v>21</v>
      </c>
      <c r="AO57" s="30">
        <f>G57*0</f>
        <v>0</v>
      </c>
      <c r="AP57" s="30">
        <f>G57*(1-0)</f>
        <v>0</v>
      </c>
      <c r="AQ57" s="33" t="s">
        <v>55</v>
      </c>
      <c r="AV57" s="30">
        <f>ROUND(AW57+AX57,2)</f>
        <v>0</v>
      </c>
      <c r="AW57" s="30">
        <f>ROUND(F57*AO57,2)</f>
        <v>0</v>
      </c>
      <c r="AX57" s="30">
        <f>ROUND(F57*AP57,2)</f>
        <v>0</v>
      </c>
      <c r="AY57" s="33" t="s">
        <v>154</v>
      </c>
      <c r="AZ57" s="33" t="s">
        <v>81</v>
      </c>
      <c r="BA57" s="10" t="s">
        <v>61</v>
      </c>
      <c r="BC57" s="30">
        <f>AW57+AX57</f>
        <v>0</v>
      </c>
      <c r="BD57" s="30">
        <f>G57/(100-BE57)*100</f>
        <v>0</v>
      </c>
      <c r="BE57" s="30">
        <v>0</v>
      </c>
      <c r="BF57" s="30">
        <f>57</f>
        <v>57</v>
      </c>
      <c r="BH57" s="30">
        <f>F57*AO57</f>
        <v>0</v>
      </c>
      <c r="BI57" s="30">
        <f>F57*AP57</f>
        <v>0</v>
      </c>
      <c r="BJ57" s="30">
        <f>F57*G57</f>
        <v>0</v>
      </c>
      <c r="BK57" s="33" t="s">
        <v>62</v>
      </c>
      <c r="BL57" s="30">
        <v>17</v>
      </c>
      <c r="BW57" s="30">
        <v>21</v>
      </c>
      <c r="BX57" s="4" t="s">
        <v>153</v>
      </c>
    </row>
    <row r="58" spans="1:76" x14ac:dyDescent="0.25">
      <c r="A58" s="34"/>
      <c r="C58" s="37" t="s">
        <v>155</v>
      </c>
      <c r="D58" s="37" t="s">
        <v>156</v>
      </c>
      <c r="F58" s="38">
        <v>2.4</v>
      </c>
      <c r="K58" s="39"/>
    </row>
    <row r="59" spans="1:76" x14ac:dyDescent="0.25">
      <c r="A59" s="34"/>
      <c r="B59" s="35" t="s">
        <v>84</v>
      </c>
      <c r="C59" s="102" t="s">
        <v>157</v>
      </c>
      <c r="D59" s="103"/>
      <c r="E59" s="103"/>
      <c r="F59" s="103"/>
      <c r="G59" s="104"/>
      <c r="H59" s="103"/>
      <c r="I59" s="103"/>
      <c r="J59" s="103"/>
      <c r="K59" s="105"/>
      <c r="BX59" s="36" t="s">
        <v>157</v>
      </c>
    </row>
    <row r="60" spans="1:76" x14ac:dyDescent="0.25">
      <c r="A60" s="25" t="s">
        <v>50</v>
      </c>
      <c r="B60" s="26" t="s">
        <v>158</v>
      </c>
      <c r="C60" s="93" t="s">
        <v>159</v>
      </c>
      <c r="D60" s="94"/>
      <c r="E60" s="27" t="s">
        <v>4</v>
      </c>
      <c r="F60" s="27" t="s">
        <v>4</v>
      </c>
      <c r="G60" s="28" t="s">
        <v>4</v>
      </c>
      <c r="H60" s="1">
        <f>SUM(H61:H72)</f>
        <v>0</v>
      </c>
      <c r="I60" s="1">
        <f>SUM(I61:I72)</f>
        <v>0</v>
      </c>
      <c r="J60" s="1">
        <f>SUM(J61:J72)</f>
        <v>0</v>
      </c>
      <c r="K60" s="29" t="s">
        <v>50</v>
      </c>
      <c r="AI60" s="10" t="s">
        <v>54</v>
      </c>
      <c r="AS60" s="1">
        <f>SUM(AJ61:AJ72)</f>
        <v>0</v>
      </c>
      <c r="AT60" s="1">
        <f>SUM(AK61:AK72)</f>
        <v>0</v>
      </c>
      <c r="AU60" s="1">
        <f>SUM(AL61:AL72)</f>
        <v>0</v>
      </c>
    </row>
    <row r="61" spans="1:76" x14ac:dyDescent="0.25">
      <c r="A61" s="2" t="s">
        <v>160</v>
      </c>
      <c r="B61" s="3" t="s">
        <v>161</v>
      </c>
      <c r="C61" s="76" t="s">
        <v>162</v>
      </c>
      <c r="D61" s="71"/>
      <c r="E61" s="3" t="s">
        <v>78</v>
      </c>
      <c r="F61" s="30">
        <v>218</v>
      </c>
      <c r="G61" s="31">
        <v>0</v>
      </c>
      <c r="H61" s="30">
        <f>ROUND(F61*AO61,2)</f>
        <v>0</v>
      </c>
      <c r="I61" s="30">
        <f>ROUND(F61*AP61,2)</f>
        <v>0</v>
      </c>
      <c r="J61" s="30">
        <f>ROUND(F61*G61,2)</f>
        <v>0</v>
      </c>
      <c r="K61" s="32" t="s">
        <v>79</v>
      </c>
      <c r="Z61" s="30">
        <f>ROUND(IF(AQ61="5",BJ61,0),2)</f>
        <v>0</v>
      </c>
      <c r="AB61" s="30">
        <f>ROUND(IF(AQ61="1",BH61,0),2)</f>
        <v>0</v>
      </c>
      <c r="AC61" s="30">
        <f>ROUND(IF(AQ61="1",BI61,0),2)</f>
        <v>0</v>
      </c>
      <c r="AD61" s="30">
        <f>ROUND(IF(AQ61="7",BH61,0),2)</f>
        <v>0</v>
      </c>
      <c r="AE61" s="30">
        <f>ROUND(IF(AQ61="7",BI61,0),2)</f>
        <v>0</v>
      </c>
      <c r="AF61" s="30">
        <f>ROUND(IF(AQ61="2",BH61,0),2)</f>
        <v>0</v>
      </c>
      <c r="AG61" s="30">
        <f>ROUND(IF(AQ61="2",BI61,0),2)</f>
        <v>0</v>
      </c>
      <c r="AH61" s="30">
        <f>ROUND(IF(AQ61="0",BJ61,0),2)</f>
        <v>0</v>
      </c>
      <c r="AI61" s="10" t="s">
        <v>54</v>
      </c>
      <c r="AJ61" s="30">
        <f>IF(AN61=0,J61,0)</f>
        <v>0</v>
      </c>
      <c r="AK61" s="30">
        <f>IF(AN61=12,J61,0)</f>
        <v>0</v>
      </c>
      <c r="AL61" s="30">
        <f>IF(AN61=21,J61,0)</f>
        <v>0</v>
      </c>
      <c r="AN61" s="30">
        <v>21</v>
      </c>
      <c r="AO61" s="30">
        <f>G61*0</f>
        <v>0</v>
      </c>
      <c r="AP61" s="30">
        <f>G61*(1-0)</f>
        <v>0</v>
      </c>
      <c r="AQ61" s="33" t="s">
        <v>55</v>
      </c>
      <c r="AV61" s="30">
        <f>ROUND(AW61+AX61,2)</f>
        <v>0</v>
      </c>
      <c r="AW61" s="30">
        <f>ROUND(F61*AO61,2)</f>
        <v>0</v>
      </c>
      <c r="AX61" s="30">
        <f>ROUND(F61*AP61,2)</f>
        <v>0</v>
      </c>
      <c r="AY61" s="33" t="s">
        <v>163</v>
      </c>
      <c r="AZ61" s="33" t="s">
        <v>81</v>
      </c>
      <c r="BA61" s="10" t="s">
        <v>61</v>
      </c>
      <c r="BC61" s="30">
        <f>AW61+AX61</f>
        <v>0</v>
      </c>
      <c r="BD61" s="30">
        <f>G61/(100-BE61)*100</f>
        <v>0</v>
      </c>
      <c r="BE61" s="30">
        <v>0</v>
      </c>
      <c r="BF61" s="30">
        <f>61</f>
        <v>61</v>
      </c>
      <c r="BH61" s="30">
        <f>F61*AO61</f>
        <v>0</v>
      </c>
      <c r="BI61" s="30">
        <f>F61*AP61</f>
        <v>0</v>
      </c>
      <c r="BJ61" s="30">
        <f>F61*G61</f>
        <v>0</v>
      </c>
      <c r="BK61" s="33" t="s">
        <v>62</v>
      </c>
      <c r="BL61" s="30">
        <v>18</v>
      </c>
      <c r="BW61" s="30">
        <v>21</v>
      </c>
      <c r="BX61" s="4" t="s">
        <v>162</v>
      </c>
    </row>
    <row r="62" spans="1:76" x14ac:dyDescent="0.25">
      <c r="A62" s="34"/>
      <c r="C62" s="37" t="s">
        <v>164</v>
      </c>
      <c r="D62" s="37" t="s">
        <v>165</v>
      </c>
      <c r="F62" s="38">
        <v>96</v>
      </c>
      <c r="K62" s="39"/>
    </row>
    <row r="63" spans="1:76" x14ac:dyDescent="0.25">
      <c r="A63" s="34"/>
      <c r="C63" s="37" t="s">
        <v>166</v>
      </c>
      <c r="D63" s="37" t="s">
        <v>167</v>
      </c>
      <c r="F63" s="38">
        <v>122</v>
      </c>
      <c r="K63" s="39"/>
    </row>
    <row r="64" spans="1:76" x14ac:dyDescent="0.25">
      <c r="A64" s="34"/>
      <c r="B64" s="35" t="s">
        <v>84</v>
      </c>
      <c r="C64" s="102" t="s">
        <v>168</v>
      </c>
      <c r="D64" s="103"/>
      <c r="E64" s="103"/>
      <c r="F64" s="103"/>
      <c r="G64" s="104"/>
      <c r="H64" s="103"/>
      <c r="I64" s="103"/>
      <c r="J64" s="103"/>
      <c r="K64" s="105"/>
      <c r="BX64" s="36" t="s">
        <v>168</v>
      </c>
    </row>
    <row r="65" spans="1:76" x14ac:dyDescent="0.25">
      <c r="A65" s="2" t="s">
        <v>169</v>
      </c>
      <c r="B65" s="3" t="s">
        <v>170</v>
      </c>
      <c r="C65" s="76" t="s">
        <v>171</v>
      </c>
      <c r="D65" s="71"/>
      <c r="E65" s="3" t="s">
        <v>172</v>
      </c>
      <c r="F65" s="30">
        <v>95.6</v>
      </c>
      <c r="G65" s="31">
        <v>0</v>
      </c>
      <c r="H65" s="30">
        <f>ROUND(F65*AO65,2)</f>
        <v>0</v>
      </c>
      <c r="I65" s="30">
        <f>ROUND(F65*AP65,2)</f>
        <v>0</v>
      </c>
      <c r="J65" s="30">
        <f>ROUND(F65*G65,2)</f>
        <v>0</v>
      </c>
      <c r="K65" s="32" t="s">
        <v>130</v>
      </c>
      <c r="Z65" s="30">
        <f>ROUND(IF(AQ65="5",BJ65,0),2)</f>
        <v>0</v>
      </c>
      <c r="AB65" s="30">
        <f>ROUND(IF(AQ65="1",BH65,0),2)</f>
        <v>0</v>
      </c>
      <c r="AC65" s="30">
        <f>ROUND(IF(AQ65="1",BI65,0),2)</f>
        <v>0</v>
      </c>
      <c r="AD65" s="30">
        <f>ROUND(IF(AQ65="7",BH65,0),2)</f>
        <v>0</v>
      </c>
      <c r="AE65" s="30">
        <f>ROUND(IF(AQ65="7",BI65,0),2)</f>
        <v>0</v>
      </c>
      <c r="AF65" s="30">
        <f>ROUND(IF(AQ65="2",BH65,0),2)</f>
        <v>0</v>
      </c>
      <c r="AG65" s="30">
        <f>ROUND(IF(AQ65="2",BI65,0),2)</f>
        <v>0</v>
      </c>
      <c r="AH65" s="30">
        <f>ROUND(IF(AQ65="0",BJ65,0),2)</f>
        <v>0</v>
      </c>
      <c r="AI65" s="10" t="s">
        <v>54</v>
      </c>
      <c r="AJ65" s="30">
        <f>IF(AN65=0,J65,0)</f>
        <v>0</v>
      </c>
      <c r="AK65" s="30">
        <f>IF(AN65=12,J65,0)</f>
        <v>0</v>
      </c>
      <c r="AL65" s="30">
        <f>IF(AN65=21,J65,0)</f>
        <v>0</v>
      </c>
      <c r="AN65" s="30">
        <v>21</v>
      </c>
      <c r="AO65" s="30">
        <f>G65*1</f>
        <v>0</v>
      </c>
      <c r="AP65" s="30">
        <f>G65*(1-1)</f>
        <v>0</v>
      </c>
      <c r="AQ65" s="33" t="s">
        <v>55</v>
      </c>
      <c r="AV65" s="30">
        <f>ROUND(AW65+AX65,2)</f>
        <v>0</v>
      </c>
      <c r="AW65" s="30">
        <f>ROUND(F65*AO65,2)</f>
        <v>0</v>
      </c>
      <c r="AX65" s="30">
        <f>ROUND(F65*AP65,2)</f>
        <v>0</v>
      </c>
      <c r="AY65" s="33" t="s">
        <v>163</v>
      </c>
      <c r="AZ65" s="33" t="s">
        <v>81</v>
      </c>
      <c r="BA65" s="10" t="s">
        <v>61</v>
      </c>
      <c r="BC65" s="30">
        <f>AW65+AX65</f>
        <v>0</v>
      </c>
      <c r="BD65" s="30">
        <f>G65/(100-BE65)*100</f>
        <v>0</v>
      </c>
      <c r="BE65" s="30">
        <v>0</v>
      </c>
      <c r="BF65" s="30">
        <f>65</f>
        <v>65</v>
      </c>
      <c r="BH65" s="30">
        <f>F65*AO65</f>
        <v>0</v>
      </c>
      <c r="BI65" s="30">
        <f>F65*AP65</f>
        <v>0</v>
      </c>
      <c r="BJ65" s="30">
        <f>F65*G65</f>
        <v>0</v>
      </c>
      <c r="BK65" s="33" t="s">
        <v>173</v>
      </c>
      <c r="BL65" s="30">
        <v>18</v>
      </c>
      <c r="BW65" s="30">
        <v>21</v>
      </c>
      <c r="BX65" s="4" t="s">
        <v>171</v>
      </c>
    </row>
    <row r="66" spans="1:76" x14ac:dyDescent="0.25">
      <c r="A66" s="34"/>
      <c r="C66" s="37" t="s">
        <v>174</v>
      </c>
      <c r="D66" s="37" t="s">
        <v>175</v>
      </c>
      <c r="F66" s="38">
        <v>87.2</v>
      </c>
      <c r="K66" s="39"/>
    </row>
    <row r="67" spans="1:76" x14ac:dyDescent="0.25">
      <c r="A67" s="34"/>
      <c r="C67" s="37" t="s">
        <v>176</v>
      </c>
      <c r="D67" s="37" t="s">
        <v>177</v>
      </c>
      <c r="F67" s="38">
        <v>20.399999999999999</v>
      </c>
      <c r="K67" s="39"/>
    </row>
    <row r="68" spans="1:76" x14ac:dyDescent="0.25">
      <c r="A68" s="34"/>
      <c r="C68" s="37" t="s">
        <v>178</v>
      </c>
      <c r="D68" s="37" t="s">
        <v>179</v>
      </c>
      <c r="F68" s="38">
        <v>-12</v>
      </c>
      <c r="K68" s="39"/>
    </row>
    <row r="69" spans="1:76" x14ac:dyDescent="0.25">
      <c r="A69" s="34"/>
      <c r="B69" s="35" t="s">
        <v>84</v>
      </c>
      <c r="C69" s="102" t="s">
        <v>180</v>
      </c>
      <c r="D69" s="103"/>
      <c r="E69" s="103"/>
      <c r="F69" s="103"/>
      <c r="G69" s="104"/>
      <c r="H69" s="103"/>
      <c r="I69" s="103"/>
      <c r="J69" s="103"/>
      <c r="K69" s="105"/>
      <c r="BX69" s="36" t="s">
        <v>180</v>
      </c>
    </row>
    <row r="70" spans="1:76" x14ac:dyDescent="0.25">
      <c r="A70" s="2" t="s">
        <v>150</v>
      </c>
      <c r="B70" s="3" t="s">
        <v>181</v>
      </c>
      <c r="C70" s="76" t="s">
        <v>182</v>
      </c>
      <c r="D70" s="71"/>
      <c r="E70" s="3" t="s">
        <v>78</v>
      </c>
      <c r="F70" s="30">
        <v>51</v>
      </c>
      <c r="G70" s="31">
        <v>0</v>
      </c>
      <c r="H70" s="30">
        <f>ROUND(F70*AO70,2)</f>
        <v>0</v>
      </c>
      <c r="I70" s="30">
        <f>ROUND(F70*AP70,2)</f>
        <v>0</v>
      </c>
      <c r="J70" s="30">
        <f>ROUND(F70*G70,2)</f>
        <v>0</v>
      </c>
      <c r="K70" s="32" t="s">
        <v>79</v>
      </c>
      <c r="Z70" s="30">
        <f>ROUND(IF(AQ70="5",BJ70,0),2)</f>
        <v>0</v>
      </c>
      <c r="AB70" s="30">
        <f>ROUND(IF(AQ70="1",BH70,0),2)</f>
        <v>0</v>
      </c>
      <c r="AC70" s="30">
        <f>ROUND(IF(AQ70="1",BI70,0),2)</f>
        <v>0</v>
      </c>
      <c r="AD70" s="30">
        <f>ROUND(IF(AQ70="7",BH70,0),2)</f>
        <v>0</v>
      </c>
      <c r="AE70" s="30">
        <f>ROUND(IF(AQ70="7",BI70,0),2)</f>
        <v>0</v>
      </c>
      <c r="AF70" s="30">
        <f>ROUND(IF(AQ70="2",BH70,0),2)</f>
        <v>0</v>
      </c>
      <c r="AG70" s="30">
        <f>ROUND(IF(AQ70="2",BI70,0),2)</f>
        <v>0</v>
      </c>
      <c r="AH70" s="30">
        <f>ROUND(IF(AQ70="0",BJ70,0),2)</f>
        <v>0</v>
      </c>
      <c r="AI70" s="10" t="s">
        <v>54</v>
      </c>
      <c r="AJ70" s="30">
        <f>IF(AN70=0,J70,0)</f>
        <v>0</v>
      </c>
      <c r="AK70" s="30">
        <f>IF(AN70=12,J70,0)</f>
        <v>0</v>
      </c>
      <c r="AL70" s="30">
        <f>IF(AN70=21,J70,0)</f>
        <v>0</v>
      </c>
      <c r="AN70" s="30">
        <v>21</v>
      </c>
      <c r="AO70" s="30">
        <f>G70*0</f>
        <v>0</v>
      </c>
      <c r="AP70" s="30">
        <f>G70*(1-0)</f>
        <v>0</v>
      </c>
      <c r="AQ70" s="33" t="s">
        <v>55</v>
      </c>
      <c r="AV70" s="30">
        <f>ROUND(AW70+AX70,2)</f>
        <v>0</v>
      </c>
      <c r="AW70" s="30">
        <f>ROUND(F70*AO70,2)</f>
        <v>0</v>
      </c>
      <c r="AX70" s="30">
        <f>ROUND(F70*AP70,2)</f>
        <v>0</v>
      </c>
      <c r="AY70" s="33" t="s">
        <v>163</v>
      </c>
      <c r="AZ70" s="33" t="s">
        <v>81</v>
      </c>
      <c r="BA70" s="10" t="s">
        <v>61</v>
      </c>
      <c r="BC70" s="30">
        <f>AW70+AX70</f>
        <v>0</v>
      </c>
      <c r="BD70" s="30">
        <f>G70/(100-BE70)*100</f>
        <v>0</v>
      </c>
      <c r="BE70" s="30">
        <v>0</v>
      </c>
      <c r="BF70" s="30">
        <f>70</f>
        <v>70</v>
      </c>
      <c r="BH70" s="30">
        <f>F70*AO70</f>
        <v>0</v>
      </c>
      <c r="BI70" s="30">
        <f>F70*AP70</f>
        <v>0</v>
      </c>
      <c r="BJ70" s="30">
        <f>F70*G70</f>
        <v>0</v>
      </c>
      <c r="BK70" s="33" t="s">
        <v>62</v>
      </c>
      <c r="BL70" s="30">
        <v>18</v>
      </c>
      <c r="BW70" s="30">
        <v>21</v>
      </c>
      <c r="BX70" s="4" t="s">
        <v>182</v>
      </c>
    </row>
    <row r="71" spans="1:76" x14ac:dyDescent="0.25">
      <c r="A71" s="34"/>
      <c r="B71" s="35" t="s">
        <v>84</v>
      </c>
      <c r="C71" s="102" t="s">
        <v>168</v>
      </c>
      <c r="D71" s="103"/>
      <c r="E71" s="103"/>
      <c r="F71" s="103"/>
      <c r="G71" s="104"/>
      <c r="H71" s="103"/>
      <c r="I71" s="103"/>
      <c r="J71" s="103"/>
      <c r="K71" s="105"/>
      <c r="BX71" s="36" t="s">
        <v>168</v>
      </c>
    </row>
    <row r="72" spans="1:76" x14ac:dyDescent="0.25">
      <c r="A72" s="2" t="s">
        <v>158</v>
      </c>
      <c r="B72" s="3" t="s">
        <v>183</v>
      </c>
      <c r="C72" s="76" t="s">
        <v>184</v>
      </c>
      <c r="D72" s="71"/>
      <c r="E72" s="3" t="s">
        <v>78</v>
      </c>
      <c r="F72" s="30">
        <v>303</v>
      </c>
      <c r="G72" s="31">
        <v>0</v>
      </c>
      <c r="H72" s="30">
        <f>ROUND(F72*AO72,2)</f>
        <v>0</v>
      </c>
      <c r="I72" s="30">
        <f>ROUND(F72*AP72,2)</f>
        <v>0</v>
      </c>
      <c r="J72" s="30">
        <f>ROUND(F72*G72,2)</f>
        <v>0</v>
      </c>
      <c r="K72" s="32" t="s">
        <v>79</v>
      </c>
      <c r="Z72" s="30">
        <f>ROUND(IF(AQ72="5",BJ72,0),2)</f>
        <v>0</v>
      </c>
      <c r="AB72" s="30">
        <f>ROUND(IF(AQ72="1",BH72,0),2)</f>
        <v>0</v>
      </c>
      <c r="AC72" s="30">
        <f>ROUND(IF(AQ72="1",BI72,0),2)</f>
        <v>0</v>
      </c>
      <c r="AD72" s="30">
        <f>ROUND(IF(AQ72="7",BH72,0),2)</f>
        <v>0</v>
      </c>
      <c r="AE72" s="30">
        <f>ROUND(IF(AQ72="7",BI72,0),2)</f>
        <v>0</v>
      </c>
      <c r="AF72" s="30">
        <f>ROUND(IF(AQ72="2",BH72,0),2)</f>
        <v>0</v>
      </c>
      <c r="AG72" s="30">
        <f>ROUND(IF(AQ72="2",BI72,0),2)</f>
        <v>0</v>
      </c>
      <c r="AH72" s="30">
        <f>ROUND(IF(AQ72="0",BJ72,0),2)</f>
        <v>0</v>
      </c>
      <c r="AI72" s="10" t="s">
        <v>54</v>
      </c>
      <c r="AJ72" s="30">
        <f>IF(AN72=0,J72,0)</f>
        <v>0</v>
      </c>
      <c r="AK72" s="30">
        <f>IF(AN72=12,J72,0)</f>
        <v>0</v>
      </c>
      <c r="AL72" s="30">
        <f>IF(AN72=21,J72,0)</f>
        <v>0</v>
      </c>
      <c r="AN72" s="30">
        <v>21</v>
      </c>
      <c r="AO72" s="30">
        <f>G72*0</f>
        <v>0</v>
      </c>
      <c r="AP72" s="30">
        <f>G72*(1-0)</f>
        <v>0</v>
      </c>
      <c r="AQ72" s="33" t="s">
        <v>55</v>
      </c>
      <c r="AV72" s="30">
        <f>ROUND(AW72+AX72,2)</f>
        <v>0</v>
      </c>
      <c r="AW72" s="30">
        <f>ROUND(F72*AO72,2)</f>
        <v>0</v>
      </c>
      <c r="AX72" s="30">
        <f>ROUND(F72*AP72,2)</f>
        <v>0</v>
      </c>
      <c r="AY72" s="33" t="s">
        <v>163</v>
      </c>
      <c r="AZ72" s="33" t="s">
        <v>81</v>
      </c>
      <c r="BA72" s="10" t="s">
        <v>61</v>
      </c>
      <c r="BC72" s="30">
        <f>AW72+AX72</f>
        <v>0</v>
      </c>
      <c r="BD72" s="30">
        <f>G72/(100-BE72)*100</f>
        <v>0</v>
      </c>
      <c r="BE72" s="30">
        <v>0</v>
      </c>
      <c r="BF72" s="30">
        <f>72</f>
        <v>72</v>
      </c>
      <c r="BH72" s="30">
        <f>F72*AO72</f>
        <v>0</v>
      </c>
      <c r="BI72" s="30">
        <f>F72*AP72</f>
        <v>0</v>
      </c>
      <c r="BJ72" s="30">
        <f>F72*G72</f>
        <v>0</v>
      </c>
      <c r="BK72" s="33" t="s">
        <v>62</v>
      </c>
      <c r="BL72" s="30">
        <v>18</v>
      </c>
      <c r="BW72" s="30">
        <v>21</v>
      </c>
      <c r="BX72" s="4" t="s">
        <v>184</v>
      </c>
    </row>
    <row r="73" spans="1:76" ht="13.5" customHeight="1" x14ac:dyDescent="0.25">
      <c r="A73" s="34"/>
      <c r="B73" s="35" t="s">
        <v>63</v>
      </c>
      <c r="C73" s="89" t="s">
        <v>185</v>
      </c>
      <c r="D73" s="90"/>
      <c r="E73" s="90"/>
      <c r="F73" s="90"/>
      <c r="G73" s="91"/>
      <c r="H73" s="90"/>
      <c r="I73" s="90"/>
      <c r="J73" s="90"/>
      <c r="K73" s="92"/>
    </row>
    <row r="74" spans="1:76" x14ac:dyDescent="0.25">
      <c r="A74" s="34"/>
      <c r="C74" s="37" t="s">
        <v>166</v>
      </c>
      <c r="D74" s="37" t="s">
        <v>167</v>
      </c>
      <c r="F74" s="38">
        <v>122</v>
      </c>
      <c r="K74" s="39"/>
    </row>
    <row r="75" spans="1:76" x14ac:dyDescent="0.25">
      <c r="A75" s="34"/>
      <c r="C75" s="37" t="s">
        <v>164</v>
      </c>
      <c r="D75" s="37" t="s">
        <v>186</v>
      </c>
      <c r="F75" s="38">
        <v>96</v>
      </c>
      <c r="K75" s="39"/>
    </row>
    <row r="76" spans="1:76" x14ac:dyDescent="0.25">
      <c r="A76" s="34"/>
      <c r="C76" s="37" t="s">
        <v>187</v>
      </c>
      <c r="D76" s="37" t="s">
        <v>188</v>
      </c>
      <c r="F76" s="38">
        <v>85</v>
      </c>
      <c r="K76" s="39"/>
    </row>
    <row r="77" spans="1:76" x14ac:dyDescent="0.25">
      <c r="A77" s="25" t="s">
        <v>50</v>
      </c>
      <c r="B77" s="26" t="s">
        <v>189</v>
      </c>
      <c r="C77" s="93" t="s">
        <v>190</v>
      </c>
      <c r="D77" s="94"/>
      <c r="E77" s="27" t="s">
        <v>4</v>
      </c>
      <c r="F77" s="27" t="s">
        <v>4</v>
      </c>
      <c r="G77" s="28" t="s">
        <v>4</v>
      </c>
      <c r="H77" s="1">
        <f>SUM(H78:H78)</f>
        <v>0</v>
      </c>
      <c r="I77" s="1">
        <f>SUM(I78:I78)</f>
        <v>0</v>
      </c>
      <c r="J77" s="1">
        <f>SUM(J78:J78)</f>
        <v>0</v>
      </c>
      <c r="K77" s="29" t="s">
        <v>50</v>
      </c>
      <c r="AI77" s="10" t="s">
        <v>54</v>
      </c>
      <c r="AS77" s="1">
        <f>SUM(AJ78:AJ78)</f>
        <v>0</v>
      </c>
      <c r="AT77" s="1">
        <f>SUM(AK78:AK78)</f>
        <v>0</v>
      </c>
      <c r="AU77" s="1">
        <f>SUM(AL78:AL78)</f>
        <v>0</v>
      </c>
    </row>
    <row r="78" spans="1:76" x14ac:dyDescent="0.25">
      <c r="A78" s="2" t="s">
        <v>191</v>
      </c>
      <c r="B78" s="3" t="s">
        <v>192</v>
      </c>
      <c r="C78" s="76" t="s">
        <v>193</v>
      </c>
      <c r="D78" s="71"/>
      <c r="E78" s="3" t="s">
        <v>194</v>
      </c>
      <c r="F78" s="30">
        <v>415</v>
      </c>
      <c r="G78" s="31">
        <v>0</v>
      </c>
      <c r="H78" s="30">
        <f>ROUND(F78*AO78,2)</f>
        <v>0</v>
      </c>
      <c r="I78" s="30">
        <f>ROUND(F78*AP78,2)</f>
        <v>0</v>
      </c>
      <c r="J78" s="30">
        <f>ROUND(F78*G78,2)</f>
        <v>0</v>
      </c>
      <c r="K78" s="32" t="s">
        <v>79</v>
      </c>
      <c r="Z78" s="30">
        <f>ROUND(IF(AQ78="5",BJ78,0),2)</f>
        <v>0</v>
      </c>
      <c r="AB78" s="30">
        <f>ROUND(IF(AQ78="1",BH78,0),2)</f>
        <v>0</v>
      </c>
      <c r="AC78" s="30">
        <f>ROUND(IF(AQ78="1",BI78,0),2)</f>
        <v>0</v>
      </c>
      <c r="AD78" s="30">
        <f>ROUND(IF(AQ78="7",BH78,0),2)</f>
        <v>0</v>
      </c>
      <c r="AE78" s="30">
        <f>ROUND(IF(AQ78="7",BI78,0),2)</f>
        <v>0</v>
      </c>
      <c r="AF78" s="30">
        <f>ROUND(IF(AQ78="2",BH78,0),2)</f>
        <v>0</v>
      </c>
      <c r="AG78" s="30">
        <f>ROUND(IF(AQ78="2",BI78,0),2)</f>
        <v>0</v>
      </c>
      <c r="AH78" s="30">
        <f>ROUND(IF(AQ78="0",BJ78,0),2)</f>
        <v>0</v>
      </c>
      <c r="AI78" s="10" t="s">
        <v>54</v>
      </c>
      <c r="AJ78" s="30">
        <f>IF(AN78=0,J78,0)</f>
        <v>0</v>
      </c>
      <c r="AK78" s="30">
        <f>IF(AN78=12,J78,0)</f>
        <v>0</v>
      </c>
      <c r="AL78" s="30">
        <f>IF(AN78=21,J78,0)</f>
        <v>0</v>
      </c>
      <c r="AN78" s="30">
        <v>21</v>
      </c>
      <c r="AO78" s="30">
        <f>G78*0.217697228</f>
        <v>0</v>
      </c>
      <c r="AP78" s="30">
        <f>G78*(1-0.217697228)</f>
        <v>0</v>
      </c>
      <c r="AQ78" s="33" t="s">
        <v>106</v>
      </c>
      <c r="AV78" s="30">
        <f>ROUND(AW78+AX78,2)</f>
        <v>0</v>
      </c>
      <c r="AW78" s="30">
        <f>ROUND(F78*AO78,2)</f>
        <v>0</v>
      </c>
      <c r="AX78" s="30">
        <f>ROUND(F78*AP78,2)</f>
        <v>0</v>
      </c>
      <c r="AY78" s="33" t="s">
        <v>195</v>
      </c>
      <c r="AZ78" s="33" t="s">
        <v>196</v>
      </c>
      <c r="BA78" s="10" t="s">
        <v>61</v>
      </c>
      <c r="BC78" s="30">
        <f>AW78+AX78</f>
        <v>0</v>
      </c>
      <c r="BD78" s="30">
        <f>G78/(100-BE78)*100</f>
        <v>0</v>
      </c>
      <c r="BE78" s="30">
        <v>0</v>
      </c>
      <c r="BF78" s="30">
        <f>78</f>
        <v>78</v>
      </c>
      <c r="BH78" s="30">
        <f>F78*AO78</f>
        <v>0</v>
      </c>
      <c r="BI78" s="30">
        <f>F78*AP78</f>
        <v>0</v>
      </c>
      <c r="BJ78" s="30">
        <f>F78*G78</f>
        <v>0</v>
      </c>
      <c r="BK78" s="33" t="s">
        <v>62</v>
      </c>
      <c r="BL78" s="30">
        <v>767</v>
      </c>
      <c r="BW78" s="30">
        <v>21</v>
      </c>
      <c r="BX78" s="4" t="s">
        <v>193</v>
      </c>
    </row>
    <row r="79" spans="1:76" x14ac:dyDescent="0.25">
      <c r="A79" s="34"/>
      <c r="C79" s="37" t="s">
        <v>197</v>
      </c>
      <c r="D79" s="37" t="s">
        <v>198</v>
      </c>
      <c r="F79" s="38">
        <v>275</v>
      </c>
      <c r="K79" s="39"/>
    </row>
    <row r="80" spans="1:76" x14ac:dyDescent="0.25">
      <c r="A80" s="34"/>
      <c r="C80" s="37" t="s">
        <v>199</v>
      </c>
      <c r="D80" s="37" t="s">
        <v>200</v>
      </c>
      <c r="F80" s="38">
        <v>80</v>
      </c>
      <c r="K80" s="39"/>
    </row>
    <row r="81" spans="1:76" x14ac:dyDescent="0.25">
      <c r="A81" s="34"/>
      <c r="C81" s="37" t="s">
        <v>201</v>
      </c>
      <c r="D81" s="37" t="s">
        <v>202</v>
      </c>
      <c r="F81" s="38">
        <v>60</v>
      </c>
      <c r="K81" s="39"/>
    </row>
    <row r="82" spans="1:76" x14ac:dyDescent="0.25">
      <c r="A82" s="25" t="s">
        <v>50</v>
      </c>
      <c r="B82" s="26" t="s">
        <v>164</v>
      </c>
      <c r="C82" s="93" t="s">
        <v>203</v>
      </c>
      <c r="D82" s="94"/>
      <c r="E82" s="27" t="s">
        <v>4</v>
      </c>
      <c r="F82" s="27" t="s">
        <v>4</v>
      </c>
      <c r="G82" s="28" t="s">
        <v>4</v>
      </c>
      <c r="H82" s="1">
        <f>SUM(H83:H88)</f>
        <v>0</v>
      </c>
      <c r="I82" s="1">
        <f>SUM(I83:I88)</f>
        <v>0</v>
      </c>
      <c r="J82" s="1">
        <f>SUM(J83:J88)</f>
        <v>0</v>
      </c>
      <c r="K82" s="29" t="s">
        <v>50</v>
      </c>
      <c r="AI82" s="10" t="s">
        <v>54</v>
      </c>
      <c r="AS82" s="1">
        <f>SUM(AJ83:AJ88)</f>
        <v>0</v>
      </c>
      <c r="AT82" s="1">
        <f>SUM(AK83:AK88)</f>
        <v>0</v>
      </c>
      <c r="AU82" s="1">
        <f>SUM(AL83:AL88)</f>
        <v>0</v>
      </c>
    </row>
    <row r="83" spans="1:76" x14ac:dyDescent="0.25">
      <c r="A83" s="2" t="s">
        <v>204</v>
      </c>
      <c r="B83" s="3" t="s">
        <v>205</v>
      </c>
      <c r="C83" s="76" t="s">
        <v>206</v>
      </c>
      <c r="D83" s="71"/>
      <c r="E83" s="3" t="s">
        <v>129</v>
      </c>
      <c r="F83" s="30">
        <v>5.33</v>
      </c>
      <c r="G83" s="31">
        <v>0</v>
      </c>
      <c r="H83" s="30">
        <f>ROUND(F83*AO83,2)</f>
        <v>0</v>
      </c>
      <c r="I83" s="30">
        <f>ROUND(F83*AP83,2)</f>
        <v>0</v>
      </c>
      <c r="J83" s="30">
        <f>ROUND(F83*G83,2)</f>
        <v>0</v>
      </c>
      <c r="K83" s="32" t="s">
        <v>79</v>
      </c>
      <c r="Z83" s="30">
        <f>ROUND(IF(AQ83="5",BJ83,0),2)</f>
        <v>0</v>
      </c>
      <c r="AB83" s="30">
        <f>ROUND(IF(AQ83="1",BH83,0),2)</f>
        <v>0</v>
      </c>
      <c r="AC83" s="30">
        <f>ROUND(IF(AQ83="1",BI83,0),2)</f>
        <v>0</v>
      </c>
      <c r="AD83" s="30">
        <f>ROUND(IF(AQ83="7",BH83,0),2)</f>
        <v>0</v>
      </c>
      <c r="AE83" s="30">
        <f>ROUND(IF(AQ83="7",BI83,0),2)</f>
        <v>0</v>
      </c>
      <c r="AF83" s="30">
        <f>ROUND(IF(AQ83="2",BH83,0),2)</f>
        <v>0</v>
      </c>
      <c r="AG83" s="30">
        <f>ROUND(IF(AQ83="2",BI83,0),2)</f>
        <v>0</v>
      </c>
      <c r="AH83" s="30">
        <f>ROUND(IF(AQ83="0",BJ83,0),2)</f>
        <v>0</v>
      </c>
      <c r="AI83" s="10" t="s">
        <v>54</v>
      </c>
      <c r="AJ83" s="30">
        <f>IF(AN83=0,J83,0)</f>
        <v>0</v>
      </c>
      <c r="AK83" s="30">
        <f>IF(AN83=12,J83,0)</f>
        <v>0</v>
      </c>
      <c r="AL83" s="30">
        <f>IF(AN83=21,J83,0)</f>
        <v>0</v>
      </c>
      <c r="AN83" s="30">
        <v>21</v>
      </c>
      <c r="AO83" s="30">
        <f>G83*0.006703661</f>
        <v>0</v>
      </c>
      <c r="AP83" s="30">
        <f>G83*(1-0.006703661)</f>
        <v>0</v>
      </c>
      <c r="AQ83" s="33" t="s">
        <v>55</v>
      </c>
      <c r="AV83" s="30">
        <f>ROUND(AW83+AX83,2)</f>
        <v>0</v>
      </c>
      <c r="AW83" s="30">
        <f>ROUND(F83*AO83,2)</f>
        <v>0</v>
      </c>
      <c r="AX83" s="30">
        <f>ROUND(F83*AP83,2)</f>
        <v>0</v>
      </c>
      <c r="AY83" s="33" t="s">
        <v>207</v>
      </c>
      <c r="AZ83" s="33" t="s">
        <v>208</v>
      </c>
      <c r="BA83" s="10" t="s">
        <v>61</v>
      </c>
      <c r="BC83" s="30">
        <f>AW83+AX83</f>
        <v>0</v>
      </c>
      <c r="BD83" s="30">
        <f>G83/(100-BE83)*100</f>
        <v>0</v>
      </c>
      <c r="BE83" s="30">
        <v>0</v>
      </c>
      <c r="BF83" s="30">
        <f>83</f>
        <v>83</v>
      </c>
      <c r="BH83" s="30">
        <f>F83*AO83</f>
        <v>0</v>
      </c>
      <c r="BI83" s="30">
        <f>F83*AP83</f>
        <v>0</v>
      </c>
      <c r="BJ83" s="30">
        <f>F83*G83</f>
        <v>0</v>
      </c>
      <c r="BK83" s="33" t="s">
        <v>62</v>
      </c>
      <c r="BL83" s="30">
        <v>96</v>
      </c>
      <c r="BW83" s="30">
        <v>21</v>
      </c>
      <c r="BX83" s="4" t="s">
        <v>206</v>
      </c>
    </row>
    <row r="84" spans="1:76" x14ac:dyDescent="0.25">
      <c r="A84" s="34"/>
      <c r="C84" s="37" t="s">
        <v>209</v>
      </c>
      <c r="D84" s="37" t="s">
        <v>210</v>
      </c>
      <c r="F84" s="38">
        <v>1.2</v>
      </c>
      <c r="K84" s="39"/>
    </row>
    <row r="85" spans="1:76" x14ac:dyDescent="0.25">
      <c r="A85" s="34"/>
      <c r="C85" s="37" t="s">
        <v>211</v>
      </c>
      <c r="D85" s="37" t="s">
        <v>212</v>
      </c>
      <c r="F85" s="38">
        <v>1.49</v>
      </c>
      <c r="K85" s="39"/>
    </row>
    <row r="86" spans="1:76" x14ac:dyDescent="0.25">
      <c r="A86" s="34"/>
      <c r="C86" s="37" t="s">
        <v>213</v>
      </c>
      <c r="D86" s="37" t="s">
        <v>214</v>
      </c>
      <c r="F86" s="38">
        <v>2.64</v>
      </c>
      <c r="K86" s="39"/>
    </row>
    <row r="87" spans="1:76" x14ac:dyDescent="0.25">
      <c r="A87" s="34"/>
      <c r="B87" s="35" t="s">
        <v>84</v>
      </c>
      <c r="C87" s="102" t="s">
        <v>215</v>
      </c>
      <c r="D87" s="103"/>
      <c r="E87" s="103"/>
      <c r="F87" s="103"/>
      <c r="G87" s="104"/>
      <c r="H87" s="103"/>
      <c r="I87" s="103"/>
      <c r="J87" s="103"/>
      <c r="K87" s="105"/>
      <c r="BX87" s="36" t="s">
        <v>215</v>
      </c>
    </row>
    <row r="88" spans="1:76" x14ac:dyDescent="0.25">
      <c r="A88" s="2" t="s">
        <v>216</v>
      </c>
      <c r="B88" s="3" t="s">
        <v>217</v>
      </c>
      <c r="C88" s="76" t="s">
        <v>218</v>
      </c>
      <c r="D88" s="71"/>
      <c r="E88" s="3" t="s">
        <v>129</v>
      </c>
      <c r="F88" s="30">
        <v>3.96</v>
      </c>
      <c r="G88" s="31">
        <v>0</v>
      </c>
      <c r="H88" s="30">
        <f>ROUND(F88*AO88,2)</f>
        <v>0</v>
      </c>
      <c r="I88" s="30">
        <f>ROUND(F88*AP88,2)</f>
        <v>0</v>
      </c>
      <c r="J88" s="30">
        <f>ROUND(F88*G88,2)</f>
        <v>0</v>
      </c>
      <c r="K88" s="32" t="s">
        <v>79</v>
      </c>
      <c r="Z88" s="30">
        <f>ROUND(IF(AQ88="5",BJ88,0),2)</f>
        <v>0</v>
      </c>
      <c r="AB88" s="30">
        <f>ROUND(IF(AQ88="1",BH88,0),2)</f>
        <v>0</v>
      </c>
      <c r="AC88" s="30">
        <f>ROUND(IF(AQ88="1",BI88,0),2)</f>
        <v>0</v>
      </c>
      <c r="AD88" s="30">
        <f>ROUND(IF(AQ88="7",BH88,0),2)</f>
        <v>0</v>
      </c>
      <c r="AE88" s="30">
        <f>ROUND(IF(AQ88="7",BI88,0),2)</f>
        <v>0</v>
      </c>
      <c r="AF88" s="30">
        <f>ROUND(IF(AQ88="2",BH88,0),2)</f>
        <v>0</v>
      </c>
      <c r="AG88" s="30">
        <f>ROUND(IF(AQ88="2",BI88,0),2)</f>
        <v>0</v>
      </c>
      <c r="AH88" s="30">
        <f>ROUND(IF(AQ88="0",BJ88,0),2)</f>
        <v>0</v>
      </c>
      <c r="AI88" s="10" t="s">
        <v>54</v>
      </c>
      <c r="AJ88" s="30">
        <f>IF(AN88=0,J88,0)</f>
        <v>0</v>
      </c>
      <c r="AK88" s="30">
        <f>IF(AN88=12,J88,0)</f>
        <v>0</v>
      </c>
      <c r="AL88" s="30">
        <f>IF(AN88=21,J88,0)</f>
        <v>0</v>
      </c>
      <c r="AN88" s="30">
        <v>21</v>
      </c>
      <c r="AO88" s="30">
        <f>G88*0</f>
        <v>0</v>
      </c>
      <c r="AP88" s="30">
        <f>G88*(1-0)</f>
        <v>0</v>
      </c>
      <c r="AQ88" s="33" t="s">
        <v>55</v>
      </c>
      <c r="AV88" s="30">
        <f>ROUND(AW88+AX88,2)</f>
        <v>0</v>
      </c>
      <c r="AW88" s="30">
        <f>ROUND(F88*AO88,2)</f>
        <v>0</v>
      </c>
      <c r="AX88" s="30">
        <f>ROUND(F88*AP88,2)</f>
        <v>0</v>
      </c>
      <c r="AY88" s="33" t="s">
        <v>207</v>
      </c>
      <c r="AZ88" s="33" t="s">
        <v>208</v>
      </c>
      <c r="BA88" s="10" t="s">
        <v>61</v>
      </c>
      <c r="BC88" s="30">
        <f>AW88+AX88</f>
        <v>0</v>
      </c>
      <c r="BD88" s="30">
        <f>G88/(100-BE88)*100</f>
        <v>0</v>
      </c>
      <c r="BE88" s="30">
        <v>0</v>
      </c>
      <c r="BF88" s="30">
        <f>88</f>
        <v>88</v>
      </c>
      <c r="BH88" s="30">
        <f>F88*AO88</f>
        <v>0</v>
      </c>
      <c r="BI88" s="30">
        <f>F88*AP88</f>
        <v>0</v>
      </c>
      <c r="BJ88" s="30">
        <f>F88*G88</f>
        <v>0</v>
      </c>
      <c r="BK88" s="33" t="s">
        <v>62</v>
      </c>
      <c r="BL88" s="30">
        <v>96</v>
      </c>
      <c r="BW88" s="30">
        <v>21</v>
      </c>
      <c r="BX88" s="4" t="s">
        <v>218</v>
      </c>
    </row>
    <row r="89" spans="1:76" x14ac:dyDescent="0.25">
      <c r="A89" s="34"/>
      <c r="C89" s="37" t="s">
        <v>219</v>
      </c>
      <c r="D89" s="37" t="s">
        <v>214</v>
      </c>
      <c r="F89" s="38">
        <v>3.96</v>
      </c>
      <c r="K89" s="39"/>
    </row>
    <row r="90" spans="1:76" x14ac:dyDescent="0.25">
      <c r="A90" s="34"/>
      <c r="B90" s="35" t="s">
        <v>84</v>
      </c>
      <c r="C90" s="102" t="s">
        <v>215</v>
      </c>
      <c r="D90" s="103"/>
      <c r="E90" s="103"/>
      <c r="F90" s="103"/>
      <c r="G90" s="104"/>
      <c r="H90" s="103"/>
      <c r="I90" s="103"/>
      <c r="J90" s="103"/>
      <c r="K90" s="105"/>
      <c r="BX90" s="36" t="s">
        <v>215</v>
      </c>
    </row>
    <row r="91" spans="1:76" x14ac:dyDescent="0.25">
      <c r="A91" s="25" t="s">
        <v>50</v>
      </c>
      <c r="B91" s="26" t="s">
        <v>220</v>
      </c>
      <c r="C91" s="93" t="s">
        <v>221</v>
      </c>
      <c r="D91" s="94"/>
      <c r="E91" s="27" t="s">
        <v>4</v>
      </c>
      <c r="F91" s="27" t="s">
        <v>4</v>
      </c>
      <c r="G91" s="28" t="s">
        <v>4</v>
      </c>
      <c r="H91" s="1">
        <f>SUM(H92:H92)</f>
        <v>0</v>
      </c>
      <c r="I91" s="1">
        <f>SUM(I92:I92)</f>
        <v>0</v>
      </c>
      <c r="J91" s="1">
        <f>SUM(J92:J92)</f>
        <v>0</v>
      </c>
      <c r="K91" s="29" t="s">
        <v>50</v>
      </c>
      <c r="AI91" s="10" t="s">
        <v>54</v>
      </c>
      <c r="AS91" s="1">
        <f>SUM(AJ92:AJ92)</f>
        <v>0</v>
      </c>
      <c r="AT91" s="1">
        <f>SUM(AK92:AK92)</f>
        <v>0</v>
      </c>
      <c r="AU91" s="1">
        <f>SUM(AL92:AL92)</f>
        <v>0</v>
      </c>
    </row>
    <row r="92" spans="1:76" x14ac:dyDescent="0.25">
      <c r="A92" s="2" t="s">
        <v>222</v>
      </c>
      <c r="B92" s="3" t="s">
        <v>223</v>
      </c>
      <c r="C92" s="76" t="s">
        <v>224</v>
      </c>
      <c r="D92" s="71"/>
      <c r="E92" s="3" t="s">
        <v>94</v>
      </c>
      <c r="F92" s="30">
        <v>15</v>
      </c>
      <c r="G92" s="31">
        <v>0</v>
      </c>
      <c r="H92" s="30">
        <f>ROUND(F92*AO92,2)</f>
        <v>0</v>
      </c>
      <c r="I92" s="30">
        <f>ROUND(F92*AP92,2)</f>
        <v>0</v>
      </c>
      <c r="J92" s="30">
        <f>ROUND(F92*G92,2)</f>
        <v>0</v>
      </c>
      <c r="K92" s="32" t="s">
        <v>79</v>
      </c>
      <c r="Z92" s="30">
        <f>ROUND(IF(AQ92="5",BJ92,0),2)</f>
        <v>0</v>
      </c>
      <c r="AB92" s="30">
        <f>ROUND(IF(AQ92="1",BH92,0),2)</f>
        <v>0</v>
      </c>
      <c r="AC92" s="30">
        <f>ROUND(IF(AQ92="1",BI92,0),2)</f>
        <v>0</v>
      </c>
      <c r="AD92" s="30">
        <f>ROUND(IF(AQ92="7",BH92,0),2)</f>
        <v>0</v>
      </c>
      <c r="AE92" s="30">
        <f>ROUND(IF(AQ92="7",BI92,0),2)</f>
        <v>0</v>
      </c>
      <c r="AF92" s="30">
        <f>ROUND(IF(AQ92="2",BH92,0),2)</f>
        <v>0</v>
      </c>
      <c r="AG92" s="30">
        <f>ROUND(IF(AQ92="2",BI92,0),2)</f>
        <v>0</v>
      </c>
      <c r="AH92" s="30">
        <f>ROUND(IF(AQ92="0",BJ92,0),2)</f>
        <v>0</v>
      </c>
      <c r="AI92" s="10" t="s">
        <v>54</v>
      </c>
      <c r="AJ92" s="30">
        <f>IF(AN92=0,J92,0)</f>
        <v>0</v>
      </c>
      <c r="AK92" s="30">
        <f>IF(AN92=12,J92,0)</f>
        <v>0</v>
      </c>
      <c r="AL92" s="30">
        <f>IF(AN92=21,J92,0)</f>
        <v>0</v>
      </c>
      <c r="AN92" s="30">
        <v>21</v>
      </c>
      <c r="AO92" s="30">
        <f>G92*0</f>
        <v>0</v>
      </c>
      <c r="AP92" s="30">
        <f>G92*(1-0)</f>
        <v>0</v>
      </c>
      <c r="AQ92" s="33" t="s">
        <v>55</v>
      </c>
      <c r="AV92" s="30">
        <f>ROUND(AW92+AX92,2)</f>
        <v>0</v>
      </c>
      <c r="AW92" s="30">
        <f>ROUND(F92*AO92,2)</f>
        <v>0</v>
      </c>
      <c r="AX92" s="30">
        <f>ROUND(F92*AP92,2)</f>
        <v>0</v>
      </c>
      <c r="AY92" s="33" t="s">
        <v>225</v>
      </c>
      <c r="AZ92" s="33" t="s">
        <v>208</v>
      </c>
      <c r="BA92" s="10" t="s">
        <v>61</v>
      </c>
      <c r="BC92" s="30">
        <f>AW92+AX92</f>
        <v>0</v>
      </c>
      <c r="BD92" s="30">
        <f>G92/(100-BE92)*100</f>
        <v>0</v>
      </c>
      <c r="BE92" s="30">
        <v>0</v>
      </c>
      <c r="BF92" s="30">
        <f>92</f>
        <v>92</v>
      </c>
      <c r="BH92" s="30">
        <f>F92*AO92</f>
        <v>0</v>
      </c>
      <c r="BI92" s="30">
        <f>F92*AP92</f>
        <v>0</v>
      </c>
      <c r="BJ92" s="30">
        <f>F92*G92</f>
        <v>0</v>
      </c>
      <c r="BK92" s="33" t="s">
        <v>62</v>
      </c>
      <c r="BL92" s="30">
        <v>97</v>
      </c>
      <c r="BW92" s="30">
        <v>21</v>
      </c>
      <c r="BX92" s="4" t="s">
        <v>224</v>
      </c>
    </row>
    <row r="93" spans="1:76" x14ac:dyDescent="0.25">
      <c r="A93" s="34"/>
      <c r="B93" s="35" t="s">
        <v>84</v>
      </c>
      <c r="C93" s="102" t="s">
        <v>226</v>
      </c>
      <c r="D93" s="103"/>
      <c r="E93" s="103"/>
      <c r="F93" s="103"/>
      <c r="G93" s="104"/>
      <c r="H93" s="103"/>
      <c r="I93" s="103"/>
      <c r="J93" s="103"/>
      <c r="K93" s="105"/>
      <c r="BX93" s="36" t="s">
        <v>226</v>
      </c>
    </row>
    <row r="94" spans="1:76" x14ac:dyDescent="0.25">
      <c r="A94" s="25" t="s">
        <v>50</v>
      </c>
      <c r="B94" s="26" t="s">
        <v>227</v>
      </c>
      <c r="C94" s="93" t="s">
        <v>228</v>
      </c>
      <c r="D94" s="94"/>
      <c r="E94" s="27" t="s">
        <v>4</v>
      </c>
      <c r="F94" s="27" t="s">
        <v>4</v>
      </c>
      <c r="G94" s="28" t="s">
        <v>4</v>
      </c>
      <c r="H94" s="1">
        <f>SUM(H95:H102)</f>
        <v>0</v>
      </c>
      <c r="I94" s="1">
        <f>SUM(I95:I102)</f>
        <v>0</v>
      </c>
      <c r="J94" s="1">
        <f>SUM(J95:J102)</f>
        <v>0</v>
      </c>
      <c r="K94" s="29" t="s">
        <v>50</v>
      </c>
      <c r="AI94" s="10" t="s">
        <v>54</v>
      </c>
      <c r="AS94" s="1">
        <f>SUM(AJ95:AJ102)</f>
        <v>0</v>
      </c>
      <c r="AT94" s="1">
        <f>SUM(AK95:AK102)</f>
        <v>0</v>
      </c>
      <c r="AU94" s="1">
        <f>SUM(AL95:AL102)</f>
        <v>0</v>
      </c>
    </row>
    <row r="95" spans="1:76" x14ac:dyDescent="0.25">
      <c r="A95" s="2" t="s">
        <v>229</v>
      </c>
      <c r="B95" s="3" t="s">
        <v>230</v>
      </c>
      <c r="C95" s="76" t="s">
        <v>231</v>
      </c>
      <c r="D95" s="71"/>
      <c r="E95" s="3" t="s">
        <v>94</v>
      </c>
      <c r="F95" s="30">
        <v>3</v>
      </c>
      <c r="G95" s="31">
        <v>0</v>
      </c>
      <c r="H95" s="30">
        <f>ROUND(F95*AO95,2)</f>
        <v>0</v>
      </c>
      <c r="I95" s="30">
        <f>ROUND(F95*AP95,2)</f>
        <v>0</v>
      </c>
      <c r="J95" s="30">
        <f>ROUND(F95*G95,2)</f>
        <v>0</v>
      </c>
      <c r="K95" s="32" t="s">
        <v>79</v>
      </c>
      <c r="Z95" s="30">
        <f>ROUND(IF(AQ95="5",BJ95,0),2)</f>
        <v>0</v>
      </c>
      <c r="AB95" s="30">
        <f>ROUND(IF(AQ95="1",BH95,0),2)</f>
        <v>0</v>
      </c>
      <c r="AC95" s="30">
        <f>ROUND(IF(AQ95="1",BI95,0),2)</f>
        <v>0</v>
      </c>
      <c r="AD95" s="30">
        <f>ROUND(IF(AQ95="7",BH95,0),2)</f>
        <v>0</v>
      </c>
      <c r="AE95" s="30">
        <f>ROUND(IF(AQ95="7",BI95,0),2)</f>
        <v>0</v>
      </c>
      <c r="AF95" s="30">
        <f>ROUND(IF(AQ95="2",BH95,0),2)</f>
        <v>0</v>
      </c>
      <c r="AG95" s="30">
        <f>ROUND(IF(AQ95="2",BI95,0),2)</f>
        <v>0</v>
      </c>
      <c r="AH95" s="30">
        <f>ROUND(IF(AQ95="0",BJ95,0),2)</f>
        <v>0</v>
      </c>
      <c r="AI95" s="10" t="s">
        <v>54</v>
      </c>
      <c r="AJ95" s="30">
        <f>IF(AN95=0,J95,0)</f>
        <v>0</v>
      </c>
      <c r="AK95" s="30">
        <f>IF(AN95=12,J95,0)</f>
        <v>0</v>
      </c>
      <c r="AL95" s="30">
        <f>IF(AN95=21,J95,0)</f>
        <v>0</v>
      </c>
      <c r="AN95" s="30">
        <v>21</v>
      </c>
      <c r="AO95" s="30">
        <f>G95*0</f>
        <v>0</v>
      </c>
      <c r="AP95" s="30">
        <f>G95*(1-0)</f>
        <v>0</v>
      </c>
      <c r="AQ95" s="33" t="s">
        <v>65</v>
      </c>
      <c r="AV95" s="30">
        <f>ROUND(AW95+AX95,2)</f>
        <v>0</v>
      </c>
      <c r="AW95" s="30">
        <f>ROUND(F95*AO95,2)</f>
        <v>0</v>
      </c>
      <c r="AX95" s="30">
        <f>ROUND(F95*AP95,2)</f>
        <v>0</v>
      </c>
      <c r="AY95" s="33" t="s">
        <v>232</v>
      </c>
      <c r="AZ95" s="33" t="s">
        <v>208</v>
      </c>
      <c r="BA95" s="10" t="s">
        <v>61</v>
      </c>
      <c r="BC95" s="30">
        <f>AW95+AX95</f>
        <v>0</v>
      </c>
      <c r="BD95" s="30">
        <f>G95/(100-BE95)*100</f>
        <v>0</v>
      </c>
      <c r="BE95" s="30">
        <v>0</v>
      </c>
      <c r="BF95" s="30">
        <f>95</f>
        <v>95</v>
      </c>
      <c r="BH95" s="30">
        <f>F95*AO95</f>
        <v>0</v>
      </c>
      <c r="BI95" s="30">
        <f>F95*AP95</f>
        <v>0</v>
      </c>
      <c r="BJ95" s="30">
        <f>F95*G95</f>
        <v>0</v>
      </c>
      <c r="BK95" s="33" t="s">
        <v>62</v>
      </c>
      <c r="BL95" s="30"/>
      <c r="BW95" s="30">
        <v>21</v>
      </c>
      <c r="BX95" s="4" t="s">
        <v>231</v>
      </c>
    </row>
    <row r="96" spans="1:76" ht="13.5" customHeight="1" x14ac:dyDescent="0.25">
      <c r="A96" s="34"/>
      <c r="B96" s="35" t="s">
        <v>63</v>
      </c>
      <c r="C96" s="89" t="s">
        <v>233</v>
      </c>
      <c r="D96" s="90"/>
      <c r="E96" s="90"/>
      <c r="F96" s="90"/>
      <c r="G96" s="91"/>
      <c r="H96" s="90"/>
      <c r="I96" s="90"/>
      <c r="J96" s="90"/>
      <c r="K96" s="92"/>
    </row>
    <row r="97" spans="1:76" x14ac:dyDescent="0.25">
      <c r="A97" s="2" t="s">
        <v>234</v>
      </c>
      <c r="B97" s="3" t="s">
        <v>235</v>
      </c>
      <c r="C97" s="76" t="s">
        <v>236</v>
      </c>
      <c r="D97" s="71"/>
      <c r="E97" s="3" t="s">
        <v>94</v>
      </c>
      <c r="F97" s="30">
        <v>3</v>
      </c>
      <c r="G97" s="31">
        <v>0</v>
      </c>
      <c r="H97" s="30">
        <f>ROUND(F97*AO97,2)</f>
        <v>0</v>
      </c>
      <c r="I97" s="30">
        <f>ROUND(F97*AP97,2)</f>
        <v>0</v>
      </c>
      <c r="J97" s="30">
        <f>ROUND(F97*G97,2)</f>
        <v>0</v>
      </c>
      <c r="K97" s="32" t="s">
        <v>79</v>
      </c>
      <c r="Z97" s="30">
        <f>ROUND(IF(AQ97="5",BJ97,0),2)</f>
        <v>0</v>
      </c>
      <c r="AB97" s="30">
        <f>ROUND(IF(AQ97="1",BH97,0),2)</f>
        <v>0</v>
      </c>
      <c r="AC97" s="30">
        <f>ROUND(IF(AQ97="1",BI97,0),2)</f>
        <v>0</v>
      </c>
      <c r="AD97" s="30">
        <f>ROUND(IF(AQ97="7",BH97,0),2)</f>
        <v>0</v>
      </c>
      <c r="AE97" s="30">
        <f>ROUND(IF(AQ97="7",BI97,0),2)</f>
        <v>0</v>
      </c>
      <c r="AF97" s="30">
        <f>ROUND(IF(AQ97="2",BH97,0),2)</f>
        <v>0</v>
      </c>
      <c r="AG97" s="30">
        <f>ROUND(IF(AQ97="2",BI97,0),2)</f>
        <v>0</v>
      </c>
      <c r="AH97" s="30">
        <f>ROUND(IF(AQ97="0",BJ97,0),2)</f>
        <v>0</v>
      </c>
      <c r="AI97" s="10" t="s">
        <v>54</v>
      </c>
      <c r="AJ97" s="30">
        <f>IF(AN97=0,J97,0)</f>
        <v>0</v>
      </c>
      <c r="AK97" s="30">
        <f>IF(AN97=12,J97,0)</f>
        <v>0</v>
      </c>
      <c r="AL97" s="30">
        <f>IF(AN97=21,J97,0)</f>
        <v>0</v>
      </c>
      <c r="AN97" s="30">
        <v>21</v>
      </c>
      <c r="AO97" s="30">
        <f>G97*0.651436464</f>
        <v>0</v>
      </c>
      <c r="AP97" s="30">
        <f>G97*(1-0.651436464)</f>
        <v>0</v>
      </c>
      <c r="AQ97" s="33" t="s">
        <v>65</v>
      </c>
      <c r="AV97" s="30">
        <f>ROUND(AW97+AX97,2)</f>
        <v>0</v>
      </c>
      <c r="AW97" s="30">
        <f>ROUND(F97*AO97,2)</f>
        <v>0</v>
      </c>
      <c r="AX97" s="30">
        <f>ROUND(F97*AP97,2)</f>
        <v>0</v>
      </c>
      <c r="AY97" s="33" t="s">
        <v>232</v>
      </c>
      <c r="AZ97" s="33" t="s">
        <v>208</v>
      </c>
      <c r="BA97" s="10" t="s">
        <v>61</v>
      </c>
      <c r="BC97" s="30">
        <f>AW97+AX97</f>
        <v>0</v>
      </c>
      <c r="BD97" s="30">
        <f>G97/(100-BE97)*100</f>
        <v>0</v>
      </c>
      <c r="BE97" s="30">
        <v>0</v>
      </c>
      <c r="BF97" s="30">
        <f>97</f>
        <v>97</v>
      </c>
      <c r="BH97" s="30">
        <f>F97*AO97</f>
        <v>0</v>
      </c>
      <c r="BI97" s="30">
        <f>F97*AP97</f>
        <v>0</v>
      </c>
      <c r="BJ97" s="30">
        <f>F97*G97</f>
        <v>0</v>
      </c>
      <c r="BK97" s="33" t="s">
        <v>62</v>
      </c>
      <c r="BL97" s="30"/>
      <c r="BW97" s="30">
        <v>21</v>
      </c>
      <c r="BX97" s="4" t="s">
        <v>236</v>
      </c>
    </row>
    <row r="98" spans="1:76" ht="13.5" customHeight="1" x14ac:dyDescent="0.25">
      <c r="A98" s="34"/>
      <c r="B98" s="35" t="s">
        <v>63</v>
      </c>
      <c r="C98" s="89" t="s">
        <v>237</v>
      </c>
      <c r="D98" s="90"/>
      <c r="E98" s="90"/>
      <c r="F98" s="90"/>
      <c r="G98" s="91"/>
      <c r="H98" s="90"/>
      <c r="I98" s="90"/>
      <c r="J98" s="90"/>
      <c r="K98" s="92"/>
    </row>
    <row r="99" spans="1:76" x14ac:dyDescent="0.25">
      <c r="A99" s="34"/>
      <c r="B99" s="35" t="s">
        <v>84</v>
      </c>
      <c r="C99" s="102" t="s">
        <v>238</v>
      </c>
      <c r="D99" s="103"/>
      <c r="E99" s="103"/>
      <c r="F99" s="103"/>
      <c r="G99" s="104"/>
      <c r="H99" s="103"/>
      <c r="I99" s="103"/>
      <c r="J99" s="103"/>
      <c r="K99" s="105"/>
      <c r="BX99" s="36" t="s">
        <v>238</v>
      </c>
    </row>
    <row r="100" spans="1:76" x14ac:dyDescent="0.25">
      <c r="A100" s="2" t="s">
        <v>239</v>
      </c>
      <c r="B100" s="3" t="s">
        <v>240</v>
      </c>
      <c r="C100" s="76" t="s">
        <v>241</v>
      </c>
      <c r="D100" s="71"/>
      <c r="E100" s="3" t="s">
        <v>94</v>
      </c>
      <c r="F100" s="30">
        <v>3</v>
      </c>
      <c r="G100" s="31">
        <v>0</v>
      </c>
      <c r="H100" s="30">
        <f>ROUND(F100*AO100,2)</f>
        <v>0</v>
      </c>
      <c r="I100" s="30">
        <f>ROUND(F100*AP100,2)</f>
        <v>0</v>
      </c>
      <c r="J100" s="30">
        <f>ROUND(F100*G100,2)</f>
        <v>0</v>
      </c>
      <c r="K100" s="32" t="s">
        <v>79</v>
      </c>
      <c r="Z100" s="30">
        <f>ROUND(IF(AQ100="5",BJ100,0),2)</f>
        <v>0</v>
      </c>
      <c r="AB100" s="30">
        <f>ROUND(IF(AQ100="1",BH100,0),2)</f>
        <v>0</v>
      </c>
      <c r="AC100" s="30">
        <f>ROUND(IF(AQ100="1",BI100,0),2)</f>
        <v>0</v>
      </c>
      <c r="AD100" s="30">
        <f>ROUND(IF(AQ100="7",BH100,0),2)</f>
        <v>0</v>
      </c>
      <c r="AE100" s="30">
        <f>ROUND(IF(AQ100="7",BI100,0),2)</f>
        <v>0</v>
      </c>
      <c r="AF100" s="30">
        <f>ROUND(IF(AQ100="2",BH100,0),2)</f>
        <v>0</v>
      </c>
      <c r="AG100" s="30">
        <f>ROUND(IF(AQ100="2",BI100,0),2)</f>
        <v>0</v>
      </c>
      <c r="AH100" s="30">
        <f>ROUND(IF(AQ100="0",BJ100,0),2)</f>
        <v>0</v>
      </c>
      <c r="AI100" s="10" t="s">
        <v>54</v>
      </c>
      <c r="AJ100" s="30">
        <f>IF(AN100=0,J100,0)</f>
        <v>0</v>
      </c>
      <c r="AK100" s="30">
        <f>IF(AN100=12,J100,0)</f>
        <v>0</v>
      </c>
      <c r="AL100" s="30">
        <f>IF(AN100=21,J100,0)</f>
        <v>0</v>
      </c>
      <c r="AN100" s="30">
        <v>21</v>
      </c>
      <c r="AO100" s="30">
        <f>G100*0.635595668</f>
        <v>0</v>
      </c>
      <c r="AP100" s="30">
        <f>G100*(1-0.635595668)</f>
        <v>0</v>
      </c>
      <c r="AQ100" s="33" t="s">
        <v>65</v>
      </c>
      <c r="AV100" s="30">
        <f>ROUND(AW100+AX100,2)</f>
        <v>0</v>
      </c>
      <c r="AW100" s="30">
        <f>ROUND(F100*AO100,2)</f>
        <v>0</v>
      </c>
      <c r="AX100" s="30">
        <f>ROUND(F100*AP100,2)</f>
        <v>0</v>
      </c>
      <c r="AY100" s="33" t="s">
        <v>232</v>
      </c>
      <c r="AZ100" s="33" t="s">
        <v>208</v>
      </c>
      <c r="BA100" s="10" t="s">
        <v>61</v>
      </c>
      <c r="BC100" s="30">
        <f>AW100+AX100</f>
        <v>0</v>
      </c>
      <c r="BD100" s="30">
        <f>G100/(100-BE100)*100</f>
        <v>0</v>
      </c>
      <c r="BE100" s="30">
        <v>0</v>
      </c>
      <c r="BF100" s="30">
        <f>100</f>
        <v>100</v>
      </c>
      <c r="BH100" s="30">
        <f>F100*AO100</f>
        <v>0</v>
      </c>
      <c r="BI100" s="30">
        <f>F100*AP100</f>
        <v>0</v>
      </c>
      <c r="BJ100" s="30">
        <f>F100*G100</f>
        <v>0</v>
      </c>
      <c r="BK100" s="33" t="s">
        <v>62</v>
      </c>
      <c r="BL100" s="30"/>
      <c r="BW100" s="30">
        <v>21</v>
      </c>
      <c r="BX100" s="4" t="s">
        <v>241</v>
      </c>
    </row>
    <row r="101" spans="1:76" ht="13.5" customHeight="1" x14ac:dyDescent="0.25">
      <c r="A101" s="34"/>
      <c r="B101" s="35" t="s">
        <v>63</v>
      </c>
      <c r="C101" s="89" t="s">
        <v>242</v>
      </c>
      <c r="D101" s="90"/>
      <c r="E101" s="90"/>
      <c r="F101" s="90"/>
      <c r="G101" s="91"/>
      <c r="H101" s="90"/>
      <c r="I101" s="90"/>
      <c r="J101" s="90"/>
      <c r="K101" s="92"/>
    </row>
    <row r="102" spans="1:76" x14ac:dyDescent="0.25">
      <c r="A102" s="2" t="s">
        <v>243</v>
      </c>
      <c r="B102" s="3" t="s">
        <v>244</v>
      </c>
      <c r="C102" s="76" t="s">
        <v>245</v>
      </c>
      <c r="D102" s="71"/>
      <c r="E102" s="3" t="s">
        <v>94</v>
      </c>
      <c r="F102" s="30">
        <v>3</v>
      </c>
      <c r="G102" s="31">
        <v>0</v>
      </c>
      <c r="H102" s="30">
        <f>ROUND(F102*AO102,2)</f>
        <v>0</v>
      </c>
      <c r="I102" s="30">
        <f>ROUND(F102*AP102,2)</f>
        <v>0</v>
      </c>
      <c r="J102" s="30">
        <f>ROUND(F102*G102,2)</f>
        <v>0</v>
      </c>
      <c r="K102" s="32" t="s">
        <v>79</v>
      </c>
      <c r="Z102" s="30">
        <f>ROUND(IF(AQ102="5",BJ102,0),2)</f>
        <v>0</v>
      </c>
      <c r="AB102" s="30">
        <f>ROUND(IF(AQ102="1",BH102,0),2)</f>
        <v>0</v>
      </c>
      <c r="AC102" s="30">
        <f>ROUND(IF(AQ102="1",BI102,0),2)</f>
        <v>0</v>
      </c>
      <c r="AD102" s="30">
        <f>ROUND(IF(AQ102="7",BH102,0),2)</f>
        <v>0</v>
      </c>
      <c r="AE102" s="30">
        <f>ROUND(IF(AQ102="7",BI102,0),2)</f>
        <v>0</v>
      </c>
      <c r="AF102" s="30">
        <f>ROUND(IF(AQ102="2",BH102,0),2)</f>
        <v>0</v>
      </c>
      <c r="AG102" s="30">
        <f>ROUND(IF(AQ102="2",BI102,0),2)</f>
        <v>0</v>
      </c>
      <c r="AH102" s="30">
        <f>ROUND(IF(AQ102="0",BJ102,0),2)</f>
        <v>0</v>
      </c>
      <c r="AI102" s="10" t="s">
        <v>54</v>
      </c>
      <c r="AJ102" s="30">
        <f>IF(AN102=0,J102,0)</f>
        <v>0</v>
      </c>
      <c r="AK102" s="30">
        <f>IF(AN102=12,J102,0)</f>
        <v>0</v>
      </c>
      <c r="AL102" s="30">
        <f>IF(AN102=21,J102,0)</f>
        <v>0</v>
      </c>
      <c r="AN102" s="30">
        <v>21</v>
      </c>
      <c r="AO102" s="30">
        <f>G102*0.432342007</f>
        <v>0</v>
      </c>
      <c r="AP102" s="30">
        <f>G102*(1-0.432342007)</f>
        <v>0</v>
      </c>
      <c r="AQ102" s="33" t="s">
        <v>65</v>
      </c>
      <c r="AV102" s="30">
        <f>ROUND(AW102+AX102,2)</f>
        <v>0</v>
      </c>
      <c r="AW102" s="30">
        <f>ROUND(F102*AO102,2)</f>
        <v>0</v>
      </c>
      <c r="AX102" s="30">
        <f>ROUND(F102*AP102,2)</f>
        <v>0</v>
      </c>
      <c r="AY102" s="33" t="s">
        <v>232</v>
      </c>
      <c r="AZ102" s="33" t="s">
        <v>208</v>
      </c>
      <c r="BA102" s="10" t="s">
        <v>61</v>
      </c>
      <c r="BC102" s="30">
        <f>AW102+AX102</f>
        <v>0</v>
      </c>
      <c r="BD102" s="30">
        <f>G102/(100-BE102)*100</f>
        <v>0</v>
      </c>
      <c r="BE102" s="30">
        <v>0</v>
      </c>
      <c r="BF102" s="30">
        <f>102</f>
        <v>102</v>
      </c>
      <c r="BH102" s="30">
        <f>F102*AO102</f>
        <v>0</v>
      </c>
      <c r="BI102" s="30">
        <f>F102*AP102</f>
        <v>0</v>
      </c>
      <c r="BJ102" s="30">
        <f>F102*G102</f>
        <v>0</v>
      </c>
      <c r="BK102" s="33" t="s">
        <v>62</v>
      </c>
      <c r="BL102" s="30"/>
      <c r="BW102" s="30">
        <v>21</v>
      </c>
      <c r="BX102" s="4" t="s">
        <v>245</v>
      </c>
    </row>
    <row r="103" spans="1:76" ht="13.5" customHeight="1" x14ac:dyDescent="0.25">
      <c r="A103" s="34"/>
      <c r="B103" s="35" t="s">
        <v>63</v>
      </c>
      <c r="C103" s="89" t="s">
        <v>246</v>
      </c>
      <c r="D103" s="90"/>
      <c r="E103" s="90"/>
      <c r="F103" s="90"/>
      <c r="G103" s="91"/>
      <c r="H103" s="90"/>
      <c r="I103" s="90"/>
      <c r="J103" s="90"/>
      <c r="K103" s="92"/>
    </row>
    <row r="104" spans="1:76" x14ac:dyDescent="0.25">
      <c r="A104" s="25" t="s">
        <v>50</v>
      </c>
      <c r="B104" s="26" t="s">
        <v>247</v>
      </c>
      <c r="C104" s="93" t="s">
        <v>248</v>
      </c>
      <c r="D104" s="94"/>
      <c r="E104" s="27" t="s">
        <v>4</v>
      </c>
      <c r="F104" s="27" t="s">
        <v>4</v>
      </c>
      <c r="G104" s="28" t="s">
        <v>4</v>
      </c>
      <c r="H104" s="1">
        <f>SUM(H105:H116)</f>
        <v>0</v>
      </c>
      <c r="I104" s="1">
        <f>SUM(I105:I116)</f>
        <v>0</v>
      </c>
      <c r="J104" s="1">
        <f>SUM(J105:J116)</f>
        <v>0</v>
      </c>
      <c r="K104" s="29" t="s">
        <v>50</v>
      </c>
      <c r="AI104" s="10" t="s">
        <v>54</v>
      </c>
      <c r="AS104" s="1">
        <f>SUM(AJ105:AJ116)</f>
        <v>0</v>
      </c>
      <c r="AT104" s="1">
        <f>SUM(AK105:AK116)</f>
        <v>0</v>
      </c>
      <c r="AU104" s="1">
        <f>SUM(AL105:AL116)</f>
        <v>0</v>
      </c>
    </row>
    <row r="105" spans="1:76" x14ac:dyDescent="0.25">
      <c r="A105" s="2" t="s">
        <v>249</v>
      </c>
      <c r="B105" s="3" t="s">
        <v>250</v>
      </c>
      <c r="C105" s="76" t="s">
        <v>251</v>
      </c>
      <c r="D105" s="71"/>
      <c r="E105" s="3" t="s">
        <v>172</v>
      </c>
      <c r="F105" s="30">
        <v>388.13</v>
      </c>
      <c r="G105" s="31">
        <v>0</v>
      </c>
      <c r="H105" s="30">
        <f>ROUND(F105*AO105,2)</f>
        <v>0</v>
      </c>
      <c r="I105" s="30">
        <f>ROUND(F105*AP105,2)</f>
        <v>0</v>
      </c>
      <c r="J105" s="30">
        <f>ROUND(F105*G105,2)</f>
        <v>0</v>
      </c>
      <c r="K105" s="32" t="s">
        <v>79</v>
      </c>
      <c r="Z105" s="30">
        <f>ROUND(IF(AQ105="5",BJ105,0),2)</f>
        <v>0</v>
      </c>
      <c r="AB105" s="30">
        <f>ROUND(IF(AQ105="1",BH105,0),2)</f>
        <v>0</v>
      </c>
      <c r="AC105" s="30">
        <f>ROUND(IF(AQ105="1",BI105,0),2)</f>
        <v>0</v>
      </c>
      <c r="AD105" s="30">
        <f>ROUND(IF(AQ105="7",BH105,0),2)</f>
        <v>0</v>
      </c>
      <c r="AE105" s="30">
        <f>ROUND(IF(AQ105="7",BI105,0),2)</f>
        <v>0</v>
      </c>
      <c r="AF105" s="30">
        <f>ROUND(IF(AQ105="2",BH105,0),2)</f>
        <v>0</v>
      </c>
      <c r="AG105" s="30">
        <f>ROUND(IF(AQ105="2",BI105,0),2)</f>
        <v>0</v>
      </c>
      <c r="AH105" s="30">
        <f>ROUND(IF(AQ105="0",BJ105,0),2)</f>
        <v>0</v>
      </c>
      <c r="AI105" s="10" t="s">
        <v>54</v>
      </c>
      <c r="AJ105" s="30">
        <f>IF(AN105=0,J105,0)</f>
        <v>0</v>
      </c>
      <c r="AK105" s="30">
        <f>IF(AN105=12,J105,0)</f>
        <v>0</v>
      </c>
      <c r="AL105" s="30">
        <f>IF(AN105=21,J105,0)</f>
        <v>0</v>
      </c>
      <c r="AN105" s="30">
        <v>21</v>
      </c>
      <c r="AO105" s="30">
        <f>G105*0</f>
        <v>0</v>
      </c>
      <c r="AP105" s="30">
        <f>G105*(1-0)</f>
        <v>0</v>
      </c>
      <c r="AQ105" s="33" t="s">
        <v>91</v>
      </c>
      <c r="AV105" s="30">
        <f>ROUND(AW105+AX105,2)</f>
        <v>0</v>
      </c>
      <c r="AW105" s="30">
        <f>ROUND(F105*AO105,2)</f>
        <v>0</v>
      </c>
      <c r="AX105" s="30">
        <f>ROUND(F105*AP105,2)</f>
        <v>0</v>
      </c>
      <c r="AY105" s="33" t="s">
        <v>252</v>
      </c>
      <c r="AZ105" s="33" t="s">
        <v>208</v>
      </c>
      <c r="BA105" s="10" t="s">
        <v>61</v>
      </c>
      <c r="BC105" s="30">
        <f>AW105+AX105</f>
        <v>0</v>
      </c>
      <c r="BD105" s="30">
        <f>G105/(100-BE105)*100</f>
        <v>0</v>
      </c>
      <c r="BE105" s="30">
        <v>0</v>
      </c>
      <c r="BF105" s="30">
        <f>105</f>
        <v>105</v>
      </c>
      <c r="BH105" s="30">
        <f>F105*AO105</f>
        <v>0</v>
      </c>
      <c r="BI105" s="30">
        <f>F105*AP105</f>
        <v>0</v>
      </c>
      <c r="BJ105" s="30">
        <f>F105*G105</f>
        <v>0</v>
      </c>
      <c r="BK105" s="33" t="s">
        <v>62</v>
      </c>
      <c r="BL105" s="30"/>
      <c r="BW105" s="30">
        <v>21</v>
      </c>
      <c r="BX105" s="4" t="s">
        <v>251</v>
      </c>
    </row>
    <row r="106" spans="1:76" x14ac:dyDescent="0.25">
      <c r="A106" s="2" t="s">
        <v>253</v>
      </c>
      <c r="B106" s="3" t="s">
        <v>254</v>
      </c>
      <c r="C106" s="76" t="s">
        <v>255</v>
      </c>
      <c r="D106" s="71"/>
      <c r="E106" s="3" t="s">
        <v>172</v>
      </c>
      <c r="F106" s="30">
        <v>3890</v>
      </c>
      <c r="G106" s="31">
        <v>0</v>
      </c>
      <c r="H106" s="30">
        <f>ROUND(F106*AO106,2)</f>
        <v>0</v>
      </c>
      <c r="I106" s="30">
        <f>ROUND(F106*AP106,2)</f>
        <v>0</v>
      </c>
      <c r="J106" s="30">
        <f>ROUND(F106*G106,2)</f>
        <v>0</v>
      </c>
      <c r="K106" s="32" t="s">
        <v>79</v>
      </c>
      <c r="Z106" s="30">
        <f>ROUND(IF(AQ106="5",BJ106,0),2)</f>
        <v>0</v>
      </c>
      <c r="AB106" s="30">
        <f>ROUND(IF(AQ106="1",BH106,0),2)</f>
        <v>0</v>
      </c>
      <c r="AC106" s="30">
        <f>ROUND(IF(AQ106="1",BI106,0),2)</f>
        <v>0</v>
      </c>
      <c r="AD106" s="30">
        <f>ROUND(IF(AQ106="7",BH106,0),2)</f>
        <v>0</v>
      </c>
      <c r="AE106" s="30">
        <f>ROUND(IF(AQ106="7",BI106,0),2)</f>
        <v>0</v>
      </c>
      <c r="AF106" s="30">
        <f>ROUND(IF(AQ106="2",BH106,0),2)</f>
        <v>0</v>
      </c>
      <c r="AG106" s="30">
        <f>ROUND(IF(AQ106="2",BI106,0),2)</f>
        <v>0</v>
      </c>
      <c r="AH106" s="30">
        <f>ROUND(IF(AQ106="0",BJ106,0),2)</f>
        <v>0</v>
      </c>
      <c r="AI106" s="10" t="s">
        <v>54</v>
      </c>
      <c r="AJ106" s="30">
        <f>IF(AN106=0,J106,0)</f>
        <v>0</v>
      </c>
      <c r="AK106" s="30">
        <f>IF(AN106=12,J106,0)</f>
        <v>0</v>
      </c>
      <c r="AL106" s="30">
        <f>IF(AN106=21,J106,0)</f>
        <v>0</v>
      </c>
      <c r="AN106" s="30">
        <v>21</v>
      </c>
      <c r="AO106" s="30">
        <f>G106*0</f>
        <v>0</v>
      </c>
      <c r="AP106" s="30">
        <f>G106*(1-0)</f>
        <v>0</v>
      </c>
      <c r="AQ106" s="33" t="s">
        <v>91</v>
      </c>
      <c r="AV106" s="30">
        <f>ROUND(AW106+AX106,2)</f>
        <v>0</v>
      </c>
      <c r="AW106" s="30">
        <f>ROUND(F106*AO106,2)</f>
        <v>0</v>
      </c>
      <c r="AX106" s="30">
        <f>ROUND(F106*AP106,2)</f>
        <v>0</v>
      </c>
      <c r="AY106" s="33" t="s">
        <v>252</v>
      </c>
      <c r="AZ106" s="33" t="s">
        <v>208</v>
      </c>
      <c r="BA106" s="10" t="s">
        <v>61</v>
      </c>
      <c r="BC106" s="30">
        <f>AW106+AX106</f>
        <v>0</v>
      </c>
      <c r="BD106" s="30">
        <f>G106/(100-BE106)*100</f>
        <v>0</v>
      </c>
      <c r="BE106" s="30">
        <v>0</v>
      </c>
      <c r="BF106" s="30">
        <f>106</f>
        <v>106</v>
      </c>
      <c r="BH106" s="30">
        <f>F106*AO106</f>
        <v>0</v>
      </c>
      <c r="BI106" s="30">
        <f>F106*AP106</f>
        <v>0</v>
      </c>
      <c r="BJ106" s="30">
        <f>F106*G106</f>
        <v>0</v>
      </c>
      <c r="BK106" s="33" t="s">
        <v>62</v>
      </c>
      <c r="BL106" s="30"/>
      <c r="BW106" s="30">
        <v>21</v>
      </c>
      <c r="BX106" s="4" t="s">
        <v>255</v>
      </c>
    </row>
    <row r="107" spans="1:76" x14ac:dyDescent="0.25">
      <c r="A107" s="34"/>
      <c r="C107" s="37" t="s">
        <v>256</v>
      </c>
      <c r="D107" s="37" t="s">
        <v>50</v>
      </c>
      <c r="F107" s="38">
        <v>3890</v>
      </c>
      <c r="K107" s="39"/>
    </row>
    <row r="108" spans="1:76" x14ac:dyDescent="0.25">
      <c r="A108" s="2" t="s">
        <v>257</v>
      </c>
      <c r="B108" s="3" t="s">
        <v>258</v>
      </c>
      <c r="C108" s="76" t="s">
        <v>259</v>
      </c>
      <c r="D108" s="71"/>
      <c r="E108" s="3" t="s">
        <v>172</v>
      </c>
      <c r="F108" s="30">
        <v>159.9</v>
      </c>
      <c r="G108" s="31">
        <v>0</v>
      </c>
      <c r="H108" s="30">
        <f>ROUND(F108*AO108,2)</f>
        <v>0</v>
      </c>
      <c r="I108" s="30">
        <f>ROUND(F108*AP108,2)</f>
        <v>0</v>
      </c>
      <c r="J108" s="30">
        <f>ROUND(F108*G108,2)</f>
        <v>0</v>
      </c>
      <c r="K108" s="32" t="s">
        <v>79</v>
      </c>
      <c r="Z108" s="30">
        <f>ROUND(IF(AQ108="5",BJ108,0),2)</f>
        <v>0</v>
      </c>
      <c r="AB108" s="30">
        <f>ROUND(IF(AQ108="1",BH108,0),2)</f>
        <v>0</v>
      </c>
      <c r="AC108" s="30">
        <f>ROUND(IF(AQ108="1",BI108,0),2)</f>
        <v>0</v>
      </c>
      <c r="AD108" s="30">
        <f>ROUND(IF(AQ108="7",BH108,0),2)</f>
        <v>0</v>
      </c>
      <c r="AE108" s="30">
        <f>ROUND(IF(AQ108="7",BI108,0),2)</f>
        <v>0</v>
      </c>
      <c r="AF108" s="30">
        <f>ROUND(IF(AQ108="2",BH108,0),2)</f>
        <v>0</v>
      </c>
      <c r="AG108" s="30">
        <f>ROUND(IF(AQ108="2",BI108,0),2)</f>
        <v>0</v>
      </c>
      <c r="AH108" s="30">
        <f>ROUND(IF(AQ108="0",BJ108,0),2)</f>
        <v>0</v>
      </c>
      <c r="AI108" s="10" t="s">
        <v>54</v>
      </c>
      <c r="AJ108" s="30">
        <f>IF(AN108=0,J108,0)</f>
        <v>0</v>
      </c>
      <c r="AK108" s="30">
        <f>IF(AN108=12,J108,0)</f>
        <v>0</v>
      </c>
      <c r="AL108" s="30">
        <f>IF(AN108=21,J108,0)</f>
        <v>0</v>
      </c>
      <c r="AN108" s="30">
        <v>21</v>
      </c>
      <c r="AO108" s="30">
        <f>G108*0</f>
        <v>0</v>
      </c>
      <c r="AP108" s="30">
        <f>G108*(1-0)</f>
        <v>0</v>
      </c>
      <c r="AQ108" s="33" t="s">
        <v>91</v>
      </c>
      <c r="AV108" s="30">
        <f>ROUND(AW108+AX108,2)</f>
        <v>0</v>
      </c>
      <c r="AW108" s="30">
        <f>ROUND(F108*AO108,2)</f>
        <v>0</v>
      </c>
      <c r="AX108" s="30">
        <f>ROUND(F108*AP108,2)</f>
        <v>0</v>
      </c>
      <c r="AY108" s="33" t="s">
        <v>252</v>
      </c>
      <c r="AZ108" s="33" t="s">
        <v>208</v>
      </c>
      <c r="BA108" s="10" t="s">
        <v>61</v>
      </c>
      <c r="BC108" s="30">
        <f>AW108+AX108</f>
        <v>0</v>
      </c>
      <c r="BD108" s="30">
        <f>G108/(100-BE108)*100</f>
        <v>0</v>
      </c>
      <c r="BE108" s="30">
        <v>0</v>
      </c>
      <c r="BF108" s="30">
        <f>108</f>
        <v>108</v>
      </c>
      <c r="BH108" s="30">
        <f>F108*AO108</f>
        <v>0</v>
      </c>
      <c r="BI108" s="30">
        <f>F108*AP108</f>
        <v>0</v>
      </c>
      <c r="BJ108" s="30">
        <f>F108*G108</f>
        <v>0</v>
      </c>
      <c r="BK108" s="33" t="s">
        <v>62</v>
      </c>
      <c r="BL108" s="30"/>
      <c r="BW108" s="30">
        <v>21</v>
      </c>
      <c r="BX108" s="4" t="s">
        <v>259</v>
      </c>
    </row>
    <row r="109" spans="1:76" x14ac:dyDescent="0.25">
      <c r="A109" s="34"/>
      <c r="C109" s="37" t="s">
        <v>260</v>
      </c>
      <c r="D109" s="37" t="s">
        <v>261</v>
      </c>
      <c r="F109" s="38">
        <v>137.6</v>
      </c>
      <c r="K109" s="39"/>
    </row>
    <row r="110" spans="1:76" x14ac:dyDescent="0.25">
      <c r="A110" s="34"/>
      <c r="C110" s="37" t="s">
        <v>262</v>
      </c>
      <c r="D110" s="37" t="s">
        <v>263</v>
      </c>
      <c r="F110" s="38">
        <v>22.3</v>
      </c>
      <c r="K110" s="39"/>
    </row>
    <row r="111" spans="1:76" x14ac:dyDescent="0.25">
      <c r="A111" s="34"/>
      <c r="B111" s="35" t="s">
        <v>84</v>
      </c>
      <c r="C111" s="102" t="s">
        <v>264</v>
      </c>
      <c r="D111" s="103"/>
      <c r="E111" s="103"/>
      <c r="F111" s="103"/>
      <c r="G111" s="104"/>
      <c r="H111" s="103"/>
      <c r="I111" s="103"/>
      <c r="J111" s="103"/>
      <c r="K111" s="105"/>
      <c r="BX111" s="36" t="s">
        <v>264</v>
      </c>
    </row>
    <row r="112" spans="1:76" x14ac:dyDescent="0.25">
      <c r="A112" s="2" t="s">
        <v>265</v>
      </c>
      <c r="B112" s="3" t="s">
        <v>266</v>
      </c>
      <c r="C112" s="76" t="s">
        <v>267</v>
      </c>
      <c r="D112" s="71"/>
      <c r="E112" s="3" t="s">
        <v>172</v>
      </c>
      <c r="F112" s="30">
        <v>50.09</v>
      </c>
      <c r="G112" s="31">
        <v>0</v>
      </c>
      <c r="H112" s="30">
        <f>ROUND(F112*AO112,2)</f>
        <v>0</v>
      </c>
      <c r="I112" s="30">
        <f>ROUND(F112*AP112,2)</f>
        <v>0</v>
      </c>
      <c r="J112" s="30">
        <f>ROUND(F112*G112,2)</f>
        <v>0</v>
      </c>
      <c r="K112" s="32" t="s">
        <v>79</v>
      </c>
      <c r="Z112" s="30">
        <f>ROUND(IF(AQ112="5",BJ112,0),2)</f>
        <v>0</v>
      </c>
      <c r="AB112" s="30">
        <f>ROUND(IF(AQ112="1",BH112,0),2)</f>
        <v>0</v>
      </c>
      <c r="AC112" s="30">
        <f>ROUND(IF(AQ112="1",BI112,0),2)</f>
        <v>0</v>
      </c>
      <c r="AD112" s="30">
        <f>ROUND(IF(AQ112="7",BH112,0),2)</f>
        <v>0</v>
      </c>
      <c r="AE112" s="30">
        <f>ROUND(IF(AQ112="7",BI112,0),2)</f>
        <v>0</v>
      </c>
      <c r="AF112" s="30">
        <f>ROUND(IF(AQ112="2",BH112,0),2)</f>
        <v>0</v>
      </c>
      <c r="AG112" s="30">
        <f>ROUND(IF(AQ112="2",BI112,0),2)</f>
        <v>0</v>
      </c>
      <c r="AH112" s="30">
        <f>ROUND(IF(AQ112="0",BJ112,0),2)</f>
        <v>0</v>
      </c>
      <c r="AI112" s="10" t="s">
        <v>54</v>
      </c>
      <c r="AJ112" s="30">
        <f>IF(AN112=0,J112,0)</f>
        <v>0</v>
      </c>
      <c r="AK112" s="30">
        <f>IF(AN112=12,J112,0)</f>
        <v>0</v>
      </c>
      <c r="AL112" s="30">
        <f>IF(AN112=21,J112,0)</f>
        <v>0</v>
      </c>
      <c r="AN112" s="30">
        <v>21</v>
      </c>
      <c r="AO112" s="30">
        <f>G112*0</f>
        <v>0</v>
      </c>
      <c r="AP112" s="30">
        <f>G112*(1-0)</f>
        <v>0</v>
      </c>
      <c r="AQ112" s="33" t="s">
        <v>91</v>
      </c>
      <c r="AV112" s="30">
        <f>ROUND(AW112+AX112,2)</f>
        <v>0</v>
      </c>
      <c r="AW112" s="30">
        <f>ROUND(F112*AO112,2)</f>
        <v>0</v>
      </c>
      <c r="AX112" s="30">
        <f>ROUND(F112*AP112,2)</f>
        <v>0</v>
      </c>
      <c r="AY112" s="33" t="s">
        <v>252</v>
      </c>
      <c r="AZ112" s="33" t="s">
        <v>208</v>
      </c>
      <c r="BA112" s="10" t="s">
        <v>61</v>
      </c>
      <c r="BC112" s="30">
        <f>AW112+AX112</f>
        <v>0</v>
      </c>
      <c r="BD112" s="30">
        <f>G112/(100-BE112)*100</f>
        <v>0</v>
      </c>
      <c r="BE112" s="30">
        <v>0</v>
      </c>
      <c r="BF112" s="30">
        <f>112</f>
        <v>112</v>
      </c>
      <c r="BH112" s="30">
        <f>F112*AO112</f>
        <v>0</v>
      </c>
      <c r="BI112" s="30">
        <f>F112*AP112</f>
        <v>0</v>
      </c>
      <c r="BJ112" s="30">
        <f>F112*G112</f>
        <v>0</v>
      </c>
      <c r="BK112" s="33" t="s">
        <v>62</v>
      </c>
      <c r="BL112" s="30"/>
      <c r="BW112" s="30">
        <v>21</v>
      </c>
      <c r="BX112" s="4" t="s">
        <v>267</v>
      </c>
    </row>
    <row r="113" spans="1:76" x14ac:dyDescent="0.25">
      <c r="A113" s="34"/>
      <c r="B113" s="35" t="s">
        <v>84</v>
      </c>
      <c r="C113" s="102" t="s">
        <v>268</v>
      </c>
      <c r="D113" s="103"/>
      <c r="E113" s="103"/>
      <c r="F113" s="103"/>
      <c r="G113" s="104"/>
      <c r="H113" s="103"/>
      <c r="I113" s="103"/>
      <c r="J113" s="103"/>
      <c r="K113" s="105"/>
      <c r="BX113" s="36" t="s">
        <v>268</v>
      </c>
    </row>
    <row r="114" spans="1:76" x14ac:dyDescent="0.25">
      <c r="A114" s="2" t="s">
        <v>269</v>
      </c>
      <c r="B114" s="3" t="s">
        <v>270</v>
      </c>
      <c r="C114" s="76" t="s">
        <v>271</v>
      </c>
      <c r="D114" s="71"/>
      <c r="E114" s="3" t="s">
        <v>172</v>
      </c>
      <c r="F114" s="30">
        <v>2</v>
      </c>
      <c r="G114" s="31">
        <v>0</v>
      </c>
      <c r="H114" s="30">
        <f>ROUND(F114*AO114,2)</f>
        <v>0</v>
      </c>
      <c r="I114" s="30">
        <f>ROUND(F114*AP114,2)</f>
        <v>0</v>
      </c>
      <c r="J114" s="30">
        <f>ROUND(F114*G114,2)</f>
        <v>0</v>
      </c>
      <c r="K114" s="32" t="s">
        <v>79</v>
      </c>
      <c r="Z114" s="30">
        <f>ROUND(IF(AQ114="5",BJ114,0),2)</f>
        <v>0</v>
      </c>
      <c r="AB114" s="30">
        <f>ROUND(IF(AQ114="1",BH114,0),2)</f>
        <v>0</v>
      </c>
      <c r="AC114" s="30">
        <f>ROUND(IF(AQ114="1",BI114,0),2)</f>
        <v>0</v>
      </c>
      <c r="AD114" s="30">
        <f>ROUND(IF(AQ114="7",BH114,0),2)</f>
        <v>0</v>
      </c>
      <c r="AE114" s="30">
        <f>ROUND(IF(AQ114="7",BI114,0),2)</f>
        <v>0</v>
      </c>
      <c r="AF114" s="30">
        <f>ROUND(IF(AQ114="2",BH114,0),2)</f>
        <v>0</v>
      </c>
      <c r="AG114" s="30">
        <f>ROUND(IF(AQ114="2",BI114,0),2)</f>
        <v>0</v>
      </c>
      <c r="AH114" s="30">
        <f>ROUND(IF(AQ114="0",BJ114,0),2)</f>
        <v>0</v>
      </c>
      <c r="AI114" s="10" t="s">
        <v>54</v>
      </c>
      <c r="AJ114" s="30">
        <f>IF(AN114=0,J114,0)</f>
        <v>0</v>
      </c>
      <c r="AK114" s="30">
        <f>IF(AN114=12,J114,0)</f>
        <v>0</v>
      </c>
      <c r="AL114" s="30">
        <f>IF(AN114=21,J114,0)</f>
        <v>0</v>
      </c>
      <c r="AN114" s="30">
        <v>21</v>
      </c>
      <c r="AO114" s="30">
        <f>G114*0</f>
        <v>0</v>
      </c>
      <c r="AP114" s="30">
        <f>G114*(1-0)</f>
        <v>0</v>
      </c>
      <c r="AQ114" s="33" t="s">
        <v>91</v>
      </c>
      <c r="AV114" s="30">
        <f>ROUND(AW114+AX114,2)</f>
        <v>0</v>
      </c>
      <c r="AW114" s="30">
        <f>ROUND(F114*AO114,2)</f>
        <v>0</v>
      </c>
      <c r="AX114" s="30">
        <f>ROUND(F114*AP114,2)</f>
        <v>0</v>
      </c>
      <c r="AY114" s="33" t="s">
        <v>252</v>
      </c>
      <c r="AZ114" s="33" t="s">
        <v>208</v>
      </c>
      <c r="BA114" s="10" t="s">
        <v>61</v>
      </c>
      <c r="BC114" s="30">
        <f>AW114+AX114</f>
        <v>0</v>
      </c>
      <c r="BD114" s="30">
        <f>G114/(100-BE114)*100</f>
        <v>0</v>
      </c>
      <c r="BE114" s="30">
        <v>0</v>
      </c>
      <c r="BF114" s="30">
        <f>114</f>
        <v>114</v>
      </c>
      <c r="BH114" s="30">
        <f>F114*AO114</f>
        <v>0</v>
      </c>
      <c r="BI114" s="30">
        <f>F114*AP114</f>
        <v>0</v>
      </c>
      <c r="BJ114" s="30">
        <f>F114*G114</f>
        <v>0</v>
      </c>
      <c r="BK114" s="33" t="s">
        <v>62</v>
      </c>
      <c r="BL114" s="30"/>
      <c r="BW114" s="30">
        <v>21</v>
      </c>
      <c r="BX114" s="4" t="s">
        <v>271</v>
      </c>
    </row>
    <row r="115" spans="1:76" x14ac:dyDescent="0.25">
      <c r="A115" s="34"/>
      <c r="B115" s="35" t="s">
        <v>84</v>
      </c>
      <c r="C115" s="102" t="s">
        <v>272</v>
      </c>
      <c r="D115" s="103"/>
      <c r="E115" s="103"/>
      <c r="F115" s="103"/>
      <c r="G115" s="104"/>
      <c r="H115" s="103"/>
      <c r="I115" s="103"/>
      <c r="J115" s="103"/>
      <c r="K115" s="105"/>
      <c r="BX115" s="36" t="s">
        <v>272</v>
      </c>
    </row>
    <row r="116" spans="1:76" x14ac:dyDescent="0.25">
      <c r="A116" s="2" t="s">
        <v>273</v>
      </c>
      <c r="B116" s="3" t="s">
        <v>274</v>
      </c>
      <c r="C116" s="76" t="s">
        <v>275</v>
      </c>
      <c r="D116" s="71"/>
      <c r="E116" s="3" t="s">
        <v>172</v>
      </c>
      <c r="F116" s="30">
        <v>162</v>
      </c>
      <c r="G116" s="31">
        <v>0</v>
      </c>
      <c r="H116" s="30">
        <f>ROUND(F116*AO116,2)</f>
        <v>0</v>
      </c>
      <c r="I116" s="30">
        <f>ROUND(F116*AP116,2)</f>
        <v>0</v>
      </c>
      <c r="J116" s="30">
        <f>ROUND(F116*G116,2)</f>
        <v>0</v>
      </c>
      <c r="K116" s="32" t="s">
        <v>79</v>
      </c>
      <c r="Z116" s="30">
        <f>ROUND(IF(AQ116="5",BJ116,0),2)</f>
        <v>0</v>
      </c>
      <c r="AB116" s="30">
        <f>ROUND(IF(AQ116="1",BH116,0),2)</f>
        <v>0</v>
      </c>
      <c r="AC116" s="30">
        <f>ROUND(IF(AQ116="1",BI116,0),2)</f>
        <v>0</v>
      </c>
      <c r="AD116" s="30">
        <f>ROUND(IF(AQ116="7",BH116,0),2)</f>
        <v>0</v>
      </c>
      <c r="AE116" s="30">
        <f>ROUND(IF(AQ116="7",BI116,0),2)</f>
        <v>0</v>
      </c>
      <c r="AF116" s="30">
        <f>ROUND(IF(AQ116="2",BH116,0),2)</f>
        <v>0</v>
      </c>
      <c r="AG116" s="30">
        <f>ROUND(IF(AQ116="2",BI116,0),2)</f>
        <v>0</v>
      </c>
      <c r="AH116" s="30">
        <f>ROUND(IF(AQ116="0",BJ116,0),2)</f>
        <v>0</v>
      </c>
      <c r="AI116" s="10" t="s">
        <v>54</v>
      </c>
      <c r="AJ116" s="30">
        <f>IF(AN116=0,J116,0)</f>
        <v>0</v>
      </c>
      <c r="AK116" s="30">
        <f>IF(AN116=12,J116,0)</f>
        <v>0</v>
      </c>
      <c r="AL116" s="30">
        <f>IF(AN116=21,J116,0)</f>
        <v>0</v>
      </c>
      <c r="AN116" s="30">
        <v>21</v>
      </c>
      <c r="AO116" s="30">
        <f>G116*0</f>
        <v>0</v>
      </c>
      <c r="AP116" s="30">
        <f>G116*(1-0)</f>
        <v>0</v>
      </c>
      <c r="AQ116" s="33" t="s">
        <v>91</v>
      </c>
      <c r="AV116" s="30">
        <f>ROUND(AW116+AX116,2)</f>
        <v>0</v>
      </c>
      <c r="AW116" s="30">
        <f>ROUND(F116*AO116,2)</f>
        <v>0</v>
      </c>
      <c r="AX116" s="30">
        <f>ROUND(F116*AP116,2)</f>
        <v>0</v>
      </c>
      <c r="AY116" s="33" t="s">
        <v>252</v>
      </c>
      <c r="AZ116" s="33" t="s">
        <v>208</v>
      </c>
      <c r="BA116" s="10" t="s">
        <v>61</v>
      </c>
      <c r="BC116" s="30">
        <f>AW116+AX116</f>
        <v>0</v>
      </c>
      <c r="BD116" s="30">
        <f>G116/(100-BE116)*100</f>
        <v>0</v>
      </c>
      <c r="BE116" s="30">
        <v>0</v>
      </c>
      <c r="BF116" s="30">
        <f>116</f>
        <v>116</v>
      </c>
      <c r="BH116" s="30">
        <f>F116*AO116</f>
        <v>0</v>
      </c>
      <c r="BI116" s="30">
        <f>F116*AP116</f>
        <v>0</v>
      </c>
      <c r="BJ116" s="30">
        <f>F116*G116</f>
        <v>0</v>
      </c>
      <c r="BK116" s="33" t="s">
        <v>62</v>
      </c>
      <c r="BL116" s="30"/>
      <c r="BW116" s="30">
        <v>21</v>
      </c>
      <c r="BX116" s="4" t="s">
        <v>275</v>
      </c>
    </row>
    <row r="117" spans="1:76" x14ac:dyDescent="0.25">
      <c r="A117" s="34"/>
      <c r="B117" s="35" t="s">
        <v>84</v>
      </c>
      <c r="C117" s="102" t="s">
        <v>272</v>
      </c>
      <c r="D117" s="103"/>
      <c r="E117" s="103"/>
      <c r="F117" s="103"/>
      <c r="G117" s="104"/>
      <c r="H117" s="103"/>
      <c r="I117" s="103"/>
      <c r="J117" s="103"/>
      <c r="K117" s="105"/>
      <c r="BX117" s="36" t="s">
        <v>272</v>
      </c>
    </row>
    <row r="118" spans="1:76" x14ac:dyDescent="0.25">
      <c r="A118" s="25" t="s">
        <v>50</v>
      </c>
      <c r="B118" s="26" t="s">
        <v>276</v>
      </c>
      <c r="C118" s="93" t="s">
        <v>277</v>
      </c>
      <c r="D118" s="94"/>
      <c r="E118" s="27" t="s">
        <v>4</v>
      </c>
      <c r="F118" s="27" t="s">
        <v>4</v>
      </c>
      <c r="G118" s="28" t="s">
        <v>4</v>
      </c>
      <c r="H118" s="1">
        <f>H119+H123</f>
        <v>0</v>
      </c>
      <c r="I118" s="1">
        <f>I119+I123</f>
        <v>0</v>
      </c>
      <c r="J118" s="1">
        <f>J119+J123</f>
        <v>0</v>
      </c>
      <c r="K118" s="29" t="s">
        <v>50</v>
      </c>
      <c r="AI118" s="10" t="s">
        <v>54</v>
      </c>
    </row>
    <row r="119" spans="1:76" x14ac:dyDescent="0.25">
      <c r="A119" s="25" t="s">
        <v>50</v>
      </c>
      <c r="B119" s="26" t="s">
        <v>278</v>
      </c>
      <c r="C119" s="93" t="s">
        <v>279</v>
      </c>
      <c r="D119" s="94"/>
      <c r="E119" s="27" t="s">
        <v>4</v>
      </c>
      <c r="F119" s="27" t="s">
        <v>4</v>
      </c>
      <c r="G119" s="28" t="s">
        <v>4</v>
      </c>
      <c r="H119" s="1">
        <f>SUM(H120:H122)</f>
        <v>0</v>
      </c>
      <c r="I119" s="1">
        <f>SUM(I120:I122)</f>
        <v>0</v>
      </c>
      <c r="J119" s="1">
        <f>SUM(J120:J122)</f>
        <v>0</v>
      </c>
      <c r="K119" s="29" t="s">
        <v>50</v>
      </c>
      <c r="AI119" s="10" t="s">
        <v>54</v>
      </c>
      <c r="AS119" s="1">
        <f>SUM(AJ120:AJ122)</f>
        <v>0</v>
      </c>
      <c r="AT119" s="1">
        <f>SUM(AK120:AK122)</f>
        <v>0</v>
      </c>
      <c r="AU119" s="1">
        <f>SUM(AL120:AL122)</f>
        <v>0</v>
      </c>
    </row>
    <row r="120" spans="1:76" x14ac:dyDescent="0.25">
      <c r="A120" s="2" t="s">
        <v>280</v>
      </c>
      <c r="B120" s="3" t="s">
        <v>281</v>
      </c>
      <c r="C120" s="76" t="s">
        <v>282</v>
      </c>
      <c r="D120" s="71"/>
      <c r="E120" s="3" t="s">
        <v>283</v>
      </c>
      <c r="F120" s="30">
        <v>1</v>
      </c>
      <c r="G120" s="31">
        <v>0</v>
      </c>
      <c r="H120" s="30">
        <f>ROUND(F120*AO120,2)</f>
        <v>0</v>
      </c>
      <c r="I120" s="30">
        <f>ROUND(F120*AP120,2)</f>
        <v>0</v>
      </c>
      <c r="J120" s="30">
        <f>ROUND(F120*G120,2)</f>
        <v>0</v>
      </c>
      <c r="K120" s="32" t="s">
        <v>79</v>
      </c>
      <c r="Z120" s="30">
        <f>ROUND(IF(AQ120="5",BJ120,0),2)</f>
        <v>0</v>
      </c>
      <c r="AB120" s="30">
        <f>ROUND(IF(AQ120="1",BH120,0),2)</f>
        <v>0</v>
      </c>
      <c r="AC120" s="30">
        <f>ROUND(IF(AQ120="1",BI120,0),2)</f>
        <v>0</v>
      </c>
      <c r="AD120" s="30">
        <f>ROUND(IF(AQ120="7",BH120,0),2)</f>
        <v>0</v>
      </c>
      <c r="AE120" s="30">
        <f>ROUND(IF(AQ120="7",BI120,0),2)</f>
        <v>0</v>
      </c>
      <c r="AF120" s="30">
        <f>ROUND(IF(AQ120="2",BH120,0),2)</f>
        <v>0</v>
      </c>
      <c r="AG120" s="30">
        <f>ROUND(IF(AQ120="2",BI120,0),2)</f>
        <v>0</v>
      </c>
      <c r="AH120" s="30">
        <f>ROUND(IF(AQ120="0",BJ120,0),2)</f>
        <v>0</v>
      </c>
      <c r="AI120" s="10" t="s">
        <v>54</v>
      </c>
      <c r="AJ120" s="30">
        <f>IF(AN120=0,J120,0)</f>
        <v>0</v>
      </c>
      <c r="AK120" s="30">
        <f>IF(AN120=12,J120,0)</f>
        <v>0</v>
      </c>
      <c r="AL120" s="30">
        <f>IF(AN120=21,J120,0)</f>
        <v>0</v>
      </c>
      <c r="AN120" s="30">
        <v>21</v>
      </c>
      <c r="AO120" s="30">
        <f>G120*0</f>
        <v>0</v>
      </c>
      <c r="AP120" s="30">
        <f>G120*(1-0)</f>
        <v>0</v>
      </c>
      <c r="AQ120" s="33" t="s">
        <v>284</v>
      </c>
      <c r="AV120" s="30">
        <f>ROUND(AW120+AX120,2)</f>
        <v>0</v>
      </c>
      <c r="AW120" s="30">
        <f>ROUND(F120*AO120,2)</f>
        <v>0</v>
      </c>
      <c r="AX120" s="30">
        <f>ROUND(F120*AP120,2)</f>
        <v>0</v>
      </c>
      <c r="AY120" s="33" t="s">
        <v>285</v>
      </c>
      <c r="AZ120" s="33" t="s">
        <v>286</v>
      </c>
      <c r="BA120" s="10" t="s">
        <v>61</v>
      </c>
      <c r="BC120" s="30">
        <f>AW120+AX120</f>
        <v>0</v>
      </c>
      <c r="BD120" s="30">
        <f>G120/(100-BE120)*100</f>
        <v>0</v>
      </c>
      <c r="BE120" s="30">
        <v>0</v>
      </c>
      <c r="BF120" s="30">
        <f>120</f>
        <v>120</v>
      </c>
      <c r="BH120" s="30">
        <f>F120*AO120</f>
        <v>0</v>
      </c>
      <c r="BI120" s="30">
        <f>F120*AP120</f>
        <v>0</v>
      </c>
      <c r="BJ120" s="30">
        <f>F120*G120</f>
        <v>0</v>
      </c>
      <c r="BK120" s="33" t="s">
        <v>62</v>
      </c>
      <c r="BL120" s="30"/>
      <c r="BM120" s="30">
        <f>F120*G120</f>
        <v>0</v>
      </c>
      <c r="BW120" s="30">
        <v>21</v>
      </c>
      <c r="BX120" s="4" t="s">
        <v>282</v>
      </c>
    </row>
    <row r="121" spans="1:76" x14ac:dyDescent="0.25">
      <c r="A121" s="2" t="s">
        <v>287</v>
      </c>
      <c r="B121" s="3" t="s">
        <v>288</v>
      </c>
      <c r="C121" s="76" t="s">
        <v>289</v>
      </c>
      <c r="D121" s="71"/>
      <c r="E121" s="3" t="s">
        <v>283</v>
      </c>
      <c r="F121" s="30">
        <v>1</v>
      </c>
      <c r="G121" s="31">
        <v>0</v>
      </c>
      <c r="H121" s="30">
        <f>ROUND(F121*AO121,2)</f>
        <v>0</v>
      </c>
      <c r="I121" s="30">
        <f>ROUND(F121*AP121,2)</f>
        <v>0</v>
      </c>
      <c r="J121" s="30">
        <f>ROUND(F121*G121,2)</f>
        <v>0</v>
      </c>
      <c r="K121" s="32" t="s">
        <v>79</v>
      </c>
      <c r="Z121" s="30">
        <f>ROUND(IF(AQ121="5",BJ121,0),2)</f>
        <v>0</v>
      </c>
      <c r="AB121" s="30">
        <f>ROUND(IF(AQ121="1",BH121,0),2)</f>
        <v>0</v>
      </c>
      <c r="AC121" s="30">
        <f>ROUND(IF(AQ121="1",BI121,0),2)</f>
        <v>0</v>
      </c>
      <c r="AD121" s="30">
        <f>ROUND(IF(AQ121="7",BH121,0),2)</f>
        <v>0</v>
      </c>
      <c r="AE121" s="30">
        <f>ROUND(IF(AQ121="7",BI121,0),2)</f>
        <v>0</v>
      </c>
      <c r="AF121" s="30">
        <f>ROUND(IF(AQ121="2",BH121,0),2)</f>
        <v>0</v>
      </c>
      <c r="AG121" s="30">
        <f>ROUND(IF(AQ121="2",BI121,0),2)</f>
        <v>0</v>
      </c>
      <c r="AH121" s="30">
        <f>ROUND(IF(AQ121="0",BJ121,0),2)</f>
        <v>0</v>
      </c>
      <c r="AI121" s="10" t="s">
        <v>54</v>
      </c>
      <c r="AJ121" s="30">
        <f>IF(AN121=0,J121,0)</f>
        <v>0</v>
      </c>
      <c r="AK121" s="30">
        <f>IF(AN121=12,J121,0)</f>
        <v>0</v>
      </c>
      <c r="AL121" s="30">
        <f>IF(AN121=21,J121,0)</f>
        <v>0</v>
      </c>
      <c r="AN121" s="30">
        <v>21</v>
      </c>
      <c r="AO121" s="30">
        <f>G121*0</f>
        <v>0</v>
      </c>
      <c r="AP121" s="30">
        <f>G121*(1-0)</f>
        <v>0</v>
      </c>
      <c r="AQ121" s="33" t="s">
        <v>284</v>
      </c>
      <c r="AV121" s="30">
        <f>ROUND(AW121+AX121,2)</f>
        <v>0</v>
      </c>
      <c r="AW121" s="30">
        <f>ROUND(F121*AO121,2)</f>
        <v>0</v>
      </c>
      <c r="AX121" s="30">
        <f>ROUND(F121*AP121,2)</f>
        <v>0</v>
      </c>
      <c r="AY121" s="33" t="s">
        <v>285</v>
      </c>
      <c r="AZ121" s="33" t="s">
        <v>286</v>
      </c>
      <c r="BA121" s="10" t="s">
        <v>61</v>
      </c>
      <c r="BC121" s="30">
        <f>AW121+AX121</f>
        <v>0</v>
      </c>
      <c r="BD121" s="30">
        <f>G121/(100-BE121)*100</f>
        <v>0</v>
      </c>
      <c r="BE121" s="30">
        <v>0</v>
      </c>
      <c r="BF121" s="30">
        <f>121</f>
        <v>121</v>
      </c>
      <c r="BH121" s="30">
        <f>F121*AO121</f>
        <v>0</v>
      </c>
      <c r="BI121" s="30">
        <f>F121*AP121</f>
        <v>0</v>
      </c>
      <c r="BJ121" s="30">
        <f>F121*G121</f>
        <v>0</v>
      </c>
      <c r="BK121" s="33" t="s">
        <v>62</v>
      </c>
      <c r="BL121" s="30"/>
      <c r="BM121" s="30">
        <f>F121*G121</f>
        <v>0</v>
      </c>
      <c r="BW121" s="30">
        <v>21</v>
      </c>
      <c r="BX121" s="4" t="s">
        <v>289</v>
      </c>
    </row>
    <row r="122" spans="1:76" x14ac:dyDescent="0.25">
      <c r="A122" s="2" t="s">
        <v>290</v>
      </c>
      <c r="B122" s="3" t="s">
        <v>281</v>
      </c>
      <c r="C122" s="76" t="s">
        <v>291</v>
      </c>
      <c r="D122" s="71"/>
      <c r="E122" s="3" t="s">
        <v>283</v>
      </c>
      <c r="F122" s="30">
        <v>1</v>
      </c>
      <c r="G122" s="31">
        <v>0</v>
      </c>
      <c r="H122" s="30">
        <f>ROUND(F122*AO122,2)</f>
        <v>0</v>
      </c>
      <c r="I122" s="30">
        <f>ROUND(F122*AP122,2)</f>
        <v>0</v>
      </c>
      <c r="J122" s="30">
        <f>ROUND(F122*G122,2)</f>
        <v>0</v>
      </c>
      <c r="K122" s="32" t="s">
        <v>79</v>
      </c>
      <c r="Z122" s="30">
        <f>ROUND(IF(AQ122="5",BJ122,0),2)</f>
        <v>0</v>
      </c>
      <c r="AB122" s="30">
        <f>ROUND(IF(AQ122="1",BH122,0),2)</f>
        <v>0</v>
      </c>
      <c r="AC122" s="30">
        <f>ROUND(IF(AQ122="1",BI122,0),2)</f>
        <v>0</v>
      </c>
      <c r="AD122" s="30">
        <f>ROUND(IF(AQ122="7",BH122,0),2)</f>
        <v>0</v>
      </c>
      <c r="AE122" s="30">
        <f>ROUND(IF(AQ122="7",BI122,0),2)</f>
        <v>0</v>
      </c>
      <c r="AF122" s="30">
        <f>ROUND(IF(AQ122="2",BH122,0),2)</f>
        <v>0</v>
      </c>
      <c r="AG122" s="30">
        <f>ROUND(IF(AQ122="2",BI122,0),2)</f>
        <v>0</v>
      </c>
      <c r="AH122" s="30">
        <f>ROUND(IF(AQ122="0",BJ122,0),2)</f>
        <v>0</v>
      </c>
      <c r="AI122" s="10" t="s">
        <v>54</v>
      </c>
      <c r="AJ122" s="30">
        <f>IF(AN122=0,J122,0)</f>
        <v>0</v>
      </c>
      <c r="AK122" s="30">
        <f>IF(AN122=12,J122,0)</f>
        <v>0</v>
      </c>
      <c r="AL122" s="30">
        <f>IF(AN122=21,J122,0)</f>
        <v>0</v>
      </c>
      <c r="AN122" s="30">
        <v>21</v>
      </c>
      <c r="AO122" s="30">
        <f>G122*0</f>
        <v>0</v>
      </c>
      <c r="AP122" s="30">
        <f>G122*(1-0)</f>
        <v>0</v>
      </c>
      <c r="AQ122" s="33" t="s">
        <v>284</v>
      </c>
      <c r="AV122" s="30">
        <f>ROUND(AW122+AX122,2)</f>
        <v>0</v>
      </c>
      <c r="AW122" s="30">
        <f>ROUND(F122*AO122,2)</f>
        <v>0</v>
      </c>
      <c r="AX122" s="30">
        <f>ROUND(F122*AP122,2)</f>
        <v>0</v>
      </c>
      <c r="AY122" s="33" t="s">
        <v>285</v>
      </c>
      <c r="AZ122" s="33" t="s">
        <v>286</v>
      </c>
      <c r="BA122" s="10" t="s">
        <v>61</v>
      </c>
      <c r="BC122" s="30">
        <f>AW122+AX122</f>
        <v>0</v>
      </c>
      <c r="BD122" s="30">
        <f>G122/(100-BE122)*100</f>
        <v>0</v>
      </c>
      <c r="BE122" s="30">
        <v>0</v>
      </c>
      <c r="BF122" s="30">
        <f>122</f>
        <v>122</v>
      </c>
      <c r="BH122" s="30">
        <f>F122*AO122</f>
        <v>0</v>
      </c>
      <c r="BI122" s="30">
        <f>F122*AP122</f>
        <v>0</v>
      </c>
      <c r="BJ122" s="30">
        <f>F122*G122</f>
        <v>0</v>
      </c>
      <c r="BK122" s="33" t="s">
        <v>62</v>
      </c>
      <c r="BL122" s="30"/>
      <c r="BM122" s="30">
        <f>F122*G122</f>
        <v>0</v>
      </c>
      <c r="BW122" s="30">
        <v>21</v>
      </c>
      <c r="BX122" s="4" t="s">
        <v>291</v>
      </c>
    </row>
    <row r="123" spans="1:76" x14ac:dyDescent="0.25">
      <c r="A123" s="25" t="s">
        <v>50</v>
      </c>
      <c r="B123" s="26" t="s">
        <v>292</v>
      </c>
      <c r="C123" s="93" t="s">
        <v>293</v>
      </c>
      <c r="D123" s="94"/>
      <c r="E123" s="27" t="s">
        <v>4</v>
      </c>
      <c r="F123" s="27" t="s">
        <v>4</v>
      </c>
      <c r="G123" s="28" t="s">
        <v>4</v>
      </c>
      <c r="H123" s="1">
        <f>SUM(H124:H129)</f>
        <v>0</v>
      </c>
      <c r="I123" s="1">
        <f>SUM(I124:I129)</f>
        <v>0</v>
      </c>
      <c r="J123" s="1">
        <f>SUM(J124:J129)</f>
        <v>0</v>
      </c>
      <c r="K123" s="29" t="s">
        <v>50</v>
      </c>
      <c r="AI123" s="10" t="s">
        <v>54</v>
      </c>
      <c r="AS123" s="1">
        <f>SUM(AJ124:AJ129)</f>
        <v>0</v>
      </c>
      <c r="AT123" s="1">
        <f>SUM(AK124:AK129)</f>
        <v>0</v>
      </c>
      <c r="AU123" s="1">
        <f>SUM(AL124:AL129)</f>
        <v>0</v>
      </c>
    </row>
    <row r="124" spans="1:76" x14ac:dyDescent="0.25">
      <c r="A124" s="2" t="s">
        <v>294</v>
      </c>
      <c r="B124" s="3" t="s">
        <v>295</v>
      </c>
      <c r="C124" s="76" t="s">
        <v>293</v>
      </c>
      <c r="D124" s="71"/>
      <c r="E124" s="3" t="s">
        <v>283</v>
      </c>
      <c r="F124" s="30">
        <v>1</v>
      </c>
      <c r="G124" s="31">
        <v>0</v>
      </c>
      <c r="H124" s="30">
        <f>ROUND(F124*AO124,2)</f>
        <v>0</v>
      </c>
      <c r="I124" s="30">
        <f>ROUND(F124*AP124,2)</f>
        <v>0</v>
      </c>
      <c r="J124" s="30">
        <f>ROUND(F124*G124,2)</f>
        <v>0</v>
      </c>
      <c r="K124" s="32" t="s">
        <v>79</v>
      </c>
      <c r="Z124" s="30">
        <f>ROUND(IF(AQ124="5",BJ124,0),2)</f>
        <v>0</v>
      </c>
      <c r="AB124" s="30">
        <f>ROUND(IF(AQ124="1",BH124,0),2)</f>
        <v>0</v>
      </c>
      <c r="AC124" s="30">
        <f>ROUND(IF(AQ124="1",BI124,0),2)</f>
        <v>0</v>
      </c>
      <c r="AD124" s="30">
        <f>ROUND(IF(AQ124="7",BH124,0),2)</f>
        <v>0</v>
      </c>
      <c r="AE124" s="30">
        <f>ROUND(IF(AQ124="7",BI124,0),2)</f>
        <v>0</v>
      </c>
      <c r="AF124" s="30">
        <f>ROUND(IF(AQ124="2",BH124,0),2)</f>
        <v>0</v>
      </c>
      <c r="AG124" s="30">
        <f>ROUND(IF(AQ124="2",BI124,0),2)</f>
        <v>0</v>
      </c>
      <c r="AH124" s="30">
        <f>ROUND(IF(AQ124="0",BJ124,0),2)</f>
        <v>0</v>
      </c>
      <c r="AI124" s="10" t="s">
        <v>54</v>
      </c>
      <c r="AJ124" s="30">
        <f>IF(AN124=0,J124,0)</f>
        <v>0</v>
      </c>
      <c r="AK124" s="30">
        <f>IF(AN124=12,J124,0)</f>
        <v>0</v>
      </c>
      <c r="AL124" s="30">
        <f>IF(AN124=21,J124,0)</f>
        <v>0</v>
      </c>
      <c r="AN124" s="30">
        <v>21</v>
      </c>
      <c r="AO124" s="30">
        <f>G124*0</f>
        <v>0</v>
      </c>
      <c r="AP124" s="30">
        <f>G124*(1-0)</f>
        <v>0</v>
      </c>
      <c r="AQ124" s="33" t="s">
        <v>284</v>
      </c>
      <c r="AV124" s="30">
        <f>ROUND(AW124+AX124,2)</f>
        <v>0</v>
      </c>
      <c r="AW124" s="30">
        <f>ROUND(F124*AO124,2)</f>
        <v>0</v>
      </c>
      <c r="AX124" s="30">
        <f>ROUND(F124*AP124,2)</f>
        <v>0</v>
      </c>
      <c r="AY124" s="33" t="s">
        <v>296</v>
      </c>
      <c r="AZ124" s="33" t="s">
        <v>286</v>
      </c>
      <c r="BA124" s="10" t="s">
        <v>61</v>
      </c>
      <c r="BC124" s="30">
        <f>AW124+AX124</f>
        <v>0</v>
      </c>
      <c r="BD124" s="30">
        <f>G124/(100-BE124)*100</f>
        <v>0</v>
      </c>
      <c r="BE124" s="30">
        <v>0</v>
      </c>
      <c r="BF124" s="30">
        <f>124</f>
        <v>124</v>
      </c>
      <c r="BH124" s="30">
        <f>F124*AO124</f>
        <v>0</v>
      </c>
      <c r="BI124" s="30">
        <f>F124*AP124</f>
        <v>0</v>
      </c>
      <c r="BJ124" s="30">
        <f>F124*G124</f>
        <v>0</v>
      </c>
      <c r="BK124" s="33" t="s">
        <v>62</v>
      </c>
      <c r="BL124" s="30"/>
      <c r="BO124" s="30">
        <f>F124*G124</f>
        <v>0</v>
      </c>
      <c r="BW124" s="30">
        <v>21</v>
      </c>
      <c r="BX124" s="4" t="s">
        <v>293</v>
      </c>
    </row>
    <row r="125" spans="1:76" x14ac:dyDescent="0.25">
      <c r="A125" s="2" t="s">
        <v>297</v>
      </c>
      <c r="B125" s="3" t="s">
        <v>298</v>
      </c>
      <c r="C125" s="76" t="s">
        <v>299</v>
      </c>
      <c r="D125" s="71"/>
      <c r="E125" s="3" t="s">
        <v>283</v>
      </c>
      <c r="F125" s="30">
        <v>4</v>
      </c>
      <c r="G125" s="31">
        <v>0</v>
      </c>
      <c r="H125" s="30">
        <f>ROUND(F125*AO125,2)</f>
        <v>0</v>
      </c>
      <c r="I125" s="30">
        <f>ROUND(F125*AP125,2)</f>
        <v>0</v>
      </c>
      <c r="J125" s="30">
        <f>ROUND(F125*G125,2)</f>
        <v>0</v>
      </c>
      <c r="K125" s="32" t="s">
        <v>79</v>
      </c>
      <c r="Z125" s="30">
        <f>ROUND(IF(AQ125="5",BJ125,0),2)</f>
        <v>0</v>
      </c>
      <c r="AB125" s="30">
        <f>ROUND(IF(AQ125="1",BH125,0),2)</f>
        <v>0</v>
      </c>
      <c r="AC125" s="30">
        <f>ROUND(IF(AQ125="1",BI125,0),2)</f>
        <v>0</v>
      </c>
      <c r="AD125" s="30">
        <f>ROUND(IF(AQ125="7",BH125,0),2)</f>
        <v>0</v>
      </c>
      <c r="AE125" s="30">
        <f>ROUND(IF(AQ125="7",BI125,0),2)</f>
        <v>0</v>
      </c>
      <c r="AF125" s="30">
        <f>ROUND(IF(AQ125="2",BH125,0),2)</f>
        <v>0</v>
      </c>
      <c r="AG125" s="30">
        <f>ROUND(IF(AQ125="2",BI125,0),2)</f>
        <v>0</v>
      </c>
      <c r="AH125" s="30">
        <f>ROUND(IF(AQ125="0",BJ125,0),2)</f>
        <v>0</v>
      </c>
      <c r="AI125" s="10" t="s">
        <v>54</v>
      </c>
      <c r="AJ125" s="30">
        <f>IF(AN125=0,J125,0)</f>
        <v>0</v>
      </c>
      <c r="AK125" s="30">
        <f>IF(AN125=12,J125,0)</f>
        <v>0</v>
      </c>
      <c r="AL125" s="30">
        <f>IF(AN125=21,J125,0)</f>
        <v>0</v>
      </c>
      <c r="AN125" s="30">
        <v>21</v>
      </c>
      <c r="AO125" s="30">
        <f>G125*0</f>
        <v>0</v>
      </c>
      <c r="AP125" s="30">
        <f>G125*(1-0)</f>
        <v>0</v>
      </c>
      <c r="AQ125" s="33" t="s">
        <v>284</v>
      </c>
      <c r="AV125" s="30">
        <f>ROUND(AW125+AX125,2)</f>
        <v>0</v>
      </c>
      <c r="AW125" s="30">
        <f>ROUND(F125*AO125,2)</f>
        <v>0</v>
      </c>
      <c r="AX125" s="30">
        <f>ROUND(F125*AP125,2)</f>
        <v>0</v>
      </c>
      <c r="AY125" s="33" t="s">
        <v>296</v>
      </c>
      <c r="AZ125" s="33" t="s">
        <v>286</v>
      </c>
      <c r="BA125" s="10" t="s">
        <v>61</v>
      </c>
      <c r="BC125" s="30">
        <f>AW125+AX125</f>
        <v>0</v>
      </c>
      <c r="BD125" s="30">
        <f>G125/(100-BE125)*100</f>
        <v>0</v>
      </c>
      <c r="BE125" s="30">
        <v>0</v>
      </c>
      <c r="BF125" s="30">
        <f>125</f>
        <v>125</v>
      </c>
      <c r="BH125" s="30">
        <f>F125*AO125</f>
        <v>0</v>
      </c>
      <c r="BI125" s="30">
        <f>F125*AP125</f>
        <v>0</v>
      </c>
      <c r="BJ125" s="30">
        <f>F125*G125</f>
        <v>0</v>
      </c>
      <c r="BK125" s="33" t="s">
        <v>62</v>
      </c>
      <c r="BL125" s="30"/>
      <c r="BO125" s="30">
        <f>F125*G125</f>
        <v>0</v>
      </c>
      <c r="BW125" s="30">
        <v>21</v>
      </c>
      <c r="BX125" s="4" t="s">
        <v>299</v>
      </c>
    </row>
    <row r="126" spans="1:76" ht="13.5" customHeight="1" x14ac:dyDescent="0.25">
      <c r="A126" s="34"/>
      <c r="B126" s="35" t="s">
        <v>63</v>
      </c>
      <c r="C126" s="89" t="s">
        <v>300</v>
      </c>
      <c r="D126" s="90"/>
      <c r="E126" s="90"/>
      <c r="F126" s="90"/>
      <c r="G126" s="91"/>
      <c r="H126" s="90"/>
      <c r="I126" s="90"/>
      <c r="J126" s="90"/>
      <c r="K126" s="92"/>
    </row>
    <row r="127" spans="1:76" x14ac:dyDescent="0.25">
      <c r="A127" s="2" t="s">
        <v>301</v>
      </c>
      <c r="B127" s="3" t="s">
        <v>302</v>
      </c>
      <c r="C127" s="76" t="s">
        <v>303</v>
      </c>
      <c r="D127" s="71"/>
      <c r="E127" s="3" t="s">
        <v>283</v>
      </c>
      <c r="F127" s="30">
        <v>1</v>
      </c>
      <c r="G127" s="31">
        <v>0</v>
      </c>
      <c r="H127" s="30">
        <f>ROUND(F127*AO127,2)</f>
        <v>0</v>
      </c>
      <c r="I127" s="30">
        <f>ROUND(F127*AP127,2)</f>
        <v>0</v>
      </c>
      <c r="J127" s="30">
        <f>ROUND(F127*G127,2)</f>
        <v>0</v>
      </c>
      <c r="K127" s="32" t="s">
        <v>79</v>
      </c>
      <c r="Z127" s="30">
        <f>ROUND(IF(AQ127="5",BJ127,0),2)</f>
        <v>0</v>
      </c>
      <c r="AB127" s="30">
        <f>ROUND(IF(AQ127="1",BH127,0),2)</f>
        <v>0</v>
      </c>
      <c r="AC127" s="30">
        <f>ROUND(IF(AQ127="1",BI127,0),2)</f>
        <v>0</v>
      </c>
      <c r="AD127" s="30">
        <f>ROUND(IF(AQ127="7",BH127,0),2)</f>
        <v>0</v>
      </c>
      <c r="AE127" s="30">
        <f>ROUND(IF(AQ127="7",BI127,0),2)</f>
        <v>0</v>
      </c>
      <c r="AF127" s="30">
        <f>ROUND(IF(AQ127="2",BH127,0),2)</f>
        <v>0</v>
      </c>
      <c r="AG127" s="30">
        <f>ROUND(IF(AQ127="2",BI127,0),2)</f>
        <v>0</v>
      </c>
      <c r="AH127" s="30">
        <f>ROUND(IF(AQ127="0",BJ127,0),2)</f>
        <v>0</v>
      </c>
      <c r="AI127" s="10" t="s">
        <v>54</v>
      </c>
      <c r="AJ127" s="30">
        <f>IF(AN127=0,J127,0)</f>
        <v>0</v>
      </c>
      <c r="AK127" s="30">
        <f>IF(AN127=12,J127,0)</f>
        <v>0</v>
      </c>
      <c r="AL127" s="30">
        <f>IF(AN127=21,J127,0)</f>
        <v>0</v>
      </c>
      <c r="AN127" s="30">
        <v>21</v>
      </c>
      <c r="AO127" s="30">
        <f>G127*0</f>
        <v>0</v>
      </c>
      <c r="AP127" s="30">
        <f>G127*(1-0)</f>
        <v>0</v>
      </c>
      <c r="AQ127" s="33" t="s">
        <v>284</v>
      </c>
      <c r="AV127" s="30">
        <f>ROUND(AW127+AX127,2)</f>
        <v>0</v>
      </c>
      <c r="AW127" s="30">
        <f>ROUND(F127*AO127,2)</f>
        <v>0</v>
      </c>
      <c r="AX127" s="30">
        <f>ROUND(F127*AP127,2)</f>
        <v>0</v>
      </c>
      <c r="AY127" s="33" t="s">
        <v>296</v>
      </c>
      <c r="AZ127" s="33" t="s">
        <v>286</v>
      </c>
      <c r="BA127" s="10" t="s">
        <v>61</v>
      </c>
      <c r="BC127" s="30">
        <f>AW127+AX127</f>
        <v>0</v>
      </c>
      <c r="BD127" s="30">
        <f>G127/(100-BE127)*100</f>
        <v>0</v>
      </c>
      <c r="BE127" s="30">
        <v>0</v>
      </c>
      <c r="BF127" s="30">
        <f>127</f>
        <v>127</v>
      </c>
      <c r="BH127" s="30">
        <f>F127*AO127</f>
        <v>0</v>
      </c>
      <c r="BI127" s="30">
        <f>F127*AP127</f>
        <v>0</v>
      </c>
      <c r="BJ127" s="30">
        <f>F127*G127</f>
        <v>0</v>
      </c>
      <c r="BK127" s="33" t="s">
        <v>62</v>
      </c>
      <c r="BL127" s="30"/>
      <c r="BO127" s="30">
        <f>F127*G127</f>
        <v>0</v>
      </c>
      <c r="BW127" s="30">
        <v>21</v>
      </c>
      <c r="BX127" s="4" t="s">
        <v>303</v>
      </c>
    </row>
    <row r="128" spans="1:76" x14ac:dyDescent="0.25">
      <c r="A128" s="2" t="s">
        <v>304</v>
      </c>
      <c r="B128" s="3" t="s">
        <v>305</v>
      </c>
      <c r="C128" s="76" t="s">
        <v>306</v>
      </c>
      <c r="D128" s="71"/>
      <c r="E128" s="3" t="s">
        <v>283</v>
      </c>
      <c r="F128" s="30">
        <v>1</v>
      </c>
      <c r="G128" s="31">
        <v>0</v>
      </c>
      <c r="H128" s="30">
        <f>ROUND(F128*AO128,2)</f>
        <v>0</v>
      </c>
      <c r="I128" s="30">
        <f>ROUND(F128*AP128,2)</f>
        <v>0</v>
      </c>
      <c r="J128" s="30">
        <f>ROUND(F128*G128,2)</f>
        <v>0</v>
      </c>
      <c r="K128" s="32" t="s">
        <v>79</v>
      </c>
      <c r="Z128" s="30">
        <f>ROUND(IF(AQ128="5",BJ128,0),2)</f>
        <v>0</v>
      </c>
      <c r="AB128" s="30">
        <f>ROUND(IF(AQ128="1",BH128,0),2)</f>
        <v>0</v>
      </c>
      <c r="AC128" s="30">
        <f>ROUND(IF(AQ128="1",BI128,0),2)</f>
        <v>0</v>
      </c>
      <c r="AD128" s="30">
        <f>ROUND(IF(AQ128="7",BH128,0),2)</f>
        <v>0</v>
      </c>
      <c r="AE128" s="30">
        <f>ROUND(IF(AQ128="7",BI128,0),2)</f>
        <v>0</v>
      </c>
      <c r="AF128" s="30">
        <f>ROUND(IF(AQ128="2",BH128,0),2)</f>
        <v>0</v>
      </c>
      <c r="AG128" s="30">
        <f>ROUND(IF(AQ128="2",BI128,0),2)</f>
        <v>0</v>
      </c>
      <c r="AH128" s="30">
        <f>ROUND(IF(AQ128="0",BJ128,0),2)</f>
        <v>0</v>
      </c>
      <c r="AI128" s="10" t="s">
        <v>54</v>
      </c>
      <c r="AJ128" s="30">
        <f>IF(AN128=0,J128,0)</f>
        <v>0</v>
      </c>
      <c r="AK128" s="30">
        <f>IF(AN128=12,J128,0)</f>
        <v>0</v>
      </c>
      <c r="AL128" s="30">
        <f>IF(AN128=21,J128,0)</f>
        <v>0</v>
      </c>
      <c r="AN128" s="30">
        <v>21</v>
      </c>
      <c r="AO128" s="30">
        <f>G128*0</f>
        <v>0</v>
      </c>
      <c r="AP128" s="30">
        <f>G128*(1-0)</f>
        <v>0</v>
      </c>
      <c r="AQ128" s="33" t="s">
        <v>284</v>
      </c>
      <c r="AV128" s="30">
        <f>ROUND(AW128+AX128,2)</f>
        <v>0</v>
      </c>
      <c r="AW128" s="30">
        <f>ROUND(F128*AO128,2)</f>
        <v>0</v>
      </c>
      <c r="AX128" s="30">
        <f>ROUND(F128*AP128,2)</f>
        <v>0</v>
      </c>
      <c r="AY128" s="33" t="s">
        <v>296</v>
      </c>
      <c r="AZ128" s="33" t="s">
        <v>286</v>
      </c>
      <c r="BA128" s="10" t="s">
        <v>61</v>
      </c>
      <c r="BC128" s="30">
        <f>AW128+AX128</f>
        <v>0</v>
      </c>
      <c r="BD128" s="30">
        <f>G128/(100-BE128)*100</f>
        <v>0</v>
      </c>
      <c r="BE128" s="30">
        <v>0</v>
      </c>
      <c r="BF128" s="30">
        <f>128</f>
        <v>128</v>
      </c>
      <c r="BH128" s="30">
        <f>F128*AO128</f>
        <v>0</v>
      </c>
      <c r="BI128" s="30">
        <f>F128*AP128</f>
        <v>0</v>
      </c>
      <c r="BJ128" s="30">
        <f>F128*G128</f>
        <v>0</v>
      </c>
      <c r="BK128" s="33" t="s">
        <v>62</v>
      </c>
      <c r="BL128" s="30"/>
      <c r="BO128" s="30">
        <f>F128*G128</f>
        <v>0</v>
      </c>
      <c r="BW128" s="30">
        <v>21</v>
      </c>
      <c r="BX128" s="4" t="s">
        <v>306</v>
      </c>
    </row>
    <row r="129" spans="1:76" x14ac:dyDescent="0.25">
      <c r="A129" s="2" t="s">
        <v>307</v>
      </c>
      <c r="B129" s="3" t="s">
        <v>308</v>
      </c>
      <c r="C129" s="76" t="s">
        <v>309</v>
      </c>
      <c r="D129" s="71"/>
      <c r="E129" s="3" t="s">
        <v>283</v>
      </c>
      <c r="F129" s="30">
        <v>1</v>
      </c>
      <c r="G129" s="31">
        <v>0</v>
      </c>
      <c r="H129" s="30">
        <f>ROUND(F129*AO129,2)</f>
        <v>0</v>
      </c>
      <c r="I129" s="30">
        <f>ROUND(F129*AP129,2)</f>
        <v>0</v>
      </c>
      <c r="J129" s="30">
        <f>ROUND(F129*G129,2)</f>
        <v>0</v>
      </c>
      <c r="K129" s="32" t="s">
        <v>79</v>
      </c>
      <c r="Z129" s="30">
        <f>ROUND(IF(AQ129="5",BJ129,0),2)</f>
        <v>0</v>
      </c>
      <c r="AB129" s="30">
        <f>ROUND(IF(AQ129="1",BH129,0),2)</f>
        <v>0</v>
      </c>
      <c r="AC129" s="30">
        <f>ROUND(IF(AQ129="1",BI129,0),2)</f>
        <v>0</v>
      </c>
      <c r="AD129" s="30">
        <f>ROUND(IF(AQ129="7",BH129,0),2)</f>
        <v>0</v>
      </c>
      <c r="AE129" s="30">
        <f>ROUND(IF(AQ129="7",BI129,0),2)</f>
        <v>0</v>
      </c>
      <c r="AF129" s="30">
        <f>ROUND(IF(AQ129="2",BH129,0),2)</f>
        <v>0</v>
      </c>
      <c r="AG129" s="30">
        <f>ROUND(IF(AQ129="2",BI129,0),2)</f>
        <v>0</v>
      </c>
      <c r="AH129" s="30">
        <f>ROUND(IF(AQ129="0",BJ129,0),2)</f>
        <v>0</v>
      </c>
      <c r="AI129" s="10" t="s">
        <v>54</v>
      </c>
      <c r="AJ129" s="30">
        <f>IF(AN129=0,J129,0)</f>
        <v>0</v>
      </c>
      <c r="AK129" s="30">
        <f>IF(AN129=12,J129,0)</f>
        <v>0</v>
      </c>
      <c r="AL129" s="30">
        <f>IF(AN129=21,J129,0)</f>
        <v>0</v>
      </c>
      <c r="AN129" s="30">
        <v>21</v>
      </c>
      <c r="AO129" s="30">
        <f>G129*0</f>
        <v>0</v>
      </c>
      <c r="AP129" s="30">
        <f>G129*(1-0)</f>
        <v>0</v>
      </c>
      <c r="AQ129" s="33" t="s">
        <v>284</v>
      </c>
      <c r="AV129" s="30">
        <f>ROUND(AW129+AX129,2)</f>
        <v>0</v>
      </c>
      <c r="AW129" s="30">
        <f>ROUND(F129*AO129,2)</f>
        <v>0</v>
      </c>
      <c r="AX129" s="30">
        <f>ROUND(F129*AP129,2)</f>
        <v>0</v>
      </c>
      <c r="AY129" s="33" t="s">
        <v>296</v>
      </c>
      <c r="AZ129" s="33" t="s">
        <v>286</v>
      </c>
      <c r="BA129" s="10" t="s">
        <v>61</v>
      </c>
      <c r="BC129" s="30">
        <f>AW129+AX129</f>
        <v>0</v>
      </c>
      <c r="BD129" s="30">
        <f>G129/(100-BE129)*100</f>
        <v>0</v>
      </c>
      <c r="BE129" s="30">
        <v>0</v>
      </c>
      <c r="BF129" s="30">
        <f>129</f>
        <v>129</v>
      </c>
      <c r="BH129" s="30">
        <f>F129*AO129</f>
        <v>0</v>
      </c>
      <c r="BI129" s="30">
        <f>F129*AP129</f>
        <v>0</v>
      </c>
      <c r="BJ129" s="30">
        <f>F129*G129</f>
        <v>0</v>
      </c>
      <c r="BK129" s="33" t="s">
        <v>62</v>
      </c>
      <c r="BL129" s="30"/>
      <c r="BO129" s="30">
        <f>F129*G129</f>
        <v>0</v>
      </c>
      <c r="BW129" s="30">
        <v>21</v>
      </c>
      <c r="BX129" s="4" t="s">
        <v>309</v>
      </c>
    </row>
    <row r="130" spans="1:76" x14ac:dyDescent="0.25">
      <c r="A130" s="25" t="s">
        <v>50</v>
      </c>
      <c r="B130" s="26" t="s">
        <v>50</v>
      </c>
      <c r="C130" s="93" t="s">
        <v>310</v>
      </c>
      <c r="D130" s="94"/>
      <c r="E130" s="27" t="s">
        <v>4</v>
      </c>
      <c r="F130" s="27" t="s">
        <v>4</v>
      </c>
      <c r="G130" s="28" t="s">
        <v>4</v>
      </c>
      <c r="H130" s="1">
        <f>H131+H139+H148+H156+H165+H186+H202+H207+H211+H220</f>
        <v>0</v>
      </c>
      <c r="I130" s="1">
        <f>I131+I139+I148+I156+I165+I186+I202+I207+I211+I220</f>
        <v>0</v>
      </c>
      <c r="J130" s="1">
        <f>J131+J139+J148+J156+J165+J186+J202+J207+J211+J220</f>
        <v>0</v>
      </c>
      <c r="K130" s="29" t="s">
        <v>50</v>
      </c>
    </row>
    <row r="131" spans="1:76" x14ac:dyDescent="0.25">
      <c r="A131" s="25" t="s">
        <v>50</v>
      </c>
      <c r="B131" s="26" t="s">
        <v>158</v>
      </c>
      <c r="C131" s="93" t="s">
        <v>159</v>
      </c>
      <c r="D131" s="94"/>
      <c r="E131" s="27" t="s">
        <v>4</v>
      </c>
      <c r="F131" s="27" t="s">
        <v>4</v>
      </c>
      <c r="G131" s="28" t="s">
        <v>4</v>
      </c>
      <c r="H131" s="1">
        <f>SUM(H132:H132)</f>
        <v>0</v>
      </c>
      <c r="I131" s="1">
        <f>SUM(I132:I132)</f>
        <v>0</v>
      </c>
      <c r="J131" s="1">
        <f>SUM(J132:J132)</f>
        <v>0</v>
      </c>
      <c r="K131" s="29" t="s">
        <v>50</v>
      </c>
      <c r="AI131" s="10" t="s">
        <v>311</v>
      </c>
      <c r="AS131" s="1">
        <f>SUM(AJ132:AJ132)</f>
        <v>0</v>
      </c>
      <c r="AT131" s="1">
        <f>SUM(AK132:AK132)</f>
        <v>0</v>
      </c>
      <c r="AU131" s="1">
        <f>SUM(AL132:AL132)</f>
        <v>0</v>
      </c>
    </row>
    <row r="132" spans="1:76" x14ac:dyDescent="0.25">
      <c r="A132" s="2" t="s">
        <v>312</v>
      </c>
      <c r="B132" s="3" t="s">
        <v>313</v>
      </c>
      <c r="C132" s="76" t="s">
        <v>314</v>
      </c>
      <c r="D132" s="71"/>
      <c r="E132" s="3" t="s">
        <v>78</v>
      </c>
      <c r="F132" s="30">
        <v>328</v>
      </c>
      <c r="G132" s="31">
        <v>0</v>
      </c>
      <c r="H132" s="30">
        <f>ROUND(F132*AO132,2)</f>
        <v>0</v>
      </c>
      <c r="I132" s="30">
        <f>ROUND(F132*AP132,2)</f>
        <v>0</v>
      </c>
      <c r="J132" s="30">
        <f>ROUND(F132*G132,2)</f>
        <v>0</v>
      </c>
      <c r="K132" s="32" t="s">
        <v>79</v>
      </c>
      <c r="Z132" s="30">
        <f>ROUND(IF(AQ132="5",BJ132,0),2)</f>
        <v>0</v>
      </c>
      <c r="AB132" s="30">
        <f>ROUND(IF(AQ132="1",BH132,0),2)</f>
        <v>0</v>
      </c>
      <c r="AC132" s="30">
        <f>ROUND(IF(AQ132="1",BI132,0),2)</f>
        <v>0</v>
      </c>
      <c r="AD132" s="30">
        <f>ROUND(IF(AQ132="7",BH132,0),2)</f>
        <v>0</v>
      </c>
      <c r="AE132" s="30">
        <f>ROUND(IF(AQ132="7",BI132,0),2)</f>
        <v>0</v>
      </c>
      <c r="AF132" s="30">
        <f>ROUND(IF(AQ132="2",BH132,0),2)</f>
        <v>0</v>
      </c>
      <c r="AG132" s="30">
        <f>ROUND(IF(AQ132="2",BI132,0),2)</f>
        <v>0</v>
      </c>
      <c r="AH132" s="30">
        <f>ROUND(IF(AQ132="0",BJ132,0),2)</f>
        <v>0</v>
      </c>
      <c r="AI132" s="10" t="s">
        <v>311</v>
      </c>
      <c r="AJ132" s="30">
        <f>IF(AN132=0,J132,0)</f>
        <v>0</v>
      </c>
      <c r="AK132" s="30">
        <f>IF(AN132=12,J132,0)</f>
        <v>0</v>
      </c>
      <c r="AL132" s="30">
        <f>IF(AN132=21,J132,0)</f>
        <v>0</v>
      </c>
      <c r="AN132" s="30">
        <v>21</v>
      </c>
      <c r="AO132" s="30">
        <f>G132*0</f>
        <v>0</v>
      </c>
      <c r="AP132" s="30">
        <f>G132*(1-0)</f>
        <v>0</v>
      </c>
      <c r="AQ132" s="33" t="s">
        <v>55</v>
      </c>
      <c r="AV132" s="30">
        <f>ROUND(AW132+AX132,2)</f>
        <v>0</v>
      </c>
      <c r="AW132" s="30">
        <f>ROUND(F132*AO132,2)</f>
        <v>0</v>
      </c>
      <c r="AX132" s="30">
        <f>ROUND(F132*AP132,2)</f>
        <v>0</v>
      </c>
      <c r="AY132" s="33" t="s">
        <v>163</v>
      </c>
      <c r="AZ132" s="33" t="s">
        <v>315</v>
      </c>
      <c r="BA132" s="10" t="s">
        <v>316</v>
      </c>
      <c r="BC132" s="30">
        <f>AW132+AX132</f>
        <v>0</v>
      </c>
      <c r="BD132" s="30">
        <f>G132/(100-BE132)*100</f>
        <v>0</v>
      </c>
      <c r="BE132" s="30">
        <v>0</v>
      </c>
      <c r="BF132" s="30">
        <f>132</f>
        <v>132</v>
      </c>
      <c r="BH132" s="30">
        <f>F132*AO132</f>
        <v>0</v>
      </c>
      <c r="BI132" s="30">
        <f>F132*AP132</f>
        <v>0</v>
      </c>
      <c r="BJ132" s="30">
        <f>F132*G132</f>
        <v>0</v>
      </c>
      <c r="BK132" s="33" t="s">
        <v>62</v>
      </c>
      <c r="BL132" s="30">
        <v>18</v>
      </c>
      <c r="BW132" s="30">
        <v>21</v>
      </c>
      <c r="BX132" s="4" t="s">
        <v>314</v>
      </c>
    </row>
    <row r="133" spans="1:76" ht="13.5" customHeight="1" x14ac:dyDescent="0.25">
      <c r="A133" s="34"/>
      <c r="B133" s="35" t="s">
        <v>63</v>
      </c>
      <c r="C133" s="89" t="s">
        <v>317</v>
      </c>
      <c r="D133" s="90"/>
      <c r="E133" s="90"/>
      <c r="F133" s="90"/>
      <c r="G133" s="91"/>
      <c r="H133" s="90"/>
      <c r="I133" s="90"/>
      <c r="J133" s="90"/>
      <c r="K133" s="92"/>
    </row>
    <row r="134" spans="1:76" x14ac:dyDescent="0.25">
      <c r="A134" s="34"/>
      <c r="C134" s="37" t="s">
        <v>318</v>
      </c>
      <c r="D134" s="37" t="s">
        <v>319</v>
      </c>
      <c r="F134" s="38">
        <v>181.8</v>
      </c>
      <c r="K134" s="39"/>
    </row>
    <row r="135" spans="1:76" x14ac:dyDescent="0.25">
      <c r="A135" s="34"/>
      <c r="C135" s="37" t="s">
        <v>320</v>
      </c>
      <c r="D135" s="37" t="s">
        <v>321</v>
      </c>
      <c r="F135" s="38">
        <v>77.3</v>
      </c>
      <c r="K135" s="39"/>
    </row>
    <row r="136" spans="1:76" x14ac:dyDescent="0.25">
      <c r="A136" s="34"/>
      <c r="C136" s="37" t="s">
        <v>322</v>
      </c>
      <c r="D136" s="37" t="s">
        <v>323</v>
      </c>
      <c r="F136" s="38">
        <v>62.8</v>
      </c>
      <c r="K136" s="39"/>
    </row>
    <row r="137" spans="1:76" x14ac:dyDescent="0.25">
      <c r="A137" s="34"/>
      <c r="C137" s="37" t="s">
        <v>324</v>
      </c>
      <c r="D137" s="37" t="s">
        <v>325</v>
      </c>
      <c r="F137" s="38">
        <v>6.1</v>
      </c>
      <c r="K137" s="39"/>
    </row>
    <row r="138" spans="1:76" x14ac:dyDescent="0.25">
      <c r="A138" s="34"/>
      <c r="B138" s="35" t="s">
        <v>84</v>
      </c>
      <c r="C138" s="102" t="s">
        <v>326</v>
      </c>
      <c r="D138" s="103"/>
      <c r="E138" s="103"/>
      <c r="F138" s="103"/>
      <c r="G138" s="104"/>
      <c r="H138" s="103"/>
      <c r="I138" s="103"/>
      <c r="J138" s="103"/>
      <c r="K138" s="105"/>
      <c r="BX138" s="36" t="s">
        <v>326</v>
      </c>
    </row>
    <row r="139" spans="1:76" x14ac:dyDescent="0.25">
      <c r="A139" s="25" t="s">
        <v>50</v>
      </c>
      <c r="B139" s="26" t="s">
        <v>249</v>
      </c>
      <c r="C139" s="93" t="s">
        <v>327</v>
      </c>
      <c r="D139" s="94"/>
      <c r="E139" s="27" t="s">
        <v>4</v>
      </c>
      <c r="F139" s="27" t="s">
        <v>4</v>
      </c>
      <c r="G139" s="28" t="s">
        <v>4</v>
      </c>
      <c r="H139" s="1">
        <f>SUM(H140:H145)</f>
        <v>0</v>
      </c>
      <c r="I139" s="1">
        <f>SUM(I140:I145)</f>
        <v>0</v>
      </c>
      <c r="J139" s="1">
        <f>SUM(J140:J145)</f>
        <v>0</v>
      </c>
      <c r="K139" s="29" t="s">
        <v>50</v>
      </c>
      <c r="AI139" s="10" t="s">
        <v>311</v>
      </c>
      <c r="AS139" s="1">
        <f>SUM(AJ140:AJ145)</f>
        <v>0</v>
      </c>
      <c r="AT139" s="1">
        <f>SUM(AK140:AK145)</f>
        <v>0</v>
      </c>
      <c r="AU139" s="1">
        <f>SUM(AL140:AL145)</f>
        <v>0</v>
      </c>
    </row>
    <row r="140" spans="1:76" x14ac:dyDescent="0.25">
      <c r="A140" s="2" t="s">
        <v>328</v>
      </c>
      <c r="B140" s="3" t="s">
        <v>329</v>
      </c>
      <c r="C140" s="76" t="s">
        <v>330</v>
      </c>
      <c r="D140" s="71"/>
      <c r="E140" s="3" t="s">
        <v>129</v>
      </c>
      <c r="F140" s="30">
        <v>5.27</v>
      </c>
      <c r="G140" s="31">
        <v>0</v>
      </c>
      <c r="H140" s="30">
        <f>ROUND(F140*AO140,2)</f>
        <v>0</v>
      </c>
      <c r="I140" s="30">
        <f>ROUND(F140*AP140,2)</f>
        <v>0</v>
      </c>
      <c r="J140" s="30">
        <f>ROUND(F140*G140,2)</f>
        <v>0</v>
      </c>
      <c r="K140" s="32" t="s">
        <v>79</v>
      </c>
      <c r="Z140" s="30">
        <f>ROUND(IF(AQ140="5",BJ140,0),2)</f>
        <v>0</v>
      </c>
      <c r="AB140" s="30">
        <f>ROUND(IF(AQ140="1",BH140,0),2)</f>
        <v>0</v>
      </c>
      <c r="AC140" s="30">
        <f>ROUND(IF(AQ140="1",BI140,0),2)</f>
        <v>0</v>
      </c>
      <c r="AD140" s="30">
        <f>ROUND(IF(AQ140="7",BH140,0),2)</f>
        <v>0</v>
      </c>
      <c r="AE140" s="30">
        <f>ROUND(IF(AQ140="7",BI140,0),2)</f>
        <v>0</v>
      </c>
      <c r="AF140" s="30">
        <f>ROUND(IF(AQ140="2",BH140,0),2)</f>
        <v>0</v>
      </c>
      <c r="AG140" s="30">
        <f>ROUND(IF(AQ140="2",BI140,0),2)</f>
        <v>0</v>
      </c>
      <c r="AH140" s="30">
        <f>ROUND(IF(AQ140="0",BJ140,0),2)</f>
        <v>0</v>
      </c>
      <c r="AI140" s="10" t="s">
        <v>311</v>
      </c>
      <c r="AJ140" s="30">
        <f>IF(AN140=0,J140,0)</f>
        <v>0</v>
      </c>
      <c r="AK140" s="30">
        <f>IF(AN140=12,J140,0)</f>
        <v>0</v>
      </c>
      <c r="AL140" s="30">
        <f>IF(AN140=21,J140,0)</f>
        <v>0</v>
      </c>
      <c r="AN140" s="30">
        <v>21</v>
      </c>
      <c r="AO140" s="30">
        <f>G140*0.651600099</f>
        <v>0</v>
      </c>
      <c r="AP140" s="30">
        <f>G140*(1-0.651600099)</f>
        <v>0</v>
      </c>
      <c r="AQ140" s="33" t="s">
        <v>55</v>
      </c>
      <c r="AV140" s="30">
        <f>ROUND(AW140+AX140,2)</f>
        <v>0</v>
      </c>
      <c r="AW140" s="30">
        <f>ROUND(F140*AO140,2)</f>
        <v>0</v>
      </c>
      <c r="AX140" s="30">
        <f>ROUND(F140*AP140,2)</f>
        <v>0</v>
      </c>
      <c r="AY140" s="33" t="s">
        <v>331</v>
      </c>
      <c r="AZ140" s="33" t="s">
        <v>332</v>
      </c>
      <c r="BA140" s="10" t="s">
        <v>316</v>
      </c>
      <c r="BC140" s="30">
        <f>AW140+AX140</f>
        <v>0</v>
      </c>
      <c r="BD140" s="30">
        <f>G140/(100-BE140)*100</f>
        <v>0</v>
      </c>
      <c r="BE140" s="30">
        <v>0</v>
      </c>
      <c r="BF140" s="30">
        <f>140</f>
        <v>140</v>
      </c>
      <c r="BH140" s="30">
        <f>F140*AO140</f>
        <v>0</v>
      </c>
      <c r="BI140" s="30">
        <f>F140*AP140</f>
        <v>0</v>
      </c>
      <c r="BJ140" s="30">
        <f>F140*G140</f>
        <v>0</v>
      </c>
      <c r="BK140" s="33" t="s">
        <v>62</v>
      </c>
      <c r="BL140" s="30">
        <v>27</v>
      </c>
      <c r="BW140" s="30">
        <v>21</v>
      </c>
      <c r="BX140" s="4" t="s">
        <v>330</v>
      </c>
    </row>
    <row r="141" spans="1:76" ht="27" customHeight="1" x14ac:dyDescent="0.25">
      <c r="A141" s="34"/>
      <c r="B141" s="35" t="s">
        <v>63</v>
      </c>
      <c r="C141" s="89" t="s">
        <v>333</v>
      </c>
      <c r="D141" s="90"/>
      <c r="E141" s="90"/>
      <c r="F141" s="90"/>
      <c r="G141" s="91"/>
      <c r="H141" s="90"/>
      <c r="I141" s="90"/>
      <c r="J141" s="90"/>
      <c r="K141" s="92"/>
    </row>
    <row r="142" spans="1:76" x14ac:dyDescent="0.25">
      <c r="A142" s="34"/>
      <c r="C142" s="37" t="s">
        <v>334</v>
      </c>
      <c r="D142" s="37" t="s">
        <v>335</v>
      </c>
      <c r="F142" s="38">
        <v>5.27</v>
      </c>
      <c r="K142" s="39"/>
    </row>
    <row r="143" spans="1:76" x14ac:dyDescent="0.25">
      <c r="A143" s="2" t="s">
        <v>336</v>
      </c>
      <c r="B143" s="3" t="s">
        <v>337</v>
      </c>
      <c r="C143" s="76" t="s">
        <v>338</v>
      </c>
      <c r="D143" s="71"/>
      <c r="E143" s="3" t="s">
        <v>78</v>
      </c>
      <c r="F143" s="30">
        <v>28</v>
      </c>
      <c r="G143" s="31">
        <v>0</v>
      </c>
      <c r="H143" s="30">
        <f>ROUND(F143*AO143,2)</f>
        <v>0</v>
      </c>
      <c r="I143" s="30">
        <f>ROUND(F143*AP143,2)</f>
        <v>0</v>
      </c>
      <c r="J143" s="30">
        <f>ROUND(F143*G143,2)</f>
        <v>0</v>
      </c>
      <c r="K143" s="32" t="s">
        <v>79</v>
      </c>
      <c r="Z143" s="30">
        <f>ROUND(IF(AQ143="5",BJ143,0),2)</f>
        <v>0</v>
      </c>
      <c r="AB143" s="30">
        <f>ROUND(IF(AQ143="1",BH143,0),2)</f>
        <v>0</v>
      </c>
      <c r="AC143" s="30">
        <f>ROUND(IF(AQ143="1",BI143,0),2)</f>
        <v>0</v>
      </c>
      <c r="AD143" s="30">
        <f>ROUND(IF(AQ143="7",BH143,0),2)</f>
        <v>0</v>
      </c>
      <c r="AE143" s="30">
        <f>ROUND(IF(AQ143="7",BI143,0),2)</f>
        <v>0</v>
      </c>
      <c r="AF143" s="30">
        <f>ROUND(IF(AQ143="2",BH143,0),2)</f>
        <v>0</v>
      </c>
      <c r="AG143" s="30">
        <f>ROUND(IF(AQ143="2",BI143,0),2)</f>
        <v>0</v>
      </c>
      <c r="AH143" s="30">
        <f>ROUND(IF(AQ143="0",BJ143,0),2)</f>
        <v>0</v>
      </c>
      <c r="AI143" s="10" t="s">
        <v>311</v>
      </c>
      <c r="AJ143" s="30">
        <f>IF(AN143=0,J143,0)</f>
        <v>0</v>
      </c>
      <c r="AK143" s="30">
        <f>IF(AN143=12,J143,0)</f>
        <v>0</v>
      </c>
      <c r="AL143" s="30">
        <f>IF(AN143=21,J143,0)</f>
        <v>0</v>
      </c>
      <c r="AN143" s="30">
        <v>21</v>
      </c>
      <c r="AO143" s="30">
        <f>G143*1</f>
        <v>0</v>
      </c>
      <c r="AP143" s="30">
        <f>G143*(1-1)</f>
        <v>0</v>
      </c>
      <c r="AQ143" s="33" t="s">
        <v>55</v>
      </c>
      <c r="AV143" s="30">
        <f>ROUND(AW143+AX143,2)</f>
        <v>0</v>
      </c>
      <c r="AW143" s="30">
        <f>ROUND(F143*AO143,2)</f>
        <v>0</v>
      </c>
      <c r="AX143" s="30">
        <f>ROUND(F143*AP143,2)</f>
        <v>0</v>
      </c>
      <c r="AY143" s="33" t="s">
        <v>331</v>
      </c>
      <c r="AZ143" s="33" t="s">
        <v>332</v>
      </c>
      <c r="BA143" s="10" t="s">
        <v>316</v>
      </c>
      <c r="BC143" s="30">
        <f>AW143+AX143</f>
        <v>0</v>
      </c>
      <c r="BD143" s="30">
        <f>G143/(100-BE143)*100</f>
        <v>0</v>
      </c>
      <c r="BE143" s="30">
        <v>0</v>
      </c>
      <c r="BF143" s="30">
        <f>143</f>
        <v>143</v>
      </c>
      <c r="BH143" s="30">
        <f>F143*AO143</f>
        <v>0</v>
      </c>
      <c r="BI143" s="30">
        <f>F143*AP143</f>
        <v>0</v>
      </c>
      <c r="BJ143" s="30">
        <f>F143*G143</f>
        <v>0</v>
      </c>
      <c r="BK143" s="33" t="s">
        <v>173</v>
      </c>
      <c r="BL143" s="30">
        <v>27</v>
      </c>
      <c r="BW143" s="30">
        <v>21</v>
      </c>
      <c r="BX143" s="4" t="s">
        <v>338</v>
      </c>
    </row>
    <row r="144" spans="1:76" x14ac:dyDescent="0.25">
      <c r="A144" s="34"/>
      <c r="B144" s="35" t="s">
        <v>84</v>
      </c>
      <c r="C144" s="102" t="s">
        <v>339</v>
      </c>
      <c r="D144" s="103"/>
      <c r="E144" s="103"/>
      <c r="F144" s="103"/>
      <c r="G144" s="104"/>
      <c r="H144" s="103"/>
      <c r="I144" s="103"/>
      <c r="J144" s="103"/>
      <c r="K144" s="105"/>
      <c r="BX144" s="36" t="s">
        <v>339</v>
      </c>
    </row>
    <row r="145" spans="1:76" x14ac:dyDescent="0.25">
      <c r="A145" s="2" t="s">
        <v>340</v>
      </c>
      <c r="B145" s="3" t="s">
        <v>341</v>
      </c>
      <c r="C145" s="76" t="s">
        <v>342</v>
      </c>
      <c r="D145" s="71"/>
      <c r="E145" s="3" t="s">
        <v>129</v>
      </c>
      <c r="F145" s="30">
        <v>3</v>
      </c>
      <c r="G145" s="31">
        <v>0</v>
      </c>
      <c r="H145" s="30">
        <f>ROUND(F145*AO145,2)</f>
        <v>0</v>
      </c>
      <c r="I145" s="30">
        <f>ROUND(F145*AP145,2)</f>
        <v>0</v>
      </c>
      <c r="J145" s="30">
        <f>ROUND(F145*G145,2)</f>
        <v>0</v>
      </c>
      <c r="K145" s="32" t="s">
        <v>79</v>
      </c>
      <c r="Z145" s="30">
        <f>ROUND(IF(AQ145="5",BJ145,0),2)</f>
        <v>0</v>
      </c>
      <c r="AB145" s="30">
        <f>ROUND(IF(AQ145="1",BH145,0),2)</f>
        <v>0</v>
      </c>
      <c r="AC145" s="30">
        <f>ROUND(IF(AQ145="1",BI145,0),2)</f>
        <v>0</v>
      </c>
      <c r="AD145" s="30">
        <f>ROUND(IF(AQ145="7",BH145,0),2)</f>
        <v>0</v>
      </c>
      <c r="AE145" s="30">
        <f>ROUND(IF(AQ145="7",BI145,0),2)</f>
        <v>0</v>
      </c>
      <c r="AF145" s="30">
        <f>ROUND(IF(AQ145="2",BH145,0),2)</f>
        <v>0</v>
      </c>
      <c r="AG145" s="30">
        <f>ROUND(IF(AQ145="2",BI145,0),2)</f>
        <v>0</v>
      </c>
      <c r="AH145" s="30">
        <f>ROUND(IF(AQ145="0",BJ145,0),2)</f>
        <v>0</v>
      </c>
      <c r="AI145" s="10" t="s">
        <v>311</v>
      </c>
      <c r="AJ145" s="30">
        <f>IF(AN145=0,J145,0)</f>
        <v>0</v>
      </c>
      <c r="AK145" s="30">
        <f>IF(AN145=12,J145,0)</f>
        <v>0</v>
      </c>
      <c r="AL145" s="30">
        <f>IF(AN145=21,J145,0)</f>
        <v>0</v>
      </c>
      <c r="AN145" s="30">
        <v>21</v>
      </c>
      <c r="AO145" s="30">
        <f>G145*0.904687351</f>
        <v>0</v>
      </c>
      <c r="AP145" s="30">
        <f>G145*(1-0.904687351)</f>
        <v>0</v>
      </c>
      <c r="AQ145" s="33" t="s">
        <v>55</v>
      </c>
      <c r="AV145" s="30">
        <f>ROUND(AW145+AX145,2)</f>
        <v>0</v>
      </c>
      <c r="AW145" s="30">
        <f>ROUND(F145*AO145,2)</f>
        <v>0</v>
      </c>
      <c r="AX145" s="30">
        <f>ROUND(F145*AP145,2)</f>
        <v>0</v>
      </c>
      <c r="AY145" s="33" t="s">
        <v>331</v>
      </c>
      <c r="AZ145" s="33" t="s">
        <v>332</v>
      </c>
      <c r="BA145" s="10" t="s">
        <v>316</v>
      </c>
      <c r="BC145" s="30">
        <f>AW145+AX145</f>
        <v>0</v>
      </c>
      <c r="BD145" s="30">
        <f>G145/(100-BE145)*100</f>
        <v>0</v>
      </c>
      <c r="BE145" s="30">
        <v>0</v>
      </c>
      <c r="BF145" s="30">
        <f>145</f>
        <v>145</v>
      </c>
      <c r="BH145" s="30">
        <f>F145*AO145</f>
        <v>0</v>
      </c>
      <c r="BI145" s="30">
        <f>F145*AP145</f>
        <v>0</v>
      </c>
      <c r="BJ145" s="30">
        <f>F145*G145</f>
        <v>0</v>
      </c>
      <c r="BK145" s="33" t="s">
        <v>62</v>
      </c>
      <c r="BL145" s="30">
        <v>27</v>
      </c>
      <c r="BW145" s="30">
        <v>21</v>
      </c>
      <c r="BX145" s="4" t="s">
        <v>342</v>
      </c>
    </row>
    <row r="146" spans="1:76" x14ac:dyDescent="0.25">
      <c r="A146" s="34"/>
      <c r="C146" s="37" t="s">
        <v>140</v>
      </c>
      <c r="D146" s="37" t="s">
        <v>141</v>
      </c>
      <c r="F146" s="38">
        <v>3</v>
      </c>
      <c r="K146" s="39"/>
    </row>
    <row r="147" spans="1:76" x14ac:dyDescent="0.25">
      <c r="A147" s="34"/>
      <c r="B147" s="35" t="s">
        <v>84</v>
      </c>
      <c r="C147" s="102" t="s">
        <v>343</v>
      </c>
      <c r="D147" s="103"/>
      <c r="E147" s="103"/>
      <c r="F147" s="103"/>
      <c r="G147" s="104"/>
      <c r="H147" s="103"/>
      <c r="I147" s="103"/>
      <c r="J147" s="103"/>
      <c r="K147" s="105"/>
      <c r="BX147" s="36" t="s">
        <v>343</v>
      </c>
    </row>
    <row r="148" spans="1:76" x14ac:dyDescent="0.25">
      <c r="A148" s="25" t="s">
        <v>50</v>
      </c>
      <c r="B148" s="26" t="s">
        <v>344</v>
      </c>
      <c r="C148" s="93" t="s">
        <v>345</v>
      </c>
      <c r="D148" s="94"/>
      <c r="E148" s="27" t="s">
        <v>4</v>
      </c>
      <c r="F148" s="27" t="s">
        <v>4</v>
      </c>
      <c r="G148" s="28" t="s">
        <v>4</v>
      </c>
      <c r="H148" s="1">
        <f>SUM(H149:H155)</f>
        <v>0</v>
      </c>
      <c r="I148" s="1">
        <f>SUM(I149:I155)</f>
        <v>0</v>
      </c>
      <c r="J148" s="1">
        <f>SUM(J149:J155)</f>
        <v>0</v>
      </c>
      <c r="K148" s="29" t="s">
        <v>50</v>
      </c>
      <c r="AI148" s="10" t="s">
        <v>311</v>
      </c>
      <c r="AS148" s="1">
        <f>SUM(AJ149:AJ155)</f>
        <v>0</v>
      </c>
      <c r="AT148" s="1">
        <f>SUM(AK149:AK155)</f>
        <v>0</v>
      </c>
      <c r="AU148" s="1">
        <f>SUM(AL149:AL155)</f>
        <v>0</v>
      </c>
    </row>
    <row r="149" spans="1:76" x14ac:dyDescent="0.25">
      <c r="A149" s="2" t="s">
        <v>346</v>
      </c>
      <c r="B149" s="3" t="s">
        <v>347</v>
      </c>
      <c r="C149" s="76" t="s">
        <v>348</v>
      </c>
      <c r="D149" s="71"/>
      <c r="E149" s="3" t="s">
        <v>78</v>
      </c>
      <c r="F149" s="30">
        <v>316.39999999999998</v>
      </c>
      <c r="G149" s="31">
        <v>0</v>
      </c>
      <c r="H149" s="30">
        <f>ROUND(F149*AO149,2)</f>
        <v>0</v>
      </c>
      <c r="I149" s="30">
        <f>ROUND(F149*AP149,2)</f>
        <v>0</v>
      </c>
      <c r="J149" s="30">
        <f>ROUND(F149*G149,2)</f>
        <v>0</v>
      </c>
      <c r="K149" s="32" t="s">
        <v>79</v>
      </c>
      <c r="Z149" s="30">
        <f>ROUND(IF(AQ149="5",BJ149,0),2)</f>
        <v>0</v>
      </c>
      <c r="AB149" s="30">
        <f>ROUND(IF(AQ149="1",BH149,0),2)</f>
        <v>0</v>
      </c>
      <c r="AC149" s="30">
        <f>ROUND(IF(AQ149="1",BI149,0),2)</f>
        <v>0</v>
      </c>
      <c r="AD149" s="30">
        <f>ROUND(IF(AQ149="7",BH149,0),2)</f>
        <v>0</v>
      </c>
      <c r="AE149" s="30">
        <f>ROUND(IF(AQ149="7",BI149,0),2)</f>
        <v>0</v>
      </c>
      <c r="AF149" s="30">
        <f>ROUND(IF(AQ149="2",BH149,0),2)</f>
        <v>0</v>
      </c>
      <c r="AG149" s="30">
        <f>ROUND(IF(AQ149="2",BI149,0),2)</f>
        <v>0</v>
      </c>
      <c r="AH149" s="30">
        <f>ROUND(IF(AQ149="0",BJ149,0),2)</f>
        <v>0</v>
      </c>
      <c r="AI149" s="10" t="s">
        <v>311</v>
      </c>
      <c r="AJ149" s="30">
        <f>IF(AN149=0,J149,0)</f>
        <v>0</v>
      </c>
      <c r="AK149" s="30">
        <f>IF(AN149=12,J149,0)</f>
        <v>0</v>
      </c>
      <c r="AL149" s="30">
        <f>IF(AN149=21,J149,0)</f>
        <v>0</v>
      </c>
      <c r="AN149" s="30">
        <v>21</v>
      </c>
      <c r="AO149" s="30">
        <f>G149*0.818686869</f>
        <v>0</v>
      </c>
      <c r="AP149" s="30">
        <f>G149*(1-0.818686869)</f>
        <v>0</v>
      </c>
      <c r="AQ149" s="33" t="s">
        <v>55</v>
      </c>
      <c r="AV149" s="30">
        <f>ROUND(AW149+AX149,2)</f>
        <v>0</v>
      </c>
      <c r="AW149" s="30">
        <f>ROUND(F149*AO149,2)</f>
        <v>0</v>
      </c>
      <c r="AX149" s="30">
        <f>ROUND(F149*AP149,2)</f>
        <v>0</v>
      </c>
      <c r="AY149" s="33" t="s">
        <v>349</v>
      </c>
      <c r="AZ149" s="33" t="s">
        <v>350</v>
      </c>
      <c r="BA149" s="10" t="s">
        <v>316</v>
      </c>
      <c r="BC149" s="30">
        <f>AW149+AX149</f>
        <v>0</v>
      </c>
      <c r="BD149" s="30">
        <f>G149/(100-BE149)*100</f>
        <v>0</v>
      </c>
      <c r="BE149" s="30">
        <v>0</v>
      </c>
      <c r="BF149" s="30">
        <f>149</f>
        <v>149</v>
      </c>
      <c r="BH149" s="30">
        <f>F149*AO149</f>
        <v>0</v>
      </c>
      <c r="BI149" s="30">
        <f>F149*AP149</f>
        <v>0</v>
      </c>
      <c r="BJ149" s="30">
        <f>F149*G149</f>
        <v>0</v>
      </c>
      <c r="BK149" s="33" t="s">
        <v>62</v>
      </c>
      <c r="BL149" s="30">
        <v>56</v>
      </c>
      <c r="BW149" s="30">
        <v>21</v>
      </c>
      <c r="BX149" s="4" t="s">
        <v>348</v>
      </c>
    </row>
    <row r="150" spans="1:76" ht="13.5" customHeight="1" x14ac:dyDescent="0.25">
      <c r="A150" s="34"/>
      <c r="B150" s="35" t="s">
        <v>63</v>
      </c>
      <c r="C150" s="89" t="s">
        <v>351</v>
      </c>
      <c r="D150" s="90"/>
      <c r="E150" s="90"/>
      <c r="F150" s="90"/>
      <c r="G150" s="91"/>
      <c r="H150" s="90"/>
      <c r="I150" s="90"/>
      <c r="J150" s="90"/>
      <c r="K150" s="92"/>
    </row>
    <row r="151" spans="1:76" x14ac:dyDescent="0.25">
      <c r="A151" s="34"/>
      <c r="C151" s="37" t="s">
        <v>352</v>
      </c>
      <c r="D151" s="37" t="s">
        <v>319</v>
      </c>
      <c r="F151" s="38">
        <v>177.1</v>
      </c>
      <c r="K151" s="39"/>
    </row>
    <row r="152" spans="1:76" x14ac:dyDescent="0.25">
      <c r="A152" s="34"/>
      <c r="C152" s="37" t="s">
        <v>353</v>
      </c>
      <c r="D152" s="37" t="s">
        <v>321</v>
      </c>
      <c r="F152" s="38">
        <v>73.599999999999994</v>
      </c>
      <c r="K152" s="39"/>
    </row>
    <row r="153" spans="1:76" x14ac:dyDescent="0.25">
      <c r="A153" s="34"/>
      <c r="C153" s="37" t="s">
        <v>354</v>
      </c>
      <c r="D153" s="37" t="s">
        <v>323</v>
      </c>
      <c r="F153" s="38">
        <v>59.9</v>
      </c>
      <c r="K153" s="39"/>
    </row>
    <row r="154" spans="1:76" x14ac:dyDescent="0.25">
      <c r="A154" s="34"/>
      <c r="C154" s="37" t="s">
        <v>355</v>
      </c>
      <c r="D154" s="37" t="s">
        <v>356</v>
      </c>
      <c r="F154" s="38">
        <v>5.8</v>
      </c>
      <c r="K154" s="39"/>
    </row>
    <row r="155" spans="1:76" x14ac:dyDescent="0.25">
      <c r="A155" s="2" t="s">
        <v>357</v>
      </c>
      <c r="B155" s="3" t="s">
        <v>358</v>
      </c>
      <c r="C155" s="76" t="s">
        <v>359</v>
      </c>
      <c r="D155" s="71"/>
      <c r="E155" s="3" t="s">
        <v>78</v>
      </c>
      <c r="F155" s="30">
        <v>5.8</v>
      </c>
      <c r="G155" s="31">
        <v>0</v>
      </c>
      <c r="H155" s="30">
        <f>ROUND(F155*AO155,2)</f>
        <v>0</v>
      </c>
      <c r="I155" s="30">
        <f>ROUND(F155*AP155,2)</f>
        <v>0</v>
      </c>
      <c r="J155" s="30">
        <f>ROUND(F155*G155,2)</f>
        <v>0</v>
      </c>
      <c r="K155" s="32" t="s">
        <v>79</v>
      </c>
      <c r="Z155" s="30">
        <f>ROUND(IF(AQ155="5",BJ155,0),2)</f>
        <v>0</v>
      </c>
      <c r="AB155" s="30">
        <f>ROUND(IF(AQ155="1",BH155,0),2)</f>
        <v>0</v>
      </c>
      <c r="AC155" s="30">
        <f>ROUND(IF(AQ155="1",BI155,0),2)</f>
        <v>0</v>
      </c>
      <c r="AD155" s="30">
        <f>ROUND(IF(AQ155="7",BH155,0),2)</f>
        <v>0</v>
      </c>
      <c r="AE155" s="30">
        <f>ROUND(IF(AQ155="7",BI155,0),2)</f>
        <v>0</v>
      </c>
      <c r="AF155" s="30">
        <f>ROUND(IF(AQ155="2",BH155,0),2)</f>
        <v>0</v>
      </c>
      <c r="AG155" s="30">
        <f>ROUND(IF(AQ155="2",BI155,0),2)</f>
        <v>0</v>
      </c>
      <c r="AH155" s="30">
        <f>ROUND(IF(AQ155="0",BJ155,0),2)</f>
        <v>0</v>
      </c>
      <c r="AI155" s="10" t="s">
        <v>311</v>
      </c>
      <c r="AJ155" s="30">
        <f>IF(AN155=0,J155,0)</f>
        <v>0</v>
      </c>
      <c r="AK155" s="30">
        <f>IF(AN155=12,J155,0)</f>
        <v>0</v>
      </c>
      <c r="AL155" s="30">
        <f>IF(AN155=21,J155,0)</f>
        <v>0</v>
      </c>
      <c r="AN155" s="30">
        <v>21</v>
      </c>
      <c r="AO155" s="30">
        <f>G155*0.929696278</f>
        <v>0</v>
      </c>
      <c r="AP155" s="30">
        <f>G155*(1-0.929696278)</f>
        <v>0</v>
      </c>
      <c r="AQ155" s="33" t="s">
        <v>55</v>
      </c>
      <c r="AV155" s="30">
        <f>ROUND(AW155+AX155,2)</f>
        <v>0</v>
      </c>
      <c r="AW155" s="30">
        <f>ROUND(F155*AO155,2)</f>
        <v>0</v>
      </c>
      <c r="AX155" s="30">
        <f>ROUND(F155*AP155,2)</f>
        <v>0</v>
      </c>
      <c r="AY155" s="33" t="s">
        <v>349</v>
      </c>
      <c r="AZ155" s="33" t="s">
        <v>350</v>
      </c>
      <c r="BA155" s="10" t="s">
        <v>316</v>
      </c>
      <c r="BC155" s="30">
        <f>AW155+AX155</f>
        <v>0</v>
      </c>
      <c r="BD155" s="30">
        <f>G155/(100-BE155)*100</f>
        <v>0</v>
      </c>
      <c r="BE155" s="30">
        <v>0</v>
      </c>
      <c r="BF155" s="30">
        <f>155</f>
        <v>155</v>
      </c>
      <c r="BH155" s="30">
        <f>F155*AO155</f>
        <v>0</v>
      </c>
      <c r="BI155" s="30">
        <f>F155*AP155</f>
        <v>0</v>
      </c>
      <c r="BJ155" s="30">
        <f>F155*G155</f>
        <v>0</v>
      </c>
      <c r="BK155" s="33" t="s">
        <v>62</v>
      </c>
      <c r="BL155" s="30">
        <v>56</v>
      </c>
      <c r="BW155" s="30">
        <v>21</v>
      </c>
      <c r="BX155" s="4" t="s">
        <v>359</v>
      </c>
    </row>
    <row r="156" spans="1:76" x14ac:dyDescent="0.25">
      <c r="A156" s="25" t="s">
        <v>50</v>
      </c>
      <c r="B156" s="26" t="s">
        <v>360</v>
      </c>
      <c r="C156" s="93" t="s">
        <v>361</v>
      </c>
      <c r="D156" s="94"/>
      <c r="E156" s="27" t="s">
        <v>4</v>
      </c>
      <c r="F156" s="27" t="s">
        <v>4</v>
      </c>
      <c r="G156" s="28" t="s">
        <v>4</v>
      </c>
      <c r="H156" s="1">
        <f>SUM(H157:H164)</f>
        <v>0</v>
      </c>
      <c r="I156" s="1">
        <f>SUM(I157:I164)</f>
        <v>0</v>
      </c>
      <c r="J156" s="1">
        <f>SUM(J157:J164)</f>
        <v>0</v>
      </c>
      <c r="K156" s="29" t="s">
        <v>50</v>
      </c>
      <c r="AI156" s="10" t="s">
        <v>311</v>
      </c>
      <c r="AS156" s="1">
        <f>SUM(AJ157:AJ164)</f>
        <v>0</v>
      </c>
      <c r="AT156" s="1">
        <f>SUM(AK157:AK164)</f>
        <v>0</v>
      </c>
      <c r="AU156" s="1">
        <f>SUM(AL157:AL164)</f>
        <v>0</v>
      </c>
    </row>
    <row r="157" spans="1:76" ht="30.6" customHeight="1" x14ac:dyDescent="0.25">
      <c r="A157" s="2" t="s">
        <v>362</v>
      </c>
      <c r="B157" s="3" t="s">
        <v>363</v>
      </c>
      <c r="C157" s="76" t="s">
        <v>364</v>
      </c>
      <c r="D157" s="71"/>
      <c r="E157" s="3" t="s">
        <v>78</v>
      </c>
      <c r="F157" s="30">
        <v>85.5</v>
      </c>
      <c r="G157" s="31">
        <v>0</v>
      </c>
      <c r="H157" s="30">
        <f>ROUND(F157*AO157,2)</f>
        <v>0</v>
      </c>
      <c r="I157" s="30">
        <f>ROUND(F157*AP157,2)</f>
        <v>0</v>
      </c>
      <c r="J157" s="30">
        <f>ROUND(F157*G157,2)</f>
        <v>0</v>
      </c>
      <c r="K157" s="32" t="s">
        <v>365</v>
      </c>
      <c r="Z157" s="30">
        <f>ROUND(IF(AQ157="5",BJ157,0),2)</f>
        <v>0</v>
      </c>
      <c r="AB157" s="30">
        <f>ROUND(IF(AQ157="1",BH157,0),2)</f>
        <v>0</v>
      </c>
      <c r="AC157" s="30">
        <f>ROUND(IF(AQ157="1",BI157,0),2)</f>
        <v>0</v>
      </c>
      <c r="AD157" s="30">
        <f>ROUND(IF(AQ157="7",BH157,0),2)</f>
        <v>0</v>
      </c>
      <c r="AE157" s="30">
        <f>ROUND(IF(AQ157="7",BI157,0),2)</f>
        <v>0</v>
      </c>
      <c r="AF157" s="30">
        <f>ROUND(IF(AQ157="2",BH157,0),2)</f>
        <v>0</v>
      </c>
      <c r="AG157" s="30">
        <f>ROUND(IF(AQ157="2",BI157,0),2)</f>
        <v>0</v>
      </c>
      <c r="AH157" s="30">
        <f>ROUND(IF(AQ157="0",BJ157,0),2)</f>
        <v>0</v>
      </c>
      <c r="AI157" s="10" t="s">
        <v>311</v>
      </c>
      <c r="AJ157" s="30">
        <f>IF(AN157=0,J157,0)</f>
        <v>0</v>
      </c>
      <c r="AK157" s="30">
        <f>IF(AN157=12,J157,0)</f>
        <v>0</v>
      </c>
      <c r="AL157" s="30">
        <f>IF(AN157=21,J157,0)</f>
        <v>0</v>
      </c>
      <c r="AN157" s="30">
        <v>21</v>
      </c>
      <c r="AO157" s="30">
        <f>G157*0.608695652</f>
        <v>0</v>
      </c>
      <c r="AP157" s="30">
        <f>G157*(1-0.608695652)</f>
        <v>0</v>
      </c>
      <c r="AQ157" s="33" t="s">
        <v>55</v>
      </c>
      <c r="AV157" s="30">
        <f>ROUND(AW157+AX157,2)</f>
        <v>0</v>
      </c>
      <c r="AW157" s="30">
        <f>ROUND(F157*AO157,2)</f>
        <v>0</v>
      </c>
      <c r="AX157" s="30">
        <f>ROUND(F157*AP157,2)</f>
        <v>0</v>
      </c>
      <c r="AY157" s="33" t="s">
        <v>366</v>
      </c>
      <c r="AZ157" s="33" t="s">
        <v>350</v>
      </c>
      <c r="BA157" s="10" t="s">
        <v>316</v>
      </c>
      <c r="BC157" s="30">
        <f>AW157+AX157</f>
        <v>0</v>
      </c>
      <c r="BD157" s="30">
        <f>G157/(100-BE157)*100</f>
        <v>0</v>
      </c>
      <c r="BE157" s="30">
        <v>0</v>
      </c>
      <c r="BF157" s="30">
        <f>157</f>
        <v>157</v>
      </c>
      <c r="BH157" s="30">
        <f>F157*AO157</f>
        <v>0</v>
      </c>
      <c r="BI157" s="30">
        <f>F157*AP157</f>
        <v>0</v>
      </c>
      <c r="BJ157" s="30">
        <f>F157*G157</f>
        <v>0</v>
      </c>
      <c r="BK157" s="33" t="s">
        <v>62</v>
      </c>
      <c r="BL157" s="30">
        <v>57</v>
      </c>
      <c r="BW157" s="30">
        <v>21</v>
      </c>
      <c r="BX157" s="4" t="s">
        <v>364</v>
      </c>
    </row>
    <row r="158" spans="1:76" ht="13.5" customHeight="1" x14ac:dyDescent="0.25">
      <c r="A158" s="34"/>
      <c r="B158" s="35" t="s">
        <v>63</v>
      </c>
      <c r="C158" s="89" t="s">
        <v>367</v>
      </c>
      <c r="D158" s="90"/>
      <c r="E158" s="90"/>
      <c r="F158" s="90"/>
      <c r="G158" s="91"/>
      <c r="H158" s="90"/>
      <c r="I158" s="90"/>
      <c r="J158" s="90"/>
      <c r="K158" s="92"/>
    </row>
    <row r="159" spans="1:76" x14ac:dyDescent="0.25">
      <c r="A159" s="34"/>
      <c r="C159" s="37" t="s">
        <v>360</v>
      </c>
      <c r="D159" s="37" t="s">
        <v>50</v>
      </c>
      <c r="F159" s="38">
        <v>57</v>
      </c>
      <c r="K159" s="39"/>
    </row>
    <row r="160" spans="1:76" ht="13.5" customHeight="1" x14ac:dyDescent="0.25">
      <c r="A160" s="34"/>
      <c r="B160" s="40" t="s">
        <v>368</v>
      </c>
      <c r="C160" s="89" t="s">
        <v>369</v>
      </c>
      <c r="D160" s="90"/>
      <c r="E160" s="90"/>
      <c r="F160" s="90"/>
      <c r="G160" s="91"/>
      <c r="H160" s="90"/>
      <c r="I160" s="90"/>
      <c r="J160" s="90"/>
      <c r="K160" s="92"/>
    </row>
    <row r="161" spans="1:76" x14ac:dyDescent="0.25">
      <c r="A161" s="2" t="s">
        <v>370</v>
      </c>
      <c r="B161" s="3" t="s">
        <v>371</v>
      </c>
      <c r="C161" s="76" t="s">
        <v>372</v>
      </c>
      <c r="D161" s="71"/>
      <c r="E161" s="3" t="s">
        <v>78</v>
      </c>
      <c r="F161" s="30">
        <v>5.8</v>
      </c>
      <c r="G161" s="31">
        <v>0</v>
      </c>
      <c r="H161" s="30">
        <f>ROUND(F161*AO161,2)</f>
        <v>0</v>
      </c>
      <c r="I161" s="30">
        <f>ROUND(F161*AP161,2)</f>
        <v>0</v>
      </c>
      <c r="J161" s="30">
        <f>ROUND(F161*G161,2)</f>
        <v>0</v>
      </c>
      <c r="K161" s="32" t="s">
        <v>79</v>
      </c>
      <c r="Z161" s="30">
        <f>ROUND(IF(AQ161="5",BJ161,0),2)</f>
        <v>0</v>
      </c>
      <c r="AB161" s="30">
        <f>ROUND(IF(AQ161="1",BH161,0),2)</f>
        <v>0</v>
      </c>
      <c r="AC161" s="30">
        <f>ROUND(IF(AQ161="1",BI161,0),2)</f>
        <v>0</v>
      </c>
      <c r="AD161" s="30">
        <f>ROUND(IF(AQ161="7",BH161,0),2)</f>
        <v>0</v>
      </c>
      <c r="AE161" s="30">
        <f>ROUND(IF(AQ161="7",BI161,0),2)</f>
        <v>0</v>
      </c>
      <c r="AF161" s="30">
        <f>ROUND(IF(AQ161="2",BH161,0),2)</f>
        <v>0</v>
      </c>
      <c r="AG161" s="30">
        <f>ROUND(IF(AQ161="2",BI161,0),2)</f>
        <v>0</v>
      </c>
      <c r="AH161" s="30">
        <f>ROUND(IF(AQ161="0",BJ161,0),2)</f>
        <v>0</v>
      </c>
      <c r="AI161" s="10" t="s">
        <v>311</v>
      </c>
      <c r="AJ161" s="30">
        <f>IF(AN161=0,J161,0)</f>
        <v>0</v>
      </c>
      <c r="AK161" s="30">
        <f>IF(AN161=12,J161,0)</f>
        <v>0</v>
      </c>
      <c r="AL161" s="30">
        <f>IF(AN161=21,J161,0)</f>
        <v>0</v>
      </c>
      <c r="AN161" s="30">
        <v>21</v>
      </c>
      <c r="AO161" s="30">
        <f>G161*0.818453411</f>
        <v>0</v>
      </c>
      <c r="AP161" s="30">
        <f>G161*(1-0.818453411)</f>
        <v>0</v>
      </c>
      <c r="AQ161" s="33" t="s">
        <v>55</v>
      </c>
      <c r="AV161" s="30">
        <f>ROUND(AW161+AX161,2)</f>
        <v>0</v>
      </c>
      <c r="AW161" s="30">
        <f>ROUND(F161*AO161,2)</f>
        <v>0</v>
      </c>
      <c r="AX161" s="30">
        <f>ROUND(F161*AP161,2)</f>
        <v>0</v>
      </c>
      <c r="AY161" s="33" t="s">
        <v>366</v>
      </c>
      <c r="AZ161" s="33" t="s">
        <v>350</v>
      </c>
      <c r="BA161" s="10" t="s">
        <v>316</v>
      </c>
      <c r="BC161" s="30">
        <f>AW161+AX161</f>
        <v>0</v>
      </c>
      <c r="BD161" s="30">
        <f>G161/(100-BE161)*100</f>
        <v>0</v>
      </c>
      <c r="BE161" s="30">
        <v>0</v>
      </c>
      <c r="BF161" s="30">
        <f>161</f>
        <v>161</v>
      </c>
      <c r="BH161" s="30">
        <f>F161*AO161</f>
        <v>0</v>
      </c>
      <c r="BI161" s="30">
        <f>F161*AP161</f>
        <v>0</v>
      </c>
      <c r="BJ161" s="30">
        <f>F161*G161</f>
        <v>0</v>
      </c>
      <c r="BK161" s="33" t="s">
        <v>62</v>
      </c>
      <c r="BL161" s="30">
        <v>57</v>
      </c>
      <c r="BW161" s="30">
        <v>21</v>
      </c>
      <c r="BX161" s="4" t="s">
        <v>372</v>
      </c>
    </row>
    <row r="162" spans="1:76" x14ac:dyDescent="0.25">
      <c r="A162" s="2" t="s">
        <v>373</v>
      </c>
      <c r="B162" s="3" t="s">
        <v>374</v>
      </c>
      <c r="C162" s="76" t="s">
        <v>375</v>
      </c>
      <c r="D162" s="71"/>
      <c r="E162" s="3" t="s">
        <v>78</v>
      </c>
      <c r="F162" s="30">
        <v>5.6</v>
      </c>
      <c r="G162" s="31">
        <v>0</v>
      </c>
      <c r="H162" s="30">
        <f>ROUND(F162*AO162,2)</f>
        <v>0</v>
      </c>
      <c r="I162" s="30">
        <f>ROUND(F162*AP162,2)</f>
        <v>0</v>
      </c>
      <c r="J162" s="30">
        <f>ROUND(F162*G162,2)</f>
        <v>0</v>
      </c>
      <c r="K162" s="32" t="s">
        <v>79</v>
      </c>
      <c r="Z162" s="30">
        <f>ROUND(IF(AQ162="5",BJ162,0),2)</f>
        <v>0</v>
      </c>
      <c r="AB162" s="30">
        <f>ROUND(IF(AQ162="1",BH162,0),2)</f>
        <v>0</v>
      </c>
      <c r="AC162" s="30">
        <f>ROUND(IF(AQ162="1",BI162,0),2)</f>
        <v>0</v>
      </c>
      <c r="AD162" s="30">
        <f>ROUND(IF(AQ162="7",BH162,0),2)</f>
        <v>0</v>
      </c>
      <c r="AE162" s="30">
        <f>ROUND(IF(AQ162="7",BI162,0),2)</f>
        <v>0</v>
      </c>
      <c r="AF162" s="30">
        <f>ROUND(IF(AQ162="2",BH162,0),2)</f>
        <v>0</v>
      </c>
      <c r="AG162" s="30">
        <f>ROUND(IF(AQ162="2",BI162,0),2)</f>
        <v>0</v>
      </c>
      <c r="AH162" s="30">
        <f>ROUND(IF(AQ162="0",BJ162,0),2)</f>
        <v>0</v>
      </c>
      <c r="AI162" s="10" t="s">
        <v>311</v>
      </c>
      <c r="AJ162" s="30">
        <f>IF(AN162=0,J162,0)</f>
        <v>0</v>
      </c>
      <c r="AK162" s="30">
        <f>IF(AN162=12,J162,0)</f>
        <v>0</v>
      </c>
      <c r="AL162" s="30">
        <f>IF(AN162=21,J162,0)</f>
        <v>0</v>
      </c>
      <c r="AN162" s="30">
        <v>21</v>
      </c>
      <c r="AO162" s="30">
        <f>G162*0.771791173</f>
        <v>0</v>
      </c>
      <c r="AP162" s="30">
        <f>G162*(1-0.771791173)</f>
        <v>0</v>
      </c>
      <c r="AQ162" s="33" t="s">
        <v>55</v>
      </c>
      <c r="AV162" s="30">
        <f>ROUND(AW162+AX162,2)</f>
        <v>0</v>
      </c>
      <c r="AW162" s="30">
        <f>ROUND(F162*AO162,2)</f>
        <v>0</v>
      </c>
      <c r="AX162" s="30">
        <f>ROUND(F162*AP162,2)</f>
        <v>0</v>
      </c>
      <c r="AY162" s="33" t="s">
        <v>366</v>
      </c>
      <c r="AZ162" s="33" t="s">
        <v>350</v>
      </c>
      <c r="BA162" s="10" t="s">
        <v>316</v>
      </c>
      <c r="BC162" s="30">
        <f>AW162+AX162</f>
        <v>0</v>
      </c>
      <c r="BD162" s="30">
        <f>G162/(100-BE162)*100</f>
        <v>0</v>
      </c>
      <c r="BE162" s="30">
        <v>0</v>
      </c>
      <c r="BF162" s="30">
        <f>162</f>
        <v>162</v>
      </c>
      <c r="BH162" s="30">
        <f>F162*AO162</f>
        <v>0</v>
      </c>
      <c r="BI162" s="30">
        <f>F162*AP162</f>
        <v>0</v>
      </c>
      <c r="BJ162" s="30">
        <f>F162*G162</f>
        <v>0</v>
      </c>
      <c r="BK162" s="33" t="s">
        <v>62</v>
      </c>
      <c r="BL162" s="30">
        <v>57</v>
      </c>
      <c r="BW162" s="30">
        <v>21</v>
      </c>
      <c r="BX162" s="4" t="s">
        <v>375</v>
      </c>
    </row>
    <row r="163" spans="1:76" x14ac:dyDescent="0.25">
      <c r="A163" s="2" t="s">
        <v>376</v>
      </c>
      <c r="B163" s="3" t="s">
        <v>377</v>
      </c>
      <c r="C163" s="76" t="s">
        <v>378</v>
      </c>
      <c r="D163" s="71"/>
      <c r="E163" s="3" t="s">
        <v>78</v>
      </c>
      <c r="F163" s="30">
        <v>5.6</v>
      </c>
      <c r="G163" s="31">
        <v>0</v>
      </c>
      <c r="H163" s="30">
        <f>ROUND(F163*AO163,2)</f>
        <v>0</v>
      </c>
      <c r="I163" s="30">
        <f>ROUND(F163*AP163,2)</f>
        <v>0</v>
      </c>
      <c r="J163" s="30">
        <f>ROUND(F163*G163,2)</f>
        <v>0</v>
      </c>
      <c r="K163" s="32" t="s">
        <v>79</v>
      </c>
      <c r="Z163" s="30">
        <f>ROUND(IF(AQ163="5",BJ163,0),2)</f>
        <v>0</v>
      </c>
      <c r="AB163" s="30">
        <f>ROUND(IF(AQ163="1",BH163,0),2)</f>
        <v>0</v>
      </c>
      <c r="AC163" s="30">
        <f>ROUND(IF(AQ163="1",BI163,0),2)</f>
        <v>0</v>
      </c>
      <c r="AD163" s="30">
        <f>ROUND(IF(AQ163="7",BH163,0),2)</f>
        <v>0</v>
      </c>
      <c r="AE163" s="30">
        <f>ROUND(IF(AQ163="7",BI163,0),2)</f>
        <v>0</v>
      </c>
      <c r="AF163" s="30">
        <f>ROUND(IF(AQ163="2",BH163,0),2)</f>
        <v>0</v>
      </c>
      <c r="AG163" s="30">
        <f>ROUND(IF(AQ163="2",BI163,0),2)</f>
        <v>0</v>
      </c>
      <c r="AH163" s="30">
        <f>ROUND(IF(AQ163="0",BJ163,0),2)</f>
        <v>0</v>
      </c>
      <c r="AI163" s="10" t="s">
        <v>311</v>
      </c>
      <c r="AJ163" s="30">
        <f>IF(AN163=0,J163,0)</f>
        <v>0</v>
      </c>
      <c r="AK163" s="30">
        <f>IF(AN163=12,J163,0)</f>
        <v>0</v>
      </c>
      <c r="AL163" s="30">
        <f>IF(AN163=21,J163,0)</f>
        <v>0</v>
      </c>
      <c r="AN163" s="30">
        <v>21</v>
      </c>
      <c r="AO163" s="30">
        <f>G163*0.724929178</f>
        <v>0</v>
      </c>
      <c r="AP163" s="30">
        <f>G163*(1-0.724929178)</f>
        <v>0</v>
      </c>
      <c r="AQ163" s="33" t="s">
        <v>55</v>
      </c>
      <c r="AV163" s="30">
        <f>ROUND(AW163+AX163,2)</f>
        <v>0</v>
      </c>
      <c r="AW163" s="30">
        <f>ROUND(F163*AO163,2)</f>
        <v>0</v>
      </c>
      <c r="AX163" s="30">
        <f>ROUND(F163*AP163,2)</f>
        <v>0</v>
      </c>
      <c r="AY163" s="33" t="s">
        <v>366</v>
      </c>
      <c r="AZ163" s="33" t="s">
        <v>350</v>
      </c>
      <c r="BA163" s="10" t="s">
        <v>316</v>
      </c>
      <c r="BC163" s="30">
        <f>AW163+AX163</f>
        <v>0</v>
      </c>
      <c r="BD163" s="30">
        <f>G163/(100-BE163)*100</f>
        <v>0</v>
      </c>
      <c r="BE163" s="30">
        <v>0</v>
      </c>
      <c r="BF163" s="30">
        <f>163</f>
        <v>163</v>
      </c>
      <c r="BH163" s="30">
        <f>F163*AO163</f>
        <v>0</v>
      </c>
      <c r="BI163" s="30">
        <f>F163*AP163</f>
        <v>0</v>
      </c>
      <c r="BJ163" s="30">
        <f>F163*G163</f>
        <v>0</v>
      </c>
      <c r="BK163" s="33" t="s">
        <v>62</v>
      </c>
      <c r="BL163" s="30">
        <v>57</v>
      </c>
      <c r="BW163" s="30">
        <v>21</v>
      </c>
      <c r="BX163" s="4" t="s">
        <v>378</v>
      </c>
    </row>
    <row r="164" spans="1:76" x14ac:dyDescent="0.25">
      <c r="A164" s="2" t="s">
        <v>379</v>
      </c>
      <c r="B164" s="3" t="s">
        <v>380</v>
      </c>
      <c r="C164" s="76" t="s">
        <v>381</v>
      </c>
      <c r="D164" s="71"/>
      <c r="E164" s="3" t="s">
        <v>78</v>
      </c>
      <c r="F164" s="30">
        <v>5.6</v>
      </c>
      <c r="G164" s="31">
        <v>0</v>
      </c>
      <c r="H164" s="30">
        <f>ROUND(F164*AO164,2)</f>
        <v>0</v>
      </c>
      <c r="I164" s="30">
        <f>ROUND(F164*AP164,2)</f>
        <v>0</v>
      </c>
      <c r="J164" s="30">
        <f>ROUND(F164*G164,2)</f>
        <v>0</v>
      </c>
      <c r="K164" s="32" t="s">
        <v>79</v>
      </c>
      <c r="Z164" s="30">
        <f>ROUND(IF(AQ164="5",BJ164,0),2)</f>
        <v>0</v>
      </c>
      <c r="AB164" s="30">
        <f>ROUND(IF(AQ164="1",BH164,0),2)</f>
        <v>0</v>
      </c>
      <c r="AC164" s="30">
        <f>ROUND(IF(AQ164="1",BI164,0),2)</f>
        <v>0</v>
      </c>
      <c r="AD164" s="30">
        <f>ROUND(IF(AQ164="7",BH164,0),2)</f>
        <v>0</v>
      </c>
      <c r="AE164" s="30">
        <f>ROUND(IF(AQ164="7",BI164,0),2)</f>
        <v>0</v>
      </c>
      <c r="AF164" s="30">
        <f>ROUND(IF(AQ164="2",BH164,0),2)</f>
        <v>0</v>
      </c>
      <c r="AG164" s="30">
        <f>ROUND(IF(AQ164="2",BI164,0),2)</f>
        <v>0</v>
      </c>
      <c r="AH164" s="30">
        <f>ROUND(IF(AQ164="0",BJ164,0),2)</f>
        <v>0</v>
      </c>
      <c r="AI164" s="10" t="s">
        <v>311</v>
      </c>
      <c r="AJ164" s="30">
        <f>IF(AN164=0,J164,0)</f>
        <v>0</v>
      </c>
      <c r="AK164" s="30">
        <f>IF(AN164=12,J164,0)</f>
        <v>0</v>
      </c>
      <c r="AL164" s="30">
        <f>IF(AN164=21,J164,0)</f>
        <v>0</v>
      </c>
      <c r="AN164" s="30">
        <v>21</v>
      </c>
      <c r="AO164" s="30">
        <f>G164*0.85971223</f>
        <v>0</v>
      </c>
      <c r="AP164" s="30">
        <f>G164*(1-0.85971223)</f>
        <v>0</v>
      </c>
      <c r="AQ164" s="33" t="s">
        <v>55</v>
      </c>
      <c r="AV164" s="30">
        <f>ROUND(AW164+AX164,2)</f>
        <v>0</v>
      </c>
      <c r="AW164" s="30">
        <f>ROUND(F164*AO164,2)</f>
        <v>0</v>
      </c>
      <c r="AX164" s="30">
        <f>ROUND(F164*AP164,2)</f>
        <v>0</v>
      </c>
      <c r="AY164" s="33" t="s">
        <v>366</v>
      </c>
      <c r="AZ164" s="33" t="s">
        <v>350</v>
      </c>
      <c r="BA164" s="10" t="s">
        <v>316</v>
      </c>
      <c r="BC164" s="30">
        <f>AW164+AX164</f>
        <v>0</v>
      </c>
      <c r="BD164" s="30">
        <f>G164/(100-BE164)*100</f>
        <v>0</v>
      </c>
      <c r="BE164" s="30">
        <v>0</v>
      </c>
      <c r="BF164" s="30">
        <f>164</f>
        <v>164</v>
      </c>
      <c r="BH164" s="30">
        <f>F164*AO164</f>
        <v>0</v>
      </c>
      <c r="BI164" s="30">
        <f>F164*AP164</f>
        <v>0</v>
      </c>
      <c r="BJ164" s="30">
        <f>F164*G164</f>
        <v>0</v>
      </c>
      <c r="BK164" s="33" t="s">
        <v>62</v>
      </c>
      <c r="BL164" s="30">
        <v>57</v>
      </c>
      <c r="BW164" s="30">
        <v>21</v>
      </c>
      <c r="BX164" s="4" t="s">
        <v>381</v>
      </c>
    </row>
    <row r="165" spans="1:76" x14ac:dyDescent="0.25">
      <c r="A165" s="25" t="s">
        <v>50</v>
      </c>
      <c r="B165" s="26" t="s">
        <v>382</v>
      </c>
      <c r="C165" s="93" t="s">
        <v>383</v>
      </c>
      <c r="D165" s="94"/>
      <c r="E165" s="27" t="s">
        <v>4</v>
      </c>
      <c r="F165" s="27" t="s">
        <v>4</v>
      </c>
      <c r="G165" s="28" t="s">
        <v>4</v>
      </c>
      <c r="H165" s="1">
        <f>SUM(H166:H182)</f>
        <v>0</v>
      </c>
      <c r="I165" s="1">
        <f>SUM(I166:I182)</f>
        <v>0</v>
      </c>
      <c r="J165" s="1">
        <f>SUM(J166:J182)</f>
        <v>0</v>
      </c>
      <c r="K165" s="29" t="s">
        <v>50</v>
      </c>
      <c r="AI165" s="10" t="s">
        <v>311</v>
      </c>
      <c r="AS165" s="1">
        <f>SUM(AJ166:AJ182)</f>
        <v>0</v>
      </c>
      <c r="AT165" s="1">
        <f>SUM(AK166:AK182)</f>
        <v>0</v>
      </c>
      <c r="AU165" s="1">
        <f>SUM(AL166:AL182)</f>
        <v>0</v>
      </c>
    </row>
    <row r="166" spans="1:76" x14ac:dyDescent="0.25">
      <c r="A166" s="2" t="s">
        <v>384</v>
      </c>
      <c r="B166" s="3" t="s">
        <v>385</v>
      </c>
      <c r="C166" s="76" t="s">
        <v>386</v>
      </c>
      <c r="D166" s="71"/>
      <c r="E166" s="3" t="s">
        <v>78</v>
      </c>
      <c r="F166" s="30">
        <v>188.1</v>
      </c>
      <c r="G166" s="31">
        <v>0</v>
      </c>
      <c r="H166" s="30">
        <f>ROUND(F166*AO166,2)</f>
        <v>0</v>
      </c>
      <c r="I166" s="30">
        <f>ROUND(F166*AP166,2)</f>
        <v>0</v>
      </c>
      <c r="J166" s="30">
        <f>ROUND(F166*G166,2)</f>
        <v>0</v>
      </c>
      <c r="K166" s="32" t="s">
        <v>79</v>
      </c>
      <c r="Z166" s="30">
        <f>ROUND(IF(AQ166="5",BJ166,0),2)</f>
        <v>0</v>
      </c>
      <c r="AB166" s="30">
        <f>ROUND(IF(AQ166="1",BH166,0),2)</f>
        <v>0</v>
      </c>
      <c r="AC166" s="30">
        <f>ROUND(IF(AQ166="1",BI166,0),2)</f>
        <v>0</v>
      </c>
      <c r="AD166" s="30">
        <f>ROUND(IF(AQ166="7",BH166,0),2)</f>
        <v>0</v>
      </c>
      <c r="AE166" s="30">
        <f>ROUND(IF(AQ166="7",BI166,0),2)</f>
        <v>0</v>
      </c>
      <c r="AF166" s="30">
        <f>ROUND(IF(AQ166="2",BH166,0),2)</f>
        <v>0</v>
      </c>
      <c r="AG166" s="30">
        <f>ROUND(IF(AQ166="2",BI166,0),2)</f>
        <v>0</v>
      </c>
      <c r="AH166" s="30">
        <f>ROUND(IF(AQ166="0",BJ166,0),2)</f>
        <v>0</v>
      </c>
      <c r="AI166" s="10" t="s">
        <v>311</v>
      </c>
      <c r="AJ166" s="30">
        <f>IF(AN166=0,J166,0)</f>
        <v>0</v>
      </c>
      <c r="AK166" s="30">
        <f>IF(AN166=12,J166,0)</f>
        <v>0</v>
      </c>
      <c r="AL166" s="30">
        <f>IF(AN166=21,J166,0)</f>
        <v>0</v>
      </c>
      <c r="AN166" s="30">
        <v>21</v>
      </c>
      <c r="AO166" s="30">
        <f>G166*0.151983929</f>
        <v>0</v>
      </c>
      <c r="AP166" s="30">
        <f>G166*(1-0.151983929)</f>
        <v>0</v>
      </c>
      <c r="AQ166" s="33" t="s">
        <v>55</v>
      </c>
      <c r="AV166" s="30">
        <f>ROUND(AW166+AX166,2)</f>
        <v>0</v>
      </c>
      <c r="AW166" s="30">
        <f>ROUND(F166*AO166,2)</f>
        <v>0</v>
      </c>
      <c r="AX166" s="30">
        <f>ROUND(F166*AP166,2)</f>
        <v>0</v>
      </c>
      <c r="AY166" s="33" t="s">
        <v>387</v>
      </c>
      <c r="AZ166" s="33" t="s">
        <v>350</v>
      </c>
      <c r="BA166" s="10" t="s">
        <v>316</v>
      </c>
      <c r="BC166" s="30">
        <f>AW166+AX166</f>
        <v>0</v>
      </c>
      <c r="BD166" s="30">
        <f>G166/(100-BE166)*100</f>
        <v>0</v>
      </c>
      <c r="BE166" s="30">
        <v>0</v>
      </c>
      <c r="BF166" s="30">
        <f>166</f>
        <v>166</v>
      </c>
      <c r="BH166" s="30">
        <f>F166*AO166</f>
        <v>0</v>
      </c>
      <c r="BI166" s="30">
        <f>F166*AP166</f>
        <v>0</v>
      </c>
      <c r="BJ166" s="30">
        <f>F166*G166</f>
        <v>0</v>
      </c>
      <c r="BK166" s="33" t="s">
        <v>62</v>
      </c>
      <c r="BL166" s="30">
        <v>59</v>
      </c>
      <c r="BW166" s="30">
        <v>21</v>
      </c>
      <c r="BX166" s="4" t="s">
        <v>386</v>
      </c>
    </row>
    <row r="167" spans="1:76" x14ac:dyDescent="0.25">
      <c r="A167" s="34"/>
      <c r="C167" s="37" t="s">
        <v>388</v>
      </c>
      <c r="D167" s="37" t="s">
        <v>389</v>
      </c>
      <c r="F167" s="38">
        <v>173.1</v>
      </c>
      <c r="K167" s="39"/>
    </row>
    <row r="168" spans="1:76" x14ac:dyDescent="0.25">
      <c r="A168" s="34"/>
      <c r="C168" s="37" t="s">
        <v>75</v>
      </c>
      <c r="D168" s="37" t="s">
        <v>789</v>
      </c>
      <c r="F168" s="38">
        <v>3</v>
      </c>
      <c r="K168" s="39"/>
    </row>
    <row r="169" spans="1:76" x14ac:dyDescent="0.25">
      <c r="A169" s="34"/>
      <c r="C169" s="37" t="s">
        <v>55</v>
      </c>
      <c r="D169" s="37" t="s">
        <v>390</v>
      </c>
      <c r="F169" s="38">
        <v>12</v>
      </c>
      <c r="K169" s="39"/>
    </row>
    <row r="170" spans="1:76" ht="25.5" x14ac:dyDescent="0.25">
      <c r="A170" s="34"/>
      <c r="B170" s="35" t="s">
        <v>84</v>
      </c>
      <c r="C170" s="102" t="s">
        <v>391</v>
      </c>
      <c r="D170" s="103"/>
      <c r="E170" s="103"/>
      <c r="F170" s="103"/>
      <c r="G170" s="104"/>
      <c r="H170" s="103"/>
      <c r="I170" s="103"/>
      <c r="J170" s="103"/>
      <c r="K170" s="105"/>
      <c r="BX170" s="36" t="s">
        <v>391</v>
      </c>
    </row>
    <row r="171" spans="1:76" x14ac:dyDescent="0.25">
      <c r="A171" s="2" t="s">
        <v>392</v>
      </c>
      <c r="B171" s="3" t="s">
        <v>393</v>
      </c>
      <c r="C171" s="76" t="s">
        <v>394</v>
      </c>
      <c r="D171" s="71"/>
      <c r="E171" s="3" t="s">
        <v>78</v>
      </c>
      <c r="F171" s="30">
        <v>15.75</v>
      </c>
      <c r="G171" s="31">
        <v>0</v>
      </c>
      <c r="H171" s="30">
        <f>ROUND(F171*AO171,2)</f>
        <v>0</v>
      </c>
      <c r="I171" s="30">
        <f>ROUND(F171*AP171,2)</f>
        <v>0</v>
      </c>
      <c r="J171" s="30">
        <f>ROUND(F171*G171,2)</f>
        <v>0</v>
      </c>
      <c r="K171" s="32" t="s">
        <v>130</v>
      </c>
      <c r="Z171" s="30">
        <f>ROUND(IF(AQ171="5",BJ171,0),2)</f>
        <v>0</v>
      </c>
      <c r="AB171" s="30">
        <f>ROUND(IF(AQ171="1",BH171,0),2)</f>
        <v>0</v>
      </c>
      <c r="AC171" s="30">
        <f>ROUND(IF(AQ171="1",BI171,0),2)</f>
        <v>0</v>
      </c>
      <c r="AD171" s="30">
        <f>ROUND(IF(AQ171="7",BH171,0),2)</f>
        <v>0</v>
      </c>
      <c r="AE171" s="30">
        <f>ROUND(IF(AQ171="7",BI171,0),2)</f>
        <v>0</v>
      </c>
      <c r="AF171" s="30">
        <f>ROUND(IF(AQ171="2",BH171,0),2)</f>
        <v>0</v>
      </c>
      <c r="AG171" s="30">
        <f>ROUND(IF(AQ171="2",BI171,0),2)</f>
        <v>0</v>
      </c>
      <c r="AH171" s="30">
        <f>ROUND(IF(AQ171="0",BJ171,0),2)</f>
        <v>0</v>
      </c>
      <c r="AI171" s="10" t="s">
        <v>311</v>
      </c>
      <c r="AJ171" s="30">
        <f>IF(AN171=0,J171,0)</f>
        <v>0</v>
      </c>
      <c r="AK171" s="30">
        <f>IF(AN171=12,J171,0)</f>
        <v>0</v>
      </c>
      <c r="AL171" s="30">
        <f>IF(AN171=21,J171,0)</f>
        <v>0</v>
      </c>
      <c r="AN171" s="30">
        <v>21</v>
      </c>
      <c r="AO171" s="30">
        <f>G171*1</f>
        <v>0</v>
      </c>
      <c r="AP171" s="30">
        <f>G171*(1-1)</f>
        <v>0</v>
      </c>
      <c r="AQ171" s="33" t="s">
        <v>55</v>
      </c>
      <c r="AV171" s="30">
        <f>ROUND(AW171+AX171,2)</f>
        <v>0</v>
      </c>
      <c r="AW171" s="30">
        <f>ROUND(F171*AO171,2)</f>
        <v>0</v>
      </c>
      <c r="AX171" s="30">
        <f>ROUND(F171*AP171,2)</f>
        <v>0</v>
      </c>
      <c r="AY171" s="33" t="s">
        <v>387</v>
      </c>
      <c r="AZ171" s="33" t="s">
        <v>350</v>
      </c>
      <c r="BA171" s="10" t="s">
        <v>316</v>
      </c>
      <c r="BC171" s="30">
        <f>AW171+AX171</f>
        <v>0</v>
      </c>
      <c r="BD171" s="30">
        <f>G171/(100-BE171)*100</f>
        <v>0</v>
      </c>
      <c r="BE171" s="30">
        <v>0</v>
      </c>
      <c r="BF171" s="30">
        <f>171</f>
        <v>171</v>
      </c>
      <c r="BH171" s="30">
        <f>F171*AO171</f>
        <v>0</v>
      </c>
      <c r="BI171" s="30">
        <f>F171*AP171</f>
        <v>0</v>
      </c>
      <c r="BJ171" s="30">
        <f>F171*G171</f>
        <v>0</v>
      </c>
      <c r="BK171" s="33" t="s">
        <v>173</v>
      </c>
      <c r="BL171" s="30">
        <v>59</v>
      </c>
      <c r="BW171" s="30">
        <v>21</v>
      </c>
      <c r="BX171" s="4" t="s">
        <v>394</v>
      </c>
    </row>
    <row r="172" spans="1:76" x14ac:dyDescent="0.25">
      <c r="A172" s="34"/>
      <c r="C172" s="37" t="s">
        <v>125</v>
      </c>
      <c r="D172" s="37" t="s">
        <v>395</v>
      </c>
      <c r="F172" s="38">
        <v>12</v>
      </c>
      <c r="K172" s="39"/>
    </row>
    <row r="173" spans="1:76" x14ac:dyDescent="0.25">
      <c r="A173" s="34"/>
      <c r="C173" s="37" t="s">
        <v>75</v>
      </c>
      <c r="D173" s="37" t="s">
        <v>396</v>
      </c>
      <c r="F173" s="38">
        <v>3</v>
      </c>
      <c r="K173" s="39"/>
    </row>
    <row r="174" spans="1:76" x14ac:dyDescent="0.25">
      <c r="A174" s="34"/>
      <c r="C174" s="37" t="s">
        <v>397</v>
      </c>
      <c r="D174" s="37" t="s">
        <v>50</v>
      </c>
      <c r="F174" s="38">
        <v>0.75</v>
      </c>
      <c r="K174" s="39"/>
    </row>
    <row r="175" spans="1:76" x14ac:dyDescent="0.25">
      <c r="A175" s="2" t="s">
        <v>398</v>
      </c>
      <c r="B175" s="3" t="s">
        <v>399</v>
      </c>
      <c r="C175" s="76" t="s">
        <v>400</v>
      </c>
      <c r="D175" s="71"/>
      <c r="E175" s="3" t="s">
        <v>78</v>
      </c>
      <c r="F175" s="30">
        <v>181.75</v>
      </c>
      <c r="G175" s="31">
        <v>0</v>
      </c>
      <c r="H175" s="30">
        <f>ROUND(F175*AO175,2)</f>
        <v>0</v>
      </c>
      <c r="I175" s="30">
        <f>ROUND(F175*AP175,2)</f>
        <v>0</v>
      </c>
      <c r="J175" s="30">
        <f>ROUND(F175*G175,2)</f>
        <v>0</v>
      </c>
      <c r="K175" s="32" t="s">
        <v>130</v>
      </c>
      <c r="Z175" s="30">
        <f>ROUND(IF(AQ175="5",BJ175,0),2)</f>
        <v>0</v>
      </c>
      <c r="AB175" s="30">
        <f>ROUND(IF(AQ175="1",BH175,0),2)</f>
        <v>0</v>
      </c>
      <c r="AC175" s="30">
        <f>ROUND(IF(AQ175="1",BI175,0),2)</f>
        <v>0</v>
      </c>
      <c r="AD175" s="30">
        <f>ROUND(IF(AQ175="7",BH175,0),2)</f>
        <v>0</v>
      </c>
      <c r="AE175" s="30">
        <f>ROUND(IF(AQ175="7",BI175,0),2)</f>
        <v>0</v>
      </c>
      <c r="AF175" s="30">
        <f>ROUND(IF(AQ175="2",BH175,0),2)</f>
        <v>0</v>
      </c>
      <c r="AG175" s="30">
        <f>ROUND(IF(AQ175="2",BI175,0),2)</f>
        <v>0</v>
      </c>
      <c r="AH175" s="30">
        <f>ROUND(IF(AQ175="0",BJ175,0),2)</f>
        <v>0</v>
      </c>
      <c r="AI175" s="10" t="s">
        <v>311</v>
      </c>
      <c r="AJ175" s="30">
        <f>IF(AN175=0,J175,0)</f>
        <v>0</v>
      </c>
      <c r="AK175" s="30">
        <f>IF(AN175=12,J175,0)</f>
        <v>0</v>
      </c>
      <c r="AL175" s="30">
        <f>IF(AN175=21,J175,0)</f>
        <v>0</v>
      </c>
      <c r="AN175" s="30">
        <v>21</v>
      </c>
      <c r="AO175" s="30">
        <f>G175*1</f>
        <v>0</v>
      </c>
      <c r="AP175" s="30">
        <f>G175*(1-1)</f>
        <v>0</v>
      </c>
      <c r="AQ175" s="33" t="s">
        <v>55</v>
      </c>
      <c r="AV175" s="30">
        <f>ROUND(AW175+AX175,2)</f>
        <v>0</v>
      </c>
      <c r="AW175" s="30">
        <f>ROUND(F175*AO175,2)</f>
        <v>0</v>
      </c>
      <c r="AX175" s="30">
        <f>ROUND(F175*AP175,2)</f>
        <v>0</v>
      </c>
      <c r="AY175" s="33" t="s">
        <v>387</v>
      </c>
      <c r="AZ175" s="33" t="s">
        <v>350</v>
      </c>
      <c r="BA175" s="10" t="s">
        <v>316</v>
      </c>
      <c r="BC175" s="30">
        <f>AW175+AX175</f>
        <v>0</v>
      </c>
      <c r="BD175" s="30">
        <f>G175/(100-BE175)*100</f>
        <v>0</v>
      </c>
      <c r="BE175" s="30">
        <v>0</v>
      </c>
      <c r="BF175" s="30">
        <f>175</f>
        <v>175</v>
      </c>
      <c r="BH175" s="30">
        <f>F175*AO175</f>
        <v>0</v>
      </c>
      <c r="BI175" s="30">
        <f>F175*AP175</f>
        <v>0</v>
      </c>
      <c r="BJ175" s="30">
        <f>F175*G175</f>
        <v>0</v>
      </c>
      <c r="BK175" s="33" t="s">
        <v>173</v>
      </c>
      <c r="BL175" s="30">
        <v>59</v>
      </c>
      <c r="BW175" s="30">
        <v>21</v>
      </c>
      <c r="BX175" s="4" t="s">
        <v>400</v>
      </c>
    </row>
    <row r="176" spans="1:76" x14ac:dyDescent="0.25">
      <c r="A176" s="34"/>
      <c r="C176" s="37" t="s">
        <v>388</v>
      </c>
      <c r="D176" s="37" t="s">
        <v>50</v>
      </c>
      <c r="F176" s="38">
        <v>173.1</v>
      </c>
      <c r="K176" s="39"/>
    </row>
    <row r="177" spans="1:76" x14ac:dyDescent="0.25">
      <c r="A177" s="34"/>
      <c r="C177" s="37" t="s">
        <v>401</v>
      </c>
      <c r="D177" s="37" t="s">
        <v>50</v>
      </c>
      <c r="F177" s="38">
        <v>8.65</v>
      </c>
      <c r="K177" s="39"/>
    </row>
    <row r="178" spans="1:76" x14ac:dyDescent="0.25">
      <c r="A178" s="2" t="s">
        <v>402</v>
      </c>
      <c r="B178" s="3" t="s">
        <v>403</v>
      </c>
      <c r="C178" s="76" t="s">
        <v>404</v>
      </c>
      <c r="D178" s="71"/>
      <c r="E178" s="3" t="s">
        <v>94</v>
      </c>
      <c r="F178" s="30">
        <v>70</v>
      </c>
      <c r="G178" s="31">
        <v>0</v>
      </c>
      <c r="H178" s="30">
        <f>ROUND(F178*AO178,2)</f>
        <v>0</v>
      </c>
      <c r="I178" s="30">
        <f>ROUND(F178*AP178,2)</f>
        <v>0</v>
      </c>
      <c r="J178" s="30">
        <f>ROUND(F178*G178,2)</f>
        <v>0</v>
      </c>
      <c r="K178" s="32" t="s">
        <v>79</v>
      </c>
      <c r="Z178" s="30">
        <f>ROUND(IF(AQ178="5",BJ178,0),2)</f>
        <v>0</v>
      </c>
      <c r="AB178" s="30">
        <f>ROUND(IF(AQ178="1",BH178,0),2)</f>
        <v>0</v>
      </c>
      <c r="AC178" s="30">
        <f>ROUND(IF(AQ178="1",BI178,0),2)</f>
        <v>0</v>
      </c>
      <c r="AD178" s="30">
        <f>ROUND(IF(AQ178="7",BH178,0),2)</f>
        <v>0</v>
      </c>
      <c r="AE178" s="30">
        <f>ROUND(IF(AQ178="7",BI178,0),2)</f>
        <v>0</v>
      </c>
      <c r="AF178" s="30">
        <f>ROUND(IF(AQ178="2",BH178,0),2)</f>
        <v>0</v>
      </c>
      <c r="AG178" s="30">
        <f>ROUND(IF(AQ178="2",BI178,0),2)</f>
        <v>0</v>
      </c>
      <c r="AH178" s="30">
        <f>ROUND(IF(AQ178="0",BJ178,0),2)</f>
        <v>0</v>
      </c>
      <c r="AI178" s="10" t="s">
        <v>311</v>
      </c>
      <c r="AJ178" s="30">
        <f>IF(AN178=0,J178,0)</f>
        <v>0</v>
      </c>
      <c r="AK178" s="30">
        <f>IF(AN178=12,J178,0)</f>
        <v>0</v>
      </c>
      <c r="AL178" s="30">
        <f>IF(AN178=21,J178,0)</f>
        <v>0</v>
      </c>
      <c r="AN178" s="30">
        <v>21</v>
      </c>
      <c r="AO178" s="30">
        <f>G178*0.041333333</f>
        <v>0</v>
      </c>
      <c r="AP178" s="30">
        <f>G178*(1-0.041333333)</f>
        <v>0</v>
      </c>
      <c r="AQ178" s="33" t="s">
        <v>55</v>
      </c>
      <c r="AV178" s="30">
        <f>ROUND(AW178+AX178,2)</f>
        <v>0</v>
      </c>
      <c r="AW178" s="30">
        <f>ROUND(F178*AO178,2)</f>
        <v>0</v>
      </c>
      <c r="AX178" s="30">
        <f>ROUND(F178*AP178,2)</f>
        <v>0</v>
      </c>
      <c r="AY178" s="33" t="s">
        <v>387</v>
      </c>
      <c r="AZ178" s="33" t="s">
        <v>350</v>
      </c>
      <c r="BA178" s="10" t="s">
        <v>316</v>
      </c>
      <c r="BC178" s="30">
        <f>AW178+AX178</f>
        <v>0</v>
      </c>
      <c r="BD178" s="30">
        <f>G178/(100-BE178)*100</f>
        <v>0</v>
      </c>
      <c r="BE178" s="30">
        <v>0</v>
      </c>
      <c r="BF178" s="30">
        <f>178</f>
        <v>178</v>
      </c>
      <c r="BH178" s="30">
        <f>F178*AO178</f>
        <v>0</v>
      </c>
      <c r="BI178" s="30">
        <f>F178*AP178</f>
        <v>0</v>
      </c>
      <c r="BJ178" s="30">
        <f>F178*G178</f>
        <v>0</v>
      </c>
      <c r="BK178" s="33" t="s">
        <v>62</v>
      </c>
      <c r="BL178" s="30">
        <v>59</v>
      </c>
      <c r="BW178" s="30">
        <v>21</v>
      </c>
      <c r="BX178" s="4" t="s">
        <v>404</v>
      </c>
    </row>
    <row r="179" spans="1:76" x14ac:dyDescent="0.25">
      <c r="A179" s="2" t="s">
        <v>344</v>
      </c>
      <c r="B179" s="3" t="s">
        <v>405</v>
      </c>
      <c r="C179" s="76" t="s">
        <v>406</v>
      </c>
      <c r="D179" s="71"/>
      <c r="E179" s="3" t="s">
        <v>78</v>
      </c>
      <c r="F179" s="30">
        <v>73.599999999999994</v>
      </c>
      <c r="G179" s="31">
        <v>0</v>
      </c>
      <c r="H179" s="30">
        <f>ROUND(F179*AO179,2)</f>
        <v>0</v>
      </c>
      <c r="I179" s="30">
        <f>ROUND(F179*AP179,2)</f>
        <v>0</v>
      </c>
      <c r="J179" s="30">
        <f>ROUND(F179*G179,2)</f>
        <v>0</v>
      </c>
      <c r="K179" s="32" t="s">
        <v>79</v>
      </c>
      <c r="Z179" s="30">
        <f>ROUND(IF(AQ179="5",BJ179,0),2)</f>
        <v>0</v>
      </c>
      <c r="AB179" s="30">
        <f>ROUND(IF(AQ179="1",BH179,0),2)</f>
        <v>0</v>
      </c>
      <c r="AC179" s="30">
        <f>ROUND(IF(AQ179="1",BI179,0),2)</f>
        <v>0</v>
      </c>
      <c r="AD179" s="30">
        <f>ROUND(IF(AQ179="7",BH179,0),2)</f>
        <v>0</v>
      </c>
      <c r="AE179" s="30">
        <f>ROUND(IF(AQ179="7",BI179,0),2)</f>
        <v>0</v>
      </c>
      <c r="AF179" s="30">
        <f>ROUND(IF(AQ179="2",BH179,0),2)</f>
        <v>0</v>
      </c>
      <c r="AG179" s="30">
        <f>ROUND(IF(AQ179="2",BI179,0),2)</f>
        <v>0</v>
      </c>
      <c r="AH179" s="30">
        <f>ROUND(IF(AQ179="0",BJ179,0),2)</f>
        <v>0</v>
      </c>
      <c r="AI179" s="10" t="s">
        <v>311</v>
      </c>
      <c r="AJ179" s="30">
        <f>IF(AN179=0,J179,0)</f>
        <v>0</v>
      </c>
      <c r="AK179" s="30">
        <f>IF(AN179=12,J179,0)</f>
        <v>0</v>
      </c>
      <c r="AL179" s="30">
        <f>IF(AN179=21,J179,0)</f>
        <v>0</v>
      </c>
      <c r="AN179" s="30">
        <v>21</v>
      </c>
      <c r="AO179" s="30">
        <f>G179*0.63753394</f>
        <v>0</v>
      </c>
      <c r="AP179" s="30">
        <f>G179*(1-0.63753394)</f>
        <v>0</v>
      </c>
      <c r="AQ179" s="33" t="s">
        <v>55</v>
      </c>
      <c r="AV179" s="30">
        <f>ROUND(AW179+AX179,2)</f>
        <v>0</v>
      </c>
      <c r="AW179" s="30">
        <f>ROUND(F179*AO179,2)</f>
        <v>0</v>
      </c>
      <c r="AX179" s="30">
        <f>ROUND(F179*AP179,2)</f>
        <v>0</v>
      </c>
      <c r="AY179" s="33" t="s">
        <v>387</v>
      </c>
      <c r="AZ179" s="33" t="s">
        <v>350</v>
      </c>
      <c r="BA179" s="10" t="s">
        <v>316</v>
      </c>
      <c r="BC179" s="30">
        <f>AW179+AX179</f>
        <v>0</v>
      </c>
      <c r="BD179" s="30">
        <f>G179/(100-BE179)*100</f>
        <v>0</v>
      </c>
      <c r="BE179" s="30">
        <v>0</v>
      </c>
      <c r="BF179" s="30">
        <f>179</f>
        <v>179</v>
      </c>
      <c r="BH179" s="30">
        <f>F179*AO179</f>
        <v>0</v>
      </c>
      <c r="BI179" s="30">
        <f>F179*AP179</f>
        <v>0</v>
      </c>
      <c r="BJ179" s="30">
        <f>F179*G179</f>
        <v>0</v>
      </c>
      <c r="BK179" s="33" t="s">
        <v>62</v>
      </c>
      <c r="BL179" s="30">
        <v>59</v>
      </c>
      <c r="BW179" s="30">
        <v>21</v>
      </c>
      <c r="BX179" s="4" t="s">
        <v>406</v>
      </c>
    </row>
    <row r="180" spans="1:76" ht="13.5" customHeight="1" x14ac:dyDescent="0.25">
      <c r="A180" s="34"/>
      <c r="B180" s="35" t="s">
        <v>63</v>
      </c>
      <c r="C180" s="89" t="s">
        <v>407</v>
      </c>
      <c r="D180" s="90"/>
      <c r="E180" s="90"/>
      <c r="F180" s="90"/>
      <c r="G180" s="91"/>
      <c r="H180" s="90"/>
      <c r="I180" s="90"/>
      <c r="J180" s="90"/>
      <c r="K180" s="92"/>
    </row>
    <row r="181" spans="1:76" x14ac:dyDescent="0.25">
      <c r="A181" s="34"/>
      <c r="C181" s="37" t="s">
        <v>353</v>
      </c>
      <c r="D181" s="37" t="s">
        <v>321</v>
      </c>
      <c r="F181" s="38">
        <v>73.599999999999994</v>
      </c>
      <c r="K181" s="39"/>
    </row>
    <row r="182" spans="1:76" x14ac:dyDescent="0.25">
      <c r="A182" s="2" t="s">
        <v>360</v>
      </c>
      <c r="B182" s="3" t="s">
        <v>408</v>
      </c>
      <c r="C182" s="76" t="s">
        <v>409</v>
      </c>
      <c r="D182" s="71"/>
      <c r="E182" s="3" t="s">
        <v>172</v>
      </c>
      <c r="F182" s="30">
        <v>11.89</v>
      </c>
      <c r="G182" s="31">
        <v>0</v>
      </c>
      <c r="H182" s="30">
        <f>ROUND(F182*AO182,2)</f>
        <v>0</v>
      </c>
      <c r="I182" s="30">
        <f>ROUND(F182*AP182,2)</f>
        <v>0</v>
      </c>
      <c r="J182" s="30">
        <f>ROUND(F182*G182,2)</f>
        <v>0</v>
      </c>
      <c r="K182" s="32" t="s">
        <v>130</v>
      </c>
      <c r="Z182" s="30">
        <f>ROUND(IF(AQ182="5",BJ182,0),2)</f>
        <v>0</v>
      </c>
      <c r="AB182" s="30">
        <f>ROUND(IF(AQ182="1",BH182,0),2)</f>
        <v>0</v>
      </c>
      <c r="AC182" s="30">
        <f>ROUND(IF(AQ182="1",BI182,0),2)</f>
        <v>0</v>
      </c>
      <c r="AD182" s="30">
        <f>ROUND(IF(AQ182="7",BH182,0),2)</f>
        <v>0</v>
      </c>
      <c r="AE182" s="30">
        <f>ROUND(IF(AQ182="7",BI182,0),2)</f>
        <v>0</v>
      </c>
      <c r="AF182" s="30">
        <f>ROUND(IF(AQ182="2",BH182,0),2)</f>
        <v>0</v>
      </c>
      <c r="AG182" s="30">
        <f>ROUND(IF(AQ182="2",BI182,0),2)</f>
        <v>0</v>
      </c>
      <c r="AH182" s="30">
        <f>ROUND(IF(AQ182="0",BJ182,0),2)</f>
        <v>0</v>
      </c>
      <c r="AI182" s="10" t="s">
        <v>311</v>
      </c>
      <c r="AJ182" s="30">
        <f>IF(AN182=0,J182,0)</f>
        <v>0</v>
      </c>
      <c r="AK182" s="30">
        <f>IF(AN182=12,J182,0)</f>
        <v>0</v>
      </c>
      <c r="AL182" s="30">
        <f>IF(AN182=21,J182,0)</f>
        <v>0</v>
      </c>
      <c r="AN182" s="30">
        <v>21</v>
      </c>
      <c r="AO182" s="30">
        <f>G182*1</f>
        <v>0</v>
      </c>
      <c r="AP182" s="30">
        <f>G182*(1-1)</f>
        <v>0</v>
      </c>
      <c r="AQ182" s="33" t="s">
        <v>55</v>
      </c>
      <c r="AV182" s="30">
        <f>ROUND(AW182+AX182,2)</f>
        <v>0</v>
      </c>
      <c r="AW182" s="30">
        <f>ROUND(F182*AO182,2)</f>
        <v>0</v>
      </c>
      <c r="AX182" s="30">
        <f>ROUND(F182*AP182,2)</f>
        <v>0</v>
      </c>
      <c r="AY182" s="33" t="s">
        <v>387</v>
      </c>
      <c r="AZ182" s="33" t="s">
        <v>350</v>
      </c>
      <c r="BA182" s="10" t="s">
        <v>316</v>
      </c>
      <c r="BC182" s="30">
        <f>AW182+AX182</f>
        <v>0</v>
      </c>
      <c r="BD182" s="30">
        <f>G182/(100-BE182)*100</f>
        <v>0</v>
      </c>
      <c r="BE182" s="30">
        <v>0</v>
      </c>
      <c r="BF182" s="30">
        <f>182</f>
        <v>182</v>
      </c>
      <c r="BH182" s="30">
        <f>F182*AO182</f>
        <v>0</v>
      </c>
      <c r="BI182" s="30">
        <f>F182*AP182</f>
        <v>0</v>
      </c>
      <c r="BJ182" s="30">
        <f>F182*G182</f>
        <v>0</v>
      </c>
      <c r="BK182" s="33" t="s">
        <v>173</v>
      </c>
      <c r="BL182" s="30">
        <v>59</v>
      </c>
      <c r="BW182" s="30">
        <v>21</v>
      </c>
      <c r="BX182" s="4" t="s">
        <v>409</v>
      </c>
    </row>
    <row r="183" spans="1:76" x14ac:dyDescent="0.25">
      <c r="A183" s="34"/>
      <c r="C183" s="37" t="s">
        <v>410</v>
      </c>
      <c r="D183" s="37" t="s">
        <v>411</v>
      </c>
      <c r="F183" s="38">
        <v>11.32</v>
      </c>
      <c r="K183" s="39"/>
    </row>
    <row r="184" spans="1:76" x14ac:dyDescent="0.25">
      <c r="A184" s="34"/>
      <c r="C184" s="37" t="s">
        <v>412</v>
      </c>
      <c r="D184" s="37" t="s">
        <v>50</v>
      </c>
      <c r="F184" s="38">
        <v>0.56999999999999995</v>
      </c>
      <c r="K184" s="39"/>
    </row>
    <row r="185" spans="1:76" x14ac:dyDescent="0.25">
      <c r="A185" s="34"/>
      <c r="B185" s="35" t="s">
        <v>84</v>
      </c>
      <c r="C185" s="102" t="s">
        <v>413</v>
      </c>
      <c r="D185" s="103"/>
      <c r="E185" s="103"/>
      <c r="F185" s="103"/>
      <c r="G185" s="104"/>
      <c r="H185" s="103"/>
      <c r="I185" s="103"/>
      <c r="J185" s="103"/>
      <c r="K185" s="105"/>
      <c r="BX185" s="36" t="s">
        <v>413</v>
      </c>
    </row>
    <row r="186" spans="1:76" x14ac:dyDescent="0.25">
      <c r="A186" s="25" t="s">
        <v>50</v>
      </c>
      <c r="B186" s="26" t="s">
        <v>414</v>
      </c>
      <c r="C186" s="93" t="s">
        <v>415</v>
      </c>
      <c r="D186" s="94"/>
      <c r="E186" s="27" t="s">
        <v>4</v>
      </c>
      <c r="F186" s="27" t="s">
        <v>4</v>
      </c>
      <c r="G186" s="28" t="s">
        <v>4</v>
      </c>
      <c r="H186" s="1">
        <f>SUM(H187:H201)</f>
        <v>0</v>
      </c>
      <c r="I186" s="1">
        <f>SUM(I187:I201)</f>
        <v>0</v>
      </c>
      <c r="J186" s="1">
        <f>SUM(J187:J201)</f>
        <v>0</v>
      </c>
      <c r="K186" s="29" t="s">
        <v>50</v>
      </c>
      <c r="AI186" s="10" t="s">
        <v>311</v>
      </c>
      <c r="AS186" s="1">
        <f>SUM(AJ187:AJ201)</f>
        <v>0</v>
      </c>
      <c r="AT186" s="1">
        <f>SUM(AK187:AK201)</f>
        <v>0</v>
      </c>
      <c r="AU186" s="1">
        <f>SUM(AL187:AL201)</f>
        <v>0</v>
      </c>
    </row>
    <row r="187" spans="1:76" x14ac:dyDescent="0.25">
      <c r="A187" s="2" t="s">
        <v>416</v>
      </c>
      <c r="B187" s="3" t="s">
        <v>417</v>
      </c>
      <c r="C187" s="76" t="s">
        <v>418</v>
      </c>
      <c r="D187" s="71"/>
      <c r="E187" s="3" t="s">
        <v>94</v>
      </c>
      <c r="F187" s="30">
        <v>202</v>
      </c>
      <c r="G187" s="31">
        <v>0</v>
      </c>
      <c r="H187" s="30">
        <f>ROUND(F187*AO187,2)</f>
        <v>0</v>
      </c>
      <c r="I187" s="30">
        <f>ROUND(F187*AP187,2)</f>
        <v>0</v>
      </c>
      <c r="J187" s="30">
        <f>ROUND(F187*G187,2)</f>
        <v>0</v>
      </c>
      <c r="K187" s="32" t="s">
        <v>79</v>
      </c>
      <c r="Z187" s="30">
        <f>ROUND(IF(AQ187="5",BJ187,0),2)</f>
        <v>0</v>
      </c>
      <c r="AB187" s="30">
        <f>ROUND(IF(AQ187="1",BH187,0),2)</f>
        <v>0</v>
      </c>
      <c r="AC187" s="30">
        <f>ROUND(IF(AQ187="1",BI187,0),2)</f>
        <v>0</v>
      </c>
      <c r="AD187" s="30">
        <f>ROUND(IF(AQ187="7",BH187,0),2)</f>
        <v>0</v>
      </c>
      <c r="AE187" s="30">
        <f>ROUND(IF(AQ187="7",BI187,0),2)</f>
        <v>0</v>
      </c>
      <c r="AF187" s="30">
        <f>ROUND(IF(AQ187="2",BH187,0),2)</f>
        <v>0</v>
      </c>
      <c r="AG187" s="30">
        <f>ROUND(IF(AQ187="2",BI187,0),2)</f>
        <v>0</v>
      </c>
      <c r="AH187" s="30">
        <f>ROUND(IF(AQ187="0",BJ187,0),2)</f>
        <v>0</v>
      </c>
      <c r="AI187" s="10" t="s">
        <v>311</v>
      </c>
      <c r="AJ187" s="30">
        <f>IF(AN187=0,J187,0)</f>
        <v>0</v>
      </c>
      <c r="AK187" s="30">
        <f>IF(AN187=12,J187,0)</f>
        <v>0</v>
      </c>
      <c r="AL187" s="30">
        <f>IF(AN187=21,J187,0)</f>
        <v>0</v>
      </c>
      <c r="AN187" s="30">
        <v>21</v>
      </c>
      <c r="AO187" s="30">
        <f>G187*0.597712208</f>
        <v>0</v>
      </c>
      <c r="AP187" s="30">
        <f>G187*(1-0.597712208)</f>
        <v>0</v>
      </c>
      <c r="AQ187" s="33" t="s">
        <v>55</v>
      </c>
      <c r="AV187" s="30">
        <f>ROUND(AW187+AX187,2)</f>
        <v>0</v>
      </c>
      <c r="AW187" s="30">
        <f>ROUND(F187*AO187,2)</f>
        <v>0</v>
      </c>
      <c r="AX187" s="30">
        <f>ROUND(F187*AP187,2)</f>
        <v>0</v>
      </c>
      <c r="AY187" s="33" t="s">
        <v>419</v>
      </c>
      <c r="AZ187" s="33" t="s">
        <v>420</v>
      </c>
      <c r="BA187" s="10" t="s">
        <v>316</v>
      </c>
      <c r="BC187" s="30">
        <f>AW187+AX187</f>
        <v>0</v>
      </c>
      <c r="BD187" s="30">
        <f>G187/(100-BE187)*100</f>
        <v>0</v>
      </c>
      <c r="BE187" s="30">
        <v>0</v>
      </c>
      <c r="BF187" s="30">
        <f>187</f>
        <v>187</v>
      </c>
      <c r="BH187" s="30">
        <f>F187*AO187</f>
        <v>0</v>
      </c>
      <c r="BI187" s="30">
        <f>F187*AP187</f>
        <v>0</v>
      </c>
      <c r="BJ187" s="30">
        <f>F187*G187</f>
        <v>0</v>
      </c>
      <c r="BK187" s="33" t="s">
        <v>62</v>
      </c>
      <c r="BL187" s="30">
        <v>91</v>
      </c>
      <c r="BW187" s="30">
        <v>21</v>
      </c>
      <c r="BX187" s="4" t="s">
        <v>418</v>
      </c>
    </row>
    <row r="188" spans="1:76" x14ac:dyDescent="0.25">
      <c r="A188" s="34"/>
      <c r="B188" s="35" t="s">
        <v>84</v>
      </c>
      <c r="C188" s="102" t="s">
        <v>421</v>
      </c>
      <c r="D188" s="103"/>
      <c r="E188" s="103"/>
      <c r="F188" s="103"/>
      <c r="G188" s="104"/>
      <c r="H188" s="103"/>
      <c r="I188" s="103"/>
      <c r="J188" s="103"/>
      <c r="K188" s="105"/>
      <c r="BX188" s="36" t="s">
        <v>421</v>
      </c>
    </row>
    <row r="189" spans="1:76" x14ac:dyDescent="0.25">
      <c r="A189" s="2" t="s">
        <v>382</v>
      </c>
      <c r="B189" s="3" t="s">
        <v>422</v>
      </c>
      <c r="C189" s="76" t="s">
        <v>423</v>
      </c>
      <c r="D189" s="71"/>
      <c r="E189" s="3" t="s">
        <v>120</v>
      </c>
      <c r="F189" s="30">
        <v>222</v>
      </c>
      <c r="G189" s="31">
        <v>0</v>
      </c>
      <c r="H189" s="30">
        <f>ROUND(F189*AO189,2)</f>
        <v>0</v>
      </c>
      <c r="I189" s="30">
        <f>ROUND(F189*AP189,2)</f>
        <v>0</v>
      </c>
      <c r="J189" s="30">
        <f>ROUND(F189*G189,2)</f>
        <v>0</v>
      </c>
      <c r="K189" s="32" t="s">
        <v>79</v>
      </c>
      <c r="Z189" s="30">
        <f>ROUND(IF(AQ189="5",BJ189,0),2)</f>
        <v>0</v>
      </c>
      <c r="AB189" s="30">
        <f>ROUND(IF(AQ189="1",BH189,0),2)</f>
        <v>0</v>
      </c>
      <c r="AC189" s="30">
        <f>ROUND(IF(AQ189="1",BI189,0),2)</f>
        <v>0</v>
      </c>
      <c r="AD189" s="30">
        <f>ROUND(IF(AQ189="7",BH189,0),2)</f>
        <v>0</v>
      </c>
      <c r="AE189" s="30">
        <f>ROUND(IF(AQ189="7",BI189,0),2)</f>
        <v>0</v>
      </c>
      <c r="AF189" s="30">
        <f>ROUND(IF(AQ189="2",BH189,0),2)</f>
        <v>0</v>
      </c>
      <c r="AG189" s="30">
        <f>ROUND(IF(AQ189="2",BI189,0),2)</f>
        <v>0</v>
      </c>
      <c r="AH189" s="30">
        <f>ROUND(IF(AQ189="0",BJ189,0),2)</f>
        <v>0</v>
      </c>
      <c r="AI189" s="10" t="s">
        <v>311</v>
      </c>
      <c r="AJ189" s="30">
        <f>IF(AN189=0,J189,0)</f>
        <v>0</v>
      </c>
      <c r="AK189" s="30">
        <f>IF(AN189=12,J189,0)</f>
        <v>0</v>
      </c>
      <c r="AL189" s="30">
        <f>IF(AN189=21,J189,0)</f>
        <v>0</v>
      </c>
      <c r="AN189" s="30">
        <v>21</v>
      </c>
      <c r="AO189" s="30">
        <f>G189*1</f>
        <v>0</v>
      </c>
      <c r="AP189" s="30">
        <f>G189*(1-1)</f>
        <v>0</v>
      </c>
      <c r="AQ189" s="33" t="s">
        <v>55</v>
      </c>
      <c r="AV189" s="30">
        <f>ROUND(AW189+AX189,2)</f>
        <v>0</v>
      </c>
      <c r="AW189" s="30">
        <f>ROUND(F189*AO189,2)</f>
        <v>0</v>
      </c>
      <c r="AX189" s="30">
        <f>ROUND(F189*AP189,2)</f>
        <v>0</v>
      </c>
      <c r="AY189" s="33" t="s">
        <v>419</v>
      </c>
      <c r="AZ189" s="33" t="s">
        <v>420</v>
      </c>
      <c r="BA189" s="10" t="s">
        <v>316</v>
      </c>
      <c r="BC189" s="30">
        <f>AW189+AX189</f>
        <v>0</v>
      </c>
      <c r="BD189" s="30">
        <f>G189/(100-BE189)*100</f>
        <v>0</v>
      </c>
      <c r="BE189" s="30">
        <v>0</v>
      </c>
      <c r="BF189" s="30">
        <f>189</f>
        <v>189</v>
      </c>
      <c r="BH189" s="30">
        <f>F189*AO189</f>
        <v>0</v>
      </c>
      <c r="BI189" s="30">
        <f>F189*AP189</f>
        <v>0</v>
      </c>
      <c r="BJ189" s="30">
        <f>F189*G189</f>
        <v>0</v>
      </c>
      <c r="BK189" s="33" t="s">
        <v>173</v>
      </c>
      <c r="BL189" s="30">
        <v>91</v>
      </c>
      <c r="BW189" s="30">
        <v>21</v>
      </c>
      <c r="BX189" s="4" t="s">
        <v>423</v>
      </c>
    </row>
    <row r="190" spans="1:76" ht="25.5" x14ac:dyDescent="0.25">
      <c r="A190" s="34"/>
      <c r="B190" s="35" t="s">
        <v>84</v>
      </c>
      <c r="C190" s="102" t="s">
        <v>424</v>
      </c>
      <c r="D190" s="103"/>
      <c r="E190" s="103"/>
      <c r="F190" s="103"/>
      <c r="G190" s="104"/>
      <c r="H190" s="103"/>
      <c r="I190" s="103"/>
      <c r="J190" s="103"/>
      <c r="K190" s="105"/>
      <c r="BX190" s="36" t="s">
        <v>424</v>
      </c>
    </row>
    <row r="191" spans="1:76" x14ac:dyDescent="0.25">
      <c r="A191" s="2" t="s">
        <v>425</v>
      </c>
      <c r="B191" s="3" t="s">
        <v>426</v>
      </c>
      <c r="C191" s="76" t="s">
        <v>418</v>
      </c>
      <c r="D191" s="71"/>
      <c r="E191" s="3" t="s">
        <v>94</v>
      </c>
      <c r="F191" s="30">
        <v>4</v>
      </c>
      <c r="G191" s="31">
        <v>0</v>
      </c>
      <c r="H191" s="30">
        <f>ROUND(F191*AO191,2)</f>
        <v>0</v>
      </c>
      <c r="I191" s="30">
        <f>ROUND(F191*AP191,2)</f>
        <v>0</v>
      </c>
      <c r="J191" s="30">
        <f>ROUND(F191*G191,2)</f>
        <v>0</v>
      </c>
      <c r="K191" s="32" t="s">
        <v>79</v>
      </c>
      <c r="Z191" s="30">
        <f>ROUND(IF(AQ191="5",BJ191,0),2)</f>
        <v>0</v>
      </c>
      <c r="AB191" s="30">
        <f>ROUND(IF(AQ191="1",BH191,0),2)</f>
        <v>0</v>
      </c>
      <c r="AC191" s="30">
        <f>ROUND(IF(AQ191="1",BI191,0),2)</f>
        <v>0</v>
      </c>
      <c r="AD191" s="30">
        <f>ROUND(IF(AQ191="7",BH191,0),2)</f>
        <v>0</v>
      </c>
      <c r="AE191" s="30">
        <f>ROUND(IF(AQ191="7",BI191,0),2)</f>
        <v>0</v>
      </c>
      <c r="AF191" s="30">
        <f>ROUND(IF(AQ191="2",BH191,0),2)</f>
        <v>0</v>
      </c>
      <c r="AG191" s="30">
        <f>ROUND(IF(AQ191="2",BI191,0),2)</f>
        <v>0</v>
      </c>
      <c r="AH191" s="30">
        <f>ROUND(IF(AQ191="0",BJ191,0),2)</f>
        <v>0</v>
      </c>
      <c r="AI191" s="10" t="s">
        <v>311</v>
      </c>
      <c r="AJ191" s="30">
        <f>IF(AN191=0,J191,0)</f>
        <v>0</v>
      </c>
      <c r="AK191" s="30">
        <f>IF(AN191=12,J191,0)</f>
        <v>0</v>
      </c>
      <c r="AL191" s="30">
        <f>IF(AN191=21,J191,0)</f>
        <v>0</v>
      </c>
      <c r="AN191" s="30">
        <v>21</v>
      </c>
      <c r="AO191" s="30">
        <f>G191*0.801484716</f>
        <v>0</v>
      </c>
      <c r="AP191" s="30">
        <f>G191*(1-0.801484716)</f>
        <v>0</v>
      </c>
      <c r="AQ191" s="33" t="s">
        <v>55</v>
      </c>
      <c r="AV191" s="30">
        <f>ROUND(AW191+AX191,2)</f>
        <v>0</v>
      </c>
      <c r="AW191" s="30">
        <f>ROUND(F191*AO191,2)</f>
        <v>0</v>
      </c>
      <c r="AX191" s="30">
        <f>ROUND(F191*AP191,2)</f>
        <v>0</v>
      </c>
      <c r="AY191" s="33" t="s">
        <v>419</v>
      </c>
      <c r="AZ191" s="33" t="s">
        <v>420</v>
      </c>
      <c r="BA191" s="10" t="s">
        <v>316</v>
      </c>
      <c r="BC191" s="30">
        <f>AW191+AX191</f>
        <v>0</v>
      </c>
      <c r="BD191" s="30">
        <f>G191/(100-BE191)*100</f>
        <v>0</v>
      </c>
      <c r="BE191" s="30">
        <v>0</v>
      </c>
      <c r="BF191" s="30">
        <f>191</f>
        <v>191</v>
      </c>
      <c r="BH191" s="30">
        <f>F191*AO191</f>
        <v>0</v>
      </c>
      <c r="BI191" s="30">
        <f>F191*AP191</f>
        <v>0</v>
      </c>
      <c r="BJ191" s="30">
        <f>F191*G191</f>
        <v>0</v>
      </c>
      <c r="BK191" s="33" t="s">
        <v>62</v>
      </c>
      <c r="BL191" s="30">
        <v>91</v>
      </c>
      <c r="BW191" s="30">
        <v>21</v>
      </c>
      <c r="BX191" s="4" t="s">
        <v>418</v>
      </c>
    </row>
    <row r="192" spans="1:76" ht="13.5" customHeight="1" x14ac:dyDescent="0.25">
      <c r="A192" s="34"/>
      <c r="B192" s="35" t="s">
        <v>63</v>
      </c>
      <c r="C192" s="89" t="s">
        <v>427</v>
      </c>
      <c r="D192" s="90"/>
      <c r="E192" s="90"/>
      <c r="F192" s="90"/>
      <c r="G192" s="91"/>
      <c r="H192" s="90"/>
      <c r="I192" s="90"/>
      <c r="J192" s="90"/>
      <c r="K192" s="92"/>
    </row>
    <row r="193" spans="1:76" x14ac:dyDescent="0.25">
      <c r="A193" s="34"/>
      <c r="C193" s="37" t="s">
        <v>65</v>
      </c>
      <c r="D193" s="37" t="s">
        <v>428</v>
      </c>
      <c r="F193" s="38">
        <v>2</v>
      </c>
      <c r="K193" s="39"/>
    </row>
    <row r="194" spans="1:76" x14ac:dyDescent="0.25">
      <c r="A194" s="34"/>
      <c r="C194" s="37" t="s">
        <v>65</v>
      </c>
      <c r="D194" s="37" t="s">
        <v>429</v>
      </c>
      <c r="F194" s="38">
        <v>2</v>
      </c>
      <c r="K194" s="39"/>
    </row>
    <row r="195" spans="1:76" x14ac:dyDescent="0.25">
      <c r="A195" s="34"/>
      <c r="B195" s="35" t="s">
        <v>84</v>
      </c>
      <c r="C195" s="102" t="s">
        <v>421</v>
      </c>
      <c r="D195" s="103"/>
      <c r="E195" s="103"/>
      <c r="F195" s="103"/>
      <c r="G195" s="104"/>
      <c r="H195" s="103"/>
      <c r="I195" s="103"/>
      <c r="J195" s="103"/>
      <c r="K195" s="105"/>
      <c r="BX195" s="36" t="s">
        <v>421</v>
      </c>
    </row>
    <row r="196" spans="1:76" x14ac:dyDescent="0.25">
      <c r="A196" s="2" t="s">
        <v>430</v>
      </c>
      <c r="B196" s="3" t="s">
        <v>431</v>
      </c>
      <c r="C196" s="76" t="s">
        <v>418</v>
      </c>
      <c r="D196" s="71"/>
      <c r="E196" s="3" t="s">
        <v>94</v>
      </c>
      <c r="F196" s="30">
        <v>5.5</v>
      </c>
      <c r="G196" s="31">
        <v>0</v>
      </c>
      <c r="H196" s="30">
        <f>ROUND(F196*AO196,2)</f>
        <v>0</v>
      </c>
      <c r="I196" s="30">
        <f>ROUND(F196*AP196,2)</f>
        <v>0</v>
      </c>
      <c r="J196" s="30">
        <f>ROUND(F196*G196,2)</f>
        <v>0</v>
      </c>
      <c r="K196" s="32" t="s">
        <v>79</v>
      </c>
      <c r="Z196" s="30">
        <f>ROUND(IF(AQ196="5",BJ196,0),2)</f>
        <v>0</v>
      </c>
      <c r="AB196" s="30">
        <f>ROUND(IF(AQ196="1",BH196,0),2)</f>
        <v>0</v>
      </c>
      <c r="AC196" s="30">
        <f>ROUND(IF(AQ196="1",BI196,0),2)</f>
        <v>0</v>
      </c>
      <c r="AD196" s="30">
        <f>ROUND(IF(AQ196="7",BH196,0),2)</f>
        <v>0</v>
      </c>
      <c r="AE196" s="30">
        <f>ROUND(IF(AQ196="7",BI196,0),2)</f>
        <v>0</v>
      </c>
      <c r="AF196" s="30">
        <f>ROUND(IF(AQ196="2",BH196,0),2)</f>
        <v>0</v>
      </c>
      <c r="AG196" s="30">
        <f>ROUND(IF(AQ196="2",BI196,0),2)</f>
        <v>0</v>
      </c>
      <c r="AH196" s="30">
        <f>ROUND(IF(AQ196="0",BJ196,0),2)</f>
        <v>0</v>
      </c>
      <c r="AI196" s="10" t="s">
        <v>311</v>
      </c>
      <c r="AJ196" s="30">
        <f>IF(AN196=0,J196,0)</f>
        <v>0</v>
      </c>
      <c r="AK196" s="30">
        <f>IF(AN196=12,J196,0)</f>
        <v>0</v>
      </c>
      <c r="AL196" s="30">
        <f>IF(AN196=21,J196,0)</f>
        <v>0</v>
      </c>
      <c r="AN196" s="30">
        <v>21</v>
      </c>
      <c r="AO196" s="30">
        <f>G196*0.734946593</f>
        <v>0</v>
      </c>
      <c r="AP196" s="30">
        <f>G196*(1-0.734946593)</f>
        <v>0</v>
      </c>
      <c r="AQ196" s="33" t="s">
        <v>55</v>
      </c>
      <c r="AV196" s="30">
        <f>ROUND(AW196+AX196,2)</f>
        <v>0</v>
      </c>
      <c r="AW196" s="30">
        <f>ROUND(F196*AO196,2)</f>
        <v>0</v>
      </c>
      <c r="AX196" s="30">
        <f>ROUND(F196*AP196,2)</f>
        <v>0</v>
      </c>
      <c r="AY196" s="33" t="s">
        <v>419</v>
      </c>
      <c r="AZ196" s="33" t="s">
        <v>420</v>
      </c>
      <c r="BA196" s="10" t="s">
        <v>316</v>
      </c>
      <c r="BC196" s="30">
        <f>AW196+AX196</f>
        <v>0</v>
      </c>
      <c r="BD196" s="30">
        <f>G196/(100-BE196)*100</f>
        <v>0</v>
      </c>
      <c r="BE196" s="30">
        <v>0</v>
      </c>
      <c r="BF196" s="30">
        <f>196</f>
        <v>196</v>
      </c>
      <c r="BH196" s="30">
        <f>F196*AO196</f>
        <v>0</v>
      </c>
      <c r="BI196" s="30">
        <f>F196*AP196</f>
        <v>0</v>
      </c>
      <c r="BJ196" s="30">
        <f>F196*G196</f>
        <v>0</v>
      </c>
      <c r="BK196" s="33" t="s">
        <v>62</v>
      </c>
      <c r="BL196" s="30">
        <v>91</v>
      </c>
      <c r="BW196" s="30">
        <v>21</v>
      </c>
      <c r="BX196" s="4" t="s">
        <v>418</v>
      </c>
    </row>
    <row r="197" spans="1:76" ht="13.5" customHeight="1" x14ac:dyDescent="0.25">
      <c r="A197" s="34"/>
      <c r="B197" s="35" t="s">
        <v>63</v>
      </c>
      <c r="C197" s="89" t="s">
        <v>432</v>
      </c>
      <c r="D197" s="90"/>
      <c r="E197" s="90"/>
      <c r="F197" s="90"/>
      <c r="G197" s="91"/>
      <c r="H197" s="90"/>
      <c r="I197" s="90"/>
      <c r="J197" s="90"/>
      <c r="K197" s="92"/>
    </row>
    <row r="198" spans="1:76" x14ac:dyDescent="0.25">
      <c r="A198" s="34"/>
      <c r="B198" s="35" t="s">
        <v>84</v>
      </c>
      <c r="C198" s="102" t="s">
        <v>421</v>
      </c>
      <c r="D198" s="103"/>
      <c r="E198" s="103"/>
      <c r="F198" s="103"/>
      <c r="G198" s="104"/>
      <c r="H198" s="103"/>
      <c r="I198" s="103"/>
      <c r="J198" s="103"/>
      <c r="K198" s="105"/>
      <c r="BX198" s="36" t="s">
        <v>421</v>
      </c>
    </row>
    <row r="199" spans="1:76" x14ac:dyDescent="0.25">
      <c r="A199" s="2" t="s">
        <v>433</v>
      </c>
      <c r="B199" s="3" t="s">
        <v>434</v>
      </c>
      <c r="C199" s="76" t="s">
        <v>435</v>
      </c>
      <c r="D199" s="71"/>
      <c r="E199" s="3" t="s">
        <v>129</v>
      </c>
      <c r="F199" s="30">
        <v>2.2999999999999998</v>
      </c>
      <c r="G199" s="31">
        <v>0</v>
      </c>
      <c r="H199" s="30">
        <f>ROUND(F199*AO199,2)</f>
        <v>0</v>
      </c>
      <c r="I199" s="30">
        <f>ROUND(F199*AP199,2)</f>
        <v>0</v>
      </c>
      <c r="J199" s="30">
        <f>ROUND(F199*G199,2)</f>
        <v>0</v>
      </c>
      <c r="K199" s="32" t="s">
        <v>79</v>
      </c>
      <c r="Z199" s="30">
        <f>ROUND(IF(AQ199="5",BJ199,0),2)</f>
        <v>0</v>
      </c>
      <c r="AB199" s="30">
        <f>ROUND(IF(AQ199="1",BH199,0),2)</f>
        <v>0</v>
      </c>
      <c r="AC199" s="30">
        <f>ROUND(IF(AQ199="1",BI199,0),2)</f>
        <v>0</v>
      </c>
      <c r="AD199" s="30">
        <f>ROUND(IF(AQ199="7",BH199,0),2)</f>
        <v>0</v>
      </c>
      <c r="AE199" s="30">
        <f>ROUND(IF(AQ199="7",BI199,0),2)</f>
        <v>0</v>
      </c>
      <c r="AF199" s="30">
        <f>ROUND(IF(AQ199="2",BH199,0),2)</f>
        <v>0</v>
      </c>
      <c r="AG199" s="30">
        <f>ROUND(IF(AQ199="2",BI199,0),2)</f>
        <v>0</v>
      </c>
      <c r="AH199" s="30">
        <f>ROUND(IF(AQ199="0",BJ199,0),2)</f>
        <v>0</v>
      </c>
      <c r="AI199" s="10" t="s">
        <v>311</v>
      </c>
      <c r="AJ199" s="30">
        <f>IF(AN199=0,J199,0)</f>
        <v>0</v>
      </c>
      <c r="AK199" s="30">
        <f>IF(AN199=12,J199,0)</f>
        <v>0</v>
      </c>
      <c r="AL199" s="30">
        <f>IF(AN199=21,J199,0)</f>
        <v>0</v>
      </c>
      <c r="AN199" s="30">
        <v>21</v>
      </c>
      <c r="AO199" s="30">
        <f>G199*0.770199887</f>
        <v>0</v>
      </c>
      <c r="AP199" s="30">
        <f>G199*(1-0.770199887)</f>
        <v>0</v>
      </c>
      <c r="AQ199" s="33" t="s">
        <v>55</v>
      </c>
      <c r="AV199" s="30">
        <f>ROUND(AW199+AX199,2)</f>
        <v>0</v>
      </c>
      <c r="AW199" s="30">
        <f>ROUND(F199*AO199,2)</f>
        <v>0</v>
      </c>
      <c r="AX199" s="30">
        <f>ROUND(F199*AP199,2)</f>
        <v>0</v>
      </c>
      <c r="AY199" s="33" t="s">
        <v>419</v>
      </c>
      <c r="AZ199" s="33" t="s">
        <v>420</v>
      </c>
      <c r="BA199" s="10" t="s">
        <v>316</v>
      </c>
      <c r="BC199" s="30">
        <f>AW199+AX199</f>
        <v>0</v>
      </c>
      <c r="BD199" s="30">
        <f>G199/(100-BE199)*100</f>
        <v>0</v>
      </c>
      <c r="BE199" s="30">
        <v>0</v>
      </c>
      <c r="BF199" s="30">
        <f>199</f>
        <v>199</v>
      </c>
      <c r="BH199" s="30">
        <f>F199*AO199</f>
        <v>0</v>
      </c>
      <c r="BI199" s="30">
        <f>F199*AP199</f>
        <v>0</v>
      </c>
      <c r="BJ199" s="30">
        <f>F199*G199</f>
        <v>0</v>
      </c>
      <c r="BK199" s="33" t="s">
        <v>62</v>
      </c>
      <c r="BL199" s="30">
        <v>91</v>
      </c>
      <c r="BW199" s="30">
        <v>21</v>
      </c>
      <c r="BX199" s="4" t="s">
        <v>435</v>
      </c>
    </row>
    <row r="200" spans="1:76" ht="13.5" customHeight="1" x14ac:dyDescent="0.25">
      <c r="A200" s="34"/>
      <c r="B200" s="35" t="s">
        <v>63</v>
      </c>
      <c r="C200" s="89" t="s">
        <v>436</v>
      </c>
      <c r="D200" s="90"/>
      <c r="E200" s="90"/>
      <c r="F200" s="90"/>
      <c r="G200" s="91"/>
      <c r="H200" s="90"/>
      <c r="I200" s="90"/>
      <c r="J200" s="90"/>
      <c r="K200" s="92"/>
    </row>
    <row r="201" spans="1:76" x14ac:dyDescent="0.25">
      <c r="A201" s="2" t="s">
        <v>437</v>
      </c>
      <c r="B201" s="3" t="s">
        <v>438</v>
      </c>
      <c r="C201" s="76" t="s">
        <v>439</v>
      </c>
      <c r="D201" s="71"/>
      <c r="E201" s="3" t="s">
        <v>440</v>
      </c>
      <c r="F201" s="30">
        <v>30</v>
      </c>
      <c r="G201" s="31">
        <v>0</v>
      </c>
      <c r="H201" s="30">
        <f>ROUND(F201*AO201,2)</f>
        <v>0</v>
      </c>
      <c r="I201" s="30">
        <f>ROUND(F201*AP201,2)</f>
        <v>0</v>
      </c>
      <c r="J201" s="30">
        <f>ROUND(F201*G201,2)</f>
        <v>0</v>
      </c>
      <c r="K201" s="32" t="s">
        <v>69</v>
      </c>
      <c r="Z201" s="30">
        <f>ROUND(IF(AQ201="5",BJ201,0),2)</f>
        <v>0</v>
      </c>
      <c r="AB201" s="30">
        <f>ROUND(IF(AQ201="1",BH201,0),2)</f>
        <v>0</v>
      </c>
      <c r="AC201" s="30">
        <f>ROUND(IF(AQ201="1",BI201,0),2)</f>
        <v>0</v>
      </c>
      <c r="AD201" s="30">
        <f>ROUND(IF(AQ201="7",BH201,0),2)</f>
        <v>0</v>
      </c>
      <c r="AE201" s="30">
        <f>ROUND(IF(AQ201="7",BI201,0),2)</f>
        <v>0</v>
      </c>
      <c r="AF201" s="30">
        <f>ROUND(IF(AQ201="2",BH201,0),2)</f>
        <v>0</v>
      </c>
      <c r="AG201" s="30">
        <f>ROUND(IF(AQ201="2",BI201,0),2)</f>
        <v>0</v>
      </c>
      <c r="AH201" s="30">
        <f>ROUND(IF(AQ201="0",BJ201,0),2)</f>
        <v>0</v>
      </c>
      <c r="AI201" s="10" t="s">
        <v>311</v>
      </c>
      <c r="AJ201" s="30">
        <f>IF(AN201=0,J201,0)</f>
        <v>0</v>
      </c>
      <c r="AK201" s="30">
        <f>IF(AN201=12,J201,0)</f>
        <v>0</v>
      </c>
      <c r="AL201" s="30">
        <f>IF(AN201=21,J201,0)</f>
        <v>0</v>
      </c>
      <c r="AN201" s="30">
        <v>21</v>
      </c>
      <c r="AO201" s="30">
        <f>G201*0.245145631</f>
        <v>0</v>
      </c>
      <c r="AP201" s="30">
        <f>G201*(1-0.245145631)</f>
        <v>0</v>
      </c>
      <c r="AQ201" s="33" t="s">
        <v>65</v>
      </c>
      <c r="AV201" s="30">
        <f>ROUND(AW201+AX201,2)</f>
        <v>0</v>
      </c>
      <c r="AW201" s="30">
        <f>ROUND(F201*AO201,2)</f>
        <v>0</v>
      </c>
      <c r="AX201" s="30">
        <f>ROUND(F201*AP201,2)</f>
        <v>0</v>
      </c>
      <c r="AY201" s="33" t="s">
        <v>419</v>
      </c>
      <c r="AZ201" s="33" t="s">
        <v>420</v>
      </c>
      <c r="BA201" s="10" t="s">
        <v>316</v>
      </c>
      <c r="BC201" s="30">
        <f>AW201+AX201</f>
        <v>0</v>
      </c>
      <c r="BD201" s="30">
        <f>G201/(100-BE201)*100</f>
        <v>0</v>
      </c>
      <c r="BE201" s="30">
        <v>0</v>
      </c>
      <c r="BF201" s="30">
        <f>201</f>
        <v>201</v>
      </c>
      <c r="BH201" s="30">
        <f>F201*AO201</f>
        <v>0</v>
      </c>
      <c r="BI201" s="30">
        <f>F201*AP201</f>
        <v>0</v>
      </c>
      <c r="BJ201" s="30">
        <f>F201*G201</f>
        <v>0</v>
      </c>
      <c r="BK201" s="33" t="s">
        <v>62</v>
      </c>
      <c r="BL201" s="30">
        <v>91</v>
      </c>
      <c r="BW201" s="30">
        <v>21</v>
      </c>
      <c r="BX201" s="4" t="s">
        <v>439</v>
      </c>
    </row>
    <row r="202" spans="1:76" x14ac:dyDescent="0.25">
      <c r="A202" s="25" t="s">
        <v>50</v>
      </c>
      <c r="B202" s="26" t="s">
        <v>441</v>
      </c>
      <c r="C202" s="93" t="s">
        <v>442</v>
      </c>
      <c r="D202" s="94"/>
      <c r="E202" s="27" t="s">
        <v>4</v>
      </c>
      <c r="F202" s="27" t="s">
        <v>4</v>
      </c>
      <c r="G202" s="28" t="s">
        <v>4</v>
      </c>
      <c r="H202" s="1">
        <f>SUM(H203:H203)</f>
        <v>0</v>
      </c>
      <c r="I202" s="1">
        <f>SUM(I203:I203)</f>
        <v>0</v>
      </c>
      <c r="J202" s="1">
        <f>SUM(J203:J203)</f>
        <v>0</v>
      </c>
      <c r="K202" s="29" t="s">
        <v>50</v>
      </c>
      <c r="AI202" s="10" t="s">
        <v>311</v>
      </c>
      <c r="AS202" s="1">
        <f>SUM(AJ203:AJ203)</f>
        <v>0</v>
      </c>
      <c r="AT202" s="1">
        <f>SUM(AK203:AK203)</f>
        <v>0</v>
      </c>
      <c r="AU202" s="1">
        <f>SUM(AL203:AL203)</f>
        <v>0</v>
      </c>
    </row>
    <row r="203" spans="1:76" ht="31.9" customHeight="1" x14ac:dyDescent="0.25">
      <c r="A203" s="2" t="s">
        <v>443</v>
      </c>
      <c r="B203" s="3" t="s">
        <v>444</v>
      </c>
      <c r="C203" s="76" t="s">
        <v>445</v>
      </c>
      <c r="D203" s="71"/>
      <c r="E203" s="3" t="s">
        <v>94</v>
      </c>
      <c r="F203" s="30">
        <v>145</v>
      </c>
      <c r="G203" s="31">
        <v>0</v>
      </c>
      <c r="H203" s="30">
        <f>ROUND(F203*AO203,2)</f>
        <v>0</v>
      </c>
      <c r="I203" s="30">
        <f>ROUND(F203*AP203,2)</f>
        <v>0</v>
      </c>
      <c r="J203" s="30">
        <f>ROUND(F203*G203,2)</f>
        <v>0</v>
      </c>
      <c r="K203" s="32" t="s">
        <v>50</v>
      </c>
      <c r="Z203" s="30">
        <f>ROUND(IF(AQ203="5",BJ203,0),2)</f>
        <v>0</v>
      </c>
      <c r="AB203" s="30">
        <f>ROUND(IF(AQ203="1",BH203,0),2)</f>
        <v>0</v>
      </c>
      <c r="AC203" s="30">
        <f>ROUND(IF(AQ203="1",BI203,0),2)</f>
        <v>0</v>
      </c>
      <c r="AD203" s="30">
        <f>ROUND(IF(AQ203="7",BH203,0),2)</f>
        <v>0</v>
      </c>
      <c r="AE203" s="30">
        <f>ROUND(IF(AQ203="7",BI203,0),2)</f>
        <v>0</v>
      </c>
      <c r="AF203" s="30">
        <f>ROUND(IF(AQ203="2",BH203,0),2)</f>
        <v>0</v>
      </c>
      <c r="AG203" s="30">
        <f>ROUND(IF(AQ203="2",BI203,0),2)</f>
        <v>0</v>
      </c>
      <c r="AH203" s="30">
        <f>ROUND(IF(AQ203="0",BJ203,0),2)</f>
        <v>0</v>
      </c>
      <c r="AI203" s="10" t="s">
        <v>311</v>
      </c>
      <c r="AJ203" s="30">
        <f>IF(AN203=0,J203,0)</f>
        <v>0</v>
      </c>
      <c r="AK203" s="30">
        <f>IF(AN203=12,J203,0)</f>
        <v>0</v>
      </c>
      <c r="AL203" s="30">
        <f>IF(AN203=21,J203,0)</f>
        <v>0</v>
      </c>
      <c r="AN203" s="30">
        <v>21</v>
      </c>
      <c r="AO203" s="30">
        <f>G203*0.476190476</f>
        <v>0</v>
      </c>
      <c r="AP203" s="30">
        <f>G203*(1-0.476190476)</f>
        <v>0</v>
      </c>
      <c r="AQ203" s="33" t="s">
        <v>55</v>
      </c>
      <c r="AV203" s="30">
        <f>ROUND(AW203+AX203,2)</f>
        <v>0</v>
      </c>
      <c r="AW203" s="30">
        <f>ROUND(F203*AO203,2)</f>
        <v>0</v>
      </c>
      <c r="AX203" s="30">
        <f>ROUND(F203*AP203,2)</f>
        <v>0</v>
      </c>
      <c r="AY203" s="33" t="s">
        <v>446</v>
      </c>
      <c r="AZ203" s="33" t="s">
        <v>420</v>
      </c>
      <c r="BA203" s="10" t="s">
        <v>316</v>
      </c>
      <c r="BC203" s="30">
        <f>AW203+AX203</f>
        <v>0</v>
      </c>
      <c r="BD203" s="30">
        <f>G203/(100-BE203)*100</f>
        <v>0</v>
      </c>
      <c r="BE203" s="30">
        <v>0</v>
      </c>
      <c r="BF203" s="30">
        <f>203</f>
        <v>203</v>
      </c>
      <c r="BH203" s="30">
        <f>F203*AO203</f>
        <v>0</v>
      </c>
      <c r="BI203" s="30">
        <f>F203*AP203</f>
        <v>0</v>
      </c>
      <c r="BJ203" s="30">
        <f>F203*G203</f>
        <v>0</v>
      </c>
      <c r="BK203" s="33" t="s">
        <v>62</v>
      </c>
      <c r="BL203" s="30">
        <v>916</v>
      </c>
      <c r="BW203" s="30">
        <v>21</v>
      </c>
      <c r="BX203" s="4" t="s">
        <v>445</v>
      </c>
    </row>
    <row r="204" spans="1:76" x14ac:dyDescent="0.25">
      <c r="A204" s="34"/>
      <c r="C204" s="37" t="s">
        <v>447</v>
      </c>
      <c r="D204" s="37" t="s">
        <v>448</v>
      </c>
      <c r="F204" s="38">
        <v>82</v>
      </c>
      <c r="K204" s="39"/>
    </row>
    <row r="205" spans="1:76" x14ac:dyDescent="0.25">
      <c r="A205" s="34"/>
      <c r="C205" s="37" t="s">
        <v>336</v>
      </c>
      <c r="D205" s="37" t="s">
        <v>449</v>
      </c>
      <c r="F205" s="38">
        <v>43</v>
      </c>
      <c r="K205" s="39"/>
    </row>
    <row r="206" spans="1:76" x14ac:dyDescent="0.25">
      <c r="A206" s="34"/>
      <c r="C206" s="37" t="s">
        <v>450</v>
      </c>
      <c r="D206" s="37" t="s">
        <v>451</v>
      </c>
      <c r="F206" s="38">
        <v>20</v>
      </c>
      <c r="K206" s="39"/>
    </row>
    <row r="207" spans="1:76" x14ac:dyDescent="0.25">
      <c r="A207" s="25" t="s">
        <v>50</v>
      </c>
      <c r="B207" s="26" t="s">
        <v>452</v>
      </c>
      <c r="C207" s="93" t="s">
        <v>453</v>
      </c>
      <c r="D207" s="94"/>
      <c r="E207" s="27" t="s">
        <v>4</v>
      </c>
      <c r="F207" s="27" t="s">
        <v>4</v>
      </c>
      <c r="G207" s="28" t="s">
        <v>4</v>
      </c>
      <c r="H207" s="1">
        <f>SUM(H208:H208)</f>
        <v>0</v>
      </c>
      <c r="I207" s="1">
        <f>SUM(I208:I208)</f>
        <v>0</v>
      </c>
      <c r="J207" s="1">
        <f>SUM(J208:J208)</f>
        <v>0</v>
      </c>
      <c r="K207" s="29" t="s">
        <v>50</v>
      </c>
      <c r="AI207" s="10" t="s">
        <v>311</v>
      </c>
      <c r="AS207" s="1">
        <f>SUM(AJ208:AJ208)</f>
        <v>0</v>
      </c>
      <c r="AT207" s="1">
        <f>SUM(AK208:AK208)</f>
        <v>0</v>
      </c>
      <c r="AU207" s="1">
        <f>SUM(AL208:AL208)</f>
        <v>0</v>
      </c>
    </row>
    <row r="208" spans="1:76" x14ac:dyDescent="0.25">
      <c r="A208" s="2" t="s">
        <v>454</v>
      </c>
      <c r="B208" s="3" t="s">
        <v>455</v>
      </c>
      <c r="C208" s="76" t="s">
        <v>456</v>
      </c>
      <c r="D208" s="71"/>
      <c r="E208" s="3" t="s">
        <v>194</v>
      </c>
      <c r="F208" s="30">
        <v>14.63</v>
      </c>
      <c r="G208" s="31">
        <v>0</v>
      </c>
      <c r="H208" s="30">
        <f>ROUND(F208*AO208,2)</f>
        <v>0</v>
      </c>
      <c r="I208" s="30">
        <f>ROUND(F208*AP208,2)</f>
        <v>0</v>
      </c>
      <c r="J208" s="30">
        <f>ROUND(F208*G208,2)</f>
        <v>0</v>
      </c>
      <c r="K208" s="32" t="s">
        <v>79</v>
      </c>
      <c r="Z208" s="30">
        <f>ROUND(IF(AQ208="5",BJ208,0),2)</f>
        <v>0</v>
      </c>
      <c r="AB208" s="30">
        <f>ROUND(IF(AQ208="1",BH208,0),2)</f>
        <v>0</v>
      </c>
      <c r="AC208" s="30">
        <f>ROUND(IF(AQ208="1",BI208,0),2)</f>
        <v>0</v>
      </c>
      <c r="AD208" s="30">
        <f>ROUND(IF(AQ208="7",BH208,0),2)</f>
        <v>0</v>
      </c>
      <c r="AE208" s="30">
        <f>ROUND(IF(AQ208="7",BI208,0),2)</f>
        <v>0</v>
      </c>
      <c r="AF208" s="30">
        <f>ROUND(IF(AQ208="2",BH208,0),2)</f>
        <v>0</v>
      </c>
      <c r="AG208" s="30">
        <f>ROUND(IF(AQ208="2",BI208,0),2)</f>
        <v>0</v>
      </c>
      <c r="AH208" s="30">
        <f>ROUND(IF(AQ208="0",BJ208,0),2)</f>
        <v>0</v>
      </c>
      <c r="AI208" s="10" t="s">
        <v>311</v>
      </c>
      <c r="AJ208" s="30">
        <f>IF(AN208=0,J208,0)</f>
        <v>0</v>
      </c>
      <c r="AK208" s="30">
        <f>IF(AN208=12,J208,0)</f>
        <v>0</v>
      </c>
      <c r="AL208" s="30">
        <f>IF(AN208=21,J208,0)</f>
        <v>0</v>
      </c>
      <c r="AN208" s="30">
        <v>21</v>
      </c>
      <c r="AO208" s="30">
        <f>G208*0.569433047</f>
        <v>0</v>
      </c>
      <c r="AP208" s="30">
        <f>G208*(1-0.569433047)</f>
        <v>0</v>
      </c>
      <c r="AQ208" s="33" t="s">
        <v>55</v>
      </c>
      <c r="AV208" s="30">
        <f>ROUND(AW208+AX208,2)</f>
        <v>0</v>
      </c>
      <c r="AW208" s="30">
        <f>ROUND(F208*AO208,2)</f>
        <v>0</v>
      </c>
      <c r="AX208" s="30">
        <f>ROUND(F208*AP208,2)</f>
        <v>0</v>
      </c>
      <c r="AY208" s="33" t="s">
        <v>457</v>
      </c>
      <c r="AZ208" s="33" t="s">
        <v>420</v>
      </c>
      <c r="BA208" s="10" t="s">
        <v>316</v>
      </c>
      <c r="BC208" s="30">
        <f>AW208+AX208</f>
        <v>0</v>
      </c>
      <c r="BD208" s="30">
        <f>G208/(100-BE208)*100</f>
        <v>0</v>
      </c>
      <c r="BE208" s="30">
        <v>0</v>
      </c>
      <c r="BF208" s="30">
        <f>208</f>
        <v>208</v>
      </c>
      <c r="BH208" s="30">
        <f>F208*AO208</f>
        <v>0</v>
      </c>
      <c r="BI208" s="30">
        <f>F208*AP208</f>
        <v>0</v>
      </c>
      <c r="BJ208" s="30">
        <f>F208*G208</f>
        <v>0</v>
      </c>
      <c r="BK208" s="33" t="s">
        <v>62</v>
      </c>
      <c r="BL208" s="30">
        <v>93</v>
      </c>
      <c r="BW208" s="30">
        <v>21</v>
      </c>
      <c r="BX208" s="4" t="s">
        <v>456</v>
      </c>
    </row>
    <row r="209" spans="1:76" ht="13.5" customHeight="1" x14ac:dyDescent="0.25">
      <c r="A209" s="34"/>
      <c r="B209" s="35" t="s">
        <v>63</v>
      </c>
      <c r="C209" s="89" t="s">
        <v>458</v>
      </c>
      <c r="D209" s="90"/>
      <c r="E209" s="90"/>
      <c r="F209" s="90"/>
      <c r="G209" s="91"/>
      <c r="H209" s="90"/>
      <c r="I209" s="90"/>
      <c r="J209" s="90"/>
      <c r="K209" s="92"/>
    </row>
    <row r="210" spans="1:76" x14ac:dyDescent="0.25">
      <c r="A210" s="34"/>
      <c r="C210" s="37" t="s">
        <v>459</v>
      </c>
      <c r="D210" s="37" t="s">
        <v>50</v>
      </c>
      <c r="F210" s="38">
        <v>14.63</v>
      </c>
      <c r="K210" s="39"/>
    </row>
    <row r="211" spans="1:76" x14ac:dyDescent="0.25">
      <c r="A211" s="25" t="s">
        <v>50</v>
      </c>
      <c r="B211" s="26" t="s">
        <v>460</v>
      </c>
      <c r="C211" s="93" t="s">
        <v>461</v>
      </c>
      <c r="D211" s="94"/>
      <c r="E211" s="27" t="s">
        <v>4</v>
      </c>
      <c r="F211" s="27" t="s">
        <v>4</v>
      </c>
      <c r="G211" s="28" t="s">
        <v>4</v>
      </c>
      <c r="H211" s="1">
        <f>SUM(H212:H217)</f>
        <v>0</v>
      </c>
      <c r="I211" s="1">
        <f>SUM(I212:I217)</f>
        <v>0</v>
      </c>
      <c r="J211" s="1">
        <f>SUM(J212:J217)</f>
        <v>0</v>
      </c>
      <c r="K211" s="29" t="s">
        <v>50</v>
      </c>
      <c r="AI211" s="10" t="s">
        <v>311</v>
      </c>
      <c r="AS211" s="1">
        <f>SUM(AJ212:AJ217)</f>
        <v>0</v>
      </c>
      <c r="AT211" s="1">
        <f>SUM(AK212:AK217)</f>
        <v>0</v>
      </c>
      <c r="AU211" s="1">
        <f>SUM(AL212:AL217)</f>
        <v>0</v>
      </c>
    </row>
    <row r="212" spans="1:76" x14ac:dyDescent="0.25">
      <c r="A212" s="2" t="s">
        <v>462</v>
      </c>
      <c r="B212" s="3" t="s">
        <v>463</v>
      </c>
      <c r="C212" s="76" t="s">
        <v>464</v>
      </c>
      <c r="D212" s="71"/>
      <c r="E212" s="3" t="s">
        <v>94</v>
      </c>
      <c r="F212" s="30">
        <v>15.6</v>
      </c>
      <c r="G212" s="31">
        <v>0</v>
      </c>
      <c r="H212" s="30">
        <f>ROUND(F212*AO212,2)</f>
        <v>0</v>
      </c>
      <c r="I212" s="30">
        <f>ROUND(F212*AP212,2)</f>
        <v>0</v>
      </c>
      <c r="J212" s="30">
        <f>ROUND(F212*G212,2)</f>
        <v>0</v>
      </c>
      <c r="K212" s="32" t="s">
        <v>79</v>
      </c>
      <c r="Z212" s="30">
        <f>ROUND(IF(AQ212="5",BJ212,0),2)</f>
        <v>0</v>
      </c>
      <c r="AB212" s="30">
        <f>ROUND(IF(AQ212="1",BH212,0),2)</f>
        <v>0</v>
      </c>
      <c r="AC212" s="30">
        <f>ROUND(IF(AQ212="1",BI212,0),2)</f>
        <v>0</v>
      </c>
      <c r="AD212" s="30">
        <f>ROUND(IF(AQ212="7",BH212,0),2)</f>
        <v>0</v>
      </c>
      <c r="AE212" s="30">
        <f>ROUND(IF(AQ212="7",BI212,0),2)</f>
        <v>0</v>
      </c>
      <c r="AF212" s="30">
        <f>ROUND(IF(AQ212="2",BH212,0),2)</f>
        <v>0</v>
      </c>
      <c r="AG212" s="30">
        <f>ROUND(IF(AQ212="2",BI212,0),2)</f>
        <v>0</v>
      </c>
      <c r="AH212" s="30">
        <f>ROUND(IF(AQ212="0",BJ212,0),2)</f>
        <v>0</v>
      </c>
      <c r="AI212" s="10" t="s">
        <v>311</v>
      </c>
      <c r="AJ212" s="30">
        <f>IF(AN212=0,J212,0)</f>
        <v>0</v>
      </c>
      <c r="AK212" s="30">
        <f>IF(AN212=12,J212,0)</f>
        <v>0</v>
      </c>
      <c r="AL212" s="30">
        <f>IF(AN212=21,J212,0)</f>
        <v>0</v>
      </c>
      <c r="AN212" s="30">
        <v>21</v>
      </c>
      <c r="AO212" s="30">
        <f>G212*0.033584323</f>
        <v>0</v>
      </c>
      <c r="AP212" s="30">
        <f>G212*(1-0.033584323)</f>
        <v>0</v>
      </c>
      <c r="AQ212" s="33" t="s">
        <v>55</v>
      </c>
      <c r="AV212" s="30">
        <f>ROUND(AW212+AX212,2)</f>
        <v>0</v>
      </c>
      <c r="AW212" s="30">
        <f>ROUND(F212*AO212,2)</f>
        <v>0</v>
      </c>
      <c r="AX212" s="30">
        <f>ROUND(F212*AP212,2)</f>
        <v>0</v>
      </c>
      <c r="AY212" s="33" t="s">
        <v>465</v>
      </c>
      <c r="AZ212" s="33" t="s">
        <v>420</v>
      </c>
      <c r="BA212" s="10" t="s">
        <v>316</v>
      </c>
      <c r="BC212" s="30">
        <f>AW212+AX212</f>
        <v>0</v>
      </c>
      <c r="BD212" s="30">
        <f>G212/(100-BE212)*100</f>
        <v>0</v>
      </c>
      <c r="BE212" s="30">
        <v>0</v>
      </c>
      <c r="BF212" s="30">
        <f>212</f>
        <v>212</v>
      </c>
      <c r="BH212" s="30">
        <f>F212*AO212</f>
        <v>0</v>
      </c>
      <c r="BI212" s="30">
        <f>F212*AP212</f>
        <v>0</v>
      </c>
      <c r="BJ212" s="30">
        <f>F212*G212</f>
        <v>0</v>
      </c>
      <c r="BK212" s="33" t="s">
        <v>62</v>
      </c>
      <c r="BL212" s="30">
        <v>95</v>
      </c>
      <c r="BW212" s="30">
        <v>21</v>
      </c>
      <c r="BX212" s="4" t="s">
        <v>464</v>
      </c>
    </row>
    <row r="213" spans="1:76" ht="25.5" x14ac:dyDescent="0.25">
      <c r="A213" s="34"/>
      <c r="B213" s="35" t="s">
        <v>84</v>
      </c>
      <c r="C213" s="102" t="s">
        <v>466</v>
      </c>
      <c r="D213" s="103"/>
      <c r="E213" s="103"/>
      <c r="F213" s="103"/>
      <c r="G213" s="104"/>
      <c r="H213" s="103"/>
      <c r="I213" s="103"/>
      <c r="J213" s="103"/>
      <c r="K213" s="105"/>
      <c r="BX213" s="36" t="s">
        <v>466</v>
      </c>
    </row>
    <row r="214" spans="1:76" x14ac:dyDescent="0.25">
      <c r="A214" s="2" t="s">
        <v>467</v>
      </c>
      <c r="B214" s="3" t="s">
        <v>468</v>
      </c>
      <c r="C214" s="76" t="s">
        <v>469</v>
      </c>
      <c r="D214" s="71"/>
      <c r="E214" s="3" t="s">
        <v>94</v>
      </c>
      <c r="F214" s="30">
        <v>15.6</v>
      </c>
      <c r="G214" s="31">
        <v>0</v>
      </c>
      <c r="H214" s="30">
        <f>ROUND(F214*AO214,2)</f>
        <v>0</v>
      </c>
      <c r="I214" s="30">
        <f>ROUND(F214*AP214,2)</f>
        <v>0</v>
      </c>
      <c r="J214" s="30">
        <f>ROUND(F214*G214,2)</f>
        <v>0</v>
      </c>
      <c r="K214" s="32" t="s">
        <v>69</v>
      </c>
      <c r="Z214" s="30">
        <f>ROUND(IF(AQ214="5",BJ214,0),2)</f>
        <v>0</v>
      </c>
      <c r="AB214" s="30">
        <f>ROUND(IF(AQ214="1",BH214,0),2)</f>
        <v>0</v>
      </c>
      <c r="AC214" s="30">
        <f>ROUND(IF(AQ214="1",BI214,0),2)</f>
        <v>0</v>
      </c>
      <c r="AD214" s="30">
        <f>ROUND(IF(AQ214="7",BH214,0),2)</f>
        <v>0</v>
      </c>
      <c r="AE214" s="30">
        <f>ROUND(IF(AQ214="7",BI214,0),2)</f>
        <v>0</v>
      </c>
      <c r="AF214" s="30">
        <f>ROUND(IF(AQ214="2",BH214,0),2)</f>
        <v>0</v>
      </c>
      <c r="AG214" s="30">
        <f>ROUND(IF(AQ214="2",BI214,0),2)</f>
        <v>0</v>
      </c>
      <c r="AH214" s="30">
        <f>ROUND(IF(AQ214="0",BJ214,0),2)</f>
        <v>0</v>
      </c>
      <c r="AI214" s="10" t="s">
        <v>311</v>
      </c>
      <c r="AJ214" s="30">
        <f>IF(AN214=0,J214,0)</f>
        <v>0</v>
      </c>
      <c r="AK214" s="30">
        <f>IF(AN214=12,J214,0)</f>
        <v>0</v>
      </c>
      <c r="AL214" s="30">
        <f>IF(AN214=21,J214,0)</f>
        <v>0</v>
      </c>
      <c r="AN214" s="30">
        <v>21</v>
      </c>
      <c r="AO214" s="30">
        <f>G214*1</f>
        <v>0</v>
      </c>
      <c r="AP214" s="30">
        <f>G214*(1-1)</f>
        <v>0</v>
      </c>
      <c r="AQ214" s="33" t="s">
        <v>55</v>
      </c>
      <c r="AV214" s="30">
        <f>ROUND(AW214+AX214,2)</f>
        <v>0</v>
      </c>
      <c r="AW214" s="30">
        <f>ROUND(F214*AO214,2)</f>
        <v>0</v>
      </c>
      <c r="AX214" s="30">
        <f>ROUND(F214*AP214,2)</f>
        <v>0</v>
      </c>
      <c r="AY214" s="33" t="s">
        <v>465</v>
      </c>
      <c r="AZ214" s="33" t="s">
        <v>420</v>
      </c>
      <c r="BA214" s="10" t="s">
        <v>316</v>
      </c>
      <c r="BC214" s="30">
        <f>AW214+AX214</f>
        <v>0</v>
      </c>
      <c r="BD214" s="30">
        <f>G214/(100-BE214)*100</f>
        <v>0</v>
      </c>
      <c r="BE214" s="30">
        <v>0</v>
      </c>
      <c r="BF214" s="30">
        <f>214</f>
        <v>214</v>
      </c>
      <c r="BH214" s="30">
        <f>F214*AO214</f>
        <v>0</v>
      </c>
      <c r="BI214" s="30">
        <f>F214*AP214</f>
        <v>0</v>
      </c>
      <c r="BJ214" s="30">
        <f>F214*G214</f>
        <v>0</v>
      </c>
      <c r="BK214" s="33" t="s">
        <v>173</v>
      </c>
      <c r="BL214" s="30">
        <v>95</v>
      </c>
      <c r="BW214" s="30">
        <v>21</v>
      </c>
      <c r="BX214" s="4" t="s">
        <v>469</v>
      </c>
    </row>
    <row r="215" spans="1:76" x14ac:dyDescent="0.25">
      <c r="A215" s="34"/>
      <c r="B215" s="35" t="s">
        <v>84</v>
      </c>
      <c r="C215" s="102" t="s">
        <v>470</v>
      </c>
      <c r="D215" s="103"/>
      <c r="E215" s="103"/>
      <c r="F215" s="103"/>
      <c r="G215" s="104"/>
      <c r="H215" s="103"/>
      <c r="I215" s="103"/>
      <c r="J215" s="103"/>
      <c r="K215" s="105"/>
      <c r="BX215" s="36" t="s">
        <v>470</v>
      </c>
    </row>
    <row r="216" spans="1:76" x14ac:dyDescent="0.25">
      <c r="A216" s="2" t="s">
        <v>471</v>
      </c>
      <c r="B216" s="3" t="s">
        <v>472</v>
      </c>
      <c r="C216" s="76" t="s">
        <v>473</v>
      </c>
      <c r="D216" s="71"/>
      <c r="E216" s="3" t="s">
        <v>172</v>
      </c>
      <c r="F216" s="30">
        <v>264.45</v>
      </c>
      <c r="G216" s="31">
        <v>0</v>
      </c>
      <c r="H216" s="30">
        <f>ROUND(F216*AO216,2)</f>
        <v>0</v>
      </c>
      <c r="I216" s="30">
        <f>ROUND(F216*AP216,2)</f>
        <v>0</v>
      </c>
      <c r="J216" s="30">
        <f>ROUND(F216*G216,2)</f>
        <v>0</v>
      </c>
      <c r="K216" s="32" t="s">
        <v>79</v>
      </c>
      <c r="Z216" s="30">
        <f>ROUND(IF(AQ216="5",BJ216,0),2)</f>
        <v>0</v>
      </c>
      <c r="AB216" s="30">
        <f>ROUND(IF(AQ216="1",BH216,0),2)</f>
        <v>0</v>
      </c>
      <c r="AC216" s="30">
        <f>ROUND(IF(AQ216="1",BI216,0),2)</f>
        <v>0</v>
      </c>
      <c r="AD216" s="30">
        <f>ROUND(IF(AQ216="7",BH216,0),2)</f>
        <v>0</v>
      </c>
      <c r="AE216" s="30">
        <f>ROUND(IF(AQ216="7",BI216,0),2)</f>
        <v>0</v>
      </c>
      <c r="AF216" s="30">
        <f>ROUND(IF(AQ216="2",BH216,0),2)</f>
        <v>0</v>
      </c>
      <c r="AG216" s="30">
        <f>ROUND(IF(AQ216="2",BI216,0),2)</f>
        <v>0</v>
      </c>
      <c r="AH216" s="30">
        <f>ROUND(IF(AQ216="0",BJ216,0),2)</f>
        <v>0</v>
      </c>
      <c r="AI216" s="10" t="s">
        <v>311</v>
      </c>
      <c r="AJ216" s="30">
        <f>IF(AN216=0,J216,0)</f>
        <v>0</v>
      </c>
      <c r="AK216" s="30">
        <f>IF(AN216=12,J216,0)</f>
        <v>0</v>
      </c>
      <c r="AL216" s="30">
        <f>IF(AN216=21,J216,0)</f>
        <v>0</v>
      </c>
      <c r="AN216" s="30">
        <v>21</v>
      </c>
      <c r="AO216" s="30">
        <f>G216*0</f>
        <v>0</v>
      </c>
      <c r="AP216" s="30">
        <f>G216*(1-0)</f>
        <v>0</v>
      </c>
      <c r="AQ216" s="33" t="s">
        <v>91</v>
      </c>
      <c r="AV216" s="30">
        <f>ROUND(AW216+AX216,2)</f>
        <v>0</v>
      </c>
      <c r="AW216" s="30">
        <f>ROUND(F216*AO216,2)</f>
        <v>0</v>
      </c>
      <c r="AX216" s="30">
        <f>ROUND(F216*AP216,2)</f>
        <v>0</v>
      </c>
      <c r="AY216" s="33" t="s">
        <v>465</v>
      </c>
      <c r="AZ216" s="33" t="s">
        <v>420</v>
      </c>
      <c r="BA216" s="10" t="s">
        <v>316</v>
      </c>
      <c r="BC216" s="30">
        <f>AW216+AX216</f>
        <v>0</v>
      </c>
      <c r="BD216" s="30">
        <f>G216/(100-BE216)*100</f>
        <v>0</v>
      </c>
      <c r="BE216" s="30">
        <v>0</v>
      </c>
      <c r="BF216" s="30">
        <f>216</f>
        <v>216</v>
      </c>
      <c r="BH216" s="30">
        <f>F216*AO216</f>
        <v>0</v>
      </c>
      <c r="BI216" s="30">
        <f>F216*AP216</f>
        <v>0</v>
      </c>
      <c r="BJ216" s="30">
        <f>F216*G216</f>
        <v>0</v>
      </c>
      <c r="BK216" s="33" t="s">
        <v>62</v>
      </c>
      <c r="BL216" s="30">
        <v>95</v>
      </c>
      <c r="BW216" s="30">
        <v>21</v>
      </c>
      <c r="BX216" s="4" t="s">
        <v>473</v>
      </c>
    </row>
    <row r="217" spans="1:76" x14ac:dyDescent="0.25">
      <c r="A217" s="2" t="s">
        <v>474</v>
      </c>
      <c r="B217" s="3" t="s">
        <v>475</v>
      </c>
      <c r="C217" s="76" t="s">
        <v>476</v>
      </c>
      <c r="D217" s="71"/>
      <c r="E217" s="3" t="s">
        <v>120</v>
      </c>
      <c r="F217" s="30">
        <v>40</v>
      </c>
      <c r="G217" s="31">
        <v>0</v>
      </c>
      <c r="H217" s="30">
        <f>ROUND(F217*AO217,2)</f>
        <v>0</v>
      </c>
      <c r="I217" s="30">
        <f>ROUND(F217*AP217,2)</f>
        <v>0</v>
      </c>
      <c r="J217" s="30">
        <f>ROUND(F217*G217,2)</f>
        <v>0</v>
      </c>
      <c r="K217" s="32" t="s">
        <v>79</v>
      </c>
      <c r="Z217" s="30">
        <f>ROUND(IF(AQ217="5",BJ217,0),2)</f>
        <v>0</v>
      </c>
      <c r="AB217" s="30">
        <f>ROUND(IF(AQ217="1",BH217,0),2)</f>
        <v>0</v>
      </c>
      <c r="AC217" s="30">
        <f>ROUND(IF(AQ217="1",BI217,0),2)</f>
        <v>0</v>
      </c>
      <c r="AD217" s="30">
        <f>ROUND(IF(AQ217="7",BH217,0),2)</f>
        <v>0</v>
      </c>
      <c r="AE217" s="30">
        <f>ROUND(IF(AQ217="7",BI217,0),2)</f>
        <v>0</v>
      </c>
      <c r="AF217" s="30">
        <f>ROUND(IF(AQ217="2",BH217,0),2)</f>
        <v>0</v>
      </c>
      <c r="AG217" s="30">
        <f>ROUND(IF(AQ217="2",BI217,0),2)</f>
        <v>0</v>
      </c>
      <c r="AH217" s="30">
        <f>ROUND(IF(AQ217="0",BJ217,0),2)</f>
        <v>0</v>
      </c>
      <c r="AI217" s="10" t="s">
        <v>311</v>
      </c>
      <c r="AJ217" s="30">
        <f>IF(AN217=0,J217,0)</f>
        <v>0</v>
      </c>
      <c r="AK217" s="30">
        <f>IF(AN217=12,J217,0)</f>
        <v>0</v>
      </c>
      <c r="AL217" s="30">
        <f>IF(AN217=21,J217,0)</f>
        <v>0</v>
      </c>
      <c r="AN217" s="30">
        <v>21</v>
      </c>
      <c r="AO217" s="30">
        <f>G217*0.464695122</f>
        <v>0</v>
      </c>
      <c r="AP217" s="30">
        <f>G217*(1-0.464695122)</f>
        <v>0</v>
      </c>
      <c r="AQ217" s="33" t="s">
        <v>55</v>
      </c>
      <c r="AV217" s="30">
        <f>ROUND(AW217+AX217,2)</f>
        <v>0</v>
      </c>
      <c r="AW217" s="30">
        <f>ROUND(F217*AO217,2)</f>
        <v>0</v>
      </c>
      <c r="AX217" s="30">
        <f>ROUND(F217*AP217,2)</f>
        <v>0</v>
      </c>
      <c r="AY217" s="33" t="s">
        <v>465</v>
      </c>
      <c r="AZ217" s="33" t="s">
        <v>420</v>
      </c>
      <c r="BA217" s="10" t="s">
        <v>316</v>
      </c>
      <c r="BC217" s="30">
        <f>AW217+AX217</f>
        <v>0</v>
      </c>
      <c r="BD217" s="30">
        <f>G217/(100-BE217)*100</f>
        <v>0</v>
      </c>
      <c r="BE217" s="30">
        <v>0</v>
      </c>
      <c r="BF217" s="30">
        <f>217</f>
        <v>217</v>
      </c>
      <c r="BH217" s="30">
        <f>F217*AO217</f>
        <v>0</v>
      </c>
      <c r="BI217" s="30">
        <f>F217*AP217</f>
        <v>0</v>
      </c>
      <c r="BJ217" s="30">
        <f>F217*G217</f>
        <v>0</v>
      </c>
      <c r="BK217" s="33" t="s">
        <v>62</v>
      </c>
      <c r="BL217" s="30">
        <v>95</v>
      </c>
      <c r="BW217" s="30">
        <v>21</v>
      </c>
      <c r="BX217" s="4" t="s">
        <v>476</v>
      </c>
    </row>
    <row r="218" spans="1:76" x14ac:dyDescent="0.25">
      <c r="A218" s="34"/>
      <c r="C218" s="37" t="s">
        <v>477</v>
      </c>
      <c r="D218" s="37" t="s">
        <v>478</v>
      </c>
      <c r="F218" s="38">
        <v>40</v>
      </c>
      <c r="K218" s="39"/>
    </row>
    <row r="219" spans="1:76" ht="25.5" x14ac:dyDescent="0.25">
      <c r="A219" s="34"/>
      <c r="B219" s="35" t="s">
        <v>84</v>
      </c>
      <c r="C219" s="102" t="s">
        <v>479</v>
      </c>
      <c r="D219" s="103"/>
      <c r="E219" s="103"/>
      <c r="F219" s="103"/>
      <c r="G219" s="104"/>
      <c r="H219" s="103"/>
      <c r="I219" s="103"/>
      <c r="J219" s="103"/>
      <c r="K219" s="105"/>
      <c r="BX219" s="36" t="s">
        <v>479</v>
      </c>
    </row>
    <row r="220" spans="1:76" x14ac:dyDescent="0.25">
      <c r="A220" s="25" t="s">
        <v>50</v>
      </c>
      <c r="B220" s="26" t="s">
        <v>227</v>
      </c>
      <c r="C220" s="93" t="s">
        <v>228</v>
      </c>
      <c r="D220" s="94"/>
      <c r="E220" s="27" t="s">
        <v>4</v>
      </c>
      <c r="F220" s="27" t="s">
        <v>4</v>
      </c>
      <c r="G220" s="28" t="s">
        <v>4</v>
      </c>
      <c r="H220" s="1">
        <f>SUM(H221:H221)</f>
        <v>0</v>
      </c>
      <c r="I220" s="1">
        <f>SUM(I221:I221)</f>
        <v>0</v>
      </c>
      <c r="J220" s="1">
        <f>SUM(J221:J221)</f>
        <v>0</v>
      </c>
      <c r="K220" s="29" t="s">
        <v>50</v>
      </c>
      <c r="AI220" s="10" t="s">
        <v>311</v>
      </c>
      <c r="AS220" s="1">
        <f>SUM(AJ221:AJ221)</f>
        <v>0</v>
      </c>
      <c r="AT220" s="1">
        <f>SUM(AK221:AK221)</f>
        <v>0</v>
      </c>
      <c r="AU220" s="1">
        <f>SUM(AL221:AL221)</f>
        <v>0</v>
      </c>
    </row>
    <row r="221" spans="1:76" x14ac:dyDescent="0.25">
      <c r="A221" s="2" t="s">
        <v>480</v>
      </c>
      <c r="B221" s="3" t="s">
        <v>481</v>
      </c>
      <c r="C221" s="76" t="s">
        <v>482</v>
      </c>
      <c r="D221" s="71"/>
      <c r="E221" s="3" t="s">
        <v>94</v>
      </c>
      <c r="F221" s="30">
        <v>13.3</v>
      </c>
      <c r="G221" s="31">
        <v>0</v>
      </c>
      <c r="H221" s="30">
        <f>ROUND(F221*AO221,2)</f>
        <v>0</v>
      </c>
      <c r="I221" s="30">
        <f>ROUND(F221*AP221,2)</f>
        <v>0</v>
      </c>
      <c r="J221" s="30">
        <f>ROUND(F221*G221,2)</f>
        <v>0</v>
      </c>
      <c r="K221" s="32" t="s">
        <v>79</v>
      </c>
      <c r="Z221" s="30">
        <f>ROUND(IF(AQ221="5",BJ221,0),2)</f>
        <v>0</v>
      </c>
      <c r="AB221" s="30">
        <f>ROUND(IF(AQ221="1",BH221,0),2)</f>
        <v>0</v>
      </c>
      <c r="AC221" s="30">
        <f>ROUND(IF(AQ221="1",BI221,0),2)</f>
        <v>0</v>
      </c>
      <c r="AD221" s="30">
        <f>ROUND(IF(AQ221="7",BH221,0),2)</f>
        <v>0</v>
      </c>
      <c r="AE221" s="30">
        <f>ROUND(IF(AQ221="7",BI221,0),2)</f>
        <v>0</v>
      </c>
      <c r="AF221" s="30">
        <f>ROUND(IF(AQ221="2",BH221,0),2)</f>
        <v>0</v>
      </c>
      <c r="AG221" s="30">
        <f>ROUND(IF(AQ221="2",BI221,0),2)</f>
        <v>0</v>
      </c>
      <c r="AH221" s="30">
        <f>ROUND(IF(AQ221="0",BJ221,0),2)</f>
        <v>0</v>
      </c>
      <c r="AI221" s="10" t="s">
        <v>311</v>
      </c>
      <c r="AJ221" s="30">
        <f>IF(AN221=0,J221,0)</f>
        <v>0</v>
      </c>
      <c r="AK221" s="30">
        <f>IF(AN221=12,J221,0)</f>
        <v>0</v>
      </c>
      <c r="AL221" s="30">
        <f>IF(AN221=21,J221,0)</f>
        <v>0</v>
      </c>
      <c r="AN221" s="30">
        <v>21</v>
      </c>
      <c r="AO221" s="30">
        <f>G221*0.158084183</f>
        <v>0</v>
      </c>
      <c r="AP221" s="30">
        <f>G221*(1-0.158084183)</f>
        <v>0</v>
      </c>
      <c r="AQ221" s="33" t="s">
        <v>65</v>
      </c>
      <c r="AV221" s="30">
        <f>ROUND(AW221+AX221,2)</f>
        <v>0</v>
      </c>
      <c r="AW221" s="30">
        <f>ROUND(F221*AO221,2)</f>
        <v>0</v>
      </c>
      <c r="AX221" s="30">
        <f>ROUND(F221*AP221,2)</f>
        <v>0</v>
      </c>
      <c r="AY221" s="33" t="s">
        <v>232</v>
      </c>
      <c r="AZ221" s="33" t="s">
        <v>420</v>
      </c>
      <c r="BA221" s="10" t="s">
        <v>316</v>
      </c>
      <c r="BC221" s="30">
        <f>AW221+AX221</f>
        <v>0</v>
      </c>
      <c r="BD221" s="30">
        <f>G221/(100-BE221)*100</f>
        <v>0</v>
      </c>
      <c r="BE221" s="30">
        <v>0</v>
      </c>
      <c r="BF221" s="30">
        <f>221</f>
        <v>221</v>
      </c>
      <c r="BH221" s="30">
        <f>F221*AO221</f>
        <v>0</v>
      </c>
      <c r="BI221" s="30">
        <f>F221*AP221</f>
        <v>0</v>
      </c>
      <c r="BJ221" s="30">
        <f>F221*G221</f>
        <v>0</v>
      </c>
      <c r="BK221" s="33" t="s">
        <v>62</v>
      </c>
      <c r="BL221" s="30"/>
      <c r="BW221" s="30">
        <v>21</v>
      </c>
      <c r="BX221" s="4" t="s">
        <v>482</v>
      </c>
    </row>
    <row r="222" spans="1:76" ht="13.5" customHeight="1" x14ac:dyDescent="0.25">
      <c r="A222" s="34"/>
      <c r="B222" s="35" t="s">
        <v>63</v>
      </c>
      <c r="C222" s="89" t="s">
        <v>483</v>
      </c>
      <c r="D222" s="90"/>
      <c r="E222" s="90"/>
      <c r="F222" s="90"/>
      <c r="G222" s="91"/>
      <c r="H222" s="90"/>
      <c r="I222" s="90"/>
      <c r="J222" s="90"/>
      <c r="K222" s="92"/>
    </row>
    <row r="223" spans="1:76" x14ac:dyDescent="0.25">
      <c r="A223" s="25" t="s">
        <v>50</v>
      </c>
      <c r="B223" s="26" t="s">
        <v>50</v>
      </c>
      <c r="C223" s="93" t="s">
        <v>484</v>
      </c>
      <c r="D223" s="94"/>
      <c r="E223" s="27" t="s">
        <v>4</v>
      </c>
      <c r="F223" s="27" t="s">
        <v>4</v>
      </c>
      <c r="G223" s="28" t="s">
        <v>4</v>
      </c>
      <c r="H223" s="1">
        <f>H224</f>
        <v>0</v>
      </c>
      <c r="I223" s="1">
        <f>I224</f>
        <v>0</v>
      </c>
      <c r="J223" s="1">
        <f>J224</f>
        <v>0</v>
      </c>
      <c r="K223" s="29" t="s">
        <v>50</v>
      </c>
    </row>
    <row r="224" spans="1:76" x14ac:dyDescent="0.25">
      <c r="A224" s="25" t="s">
        <v>50</v>
      </c>
      <c r="B224" s="26" t="s">
        <v>158</v>
      </c>
      <c r="C224" s="93" t="s">
        <v>159</v>
      </c>
      <c r="D224" s="94"/>
      <c r="E224" s="27" t="s">
        <v>4</v>
      </c>
      <c r="F224" s="27" t="s">
        <v>4</v>
      </c>
      <c r="G224" s="28" t="s">
        <v>4</v>
      </c>
      <c r="H224" s="1">
        <f>SUM(H225:H312)</f>
        <v>0</v>
      </c>
      <c r="I224" s="1">
        <f>SUM(I225:I312)</f>
        <v>0</v>
      </c>
      <c r="J224" s="1">
        <f>SUM(J225:J312)</f>
        <v>0</v>
      </c>
      <c r="K224" s="29" t="s">
        <v>50</v>
      </c>
      <c r="AI224" s="10" t="s">
        <v>485</v>
      </c>
      <c r="AS224" s="1">
        <f>SUM(AJ225:AJ312)</f>
        <v>0</v>
      </c>
      <c r="AT224" s="1">
        <f>SUM(AK225:AK312)</f>
        <v>0</v>
      </c>
      <c r="AU224" s="1">
        <f>SUM(AL225:AL312)</f>
        <v>0</v>
      </c>
    </row>
    <row r="225" spans="1:76" x14ac:dyDescent="0.25">
      <c r="A225" s="2" t="s">
        <v>486</v>
      </c>
      <c r="B225" s="3" t="s">
        <v>487</v>
      </c>
      <c r="C225" s="76" t="s">
        <v>488</v>
      </c>
      <c r="D225" s="71"/>
      <c r="E225" s="3" t="s">
        <v>120</v>
      </c>
      <c r="F225" s="30">
        <v>9</v>
      </c>
      <c r="G225" s="31">
        <v>0</v>
      </c>
      <c r="H225" s="30">
        <f>ROUND(F225*AO225,2)</f>
        <v>0</v>
      </c>
      <c r="I225" s="30">
        <f>ROUND(F225*AP225,2)</f>
        <v>0</v>
      </c>
      <c r="J225" s="30">
        <f>ROUND(F225*G225,2)</f>
        <v>0</v>
      </c>
      <c r="K225" s="32" t="s">
        <v>79</v>
      </c>
      <c r="Z225" s="30">
        <f>ROUND(IF(AQ225="5",BJ225,0),2)</f>
        <v>0</v>
      </c>
      <c r="AB225" s="30">
        <f>ROUND(IF(AQ225="1",BH225,0),2)</f>
        <v>0</v>
      </c>
      <c r="AC225" s="30">
        <f>ROUND(IF(AQ225="1",BI225,0),2)</f>
        <v>0</v>
      </c>
      <c r="AD225" s="30">
        <f>ROUND(IF(AQ225="7",BH225,0),2)</f>
        <v>0</v>
      </c>
      <c r="AE225" s="30">
        <f>ROUND(IF(AQ225="7",BI225,0),2)</f>
        <v>0</v>
      </c>
      <c r="AF225" s="30">
        <f>ROUND(IF(AQ225="2",BH225,0),2)</f>
        <v>0</v>
      </c>
      <c r="AG225" s="30">
        <f>ROUND(IF(AQ225="2",BI225,0),2)</f>
        <v>0</v>
      </c>
      <c r="AH225" s="30">
        <f>ROUND(IF(AQ225="0",BJ225,0),2)</f>
        <v>0</v>
      </c>
      <c r="AI225" s="10" t="s">
        <v>485</v>
      </c>
      <c r="AJ225" s="30">
        <f>IF(AN225=0,J225,0)</f>
        <v>0</v>
      </c>
      <c r="AK225" s="30">
        <f>IF(AN225=12,J225,0)</f>
        <v>0</v>
      </c>
      <c r="AL225" s="30">
        <f>IF(AN225=21,J225,0)</f>
        <v>0</v>
      </c>
      <c r="AN225" s="30">
        <v>21</v>
      </c>
      <c r="AO225" s="30">
        <f>G225*0</f>
        <v>0</v>
      </c>
      <c r="AP225" s="30">
        <f>G225*(1-0)</f>
        <v>0</v>
      </c>
      <c r="AQ225" s="33" t="s">
        <v>55</v>
      </c>
      <c r="AV225" s="30">
        <f>ROUND(AW225+AX225,2)</f>
        <v>0</v>
      </c>
      <c r="AW225" s="30">
        <f>ROUND(F225*AO225,2)</f>
        <v>0</v>
      </c>
      <c r="AX225" s="30">
        <f>ROUND(F225*AP225,2)</f>
        <v>0</v>
      </c>
      <c r="AY225" s="33" t="s">
        <v>163</v>
      </c>
      <c r="AZ225" s="33" t="s">
        <v>489</v>
      </c>
      <c r="BA225" s="10" t="s">
        <v>490</v>
      </c>
      <c r="BC225" s="30">
        <f>AW225+AX225</f>
        <v>0</v>
      </c>
      <c r="BD225" s="30">
        <f>G225/(100-BE225)*100</f>
        <v>0</v>
      </c>
      <c r="BE225" s="30">
        <v>0</v>
      </c>
      <c r="BF225" s="30">
        <f>225</f>
        <v>225</v>
      </c>
      <c r="BH225" s="30">
        <f>F225*AO225</f>
        <v>0</v>
      </c>
      <c r="BI225" s="30">
        <f>F225*AP225</f>
        <v>0</v>
      </c>
      <c r="BJ225" s="30">
        <f>F225*G225</f>
        <v>0</v>
      </c>
      <c r="BK225" s="33" t="s">
        <v>62</v>
      </c>
      <c r="BL225" s="30">
        <v>18</v>
      </c>
      <c r="BW225" s="30">
        <v>21</v>
      </c>
      <c r="BX225" s="4" t="s">
        <v>488</v>
      </c>
    </row>
    <row r="226" spans="1:76" x14ac:dyDescent="0.25">
      <c r="A226" s="2" t="s">
        <v>491</v>
      </c>
      <c r="B226" s="3" t="s">
        <v>492</v>
      </c>
      <c r="C226" s="76" t="s">
        <v>493</v>
      </c>
      <c r="D226" s="71"/>
      <c r="E226" s="3" t="s">
        <v>120</v>
      </c>
      <c r="F226" s="30">
        <v>9</v>
      </c>
      <c r="G226" s="31">
        <v>0</v>
      </c>
      <c r="H226" s="30">
        <f>ROUND(F226*AO226,2)</f>
        <v>0</v>
      </c>
      <c r="I226" s="30">
        <f>ROUND(F226*AP226,2)</f>
        <v>0</v>
      </c>
      <c r="J226" s="30">
        <f>ROUND(F226*G226,2)</f>
        <v>0</v>
      </c>
      <c r="K226" s="32" t="s">
        <v>79</v>
      </c>
      <c r="Z226" s="30">
        <f>ROUND(IF(AQ226="5",BJ226,0),2)</f>
        <v>0</v>
      </c>
      <c r="AB226" s="30">
        <f>ROUND(IF(AQ226="1",BH226,0),2)</f>
        <v>0</v>
      </c>
      <c r="AC226" s="30">
        <f>ROUND(IF(AQ226="1",BI226,0),2)</f>
        <v>0</v>
      </c>
      <c r="AD226" s="30">
        <f>ROUND(IF(AQ226="7",BH226,0),2)</f>
        <v>0</v>
      </c>
      <c r="AE226" s="30">
        <f>ROUND(IF(AQ226="7",BI226,0),2)</f>
        <v>0</v>
      </c>
      <c r="AF226" s="30">
        <f>ROUND(IF(AQ226="2",BH226,0),2)</f>
        <v>0</v>
      </c>
      <c r="AG226" s="30">
        <f>ROUND(IF(AQ226="2",BI226,0),2)</f>
        <v>0</v>
      </c>
      <c r="AH226" s="30">
        <f>ROUND(IF(AQ226="0",BJ226,0),2)</f>
        <v>0</v>
      </c>
      <c r="AI226" s="10" t="s">
        <v>485</v>
      </c>
      <c r="AJ226" s="30">
        <f>IF(AN226=0,J226,0)</f>
        <v>0</v>
      </c>
      <c r="AK226" s="30">
        <f>IF(AN226=12,J226,0)</f>
        <v>0</v>
      </c>
      <c r="AL226" s="30">
        <f>IF(AN226=21,J226,0)</f>
        <v>0</v>
      </c>
      <c r="AN226" s="30">
        <v>21</v>
      </c>
      <c r="AO226" s="30">
        <f>G226*0.003225352</f>
        <v>0</v>
      </c>
      <c r="AP226" s="30">
        <f>G226*(1-0.003225352)</f>
        <v>0</v>
      </c>
      <c r="AQ226" s="33" t="s">
        <v>55</v>
      </c>
      <c r="AV226" s="30">
        <f>ROUND(AW226+AX226,2)</f>
        <v>0</v>
      </c>
      <c r="AW226" s="30">
        <f>ROUND(F226*AO226,2)</f>
        <v>0</v>
      </c>
      <c r="AX226" s="30">
        <f>ROUND(F226*AP226,2)</f>
        <v>0</v>
      </c>
      <c r="AY226" s="33" t="s">
        <v>163</v>
      </c>
      <c r="AZ226" s="33" t="s">
        <v>489</v>
      </c>
      <c r="BA226" s="10" t="s">
        <v>490</v>
      </c>
      <c r="BC226" s="30">
        <f>AW226+AX226</f>
        <v>0</v>
      </c>
      <c r="BD226" s="30">
        <f>G226/(100-BE226)*100</f>
        <v>0</v>
      </c>
      <c r="BE226" s="30">
        <v>0</v>
      </c>
      <c r="BF226" s="30">
        <f>226</f>
        <v>226</v>
      </c>
      <c r="BH226" s="30">
        <f>F226*AO226</f>
        <v>0</v>
      </c>
      <c r="BI226" s="30">
        <f>F226*AP226</f>
        <v>0</v>
      </c>
      <c r="BJ226" s="30">
        <f>F226*G226</f>
        <v>0</v>
      </c>
      <c r="BK226" s="33" t="s">
        <v>62</v>
      </c>
      <c r="BL226" s="30">
        <v>18</v>
      </c>
      <c r="BW226" s="30">
        <v>21</v>
      </c>
      <c r="BX226" s="4" t="s">
        <v>493</v>
      </c>
    </row>
    <row r="227" spans="1:76" x14ac:dyDescent="0.25">
      <c r="A227" s="2" t="s">
        <v>494</v>
      </c>
      <c r="B227" s="3" t="s">
        <v>495</v>
      </c>
      <c r="C227" s="76" t="s">
        <v>496</v>
      </c>
      <c r="D227" s="71"/>
      <c r="E227" s="3" t="s">
        <v>120</v>
      </c>
      <c r="F227" s="30">
        <v>9</v>
      </c>
      <c r="G227" s="31">
        <v>0</v>
      </c>
      <c r="H227" s="30">
        <f>ROUND(F227*AO227,2)</f>
        <v>0</v>
      </c>
      <c r="I227" s="30">
        <f>ROUND(F227*AP227,2)</f>
        <v>0</v>
      </c>
      <c r="J227" s="30">
        <f>ROUND(F227*G227,2)</f>
        <v>0</v>
      </c>
      <c r="K227" s="32" t="s">
        <v>79</v>
      </c>
      <c r="Z227" s="30">
        <f>ROUND(IF(AQ227="5",BJ227,0),2)</f>
        <v>0</v>
      </c>
      <c r="AB227" s="30">
        <f>ROUND(IF(AQ227="1",BH227,0),2)</f>
        <v>0</v>
      </c>
      <c r="AC227" s="30">
        <f>ROUND(IF(AQ227="1",BI227,0),2)</f>
        <v>0</v>
      </c>
      <c r="AD227" s="30">
        <f>ROUND(IF(AQ227="7",BH227,0),2)</f>
        <v>0</v>
      </c>
      <c r="AE227" s="30">
        <f>ROUND(IF(AQ227="7",BI227,0),2)</f>
        <v>0</v>
      </c>
      <c r="AF227" s="30">
        <f>ROUND(IF(AQ227="2",BH227,0),2)</f>
        <v>0</v>
      </c>
      <c r="AG227" s="30">
        <f>ROUND(IF(AQ227="2",BI227,0),2)</f>
        <v>0</v>
      </c>
      <c r="AH227" s="30">
        <f>ROUND(IF(AQ227="0",BJ227,0),2)</f>
        <v>0</v>
      </c>
      <c r="AI227" s="10" t="s">
        <v>485</v>
      </c>
      <c r="AJ227" s="30">
        <f>IF(AN227=0,J227,0)</f>
        <v>0</v>
      </c>
      <c r="AK227" s="30">
        <f>IF(AN227=12,J227,0)</f>
        <v>0</v>
      </c>
      <c r="AL227" s="30">
        <f>IF(AN227=21,J227,0)</f>
        <v>0</v>
      </c>
      <c r="AN227" s="30">
        <v>21</v>
      </c>
      <c r="AO227" s="30">
        <f>G227*0.125769854</f>
        <v>0</v>
      </c>
      <c r="AP227" s="30">
        <f>G227*(1-0.125769854)</f>
        <v>0</v>
      </c>
      <c r="AQ227" s="33" t="s">
        <v>55</v>
      </c>
      <c r="AV227" s="30">
        <f>ROUND(AW227+AX227,2)</f>
        <v>0</v>
      </c>
      <c r="AW227" s="30">
        <f>ROUND(F227*AO227,2)</f>
        <v>0</v>
      </c>
      <c r="AX227" s="30">
        <f>ROUND(F227*AP227,2)</f>
        <v>0</v>
      </c>
      <c r="AY227" s="33" t="s">
        <v>163</v>
      </c>
      <c r="AZ227" s="33" t="s">
        <v>489</v>
      </c>
      <c r="BA227" s="10" t="s">
        <v>490</v>
      </c>
      <c r="BC227" s="30">
        <f>AW227+AX227</f>
        <v>0</v>
      </c>
      <c r="BD227" s="30">
        <f>G227/(100-BE227)*100</f>
        <v>0</v>
      </c>
      <c r="BE227" s="30">
        <v>0</v>
      </c>
      <c r="BF227" s="30">
        <f>227</f>
        <v>227</v>
      </c>
      <c r="BH227" s="30">
        <f>F227*AO227</f>
        <v>0</v>
      </c>
      <c r="BI227" s="30">
        <f>F227*AP227</f>
        <v>0</v>
      </c>
      <c r="BJ227" s="30">
        <f>F227*G227</f>
        <v>0</v>
      </c>
      <c r="BK227" s="33" t="s">
        <v>62</v>
      </c>
      <c r="BL227" s="30">
        <v>18</v>
      </c>
      <c r="BW227" s="30">
        <v>21</v>
      </c>
      <c r="BX227" s="4" t="s">
        <v>496</v>
      </c>
    </row>
    <row r="228" spans="1:76" ht="13.5" customHeight="1" x14ac:dyDescent="0.25">
      <c r="A228" s="34"/>
      <c r="B228" s="35" t="s">
        <v>63</v>
      </c>
      <c r="C228" s="89" t="s">
        <v>497</v>
      </c>
      <c r="D228" s="90"/>
      <c r="E228" s="90"/>
      <c r="F228" s="90"/>
      <c r="G228" s="91"/>
      <c r="H228" s="90"/>
      <c r="I228" s="90"/>
      <c r="J228" s="90"/>
      <c r="K228" s="92"/>
    </row>
    <row r="229" spans="1:76" x14ac:dyDescent="0.25">
      <c r="A229" s="2" t="s">
        <v>498</v>
      </c>
      <c r="B229" s="3" t="s">
        <v>499</v>
      </c>
      <c r="C229" s="76" t="s">
        <v>500</v>
      </c>
      <c r="D229" s="71"/>
      <c r="E229" s="3" t="s">
        <v>440</v>
      </c>
      <c r="F229" s="30">
        <v>3</v>
      </c>
      <c r="G229" s="31">
        <v>0</v>
      </c>
      <c r="H229" s="30">
        <f>ROUND(F229*AO229,2)</f>
        <v>0</v>
      </c>
      <c r="I229" s="30">
        <f>ROUND(F229*AP229,2)</f>
        <v>0</v>
      </c>
      <c r="J229" s="30">
        <f>ROUND(F229*G229,2)</f>
        <v>0</v>
      </c>
      <c r="K229" s="32" t="s">
        <v>501</v>
      </c>
      <c r="Z229" s="30">
        <f>ROUND(IF(AQ229="5",BJ229,0),2)</f>
        <v>0</v>
      </c>
      <c r="AB229" s="30">
        <f>ROUND(IF(AQ229="1",BH229,0),2)</f>
        <v>0</v>
      </c>
      <c r="AC229" s="30">
        <f>ROUND(IF(AQ229="1",BI229,0),2)</f>
        <v>0</v>
      </c>
      <c r="AD229" s="30">
        <f>ROUND(IF(AQ229="7",BH229,0),2)</f>
        <v>0</v>
      </c>
      <c r="AE229" s="30">
        <f>ROUND(IF(AQ229="7",BI229,0),2)</f>
        <v>0</v>
      </c>
      <c r="AF229" s="30">
        <f>ROUND(IF(AQ229="2",BH229,0),2)</f>
        <v>0</v>
      </c>
      <c r="AG229" s="30">
        <f>ROUND(IF(AQ229="2",BI229,0),2)</f>
        <v>0</v>
      </c>
      <c r="AH229" s="30">
        <f>ROUND(IF(AQ229="0",BJ229,0),2)</f>
        <v>0</v>
      </c>
      <c r="AI229" s="10" t="s">
        <v>485</v>
      </c>
      <c r="AJ229" s="30">
        <f>IF(AN229=0,J229,0)</f>
        <v>0</v>
      </c>
      <c r="AK229" s="30">
        <f>IF(AN229=12,J229,0)</f>
        <v>0</v>
      </c>
      <c r="AL229" s="30">
        <f>IF(AN229=21,J229,0)</f>
        <v>0</v>
      </c>
      <c r="AN229" s="30">
        <v>21</v>
      </c>
      <c r="AO229" s="30">
        <f>G229*0</f>
        <v>0</v>
      </c>
      <c r="AP229" s="30">
        <f>G229*(1-0)</f>
        <v>0</v>
      </c>
      <c r="AQ229" s="33" t="s">
        <v>55</v>
      </c>
      <c r="AV229" s="30">
        <f>ROUND(AW229+AX229,2)</f>
        <v>0</v>
      </c>
      <c r="AW229" s="30">
        <f>ROUND(F229*AO229,2)</f>
        <v>0</v>
      </c>
      <c r="AX229" s="30">
        <f>ROUND(F229*AP229,2)</f>
        <v>0</v>
      </c>
      <c r="AY229" s="33" t="s">
        <v>163</v>
      </c>
      <c r="AZ229" s="33" t="s">
        <v>489</v>
      </c>
      <c r="BA229" s="10" t="s">
        <v>490</v>
      </c>
      <c r="BC229" s="30">
        <f>AW229+AX229</f>
        <v>0</v>
      </c>
      <c r="BD229" s="30">
        <f>G229/(100-BE229)*100</f>
        <v>0</v>
      </c>
      <c r="BE229" s="30">
        <v>0</v>
      </c>
      <c r="BF229" s="30">
        <f>229</f>
        <v>229</v>
      </c>
      <c r="BH229" s="30">
        <f>F229*AO229</f>
        <v>0</v>
      </c>
      <c r="BI229" s="30">
        <f>F229*AP229</f>
        <v>0</v>
      </c>
      <c r="BJ229" s="30">
        <f>F229*G229</f>
        <v>0</v>
      </c>
      <c r="BK229" s="33" t="s">
        <v>62</v>
      </c>
      <c r="BL229" s="30">
        <v>18</v>
      </c>
      <c r="BW229" s="30">
        <v>21</v>
      </c>
      <c r="BX229" s="4" t="s">
        <v>500</v>
      </c>
    </row>
    <row r="230" spans="1:76" ht="13.5" customHeight="1" x14ac:dyDescent="0.25">
      <c r="A230" s="34"/>
      <c r="B230" s="35" t="s">
        <v>63</v>
      </c>
      <c r="C230" s="89" t="s">
        <v>502</v>
      </c>
      <c r="D230" s="90"/>
      <c r="E230" s="90"/>
      <c r="F230" s="90"/>
      <c r="G230" s="91"/>
      <c r="H230" s="90"/>
      <c r="I230" s="90"/>
      <c r="J230" s="90"/>
      <c r="K230" s="92"/>
    </row>
    <row r="231" spans="1:76" x14ac:dyDescent="0.25">
      <c r="A231" s="2" t="s">
        <v>503</v>
      </c>
      <c r="B231" s="3" t="s">
        <v>504</v>
      </c>
      <c r="C231" s="76" t="s">
        <v>505</v>
      </c>
      <c r="D231" s="71"/>
      <c r="E231" s="3" t="s">
        <v>120</v>
      </c>
      <c r="F231" s="30">
        <v>9</v>
      </c>
      <c r="G231" s="31">
        <v>0</v>
      </c>
      <c r="H231" s="30">
        <f>ROUND(F231*AO231,2)</f>
        <v>0</v>
      </c>
      <c r="I231" s="30">
        <f>ROUND(F231*AP231,2)</f>
        <v>0</v>
      </c>
      <c r="J231" s="30">
        <f>ROUND(F231*G231,2)</f>
        <v>0</v>
      </c>
      <c r="K231" s="32" t="s">
        <v>506</v>
      </c>
      <c r="Z231" s="30">
        <f>ROUND(IF(AQ231="5",BJ231,0),2)</f>
        <v>0</v>
      </c>
      <c r="AB231" s="30">
        <f>ROUND(IF(AQ231="1",BH231,0),2)</f>
        <v>0</v>
      </c>
      <c r="AC231" s="30">
        <f>ROUND(IF(AQ231="1",BI231,0),2)</f>
        <v>0</v>
      </c>
      <c r="AD231" s="30">
        <f>ROUND(IF(AQ231="7",BH231,0),2)</f>
        <v>0</v>
      </c>
      <c r="AE231" s="30">
        <f>ROUND(IF(AQ231="7",BI231,0),2)</f>
        <v>0</v>
      </c>
      <c r="AF231" s="30">
        <f>ROUND(IF(AQ231="2",BH231,0),2)</f>
        <v>0</v>
      </c>
      <c r="AG231" s="30">
        <f>ROUND(IF(AQ231="2",BI231,0),2)</f>
        <v>0</v>
      </c>
      <c r="AH231" s="30">
        <f>ROUND(IF(AQ231="0",BJ231,0),2)</f>
        <v>0</v>
      </c>
      <c r="AI231" s="10" t="s">
        <v>485</v>
      </c>
      <c r="AJ231" s="30">
        <f>IF(AN231=0,J231,0)</f>
        <v>0</v>
      </c>
      <c r="AK231" s="30">
        <f>IF(AN231=12,J231,0)</f>
        <v>0</v>
      </c>
      <c r="AL231" s="30">
        <f>IF(AN231=21,J231,0)</f>
        <v>0</v>
      </c>
      <c r="AN231" s="30">
        <v>21</v>
      </c>
      <c r="AO231" s="30">
        <f>G231*0</f>
        <v>0</v>
      </c>
      <c r="AP231" s="30">
        <f>G231*(1-0)</f>
        <v>0</v>
      </c>
      <c r="AQ231" s="33" t="s">
        <v>55</v>
      </c>
      <c r="AV231" s="30">
        <f>ROUND(AW231+AX231,2)</f>
        <v>0</v>
      </c>
      <c r="AW231" s="30">
        <f>ROUND(F231*AO231,2)</f>
        <v>0</v>
      </c>
      <c r="AX231" s="30">
        <f>ROUND(F231*AP231,2)</f>
        <v>0</v>
      </c>
      <c r="AY231" s="33" t="s">
        <v>163</v>
      </c>
      <c r="AZ231" s="33" t="s">
        <v>489</v>
      </c>
      <c r="BA231" s="10" t="s">
        <v>490</v>
      </c>
      <c r="BC231" s="30">
        <f>AW231+AX231</f>
        <v>0</v>
      </c>
      <c r="BD231" s="30">
        <f>G231/(100-BE231)*100</f>
        <v>0</v>
      </c>
      <c r="BE231" s="30">
        <v>0</v>
      </c>
      <c r="BF231" s="30">
        <f>231</f>
        <v>231</v>
      </c>
      <c r="BH231" s="30">
        <f>F231*AO231</f>
        <v>0</v>
      </c>
      <c r="BI231" s="30">
        <f>F231*AP231</f>
        <v>0</v>
      </c>
      <c r="BJ231" s="30">
        <f>F231*G231</f>
        <v>0</v>
      </c>
      <c r="BK231" s="33" t="s">
        <v>62</v>
      </c>
      <c r="BL231" s="30">
        <v>18</v>
      </c>
      <c r="BW231" s="30">
        <v>21</v>
      </c>
      <c r="BX231" s="4" t="s">
        <v>505</v>
      </c>
    </row>
    <row r="232" spans="1:76" x14ac:dyDescent="0.25">
      <c r="A232" s="2" t="s">
        <v>507</v>
      </c>
      <c r="B232" s="3" t="s">
        <v>508</v>
      </c>
      <c r="C232" s="76" t="s">
        <v>509</v>
      </c>
      <c r="D232" s="71"/>
      <c r="E232" s="3" t="s">
        <v>172</v>
      </c>
      <c r="F232" s="30">
        <v>0.2</v>
      </c>
      <c r="G232" s="31">
        <v>0</v>
      </c>
      <c r="H232" s="30">
        <f>ROUND(F232*AO232,2)</f>
        <v>0</v>
      </c>
      <c r="I232" s="30">
        <f>ROUND(F232*AP232,2)</f>
        <v>0</v>
      </c>
      <c r="J232" s="30">
        <f>ROUND(F232*G232,2)</f>
        <v>0</v>
      </c>
      <c r="K232" s="32" t="s">
        <v>79</v>
      </c>
      <c r="Z232" s="30">
        <f>ROUND(IF(AQ232="5",BJ232,0),2)</f>
        <v>0</v>
      </c>
      <c r="AB232" s="30">
        <f>ROUND(IF(AQ232="1",BH232,0),2)</f>
        <v>0</v>
      </c>
      <c r="AC232" s="30">
        <f>ROUND(IF(AQ232="1",BI232,0),2)</f>
        <v>0</v>
      </c>
      <c r="AD232" s="30">
        <f>ROUND(IF(AQ232="7",BH232,0),2)</f>
        <v>0</v>
      </c>
      <c r="AE232" s="30">
        <f>ROUND(IF(AQ232="7",BI232,0),2)</f>
        <v>0</v>
      </c>
      <c r="AF232" s="30">
        <f>ROUND(IF(AQ232="2",BH232,0),2)</f>
        <v>0</v>
      </c>
      <c r="AG232" s="30">
        <f>ROUND(IF(AQ232="2",BI232,0),2)</f>
        <v>0</v>
      </c>
      <c r="AH232" s="30">
        <f>ROUND(IF(AQ232="0",BJ232,0),2)</f>
        <v>0</v>
      </c>
      <c r="AI232" s="10" t="s">
        <v>485</v>
      </c>
      <c r="AJ232" s="30">
        <f>IF(AN232=0,J232,0)</f>
        <v>0</v>
      </c>
      <c r="AK232" s="30">
        <f>IF(AN232=12,J232,0)</f>
        <v>0</v>
      </c>
      <c r="AL232" s="30">
        <f>IF(AN232=21,J232,0)</f>
        <v>0</v>
      </c>
      <c r="AN232" s="30">
        <v>21</v>
      </c>
      <c r="AO232" s="30">
        <f>G232*0</f>
        <v>0</v>
      </c>
      <c r="AP232" s="30">
        <f>G232*(1-0)</f>
        <v>0</v>
      </c>
      <c r="AQ232" s="33" t="s">
        <v>55</v>
      </c>
      <c r="AV232" s="30">
        <f>ROUND(AW232+AX232,2)</f>
        <v>0</v>
      </c>
      <c r="AW232" s="30">
        <f>ROUND(F232*AO232,2)</f>
        <v>0</v>
      </c>
      <c r="AX232" s="30">
        <f>ROUND(F232*AP232,2)</f>
        <v>0</v>
      </c>
      <c r="AY232" s="33" t="s">
        <v>163</v>
      </c>
      <c r="AZ232" s="33" t="s">
        <v>489</v>
      </c>
      <c r="BA232" s="10" t="s">
        <v>490</v>
      </c>
      <c r="BC232" s="30">
        <f>AW232+AX232</f>
        <v>0</v>
      </c>
      <c r="BD232" s="30">
        <f>G232/(100-BE232)*100</f>
        <v>0</v>
      </c>
      <c r="BE232" s="30">
        <v>0</v>
      </c>
      <c r="BF232" s="30">
        <f>232</f>
        <v>232</v>
      </c>
      <c r="BH232" s="30">
        <f>F232*AO232</f>
        <v>0</v>
      </c>
      <c r="BI232" s="30">
        <f>F232*AP232</f>
        <v>0</v>
      </c>
      <c r="BJ232" s="30">
        <f>F232*G232</f>
        <v>0</v>
      </c>
      <c r="BK232" s="33" t="s">
        <v>62</v>
      </c>
      <c r="BL232" s="30">
        <v>18</v>
      </c>
      <c r="BW232" s="30">
        <v>21</v>
      </c>
      <c r="BX232" s="4" t="s">
        <v>509</v>
      </c>
    </row>
    <row r="233" spans="1:76" x14ac:dyDescent="0.25">
      <c r="A233" s="2" t="s">
        <v>510</v>
      </c>
      <c r="B233" s="3" t="s">
        <v>511</v>
      </c>
      <c r="C233" s="76" t="s">
        <v>512</v>
      </c>
      <c r="D233" s="71"/>
      <c r="E233" s="3" t="s">
        <v>78</v>
      </c>
      <c r="F233" s="30">
        <v>123.35</v>
      </c>
      <c r="G233" s="31">
        <v>0</v>
      </c>
      <c r="H233" s="30">
        <f>ROUND(F233*AO233,2)</f>
        <v>0</v>
      </c>
      <c r="I233" s="30">
        <f>ROUND(F233*AP233,2)</f>
        <v>0</v>
      </c>
      <c r="J233" s="30">
        <f>ROUND(F233*G233,2)</f>
        <v>0</v>
      </c>
      <c r="K233" s="32" t="s">
        <v>79</v>
      </c>
      <c r="Z233" s="30">
        <f>ROUND(IF(AQ233="5",BJ233,0),2)</f>
        <v>0</v>
      </c>
      <c r="AB233" s="30">
        <f>ROUND(IF(AQ233="1",BH233,0),2)</f>
        <v>0</v>
      </c>
      <c r="AC233" s="30">
        <f>ROUND(IF(AQ233="1",BI233,0),2)</f>
        <v>0</v>
      </c>
      <c r="AD233" s="30">
        <f>ROUND(IF(AQ233="7",BH233,0),2)</f>
        <v>0</v>
      </c>
      <c r="AE233" s="30">
        <f>ROUND(IF(AQ233="7",BI233,0),2)</f>
        <v>0</v>
      </c>
      <c r="AF233" s="30">
        <f>ROUND(IF(AQ233="2",BH233,0),2)</f>
        <v>0</v>
      </c>
      <c r="AG233" s="30">
        <f>ROUND(IF(AQ233="2",BI233,0),2)</f>
        <v>0</v>
      </c>
      <c r="AH233" s="30">
        <f>ROUND(IF(AQ233="0",BJ233,0),2)</f>
        <v>0</v>
      </c>
      <c r="AI233" s="10" t="s">
        <v>485</v>
      </c>
      <c r="AJ233" s="30">
        <f>IF(AN233=0,J233,0)</f>
        <v>0</v>
      </c>
      <c r="AK233" s="30">
        <f>IF(AN233=12,J233,0)</f>
        <v>0</v>
      </c>
      <c r="AL233" s="30">
        <f>IF(AN233=21,J233,0)</f>
        <v>0</v>
      </c>
      <c r="AN233" s="30">
        <v>21</v>
      </c>
      <c r="AO233" s="30">
        <f>G233*0</f>
        <v>0</v>
      </c>
      <c r="AP233" s="30">
        <f>G233*(1-0)</f>
        <v>0</v>
      </c>
      <c r="AQ233" s="33" t="s">
        <v>55</v>
      </c>
      <c r="AV233" s="30">
        <f>ROUND(AW233+AX233,2)</f>
        <v>0</v>
      </c>
      <c r="AW233" s="30">
        <f>ROUND(F233*AO233,2)</f>
        <v>0</v>
      </c>
      <c r="AX233" s="30">
        <f>ROUND(F233*AP233,2)</f>
        <v>0</v>
      </c>
      <c r="AY233" s="33" t="s">
        <v>163</v>
      </c>
      <c r="AZ233" s="33" t="s">
        <v>489</v>
      </c>
      <c r="BA233" s="10" t="s">
        <v>490</v>
      </c>
      <c r="BC233" s="30">
        <f>AW233+AX233</f>
        <v>0</v>
      </c>
      <c r="BD233" s="30">
        <f>G233/(100-BE233)*100</f>
        <v>0</v>
      </c>
      <c r="BE233" s="30">
        <v>0</v>
      </c>
      <c r="BF233" s="30">
        <f>233</f>
        <v>233</v>
      </c>
      <c r="BH233" s="30">
        <f>F233*AO233</f>
        <v>0</v>
      </c>
      <c r="BI233" s="30">
        <f>F233*AP233</f>
        <v>0</v>
      </c>
      <c r="BJ233" s="30">
        <f>F233*G233</f>
        <v>0</v>
      </c>
      <c r="BK233" s="33" t="s">
        <v>62</v>
      </c>
      <c r="BL233" s="30">
        <v>18</v>
      </c>
      <c r="BW233" s="30">
        <v>21</v>
      </c>
      <c r="BX233" s="4" t="s">
        <v>512</v>
      </c>
    </row>
    <row r="234" spans="1:76" x14ac:dyDescent="0.25">
      <c r="A234" s="34"/>
      <c r="C234" s="37" t="s">
        <v>513</v>
      </c>
      <c r="D234" s="37" t="s">
        <v>514</v>
      </c>
      <c r="F234" s="38">
        <v>2.35</v>
      </c>
      <c r="K234" s="39"/>
    </row>
    <row r="235" spans="1:76" x14ac:dyDescent="0.25">
      <c r="A235" s="34"/>
      <c r="C235" s="37" t="s">
        <v>515</v>
      </c>
      <c r="D235" s="37" t="s">
        <v>516</v>
      </c>
      <c r="F235" s="38">
        <v>121</v>
      </c>
      <c r="K235" s="39"/>
    </row>
    <row r="236" spans="1:76" x14ac:dyDescent="0.25">
      <c r="A236" s="2" t="s">
        <v>517</v>
      </c>
      <c r="B236" s="3" t="s">
        <v>518</v>
      </c>
      <c r="C236" s="76" t="s">
        <v>519</v>
      </c>
      <c r="D236" s="71"/>
      <c r="E236" s="3" t="s">
        <v>120</v>
      </c>
      <c r="F236" s="30">
        <v>54</v>
      </c>
      <c r="G236" s="31">
        <v>0</v>
      </c>
      <c r="H236" s="30">
        <f>ROUND(F236*AO236,2)</f>
        <v>0</v>
      </c>
      <c r="I236" s="30">
        <f>ROUND(F236*AP236,2)</f>
        <v>0</v>
      </c>
      <c r="J236" s="30">
        <f>ROUND(F236*G236,2)</f>
        <v>0</v>
      </c>
      <c r="K236" s="32" t="s">
        <v>79</v>
      </c>
      <c r="Z236" s="30">
        <f>ROUND(IF(AQ236="5",BJ236,0),2)</f>
        <v>0</v>
      </c>
      <c r="AB236" s="30">
        <f>ROUND(IF(AQ236="1",BH236,0),2)</f>
        <v>0</v>
      </c>
      <c r="AC236" s="30">
        <f>ROUND(IF(AQ236="1",BI236,0),2)</f>
        <v>0</v>
      </c>
      <c r="AD236" s="30">
        <f>ROUND(IF(AQ236="7",BH236,0),2)</f>
        <v>0</v>
      </c>
      <c r="AE236" s="30">
        <f>ROUND(IF(AQ236="7",BI236,0),2)</f>
        <v>0</v>
      </c>
      <c r="AF236" s="30">
        <f>ROUND(IF(AQ236="2",BH236,0),2)</f>
        <v>0</v>
      </c>
      <c r="AG236" s="30">
        <f>ROUND(IF(AQ236="2",BI236,0),2)</f>
        <v>0</v>
      </c>
      <c r="AH236" s="30">
        <f>ROUND(IF(AQ236="0",BJ236,0),2)</f>
        <v>0</v>
      </c>
      <c r="AI236" s="10" t="s">
        <v>485</v>
      </c>
      <c r="AJ236" s="30">
        <f>IF(AN236=0,J236,0)</f>
        <v>0</v>
      </c>
      <c r="AK236" s="30">
        <f>IF(AN236=12,J236,0)</f>
        <v>0</v>
      </c>
      <c r="AL236" s="30">
        <f>IF(AN236=21,J236,0)</f>
        <v>0</v>
      </c>
      <c r="AN236" s="30">
        <v>21</v>
      </c>
      <c r="AO236" s="30">
        <f>G236*0</f>
        <v>0</v>
      </c>
      <c r="AP236" s="30">
        <f>G236*(1-0)</f>
        <v>0</v>
      </c>
      <c r="AQ236" s="33" t="s">
        <v>55</v>
      </c>
      <c r="AV236" s="30">
        <f>ROUND(AW236+AX236,2)</f>
        <v>0</v>
      </c>
      <c r="AW236" s="30">
        <f>ROUND(F236*AO236,2)</f>
        <v>0</v>
      </c>
      <c r="AX236" s="30">
        <f>ROUND(F236*AP236,2)</f>
        <v>0</v>
      </c>
      <c r="AY236" s="33" t="s">
        <v>163</v>
      </c>
      <c r="AZ236" s="33" t="s">
        <v>489</v>
      </c>
      <c r="BA236" s="10" t="s">
        <v>490</v>
      </c>
      <c r="BC236" s="30">
        <f>AW236+AX236</f>
        <v>0</v>
      </c>
      <c r="BD236" s="30">
        <f>G236/(100-BE236)*100</f>
        <v>0</v>
      </c>
      <c r="BE236" s="30">
        <v>0</v>
      </c>
      <c r="BF236" s="30">
        <f>236</f>
        <v>236</v>
      </c>
      <c r="BH236" s="30">
        <f>F236*AO236</f>
        <v>0</v>
      </c>
      <c r="BI236" s="30">
        <f>F236*AP236</f>
        <v>0</v>
      </c>
      <c r="BJ236" s="30">
        <f>F236*G236</f>
        <v>0</v>
      </c>
      <c r="BK236" s="33" t="s">
        <v>62</v>
      </c>
      <c r="BL236" s="30">
        <v>18</v>
      </c>
      <c r="BW236" s="30">
        <v>21</v>
      </c>
      <c r="BX236" s="4" t="s">
        <v>519</v>
      </c>
    </row>
    <row r="237" spans="1:76" ht="13.5" customHeight="1" x14ac:dyDescent="0.25">
      <c r="A237" s="34"/>
      <c r="B237" s="35" t="s">
        <v>63</v>
      </c>
      <c r="C237" s="89" t="s">
        <v>520</v>
      </c>
      <c r="D237" s="90"/>
      <c r="E237" s="90"/>
      <c r="F237" s="90"/>
      <c r="G237" s="91"/>
      <c r="H237" s="90"/>
      <c r="I237" s="90"/>
      <c r="J237" s="90"/>
      <c r="K237" s="92"/>
    </row>
    <row r="238" spans="1:76" x14ac:dyDescent="0.25">
      <c r="A238" s="34"/>
      <c r="C238" s="37" t="s">
        <v>521</v>
      </c>
      <c r="D238" s="37" t="s">
        <v>522</v>
      </c>
      <c r="F238" s="38">
        <v>27</v>
      </c>
      <c r="K238" s="39"/>
    </row>
    <row r="239" spans="1:76" x14ac:dyDescent="0.25">
      <c r="A239" s="34"/>
      <c r="C239" s="37" t="s">
        <v>521</v>
      </c>
      <c r="D239" s="37" t="s">
        <v>523</v>
      </c>
      <c r="F239" s="38">
        <v>27</v>
      </c>
      <c r="K239" s="39"/>
    </row>
    <row r="240" spans="1:76" x14ac:dyDescent="0.25">
      <c r="A240" s="2" t="s">
        <v>524</v>
      </c>
      <c r="B240" s="3" t="s">
        <v>525</v>
      </c>
      <c r="C240" s="76" t="s">
        <v>526</v>
      </c>
      <c r="D240" s="71"/>
      <c r="E240" s="3" t="s">
        <v>129</v>
      </c>
      <c r="F240" s="30">
        <v>35.72</v>
      </c>
      <c r="G240" s="31">
        <v>0</v>
      </c>
      <c r="H240" s="30">
        <f>ROUND(F240*AO240,2)</f>
        <v>0</v>
      </c>
      <c r="I240" s="30">
        <f>ROUND(F240*AP240,2)</f>
        <v>0</v>
      </c>
      <c r="J240" s="30">
        <f>ROUND(F240*G240,2)</f>
        <v>0</v>
      </c>
      <c r="K240" s="32" t="s">
        <v>79</v>
      </c>
      <c r="Z240" s="30">
        <f>ROUND(IF(AQ240="5",BJ240,0),2)</f>
        <v>0</v>
      </c>
      <c r="AB240" s="30">
        <f>ROUND(IF(AQ240="1",BH240,0),2)</f>
        <v>0</v>
      </c>
      <c r="AC240" s="30">
        <f>ROUND(IF(AQ240="1",BI240,0),2)</f>
        <v>0</v>
      </c>
      <c r="AD240" s="30">
        <f>ROUND(IF(AQ240="7",BH240,0),2)</f>
        <v>0</v>
      </c>
      <c r="AE240" s="30">
        <f>ROUND(IF(AQ240="7",BI240,0),2)</f>
        <v>0</v>
      </c>
      <c r="AF240" s="30">
        <f>ROUND(IF(AQ240="2",BH240,0),2)</f>
        <v>0</v>
      </c>
      <c r="AG240" s="30">
        <f>ROUND(IF(AQ240="2",BI240,0),2)</f>
        <v>0</v>
      </c>
      <c r="AH240" s="30">
        <f>ROUND(IF(AQ240="0",BJ240,0),2)</f>
        <v>0</v>
      </c>
      <c r="AI240" s="10" t="s">
        <v>485</v>
      </c>
      <c r="AJ240" s="30">
        <f>IF(AN240=0,J240,0)</f>
        <v>0</v>
      </c>
      <c r="AK240" s="30">
        <f>IF(AN240=12,J240,0)</f>
        <v>0</v>
      </c>
      <c r="AL240" s="30">
        <f>IF(AN240=21,J240,0)</f>
        <v>0</v>
      </c>
      <c r="AN240" s="30">
        <v>21</v>
      </c>
      <c r="AO240" s="30">
        <f>G240*0.28415649</f>
        <v>0</v>
      </c>
      <c r="AP240" s="30">
        <f>G240*(1-0.28415649)</f>
        <v>0</v>
      </c>
      <c r="AQ240" s="33" t="s">
        <v>55</v>
      </c>
      <c r="AV240" s="30">
        <f>ROUND(AW240+AX240,2)</f>
        <v>0</v>
      </c>
      <c r="AW240" s="30">
        <f>ROUND(F240*AO240,2)</f>
        <v>0</v>
      </c>
      <c r="AX240" s="30">
        <f>ROUND(F240*AP240,2)</f>
        <v>0</v>
      </c>
      <c r="AY240" s="33" t="s">
        <v>163</v>
      </c>
      <c r="AZ240" s="33" t="s">
        <v>489</v>
      </c>
      <c r="BA240" s="10" t="s">
        <v>490</v>
      </c>
      <c r="BC240" s="30">
        <f>AW240+AX240</f>
        <v>0</v>
      </c>
      <c r="BD240" s="30">
        <f>G240/(100-BE240)*100</f>
        <v>0</v>
      </c>
      <c r="BE240" s="30">
        <v>0</v>
      </c>
      <c r="BF240" s="30">
        <f>240</f>
        <v>240</v>
      </c>
      <c r="BH240" s="30">
        <f>F240*AO240</f>
        <v>0</v>
      </c>
      <c r="BI240" s="30">
        <f>F240*AP240</f>
        <v>0</v>
      </c>
      <c r="BJ240" s="30">
        <f>F240*G240</f>
        <v>0</v>
      </c>
      <c r="BK240" s="33" t="s">
        <v>62</v>
      </c>
      <c r="BL240" s="30">
        <v>18</v>
      </c>
      <c r="BW240" s="30">
        <v>21</v>
      </c>
      <c r="BX240" s="4" t="s">
        <v>526</v>
      </c>
    </row>
    <row r="241" spans="1:76" ht="13.5" customHeight="1" x14ac:dyDescent="0.25">
      <c r="A241" s="34"/>
      <c r="B241" s="35" t="s">
        <v>63</v>
      </c>
      <c r="C241" s="89" t="s">
        <v>527</v>
      </c>
      <c r="D241" s="90"/>
      <c r="E241" s="90"/>
      <c r="F241" s="90"/>
      <c r="G241" s="91"/>
      <c r="H241" s="90"/>
      <c r="I241" s="90"/>
      <c r="J241" s="90"/>
      <c r="K241" s="92"/>
    </row>
    <row r="242" spans="1:76" x14ac:dyDescent="0.25">
      <c r="A242" s="34"/>
      <c r="C242" s="37" t="s">
        <v>528</v>
      </c>
      <c r="D242" s="37" t="s">
        <v>529</v>
      </c>
      <c r="F242" s="38">
        <v>9</v>
      </c>
      <c r="K242" s="39"/>
    </row>
    <row r="243" spans="1:76" x14ac:dyDescent="0.25">
      <c r="A243" s="34"/>
      <c r="C243" s="37" t="s">
        <v>530</v>
      </c>
      <c r="D243" s="37" t="s">
        <v>531</v>
      </c>
      <c r="F243" s="38">
        <v>7.2</v>
      </c>
      <c r="K243" s="39"/>
    </row>
    <row r="244" spans="1:76" x14ac:dyDescent="0.25">
      <c r="A244" s="34"/>
      <c r="C244" s="37" t="s">
        <v>532</v>
      </c>
      <c r="D244" s="37" t="s">
        <v>533</v>
      </c>
      <c r="F244" s="38">
        <v>12.2</v>
      </c>
      <c r="K244" s="39"/>
    </row>
    <row r="245" spans="1:76" x14ac:dyDescent="0.25">
      <c r="A245" s="34"/>
      <c r="C245" s="37" t="s">
        <v>534</v>
      </c>
      <c r="D245" s="37" t="s">
        <v>535</v>
      </c>
      <c r="F245" s="38">
        <v>7.32</v>
      </c>
      <c r="K245" s="39"/>
    </row>
    <row r="246" spans="1:76" x14ac:dyDescent="0.25">
      <c r="A246" s="2" t="s">
        <v>536</v>
      </c>
      <c r="B246" s="3" t="s">
        <v>537</v>
      </c>
      <c r="C246" s="76" t="s">
        <v>538</v>
      </c>
      <c r="D246" s="71"/>
      <c r="E246" s="3" t="s">
        <v>129</v>
      </c>
      <c r="F246" s="30">
        <v>36</v>
      </c>
      <c r="G246" s="31">
        <v>0</v>
      </c>
      <c r="H246" s="30">
        <f>ROUND(F246*AO246,2)</f>
        <v>0</v>
      </c>
      <c r="I246" s="30">
        <f>ROUND(F246*AP246,2)</f>
        <v>0</v>
      </c>
      <c r="J246" s="30">
        <f>ROUND(F246*G246,2)</f>
        <v>0</v>
      </c>
      <c r="K246" s="32" t="s">
        <v>79</v>
      </c>
      <c r="Z246" s="30">
        <f>ROUND(IF(AQ246="5",BJ246,0),2)</f>
        <v>0</v>
      </c>
      <c r="AB246" s="30">
        <f>ROUND(IF(AQ246="1",BH246,0),2)</f>
        <v>0</v>
      </c>
      <c r="AC246" s="30">
        <f>ROUND(IF(AQ246="1",BI246,0),2)</f>
        <v>0</v>
      </c>
      <c r="AD246" s="30">
        <f>ROUND(IF(AQ246="7",BH246,0),2)</f>
        <v>0</v>
      </c>
      <c r="AE246" s="30">
        <f>ROUND(IF(AQ246="7",BI246,0),2)</f>
        <v>0</v>
      </c>
      <c r="AF246" s="30">
        <f>ROUND(IF(AQ246="2",BH246,0),2)</f>
        <v>0</v>
      </c>
      <c r="AG246" s="30">
        <f>ROUND(IF(AQ246="2",BI246,0),2)</f>
        <v>0</v>
      </c>
      <c r="AH246" s="30">
        <f>ROUND(IF(AQ246="0",BJ246,0),2)</f>
        <v>0</v>
      </c>
      <c r="AI246" s="10" t="s">
        <v>485</v>
      </c>
      <c r="AJ246" s="30">
        <f>IF(AN246=0,J246,0)</f>
        <v>0</v>
      </c>
      <c r="AK246" s="30">
        <f>IF(AN246=12,J246,0)</f>
        <v>0</v>
      </c>
      <c r="AL246" s="30">
        <f>IF(AN246=21,J246,0)</f>
        <v>0</v>
      </c>
      <c r="AN246" s="30">
        <v>21</v>
      </c>
      <c r="AO246" s="30">
        <f>G246*0</f>
        <v>0</v>
      </c>
      <c r="AP246" s="30">
        <f>G246*(1-0)</f>
        <v>0</v>
      </c>
      <c r="AQ246" s="33" t="s">
        <v>55</v>
      </c>
      <c r="AV246" s="30">
        <f>ROUND(AW246+AX246,2)</f>
        <v>0</v>
      </c>
      <c r="AW246" s="30">
        <f>ROUND(F246*AO246,2)</f>
        <v>0</v>
      </c>
      <c r="AX246" s="30">
        <f>ROUND(F246*AP246,2)</f>
        <v>0</v>
      </c>
      <c r="AY246" s="33" t="s">
        <v>163</v>
      </c>
      <c r="AZ246" s="33" t="s">
        <v>489</v>
      </c>
      <c r="BA246" s="10" t="s">
        <v>490</v>
      </c>
      <c r="BC246" s="30">
        <f>AW246+AX246</f>
        <v>0</v>
      </c>
      <c r="BD246" s="30">
        <f>G246/(100-BE246)*100</f>
        <v>0</v>
      </c>
      <c r="BE246" s="30">
        <v>0</v>
      </c>
      <c r="BF246" s="30">
        <f>246</f>
        <v>246</v>
      </c>
      <c r="BH246" s="30">
        <f>F246*AO246</f>
        <v>0</v>
      </c>
      <c r="BI246" s="30">
        <f>F246*AP246</f>
        <v>0</v>
      </c>
      <c r="BJ246" s="30">
        <f>F246*G246</f>
        <v>0</v>
      </c>
      <c r="BK246" s="33" t="s">
        <v>62</v>
      </c>
      <c r="BL246" s="30">
        <v>18</v>
      </c>
      <c r="BW246" s="30">
        <v>21</v>
      </c>
      <c r="BX246" s="4" t="s">
        <v>538</v>
      </c>
    </row>
    <row r="247" spans="1:76" ht="13.5" customHeight="1" x14ac:dyDescent="0.25">
      <c r="A247" s="34"/>
      <c r="B247" s="35" t="s">
        <v>63</v>
      </c>
      <c r="C247" s="89" t="s">
        <v>539</v>
      </c>
      <c r="D247" s="90"/>
      <c r="E247" s="90"/>
      <c r="F247" s="90"/>
      <c r="G247" s="91"/>
      <c r="H247" s="90"/>
      <c r="I247" s="90"/>
      <c r="J247" s="90"/>
      <c r="K247" s="92"/>
    </row>
    <row r="248" spans="1:76" x14ac:dyDescent="0.25">
      <c r="A248" s="2" t="s">
        <v>540</v>
      </c>
      <c r="B248" s="3" t="s">
        <v>541</v>
      </c>
      <c r="C248" s="76" t="s">
        <v>542</v>
      </c>
      <c r="D248" s="71"/>
      <c r="E248" s="3" t="s">
        <v>120</v>
      </c>
      <c r="F248" s="30">
        <v>18</v>
      </c>
      <c r="G248" s="31">
        <v>0</v>
      </c>
      <c r="H248" s="30">
        <f>ROUND(F248*AO248,2)</f>
        <v>0</v>
      </c>
      <c r="I248" s="30">
        <f>ROUND(F248*AP248,2)</f>
        <v>0</v>
      </c>
      <c r="J248" s="30">
        <f>ROUND(F248*G248,2)</f>
        <v>0</v>
      </c>
      <c r="K248" s="32" t="s">
        <v>79</v>
      </c>
      <c r="Z248" s="30">
        <f>ROUND(IF(AQ248="5",BJ248,0),2)</f>
        <v>0</v>
      </c>
      <c r="AB248" s="30">
        <f>ROUND(IF(AQ248="1",BH248,0),2)</f>
        <v>0</v>
      </c>
      <c r="AC248" s="30">
        <f>ROUND(IF(AQ248="1",BI248,0),2)</f>
        <v>0</v>
      </c>
      <c r="AD248" s="30">
        <f>ROUND(IF(AQ248="7",BH248,0),2)</f>
        <v>0</v>
      </c>
      <c r="AE248" s="30">
        <f>ROUND(IF(AQ248="7",BI248,0),2)</f>
        <v>0</v>
      </c>
      <c r="AF248" s="30">
        <f>ROUND(IF(AQ248="2",BH248,0),2)</f>
        <v>0</v>
      </c>
      <c r="AG248" s="30">
        <f>ROUND(IF(AQ248="2",BI248,0),2)</f>
        <v>0</v>
      </c>
      <c r="AH248" s="30">
        <f>ROUND(IF(AQ248="0",BJ248,0),2)</f>
        <v>0</v>
      </c>
      <c r="AI248" s="10" t="s">
        <v>485</v>
      </c>
      <c r="AJ248" s="30">
        <f>IF(AN248=0,J248,0)</f>
        <v>0</v>
      </c>
      <c r="AK248" s="30">
        <f>IF(AN248=12,J248,0)</f>
        <v>0</v>
      </c>
      <c r="AL248" s="30">
        <f>IF(AN248=21,J248,0)</f>
        <v>0</v>
      </c>
      <c r="AN248" s="30">
        <v>21</v>
      </c>
      <c r="AO248" s="30">
        <f>G248*0</f>
        <v>0</v>
      </c>
      <c r="AP248" s="30">
        <f>G248*(1-0)</f>
        <v>0</v>
      </c>
      <c r="AQ248" s="33" t="s">
        <v>55</v>
      </c>
      <c r="AV248" s="30">
        <f>ROUND(AW248+AX248,2)</f>
        <v>0</v>
      </c>
      <c r="AW248" s="30">
        <f>ROUND(F248*AO248,2)</f>
        <v>0</v>
      </c>
      <c r="AX248" s="30">
        <f>ROUND(F248*AP248,2)</f>
        <v>0</v>
      </c>
      <c r="AY248" s="33" t="s">
        <v>163</v>
      </c>
      <c r="AZ248" s="33" t="s">
        <v>489</v>
      </c>
      <c r="BA248" s="10" t="s">
        <v>490</v>
      </c>
      <c r="BC248" s="30">
        <f>AW248+AX248</f>
        <v>0</v>
      </c>
      <c r="BD248" s="30">
        <f>G248/(100-BE248)*100</f>
        <v>0</v>
      </c>
      <c r="BE248" s="30">
        <v>0</v>
      </c>
      <c r="BF248" s="30">
        <f>248</f>
        <v>248</v>
      </c>
      <c r="BH248" s="30">
        <f>F248*AO248</f>
        <v>0</v>
      </c>
      <c r="BI248" s="30">
        <f>F248*AP248</f>
        <v>0</v>
      </c>
      <c r="BJ248" s="30">
        <f>F248*G248</f>
        <v>0</v>
      </c>
      <c r="BK248" s="33" t="s">
        <v>62</v>
      </c>
      <c r="BL248" s="30">
        <v>18</v>
      </c>
      <c r="BW248" s="30">
        <v>21</v>
      </c>
      <c r="BX248" s="4" t="s">
        <v>542</v>
      </c>
    </row>
    <row r="249" spans="1:76" ht="13.5" customHeight="1" x14ac:dyDescent="0.25">
      <c r="A249" s="34"/>
      <c r="B249" s="35" t="s">
        <v>63</v>
      </c>
      <c r="C249" s="89" t="s">
        <v>543</v>
      </c>
      <c r="D249" s="90"/>
      <c r="E249" s="90"/>
      <c r="F249" s="90"/>
      <c r="G249" s="91"/>
      <c r="H249" s="90"/>
      <c r="I249" s="90"/>
      <c r="J249" s="90"/>
      <c r="K249" s="92"/>
    </row>
    <row r="250" spans="1:76" x14ac:dyDescent="0.25">
      <c r="A250" s="34"/>
      <c r="C250" s="37" t="s">
        <v>544</v>
      </c>
      <c r="D250" s="37" t="s">
        <v>545</v>
      </c>
      <c r="F250" s="38">
        <v>18</v>
      </c>
      <c r="K250" s="39"/>
    </row>
    <row r="251" spans="1:76" x14ac:dyDescent="0.25">
      <c r="A251" s="2" t="s">
        <v>546</v>
      </c>
      <c r="B251" s="3" t="s">
        <v>547</v>
      </c>
      <c r="C251" s="76" t="s">
        <v>548</v>
      </c>
      <c r="D251" s="71"/>
      <c r="E251" s="3" t="s">
        <v>120</v>
      </c>
      <c r="F251" s="30">
        <v>6</v>
      </c>
      <c r="G251" s="31">
        <v>0</v>
      </c>
      <c r="H251" s="30">
        <f>ROUND(F251*AO251,2)</f>
        <v>0</v>
      </c>
      <c r="I251" s="30">
        <f>ROUND(F251*AP251,2)</f>
        <v>0</v>
      </c>
      <c r="J251" s="30">
        <f>ROUND(F251*G251,2)</f>
        <v>0</v>
      </c>
      <c r="K251" s="32" t="s">
        <v>130</v>
      </c>
      <c r="Z251" s="30">
        <f>ROUND(IF(AQ251="5",BJ251,0),2)</f>
        <v>0</v>
      </c>
      <c r="AB251" s="30">
        <f>ROUND(IF(AQ251="1",BH251,0),2)</f>
        <v>0</v>
      </c>
      <c r="AC251" s="30">
        <f>ROUND(IF(AQ251="1",BI251,0),2)</f>
        <v>0</v>
      </c>
      <c r="AD251" s="30">
        <f>ROUND(IF(AQ251="7",BH251,0),2)</f>
        <v>0</v>
      </c>
      <c r="AE251" s="30">
        <f>ROUND(IF(AQ251="7",BI251,0),2)</f>
        <v>0</v>
      </c>
      <c r="AF251" s="30">
        <f>ROUND(IF(AQ251="2",BH251,0),2)</f>
        <v>0</v>
      </c>
      <c r="AG251" s="30">
        <f>ROUND(IF(AQ251="2",BI251,0),2)</f>
        <v>0</v>
      </c>
      <c r="AH251" s="30">
        <f>ROUND(IF(AQ251="0",BJ251,0),2)</f>
        <v>0</v>
      </c>
      <c r="AI251" s="10" t="s">
        <v>485</v>
      </c>
      <c r="AJ251" s="30">
        <f>IF(AN251=0,J251,0)</f>
        <v>0</v>
      </c>
      <c r="AK251" s="30">
        <f>IF(AN251=12,J251,0)</f>
        <v>0</v>
      </c>
      <c r="AL251" s="30">
        <f>IF(AN251=21,J251,0)</f>
        <v>0</v>
      </c>
      <c r="AN251" s="30">
        <v>21</v>
      </c>
      <c r="AO251" s="30">
        <f>G251*1</f>
        <v>0</v>
      </c>
      <c r="AP251" s="30">
        <f>G251*(1-1)</f>
        <v>0</v>
      </c>
      <c r="AQ251" s="33" t="s">
        <v>55</v>
      </c>
      <c r="AV251" s="30">
        <f>ROUND(AW251+AX251,2)</f>
        <v>0</v>
      </c>
      <c r="AW251" s="30">
        <f>ROUND(F251*AO251,2)</f>
        <v>0</v>
      </c>
      <c r="AX251" s="30">
        <f>ROUND(F251*AP251,2)</f>
        <v>0</v>
      </c>
      <c r="AY251" s="33" t="s">
        <v>163</v>
      </c>
      <c r="AZ251" s="33" t="s">
        <v>489</v>
      </c>
      <c r="BA251" s="10" t="s">
        <v>490</v>
      </c>
      <c r="BC251" s="30">
        <f>AW251+AX251</f>
        <v>0</v>
      </c>
      <c r="BD251" s="30">
        <f>G251/(100-BE251)*100</f>
        <v>0</v>
      </c>
      <c r="BE251" s="30">
        <v>0</v>
      </c>
      <c r="BF251" s="30">
        <f>251</f>
        <v>251</v>
      </c>
      <c r="BH251" s="30">
        <f>F251*AO251</f>
        <v>0</v>
      </c>
      <c r="BI251" s="30">
        <f>F251*AP251</f>
        <v>0</v>
      </c>
      <c r="BJ251" s="30">
        <f>F251*G251</f>
        <v>0</v>
      </c>
      <c r="BK251" s="33" t="s">
        <v>173</v>
      </c>
      <c r="BL251" s="30">
        <v>18</v>
      </c>
      <c r="BW251" s="30">
        <v>21</v>
      </c>
      <c r="BX251" s="4" t="s">
        <v>548</v>
      </c>
    </row>
    <row r="252" spans="1:76" x14ac:dyDescent="0.25">
      <c r="A252" s="2" t="s">
        <v>549</v>
      </c>
      <c r="B252" s="3" t="s">
        <v>550</v>
      </c>
      <c r="C252" s="76" t="s">
        <v>551</v>
      </c>
      <c r="D252" s="71"/>
      <c r="E252" s="3" t="s">
        <v>120</v>
      </c>
      <c r="F252" s="30">
        <v>1</v>
      </c>
      <c r="G252" s="31">
        <v>0</v>
      </c>
      <c r="H252" s="30">
        <f>ROUND(F252*AO252,2)</f>
        <v>0</v>
      </c>
      <c r="I252" s="30">
        <f>ROUND(F252*AP252,2)</f>
        <v>0</v>
      </c>
      <c r="J252" s="30">
        <f>ROUND(F252*G252,2)</f>
        <v>0</v>
      </c>
      <c r="K252" s="32" t="s">
        <v>365</v>
      </c>
      <c r="Z252" s="30">
        <f>ROUND(IF(AQ252="5",BJ252,0),2)</f>
        <v>0</v>
      </c>
      <c r="AB252" s="30">
        <f>ROUND(IF(AQ252="1",BH252,0),2)</f>
        <v>0</v>
      </c>
      <c r="AC252" s="30">
        <f>ROUND(IF(AQ252="1",BI252,0),2)</f>
        <v>0</v>
      </c>
      <c r="AD252" s="30">
        <f>ROUND(IF(AQ252="7",BH252,0),2)</f>
        <v>0</v>
      </c>
      <c r="AE252" s="30">
        <f>ROUND(IF(AQ252="7",BI252,0),2)</f>
        <v>0</v>
      </c>
      <c r="AF252" s="30">
        <f>ROUND(IF(AQ252="2",BH252,0),2)</f>
        <v>0</v>
      </c>
      <c r="AG252" s="30">
        <f>ROUND(IF(AQ252="2",BI252,0),2)</f>
        <v>0</v>
      </c>
      <c r="AH252" s="30">
        <f>ROUND(IF(AQ252="0",BJ252,0),2)</f>
        <v>0</v>
      </c>
      <c r="AI252" s="10" t="s">
        <v>485</v>
      </c>
      <c r="AJ252" s="30">
        <f>IF(AN252=0,J252,0)</f>
        <v>0</v>
      </c>
      <c r="AK252" s="30">
        <f>IF(AN252=12,J252,0)</f>
        <v>0</v>
      </c>
      <c r="AL252" s="30">
        <f>IF(AN252=21,J252,0)</f>
        <v>0</v>
      </c>
      <c r="AN252" s="30">
        <v>21</v>
      </c>
      <c r="AO252" s="30">
        <f>G252*1</f>
        <v>0</v>
      </c>
      <c r="AP252" s="30">
        <f>G252*(1-1)</f>
        <v>0</v>
      </c>
      <c r="AQ252" s="33" t="s">
        <v>55</v>
      </c>
      <c r="AV252" s="30">
        <f>ROUND(AW252+AX252,2)</f>
        <v>0</v>
      </c>
      <c r="AW252" s="30">
        <f>ROUND(F252*AO252,2)</f>
        <v>0</v>
      </c>
      <c r="AX252" s="30">
        <f>ROUND(F252*AP252,2)</f>
        <v>0</v>
      </c>
      <c r="AY252" s="33" t="s">
        <v>163</v>
      </c>
      <c r="AZ252" s="33" t="s">
        <v>489</v>
      </c>
      <c r="BA252" s="10" t="s">
        <v>490</v>
      </c>
      <c r="BC252" s="30">
        <f>AW252+AX252</f>
        <v>0</v>
      </c>
      <c r="BD252" s="30">
        <f>G252/(100-BE252)*100</f>
        <v>0</v>
      </c>
      <c r="BE252" s="30">
        <v>0</v>
      </c>
      <c r="BF252" s="30">
        <f>252</f>
        <v>252</v>
      </c>
      <c r="BH252" s="30">
        <f>F252*AO252</f>
        <v>0</v>
      </c>
      <c r="BI252" s="30">
        <f>F252*AP252</f>
        <v>0</v>
      </c>
      <c r="BJ252" s="30">
        <f>F252*G252</f>
        <v>0</v>
      </c>
      <c r="BK252" s="33" t="s">
        <v>173</v>
      </c>
      <c r="BL252" s="30">
        <v>18</v>
      </c>
      <c r="BW252" s="30">
        <v>21</v>
      </c>
      <c r="BX252" s="4" t="s">
        <v>551</v>
      </c>
    </row>
    <row r="253" spans="1:76" x14ac:dyDescent="0.25">
      <c r="A253" s="2" t="s">
        <v>552</v>
      </c>
      <c r="B253" s="3" t="s">
        <v>553</v>
      </c>
      <c r="C253" s="76" t="s">
        <v>554</v>
      </c>
      <c r="D253" s="71"/>
      <c r="E253" s="3" t="s">
        <v>120</v>
      </c>
      <c r="F253" s="30">
        <v>2</v>
      </c>
      <c r="G253" s="31">
        <v>0</v>
      </c>
      <c r="H253" s="30">
        <f>ROUND(F253*AO253,2)</f>
        <v>0</v>
      </c>
      <c r="I253" s="30">
        <f>ROUND(F253*AP253,2)</f>
        <v>0</v>
      </c>
      <c r="J253" s="30">
        <f>ROUND(F253*G253,2)</f>
        <v>0</v>
      </c>
      <c r="K253" s="32" t="s">
        <v>130</v>
      </c>
      <c r="Z253" s="30">
        <f>ROUND(IF(AQ253="5",BJ253,0),2)</f>
        <v>0</v>
      </c>
      <c r="AB253" s="30">
        <f>ROUND(IF(AQ253="1",BH253,0),2)</f>
        <v>0</v>
      </c>
      <c r="AC253" s="30">
        <f>ROUND(IF(AQ253="1",BI253,0),2)</f>
        <v>0</v>
      </c>
      <c r="AD253" s="30">
        <f>ROUND(IF(AQ253="7",BH253,0),2)</f>
        <v>0</v>
      </c>
      <c r="AE253" s="30">
        <f>ROUND(IF(AQ253="7",BI253,0),2)</f>
        <v>0</v>
      </c>
      <c r="AF253" s="30">
        <f>ROUND(IF(AQ253="2",BH253,0),2)</f>
        <v>0</v>
      </c>
      <c r="AG253" s="30">
        <f>ROUND(IF(AQ253="2",BI253,0),2)</f>
        <v>0</v>
      </c>
      <c r="AH253" s="30">
        <f>ROUND(IF(AQ253="0",BJ253,0),2)</f>
        <v>0</v>
      </c>
      <c r="AI253" s="10" t="s">
        <v>485</v>
      </c>
      <c r="AJ253" s="30">
        <f>IF(AN253=0,J253,0)</f>
        <v>0</v>
      </c>
      <c r="AK253" s="30">
        <f>IF(AN253=12,J253,0)</f>
        <v>0</v>
      </c>
      <c r="AL253" s="30">
        <f>IF(AN253=21,J253,0)</f>
        <v>0</v>
      </c>
      <c r="AN253" s="30">
        <v>21</v>
      </c>
      <c r="AO253" s="30">
        <f>G253*1</f>
        <v>0</v>
      </c>
      <c r="AP253" s="30">
        <f>G253*(1-1)</f>
        <v>0</v>
      </c>
      <c r="AQ253" s="33" t="s">
        <v>55</v>
      </c>
      <c r="AV253" s="30">
        <f>ROUND(AW253+AX253,2)</f>
        <v>0</v>
      </c>
      <c r="AW253" s="30">
        <f>ROUND(F253*AO253,2)</f>
        <v>0</v>
      </c>
      <c r="AX253" s="30">
        <f>ROUND(F253*AP253,2)</f>
        <v>0</v>
      </c>
      <c r="AY253" s="33" t="s">
        <v>163</v>
      </c>
      <c r="AZ253" s="33" t="s">
        <v>489</v>
      </c>
      <c r="BA253" s="10" t="s">
        <v>490</v>
      </c>
      <c r="BC253" s="30">
        <f>AW253+AX253</f>
        <v>0</v>
      </c>
      <c r="BD253" s="30">
        <f>G253/(100-BE253)*100</f>
        <v>0</v>
      </c>
      <c r="BE253" s="30">
        <v>0</v>
      </c>
      <c r="BF253" s="30">
        <f>253</f>
        <v>253</v>
      </c>
      <c r="BH253" s="30">
        <f>F253*AO253</f>
        <v>0</v>
      </c>
      <c r="BI253" s="30">
        <f>F253*AP253</f>
        <v>0</v>
      </c>
      <c r="BJ253" s="30">
        <f>F253*G253</f>
        <v>0</v>
      </c>
      <c r="BK253" s="33" t="s">
        <v>173</v>
      </c>
      <c r="BL253" s="30">
        <v>18</v>
      </c>
      <c r="BW253" s="30">
        <v>21</v>
      </c>
      <c r="BX253" s="4" t="s">
        <v>554</v>
      </c>
    </row>
    <row r="254" spans="1:76" x14ac:dyDescent="0.25">
      <c r="A254" s="2" t="s">
        <v>187</v>
      </c>
      <c r="B254" s="3" t="s">
        <v>555</v>
      </c>
      <c r="C254" s="76" t="s">
        <v>556</v>
      </c>
      <c r="D254" s="71"/>
      <c r="E254" s="3" t="s">
        <v>94</v>
      </c>
      <c r="F254" s="30">
        <v>13.77</v>
      </c>
      <c r="G254" s="31">
        <v>0</v>
      </c>
      <c r="H254" s="30">
        <f>ROUND(F254*AO254,2)</f>
        <v>0</v>
      </c>
      <c r="I254" s="30">
        <f>ROUND(F254*AP254,2)</f>
        <v>0</v>
      </c>
      <c r="J254" s="30">
        <f>ROUND(F254*G254,2)</f>
        <v>0</v>
      </c>
      <c r="K254" s="32" t="s">
        <v>130</v>
      </c>
      <c r="Z254" s="30">
        <f>ROUND(IF(AQ254="5",BJ254,0),2)</f>
        <v>0</v>
      </c>
      <c r="AB254" s="30">
        <f>ROUND(IF(AQ254="1",BH254,0),2)</f>
        <v>0</v>
      </c>
      <c r="AC254" s="30">
        <f>ROUND(IF(AQ254="1",BI254,0),2)</f>
        <v>0</v>
      </c>
      <c r="AD254" s="30">
        <f>ROUND(IF(AQ254="7",BH254,0),2)</f>
        <v>0</v>
      </c>
      <c r="AE254" s="30">
        <f>ROUND(IF(AQ254="7",BI254,0),2)</f>
        <v>0</v>
      </c>
      <c r="AF254" s="30">
        <f>ROUND(IF(AQ254="2",BH254,0),2)</f>
        <v>0</v>
      </c>
      <c r="AG254" s="30">
        <f>ROUND(IF(AQ254="2",BI254,0),2)</f>
        <v>0</v>
      </c>
      <c r="AH254" s="30">
        <f>ROUND(IF(AQ254="0",BJ254,0),2)</f>
        <v>0</v>
      </c>
      <c r="AI254" s="10" t="s">
        <v>485</v>
      </c>
      <c r="AJ254" s="30">
        <f>IF(AN254=0,J254,0)</f>
        <v>0</v>
      </c>
      <c r="AK254" s="30">
        <f>IF(AN254=12,J254,0)</f>
        <v>0</v>
      </c>
      <c r="AL254" s="30">
        <f>IF(AN254=21,J254,0)</f>
        <v>0</v>
      </c>
      <c r="AN254" s="30">
        <v>21</v>
      </c>
      <c r="AO254" s="30">
        <f>G254*1</f>
        <v>0</v>
      </c>
      <c r="AP254" s="30">
        <f>G254*(1-1)</f>
        <v>0</v>
      </c>
      <c r="AQ254" s="33" t="s">
        <v>55</v>
      </c>
      <c r="AV254" s="30">
        <f>ROUND(AW254+AX254,2)</f>
        <v>0</v>
      </c>
      <c r="AW254" s="30">
        <f>ROUND(F254*AO254,2)</f>
        <v>0</v>
      </c>
      <c r="AX254" s="30">
        <f>ROUND(F254*AP254,2)</f>
        <v>0</v>
      </c>
      <c r="AY254" s="33" t="s">
        <v>163</v>
      </c>
      <c r="AZ254" s="33" t="s">
        <v>489</v>
      </c>
      <c r="BA254" s="10" t="s">
        <v>490</v>
      </c>
      <c r="BC254" s="30">
        <f>AW254+AX254</f>
        <v>0</v>
      </c>
      <c r="BD254" s="30">
        <f>G254/(100-BE254)*100</f>
        <v>0</v>
      </c>
      <c r="BE254" s="30">
        <v>0</v>
      </c>
      <c r="BF254" s="30">
        <f>254</f>
        <v>254</v>
      </c>
      <c r="BH254" s="30">
        <f>F254*AO254</f>
        <v>0</v>
      </c>
      <c r="BI254" s="30">
        <f>F254*AP254</f>
        <v>0</v>
      </c>
      <c r="BJ254" s="30">
        <f>F254*G254</f>
        <v>0</v>
      </c>
      <c r="BK254" s="33" t="s">
        <v>173</v>
      </c>
      <c r="BL254" s="30">
        <v>18</v>
      </c>
      <c r="BW254" s="30">
        <v>21</v>
      </c>
      <c r="BX254" s="4" t="s">
        <v>556</v>
      </c>
    </row>
    <row r="255" spans="1:76" x14ac:dyDescent="0.25">
      <c r="A255" s="34"/>
      <c r="C255" s="37" t="s">
        <v>557</v>
      </c>
      <c r="D255" s="37" t="s">
        <v>50</v>
      </c>
      <c r="F255" s="38">
        <v>13.5</v>
      </c>
      <c r="K255" s="39"/>
    </row>
    <row r="256" spans="1:76" x14ac:dyDescent="0.25">
      <c r="A256" s="34"/>
      <c r="C256" s="37" t="s">
        <v>558</v>
      </c>
      <c r="D256" s="37" t="s">
        <v>50</v>
      </c>
      <c r="F256" s="38">
        <v>0.27</v>
      </c>
      <c r="K256" s="39"/>
    </row>
    <row r="257" spans="1:76" x14ac:dyDescent="0.25">
      <c r="A257" s="2" t="s">
        <v>559</v>
      </c>
      <c r="B257" s="3" t="s">
        <v>560</v>
      </c>
      <c r="C257" s="76" t="s">
        <v>561</v>
      </c>
      <c r="D257" s="71"/>
      <c r="E257" s="3" t="s">
        <v>120</v>
      </c>
      <c r="F257" s="30">
        <v>81</v>
      </c>
      <c r="G257" s="31">
        <v>0</v>
      </c>
      <c r="H257" s="30">
        <f>ROUND(F257*AO257,2)</f>
        <v>0</v>
      </c>
      <c r="I257" s="30">
        <f>ROUND(F257*AP257,2)</f>
        <v>0</v>
      </c>
      <c r="J257" s="30">
        <f>ROUND(F257*G257,2)</f>
        <v>0</v>
      </c>
      <c r="K257" s="32" t="s">
        <v>130</v>
      </c>
      <c r="Z257" s="30">
        <f>ROUND(IF(AQ257="5",BJ257,0),2)</f>
        <v>0</v>
      </c>
      <c r="AB257" s="30">
        <f>ROUND(IF(AQ257="1",BH257,0),2)</f>
        <v>0</v>
      </c>
      <c r="AC257" s="30">
        <f>ROUND(IF(AQ257="1",BI257,0),2)</f>
        <v>0</v>
      </c>
      <c r="AD257" s="30">
        <f>ROUND(IF(AQ257="7",BH257,0),2)</f>
        <v>0</v>
      </c>
      <c r="AE257" s="30">
        <f>ROUND(IF(AQ257="7",BI257,0),2)</f>
        <v>0</v>
      </c>
      <c r="AF257" s="30">
        <f>ROUND(IF(AQ257="2",BH257,0),2)</f>
        <v>0</v>
      </c>
      <c r="AG257" s="30">
        <f>ROUND(IF(AQ257="2",BI257,0),2)</f>
        <v>0</v>
      </c>
      <c r="AH257" s="30">
        <f>ROUND(IF(AQ257="0",BJ257,0),2)</f>
        <v>0</v>
      </c>
      <c r="AI257" s="10" t="s">
        <v>485</v>
      </c>
      <c r="AJ257" s="30">
        <f>IF(AN257=0,J257,0)</f>
        <v>0</v>
      </c>
      <c r="AK257" s="30">
        <f>IF(AN257=12,J257,0)</f>
        <v>0</v>
      </c>
      <c r="AL257" s="30">
        <f>IF(AN257=21,J257,0)</f>
        <v>0</v>
      </c>
      <c r="AN257" s="30">
        <v>21</v>
      </c>
      <c r="AO257" s="30">
        <f>G257*1</f>
        <v>0</v>
      </c>
      <c r="AP257" s="30">
        <f>G257*(1-1)</f>
        <v>0</v>
      </c>
      <c r="AQ257" s="33" t="s">
        <v>55</v>
      </c>
      <c r="AV257" s="30">
        <f>ROUND(AW257+AX257,2)</f>
        <v>0</v>
      </c>
      <c r="AW257" s="30">
        <f>ROUND(F257*AO257,2)</f>
        <v>0</v>
      </c>
      <c r="AX257" s="30">
        <f>ROUND(F257*AP257,2)</f>
        <v>0</v>
      </c>
      <c r="AY257" s="33" t="s">
        <v>163</v>
      </c>
      <c r="AZ257" s="33" t="s">
        <v>489</v>
      </c>
      <c r="BA257" s="10" t="s">
        <v>490</v>
      </c>
      <c r="BC257" s="30">
        <f>AW257+AX257</f>
        <v>0</v>
      </c>
      <c r="BD257" s="30">
        <f>G257/(100-BE257)*100</f>
        <v>0</v>
      </c>
      <c r="BE257" s="30">
        <v>0</v>
      </c>
      <c r="BF257" s="30">
        <f>257</f>
        <v>257</v>
      </c>
      <c r="BH257" s="30">
        <f>F257*AO257</f>
        <v>0</v>
      </c>
      <c r="BI257" s="30">
        <f>F257*AP257</f>
        <v>0</v>
      </c>
      <c r="BJ257" s="30">
        <f>F257*G257</f>
        <v>0</v>
      </c>
      <c r="BK257" s="33" t="s">
        <v>173</v>
      </c>
      <c r="BL257" s="30">
        <v>18</v>
      </c>
      <c r="BW257" s="30">
        <v>21</v>
      </c>
      <c r="BX257" s="4" t="s">
        <v>561</v>
      </c>
    </row>
    <row r="258" spans="1:76" x14ac:dyDescent="0.25">
      <c r="A258" s="34"/>
      <c r="C258" s="37" t="s">
        <v>562</v>
      </c>
      <c r="D258" s="37" t="s">
        <v>563</v>
      </c>
      <c r="F258" s="38">
        <v>81</v>
      </c>
      <c r="K258" s="39"/>
    </row>
    <row r="259" spans="1:76" x14ac:dyDescent="0.25">
      <c r="A259" s="2" t="s">
        <v>564</v>
      </c>
      <c r="B259" s="3" t="s">
        <v>565</v>
      </c>
      <c r="C259" s="76" t="s">
        <v>566</v>
      </c>
      <c r="D259" s="71"/>
      <c r="E259" s="3" t="s">
        <v>120</v>
      </c>
      <c r="F259" s="30">
        <v>27</v>
      </c>
      <c r="G259" s="31">
        <v>0</v>
      </c>
      <c r="H259" s="30">
        <f>ROUND(F259*AO259,2)</f>
        <v>0</v>
      </c>
      <c r="I259" s="30">
        <f>ROUND(F259*AP259,2)</f>
        <v>0</v>
      </c>
      <c r="J259" s="30">
        <f>ROUND(F259*G259,2)</f>
        <v>0</v>
      </c>
      <c r="K259" s="32" t="s">
        <v>130</v>
      </c>
      <c r="Z259" s="30">
        <f>ROUND(IF(AQ259="5",BJ259,0),2)</f>
        <v>0</v>
      </c>
      <c r="AB259" s="30">
        <f>ROUND(IF(AQ259="1",BH259,0),2)</f>
        <v>0</v>
      </c>
      <c r="AC259" s="30">
        <f>ROUND(IF(AQ259="1",BI259,0),2)</f>
        <v>0</v>
      </c>
      <c r="AD259" s="30">
        <f>ROUND(IF(AQ259="7",BH259,0),2)</f>
        <v>0</v>
      </c>
      <c r="AE259" s="30">
        <f>ROUND(IF(AQ259="7",BI259,0),2)</f>
        <v>0</v>
      </c>
      <c r="AF259" s="30">
        <f>ROUND(IF(AQ259="2",BH259,0),2)</f>
        <v>0</v>
      </c>
      <c r="AG259" s="30">
        <f>ROUND(IF(AQ259="2",BI259,0),2)</f>
        <v>0</v>
      </c>
      <c r="AH259" s="30">
        <f>ROUND(IF(AQ259="0",BJ259,0),2)</f>
        <v>0</v>
      </c>
      <c r="AI259" s="10" t="s">
        <v>485</v>
      </c>
      <c r="AJ259" s="30">
        <f>IF(AN259=0,J259,0)</f>
        <v>0</v>
      </c>
      <c r="AK259" s="30">
        <f>IF(AN259=12,J259,0)</f>
        <v>0</v>
      </c>
      <c r="AL259" s="30">
        <f>IF(AN259=21,J259,0)</f>
        <v>0</v>
      </c>
      <c r="AN259" s="30">
        <v>21</v>
      </c>
      <c r="AO259" s="30">
        <f>G259*1</f>
        <v>0</v>
      </c>
      <c r="AP259" s="30">
        <f>G259*(1-1)</f>
        <v>0</v>
      </c>
      <c r="AQ259" s="33" t="s">
        <v>55</v>
      </c>
      <c r="AV259" s="30">
        <f>ROUND(AW259+AX259,2)</f>
        <v>0</v>
      </c>
      <c r="AW259" s="30">
        <f>ROUND(F259*AO259,2)</f>
        <v>0</v>
      </c>
      <c r="AX259" s="30">
        <f>ROUND(F259*AP259,2)</f>
        <v>0</v>
      </c>
      <c r="AY259" s="33" t="s">
        <v>163</v>
      </c>
      <c r="AZ259" s="33" t="s">
        <v>489</v>
      </c>
      <c r="BA259" s="10" t="s">
        <v>490</v>
      </c>
      <c r="BC259" s="30">
        <f>AW259+AX259</f>
        <v>0</v>
      </c>
      <c r="BD259" s="30">
        <f>G259/(100-BE259)*100</f>
        <v>0</v>
      </c>
      <c r="BE259" s="30">
        <v>0</v>
      </c>
      <c r="BF259" s="30">
        <f>259</f>
        <v>259</v>
      </c>
      <c r="BH259" s="30">
        <f>F259*AO259</f>
        <v>0</v>
      </c>
      <c r="BI259" s="30">
        <f>F259*AP259</f>
        <v>0</v>
      </c>
      <c r="BJ259" s="30">
        <f>F259*G259</f>
        <v>0</v>
      </c>
      <c r="BK259" s="33" t="s">
        <v>173</v>
      </c>
      <c r="BL259" s="30">
        <v>18</v>
      </c>
      <c r="BW259" s="30">
        <v>21</v>
      </c>
      <c r="BX259" s="4" t="s">
        <v>566</v>
      </c>
    </row>
    <row r="260" spans="1:76" x14ac:dyDescent="0.25">
      <c r="A260" s="34"/>
      <c r="C260" s="37" t="s">
        <v>521</v>
      </c>
      <c r="D260" s="37" t="s">
        <v>50</v>
      </c>
      <c r="F260" s="38">
        <v>27</v>
      </c>
      <c r="K260" s="39"/>
    </row>
    <row r="261" spans="1:76" x14ac:dyDescent="0.25">
      <c r="A261" s="2" t="s">
        <v>567</v>
      </c>
      <c r="B261" s="3" t="s">
        <v>568</v>
      </c>
      <c r="C261" s="76" t="s">
        <v>569</v>
      </c>
      <c r="D261" s="71"/>
      <c r="E261" s="3" t="s">
        <v>194</v>
      </c>
      <c r="F261" s="30">
        <v>0.9</v>
      </c>
      <c r="G261" s="31">
        <v>0</v>
      </c>
      <c r="H261" s="30">
        <f>ROUND(F261*AO261,2)</f>
        <v>0</v>
      </c>
      <c r="I261" s="30">
        <f>ROUND(F261*AP261,2)</f>
        <v>0</v>
      </c>
      <c r="J261" s="30">
        <f>ROUND(F261*G261,2)</f>
        <v>0</v>
      </c>
      <c r="K261" s="32" t="s">
        <v>365</v>
      </c>
      <c r="Z261" s="30">
        <f>ROUND(IF(AQ261="5",BJ261,0),2)</f>
        <v>0</v>
      </c>
      <c r="AB261" s="30">
        <f>ROUND(IF(AQ261="1",BH261,0),2)</f>
        <v>0</v>
      </c>
      <c r="AC261" s="30">
        <f>ROUND(IF(AQ261="1",BI261,0),2)</f>
        <v>0</v>
      </c>
      <c r="AD261" s="30">
        <f>ROUND(IF(AQ261="7",BH261,0),2)</f>
        <v>0</v>
      </c>
      <c r="AE261" s="30">
        <f>ROUND(IF(AQ261="7",BI261,0),2)</f>
        <v>0</v>
      </c>
      <c r="AF261" s="30">
        <f>ROUND(IF(AQ261="2",BH261,0),2)</f>
        <v>0</v>
      </c>
      <c r="AG261" s="30">
        <f>ROUND(IF(AQ261="2",BI261,0),2)</f>
        <v>0</v>
      </c>
      <c r="AH261" s="30">
        <f>ROUND(IF(AQ261="0",BJ261,0),2)</f>
        <v>0</v>
      </c>
      <c r="AI261" s="10" t="s">
        <v>485</v>
      </c>
      <c r="AJ261" s="30">
        <f>IF(AN261=0,J261,0)</f>
        <v>0</v>
      </c>
      <c r="AK261" s="30">
        <f>IF(AN261=12,J261,0)</f>
        <v>0</v>
      </c>
      <c r="AL261" s="30">
        <f>IF(AN261=21,J261,0)</f>
        <v>0</v>
      </c>
      <c r="AN261" s="30">
        <v>21</v>
      </c>
      <c r="AO261" s="30">
        <f>G261*1</f>
        <v>0</v>
      </c>
      <c r="AP261" s="30">
        <f>G261*(1-1)</f>
        <v>0</v>
      </c>
      <c r="AQ261" s="33" t="s">
        <v>55</v>
      </c>
      <c r="AV261" s="30">
        <f>ROUND(AW261+AX261,2)</f>
        <v>0</v>
      </c>
      <c r="AW261" s="30">
        <f>ROUND(F261*AO261,2)</f>
        <v>0</v>
      </c>
      <c r="AX261" s="30">
        <f>ROUND(F261*AP261,2)</f>
        <v>0</v>
      </c>
      <c r="AY261" s="33" t="s">
        <v>163</v>
      </c>
      <c r="AZ261" s="33" t="s">
        <v>489</v>
      </c>
      <c r="BA261" s="10" t="s">
        <v>490</v>
      </c>
      <c r="BC261" s="30">
        <f>AW261+AX261</f>
        <v>0</v>
      </c>
      <c r="BD261" s="30">
        <f>G261/(100-BE261)*100</f>
        <v>0</v>
      </c>
      <c r="BE261" s="30">
        <v>0</v>
      </c>
      <c r="BF261" s="30">
        <f>261</f>
        <v>261</v>
      </c>
      <c r="BH261" s="30">
        <f>F261*AO261</f>
        <v>0</v>
      </c>
      <c r="BI261" s="30">
        <f>F261*AP261</f>
        <v>0</v>
      </c>
      <c r="BJ261" s="30">
        <f>F261*G261</f>
        <v>0</v>
      </c>
      <c r="BK261" s="33" t="s">
        <v>173</v>
      </c>
      <c r="BL261" s="30">
        <v>18</v>
      </c>
      <c r="BW261" s="30">
        <v>21</v>
      </c>
      <c r="BX261" s="4" t="s">
        <v>569</v>
      </c>
    </row>
    <row r="262" spans="1:76" x14ac:dyDescent="0.25">
      <c r="A262" s="34"/>
      <c r="C262" s="37" t="s">
        <v>570</v>
      </c>
      <c r="D262" s="37" t="s">
        <v>50</v>
      </c>
      <c r="F262" s="38">
        <v>0.9</v>
      </c>
      <c r="K262" s="39"/>
    </row>
    <row r="263" spans="1:76" x14ac:dyDescent="0.25">
      <c r="A263" s="2" t="s">
        <v>571</v>
      </c>
      <c r="B263" s="3" t="s">
        <v>572</v>
      </c>
      <c r="C263" s="76" t="s">
        <v>573</v>
      </c>
      <c r="D263" s="71"/>
      <c r="E263" s="3" t="s">
        <v>574</v>
      </c>
      <c r="F263" s="30">
        <v>0.18</v>
      </c>
      <c r="G263" s="31">
        <v>0</v>
      </c>
      <c r="H263" s="30">
        <f>ROUND(F263*AO263,2)</f>
        <v>0</v>
      </c>
      <c r="I263" s="30">
        <f>ROUND(F263*AP263,2)</f>
        <v>0</v>
      </c>
      <c r="J263" s="30">
        <f>ROUND(F263*G263,2)</f>
        <v>0</v>
      </c>
      <c r="K263" s="32" t="s">
        <v>575</v>
      </c>
      <c r="Z263" s="30">
        <f>ROUND(IF(AQ263="5",BJ263,0),2)</f>
        <v>0</v>
      </c>
      <c r="AB263" s="30">
        <f>ROUND(IF(AQ263="1",BH263,0),2)</f>
        <v>0</v>
      </c>
      <c r="AC263" s="30">
        <f>ROUND(IF(AQ263="1",BI263,0),2)</f>
        <v>0</v>
      </c>
      <c r="AD263" s="30">
        <f>ROUND(IF(AQ263="7",BH263,0),2)</f>
        <v>0</v>
      </c>
      <c r="AE263" s="30">
        <f>ROUND(IF(AQ263="7",BI263,0),2)</f>
        <v>0</v>
      </c>
      <c r="AF263" s="30">
        <f>ROUND(IF(AQ263="2",BH263,0),2)</f>
        <v>0</v>
      </c>
      <c r="AG263" s="30">
        <f>ROUND(IF(AQ263="2",BI263,0),2)</f>
        <v>0</v>
      </c>
      <c r="AH263" s="30">
        <f>ROUND(IF(AQ263="0",BJ263,0),2)</f>
        <v>0</v>
      </c>
      <c r="AI263" s="10" t="s">
        <v>485</v>
      </c>
      <c r="AJ263" s="30">
        <f>IF(AN263=0,J263,0)</f>
        <v>0</v>
      </c>
      <c r="AK263" s="30">
        <f>IF(AN263=12,J263,0)</f>
        <v>0</v>
      </c>
      <c r="AL263" s="30">
        <f>IF(AN263=21,J263,0)</f>
        <v>0</v>
      </c>
      <c r="AN263" s="30">
        <v>21</v>
      </c>
      <c r="AO263" s="30">
        <f>G263*1</f>
        <v>0</v>
      </c>
      <c r="AP263" s="30">
        <f>G263*(1-1)</f>
        <v>0</v>
      </c>
      <c r="AQ263" s="33" t="s">
        <v>55</v>
      </c>
      <c r="AV263" s="30">
        <f>ROUND(AW263+AX263,2)</f>
        <v>0</v>
      </c>
      <c r="AW263" s="30">
        <f>ROUND(F263*AO263,2)</f>
        <v>0</v>
      </c>
      <c r="AX263" s="30">
        <f>ROUND(F263*AP263,2)</f>
        <v>0</v>
      </c>
      <c r="AY263" s="33" t="s">
        <v>163</v>
      </c>
      <c r="AZ263" s="33" t="s">
        <v>489</v>
      </c>
      <c r="BA263" s="10" t="s">
        <v>490</v>
      </c>
      <c r="BC263" s="30">
        <f>AW263+AX263</f>
        <v>0</v>
      </c>
      <c r="BD263" s="30">
        <f>G263/(100-BE263)*100</f>
        <v>0</v>
      </c>
      <c r="BE263" s="30">
        <v>0</v>
      </c>
      <c r="BF263" s="30">
        <f>263</f>
        <v>263</v>
      </c>
      <c r="BH263" s="30">
        <f>F263*AO263</f>
        <v>0</v>
      </c>
      <c r="BI263" s="30">
        <f>F263*AP263</f>
        <v>0</v>
      </c>
      <c r="BJ263" s="30">
        <f>F263*G263</f>
        <v>0</v>
      </c>
      <c r="BK263" s="33" t="s">
        <v>173</v>
      </c>
      <c r="BL263" s="30">
        <v>18</v>
      </c>
      <c r="BW263" s="30">
        <v>21</v>
      </c>
      <c r="BX263" s="4" t="s">
        <v>573</v>
      </c>
    </row>
    <row r="264" spans="1:76" x14ac:dyDescent="0.25">
      <c r="A264" s="34"/>
      <c r="C264" s="37" t="s">
        <v>576</v>
      </c>
      <c r="D264" s="37" t="s">
        <v>50</v>
      </c>
      <c r="F264" s="38">
        <v>0.18</v>
      </c>
      <c r="K264" s="39"/>
    </row>
    <row r="265" spans="1:76" x14ac:dyDescent="0.25">
      <c r="A265" s="2" t="s">
        <v>577</v>
      </c>
      <c r="B265" s="3" t="s">
        <v>578</v>
      </c>
      <c r="C265" s="76" t="s">
        <v>579</v>
      </c>
      <c r="D265" s="71"/>
      <c r="E265" s="3" t="s">
        <v>194</v>
      </c>
      <c r="F265" s="30">
        <v>45</v>
      </c>
      <c r="G265" s="31">
        <v>0</v>
      </c>
      <c r="H265" s="30">
        <f>ROUND(F265*AO265,2)</f>
        <v>0</v>
      </c>
      <c r="I265" s="30">
        <f>ROUND(F265*AP265,2)</f>
        <v>0</v>
      </c>
      <c r="J265" s="30">
        <f>ROUND(F265*G265,2)</f>
        <v>0</v>
      </c>
      <c r="K265" s="32" t="s">
        <v>130</v>
      </c>
      <c r="Z265" s="30">
        <f>ROUND(IF(AQ265="5",BJ265,0),2)</f>
        <v>0</v>
      </c>
      <c r="AB265" s="30">
        <f>ROUND(IF(AQ265="1",BH265,0),2)</f>
        <v>0</v>
      </c>
      <c r="AC265" s="30">
        <f>ROUND(IF(AQ265="1",BI265,0),2)</f>
        <v>0</v>
      </c>
      <c r="AD265" s="30">
        <f>ROUND(IF(AQ265="7",BH265,0),2)</f>
        <v>0</v>
      </c>
      <c r="AE265" s="30">
        <f>ROUND(IF(AQ265="7",BI265,0),2)</f>
        <v>0</v>
      </c>
      <c r="AF265" s="30">
        <f>ROUND(IF(AQ265="2",BH265,0),2)</f>
        <v>0</v>
      </c>
      <c r="AG265" s="30">
        <f>ROUND(IF(AQ265="2",BI265,0),2)</f>
        <v>0</v>
      </c>
      <c r="AH265" s="30">
        <f>ROUND(IF(AQ265="0",BJ265,0),2)</f>
        <v>0</v>
      </c>
      <c r="AI265" s="10" t="s">
        <v>485</v>
      </c>
      <c r="AJ265" s="30">
        <f>IF(AN265=0,J265,0)</f>
        <v>0</v>
      </c>
      <c r="AK265" s="30">
        <f>IF(AN265=12,J265,0)</f>
        <v>0</v>
      </c>
      <c r="AL265" s="30">
        <f>IF(AN265=21,J265,0)</f>
        <v>0</v>
      </c>
      <c r="AN265" s="30">
        <v>21</v>
      </c>
      <c r="AO265" s="30">
        <f>G265*1</f>
        <v>0</v>
      </c>
      <c r="AP265" s="30">
        <f>G265*(1-1)</f>
        <v>0</v>
      </c>
      <c r="AQ265" s="33" t="s">
        <v>55</v>
      </c>
      <c r="AV265" s="30">
        <f>ROUND(AW265+AX265,2)</f>
        <v>0</v>
      </c>
      <c r="AW265" s="30">
        <f>ROUND(F265*AO265,2)</f>
        <v>0</v>
      </c>
      <c r="AX265" s="30">
        <f>ROUND(F265*AP265,2)</f>
        <v>0</v>
      </c>
      <c r="AY265" s="33" t="s">
        <v>163</v>
      </c>
      <c r="AZ265" s="33" t="s">
        <v>489</v>
      </c>
      <c r="BA265" s="10" t="s">
        <v>490</v>
      </c>
      <c r="BC265" s="30">
        <f>AW265+AX265</f>
        <v>0</v>
      </c>
      <c r="BD265" s="30">
        <f>G265/(100-BE265)*100</f>
        <v>0</v>
      </c>
      <c r="BE265" s="30">
        <v>0</v>
      </c>
      <c r="BF265" s="30">
        <f>265</f>
        <v>265</v>
      </c>
      <c r="BH265" s="30">
        <f>F265*AO265</f>
        <v>0</v>
      </c>
      <c r="BI265" s="30">
        <f>F265*AP265</f>
        <v>0</v>
      </c>
      <c r="BJ265" s="30">
        <f>F265*G265</f>
        <v>0</v>
      </c>
      <c r="BK265" s="33" t="s">
        <v>173</v>
      </c>
      <c r="BL265" s="30">
        <v>18</v>
      </c>
      <c r="BW265" s="30">
        <v>21</v>
      </c>
      <c r="BX265" s="4" t="s">
        <v>579</v>
      </c>
    </row>
    <row r="266" spans="1:76" x14ac:dyDescent="0.25">
      <c r="A266" s="34"/>
      <c r="C266" s="37" t="s">
        <v>580</v>
      </c>
      <c r="D266" s="37" t="s">
        <v>581</v>
      </c>
      <c r="F266" s="38">
        <v>9</v>
      </c>
      <c r="K266" s="39"/>
    </row>
    <row r="267" spans="1:76" x14ac:dyDescent="0.25">
      <c r="A267" s="34"/>
      <c r="C267" s="37" t="s">
        <v>582</v>
      </c>
      <c r="D267" s="37" t="s">
        <v>583</v>
      </c>
      <c r="F267" s="38">
        <v>36</v>
      </c>
      <c r="K267" s="39"/>
    </row>
    <row r="268" spans="1:76" x14ac:dyDescent="0.25">
      <c r="A268" s="2" t="s">
        <v>414</v>
      </c>
      <c r="B268" s="3" t="s">
        <v>584</v>
      </c>
      <c r="C268" s="76" t="s">
        <v>585</v>
      </c>
      <c r="D268" s="71"/>
      <c r="E268" s="3" t="s">
        <v>194</v>
      </c>
      <c r="F268" s="30">
        <v>0.9</v>
      </c>
      <c r="G268" s="31">
        <v>0</v>
      </c>
      <c r="H268" s="30">
        <f>ROUND(F268*AO268,2)</f>
        <v>0</v>
      </c>
      <c r="I268" s="30">
        <f>ROUND(F268*AP268,2)</f>
        <v>0</v>
      </c>
      <c r="J268" s="30">
        <f>ROUND(F268*G268,2)</f>
        <v>0</v>
      </c>
      <c r="K268" s="32" t="s">
        <v>50</v>
      </c>
      <c r="Z268" s="30">
        <f>ROUND(IF(AQ268="5",BJ268,0),2)</f>
        <v>0</v>
      </c>
      <c r="AB268" s="30">
        <f>ROUND(IF(AQ268="1",BH268,0),2)</f>
        <v>0</v>
      </c>
      <c r="AC268" s="30">
        <f>ROUND(IF(AQ268="1",BI268,0),2)</f>
        <v>0</v>
      </c>
      <c r="AD268" s="30">
        <f>ROUND(IF(AQ268="7",BH268,0),2)</f>
        <v>0</v>
      </c>
      <c r="AE268" s="30">
        <f>ROUND(IF(AQ268="7",BI268,0),2)</f>
        <v>0</v>
      </c>
      <c r="AF268" s="30">
        <f>ROUND(IF(AQ268="2",BH268,0),2)</f>
        <v>0</v>
      </c>
      <c r="AG268" s="30">
        <f>ROUND(IF(AQ268="2",BI268,0),2)</f>
        <v>0</v>
      </c>
      <c r="AH268" s="30">
        <f>ROUND(IF(AQ268="0",BJ268,0),2)</f>
        <v>0</v>
      </c>
      <c r="AI268" s="10" t="s">
        <v>485</v>
      </c>
      <c r="AJ268" s="30">
        <f>IF(AN268=0,J268,0)</f>
        <v>0</v>
      </c>
      <c r="AK268" s="30">
        <f>IF(AN268=12,J268,0)</f>
        <v>0</v>
      </c>
      <c r="AL268" s="30">
        <f>IF(AN268=21,J268,0)</f>
        <v>0</v>
      </c>
      <c r="AN268" s="30">
        <v>21</v>
      </c>
      <c r="AO268" s="30">
        <f>G268*1</f>
        <v>0</v>
      </c>
      <c r="AP268" s="30">
        <f>G268*(1-1)</f>
        <v>0</v>
      </c>
      <c r="AQ268" s="33" t="s">
        <v>55</v>
      </c>
      <c r="AV268" s="30">
        <f>ROUND(AW268+AX268,2)</f>
        <v>0</v>
      </c>
      <c r="AW268" s="30">
        <f>ROUND(F268*AO268,2)</f>
        <v>0</v>
      </c>
      <c r="AX268" s="30">
        <f>ROUND(F268*AP268,2)</f>
        <v>0</v>
      </c>
      <c r="AY268" s="33" t="s">
        <v>163</v>
      </c>
      <c r="AZ268" s="33" t="s">
        <v>489</v>
      </c>
      <c r="BA268" s="10" t="s">
        <v>490</v>
      </c>
      <c r="BC268" s="30">
        <f>AW268+AX268</f>
        <v>0</v>
      </c>
      <c r="BD268" s="30">
        <f>G268/(100-BE268)*100</f>
        <v>0</v>
      </c>
      <c r="BE268" s="30">
        <v>0</v>
      </c>
      <c r="BF268" s="30">
        <f>268</f>
        <v>268</v>
      </c>
      <c r="BH268" s="30">
        <f>F268*AO268</f>
        <v>0</v>
      </c>
      <c r="BI268" s="30">
        <f>F268*AP268</f>
        <v>0</v>
      </c>
      <c r="BJ268" s="30">
        <f>F268*G268</f>
        <v>0</v>
      </c>
      <c r="BK268" s="33" t="s">
        <v>173</v>
      </c>
      <c r="BL268" s="30">
        <v>18</v>
      </c>
      <c r="BW268" s="30">
        <v>21</v>
      </c>
      <c r="BX268" s="4" t="s">
        <v>585</v>
      </c>
    </row>
    <row r="269" spans="1:76" x14ac:dyDescent="0.25">
      <c r="A269" s="34"/>
      <c r="C269" s="37" t="s">
        <v>586</v>
      </c>
      <c r="D269" s="37" t="s">
        <v>50</v>
      </c>
      <c r="F269" s="38">
        <v>0.9</v>
      </c>
      <c r="K269" s="39"/>
    </row>
    <row r="270" spans="1:76" x14ac:dyDescent="0.25">
      <c r="A270" s="2" t="s">
        <v>587</v>
      </c>
      <c r="B270" s="3" t="s">
        <v>588</v>
      </c>
      <c r="C270" s="76" t="s">
        <v>589</v>
      </c>
      <c r="D270" s="71"/>
      <c r="E270" s="3" t="s">
        <v>129</v>
      </c>
      <c r="F270" s="30">
        <v>0.24</v>
      </c>
      <c r="G270" s="31">
        <v>0</v>
      </c>
      <c r="H270" s="30">
        <f>ROUND(F270*AO270,2)</f>
        <v>0</v>
      </c>
      <c r="I270" s="30">
        <f>ROUND(F270*AP270,2)</f>
        <v>0</v>
      </c>
      <c r="J270" s="30">
        <f>ROUND(F270*G270,2)</f>
        <v>0</v>
      </c>
      <c r="K270" s="32" t="s">
        <v>130</v>
      </c>
      <c r="Z270" s="30">
        <f>ROUND(IF(AQ270="5",BJ270,0),2)</f>
        <v>0</v>
      </c>
      <c r="AB270" s="30">
        <f>ROUND(IF(AQ270="1",BH270,0),2)</f>
        <v>0</v>
      </c>
      <c r="AC270" s="30">
        <f>ROUND(IF(AQ270="1",BI270,0),2)</f>
        <v>0</v>
      </c>
      <c r="AD270" s="30">
        <f>ROUND(IF(AQ270="7",BH270,0),2)</f>
        <v>0</v>
      </c>
      <c r="AE270" s="30">
        <f>ROUND(IF(AQ270="7",BI270,0),2)</f>
        <v>0</v>
      </c>
      <c r="AF270" s="30">
        <f>ROUND(IF(AQ270="2",BH270,0),2)</f>
        <v>0</v>
      </c>
      <c r="AG270" s="30">
        <f>ROUND(IF(AQ270="2",BI270,0),2)</f>
        <v>0</v>
      </c>
      <c r="AH270" s="30">
        <f>ROUND(IF(AQ270="0",BJ270,0),2)</f>
        <v>0</v>
      </c>
      <c r="AI270" s="10" t="s">
        <v>485</v>
      </c>
      <c r="AJ270" s="30">
        <f>IF(AN270=0,J270,0)</f>
        <v>0</v>
      </c>
      <c r="AK270" s="30">
        <f>IF(AN270=12,J270,0)</f>
        <v>0</v>
      </c>
      <c r="AL270" s="30">
        <f>IF(AN270=21,J270,0)</f>
        <v>0</v>
      </c>
      <c r="AN270" s="30">
        <v>21</v>
      </c>
      <c r="AO270" s="30">
        <f>G270*1</f>
        <v>0</v>
      </c>
      <c r="AP270" s="30">
        <f>G270*(1-1)</f>
        <v>0</v>
      </c>
      <c r="AQ270" s="33" t="s">
        <v>55</v>
      </c>
      <c r="AV270" s="30">
        <f>ROUND(AW270+AX270,2)</f>
        <v>0</v>
      </c>
      <c r="AW270" s="30">
        <f>ROUND(F270*AO270,2)</f>
        <v>0</v>
      </c>
      <c r="AX270" s="30">
        <f>ROUND(F270*AP270,2)</f>
        <v>0</v>
      </c>
      <c r="AY270" s="33" t="s">
        <v>163</v>
      </c>
      <c r="AZ270" s="33" t="s">
        <v>489</v>
      </c>
      <c r="BA270" s="10" t="s">
        <v>490</v>
      </c>
      <c r="BC270" s="30">
        <f>AW270+AX270</f>
        <v>0</v>
      </c>
      <c r="BD270" s="30">
        <f>G270/(100-BE270)*100</f>
        <v>0</v>
      </c>
      <c r="BE270" s="30">
        <v>0</v>
      </c>
      <c r="BF270" s="30">
        <f>270</f>
        <v>270</v>
      </c>
      <c r="BH270" s="30">
        <f>F270*AO270</f>
        <v>0</v>
      </c>
      <c r="BI270" s="30">
        <f>F270*AP270</f>
        <v>0</v>
      </c>
      <c r="BJ270" s="30">
        <f>F270*G270</f>
        <v>0</v>
      </c>
      <c r="BK270" s="33" t="s">
        <v>173</v>
      </c>
      <c r="BL270" s="30">
        <v>18</v>
      </c>
      <c r="BW270" s="30">
        <v>21</v>
      </c>
      <c r="BX270" s="4" t="s">
        <v>589</v>
      </c>
    </row>
    <row r="271" spans="1:76" x14ac:dyDescent="0.25">
      <c r="A271" s="34"/>
      <c r="C271" s="37" t="s">
        <v>590</v>
      </c>
      <c r="D271" s="37" t="s">
        <v>591</v>
      </c>
      <c r="F271" s="38">
        <v>0.24</v>
      </c>
      <c r="K271" s="39"/>
    </row>
    <row r="272" spans="1:76" x14ac:dyDescent="0.25">
      <c r="A272" s="2" t="s">
        <v>452</v>
      </c>
      <c r="B272" s="3" t="s">
        <v>592</v>
      </c>
      <c r="C272" s="76" t="s">
        <v>593</v>
      </c>
      <c r="D272" s="71"/>
      <c r="E272" s="3" t="s">
        <v>172</v>
      </c>
      <c r="F272" s="30">
        <v>16.670000000000002</v>
      </c>
      <c r="G272" s="31">
        <v>0</v>
      </c>
      <c r="H272" s="30">
        <f>ROUND(F272*AO272,2)</f>
        <v>0</v>
      </c>
      <c r="I272" s="30">
        <f>ROUND(F272*AP272,2)</f>
        <v>0</v>
      </c>
      <c r="J272" s="30">
        <f>ROUND(F272*G272,2)</f>
        <v>0</v>
      </c>
      <c r="K272" s="32" t="s">
        <v>130</v>
      </c>
      <c r="Z272" s="30">
        <f>ROUND(IF(AQ272="5",BJ272,0),2)</f>
        <v>0</v>
      </c>
      <c r="AB272" s="30">
        <f>ROUND(IF(AQ272="1",BH272,0),2)</f>
        <v>0</v>
      </c>
      <c r="AC272" s="30">
        <f>ROUND(IF(AQ272="1",BI272,0),2)</f>
        <v>0</v>
      </c>
      <c r="AD272" s="30">
        <f>ROUND(IF(AQ272="7",BH272,0),2)</f>
        <v>0</v>
      </c>
      <c r="AE272" s="30">
        <f>ROUND(IF(AQ272="7",BI272,0),2)</f>
        <v>0</v>
      </c>
      <c r="AF272" s="30">
        <f>ROUND(IF(AQ272="2",BH272,0),2)</f>
        <v>0</v>
      </c>
      <c r="AG272" s="30">
        <f>ROUND(IF(AQ272="2",BI272,0),2)</f>
        <v>0</v>
      </c>
      <c r="AH272" s="30">
        <f>ROUND(IF(AQ272="0",BJ272,0),2)</f>
        <v>0</v>
      </c>
      <c r="AI272" s="10" t="s">
        <v>485</v>
      </c>
      <c r="AJ272" s="30">
        <f>IF(AN272=0,J272,0)</f>
        <v>0</v>
      </c>
      <c r="AK272" s="30">
        <f>IF(AN272=12,J272,0)</f>
        <v>0</v>
      </c>
      <c r="AL272" s="30">
        <f>IF(AN272=21,J272,0)</f>
        <v>0</v>
      </c>
      <c r="AN272" s="30">
        <v>21</v>
      </c>
      <c r="AO272" s="30">
        <f>G272*1</f>
        <v>0</v>
      </c>
      <c r="AP272" s="30">
        <f>G272*(1-1)</f>
        <v>0</v>
      </c>
      <c r="AQ272" s="33" t="s">
        <v>55</v>
      </c>
      <c r="AV272" s="30">
        <f>ROUND(AW272+AX272,2)</f>
        <v>0</v>
      </c>
      <c r="AW272" s="30">
        <f>ROUND(F272*AO272,2)</f>
        <v>0</v>
      </c>
      <c r="AX272" s="30">
        <f>ROUND(F272*AP272,2)</f>
        <v>0</v>
      </c>
      <c r="AY272" s="33" t="s">
        <v>163</v>
      </c>
      <c r="AZ272" s="33" t="s">
        <v>489</v>
      </c>
      <c r="BA272" s="10" t="s">
        <v>490</v>
      </c>
      <c r="BC272" s="30">
        <f>AW272+AX272</f>
        <v>0</v>
      </c>
      <c r="BD272" s="30">
        <f>G272/(100-BE272)*100</f>
        <v>0</v>
      </c>
      <c r="BE272" s="30">
        <v>0</v>
      </c>
      <c r="BF272" s="30">
        <f>272</f>
        <v>272</v>
      </c>
      <c r="BH272" s="30">
        <f>F272*AO272</f>
        <v>0</v>
      </c>
      <c r="BI272" s="30">
        <f>F272*AP272</f>
        <v>0</v>
      </c>
      <c r="BJ272" s="30">
        <f>F272*G272</f>
        <v>0</v>
      </c>
      <c r="BK272" s="33" t="s">
        <v>173</v>
      </c>
      <c r="BL272" s="30">
        <v>18</v>
      </c>
      <c r="BW272" s="30">
        <v>21</v>
      </c>
      <c r="BX272" s="4" t="s">
        <v>593</v>
      </c>
    </row>
    <row r="273" spans="1:76" x14ac:dyDescent="0.25">
      <c r="A273" s="34"/>
      <c r="C273" s="37" t="s">
        <v>594</v>
      </c>
      <c r="D273" s="37" t="s">
        <v>50</v>
      </c>
      <c r="F273" s="38">
        <v>15.88</v>
      </c>
      <c r="K273" s="39"/>
    </row>
    <row r="274" spans="1:76" x14ac:dyDescent="0.25">
      <c r="A274" s="34"/>
      <c r="C274" s="37" t="s">
        <v>595</v>
      </c>
      <c r="D274" s="37" t="s">
        <v>50</v>
      </c>
      <c r="F274" s="38">
        <v>0.79</v>
      </c>
      <c r="K274" s="39"/>
    </row>
    <row r="275" spans="1:76" x14ac:dyDescent="0.25">
      <c r="A275" s="2" t="s">
        <v>596</v>
      </c>
      <c r="B275" s="3" t="s">
        <v>597</v>
      </c>
      <c r="C275" s="76" t="s">
        <v>598</v>
      </c>
      <c r="D275" s="71"/>
      <c r="E275" s="3" t="s">
        <v>172</v>
      </c>
      <c r="F275" s="30">
        <v>6.61</v>
      </c>
      <c r="G275" s="31">
        <v>0</v>
      </c>
      <c r="H275" s="30">
        <f>ROUND(F275*AO275,2)</f>
        <v>0</v>
      </c>
      <c r="I275" s="30">
        <f>ROUND(F275*AP275,2)</f>
        <v>0</v>
      </c>
      <c r="J275" s="30">
        <f>ROUND(F275*G275,2)</f>
        <v>0</v>
      </c>
      <c r="K275" s="32" t="s">
        <v>79</v>
      </c>
      <c r="Z275" s="30">
        <f>ROUND(IF(AQ275="5",BJ275,0),2)</f>
        <v>0</v>
      </c>
      <c r="AB275" s="30">
        <f>ROUND(IF(AQ275="1",BH275,0),2)</f>
        <v>0</v>
      </c>
      <c r="AC275" s="30">
        <f>ROUND(IF(AQ275="1",BI275,0),2)</f>
        <v>0</v>
      </c>
      <c r="AD275" s="30">
        <f>ROUND(IF(AQ275="7",BH275,0),2)</f>
        <v>0</v>
      </c>
      <c r="AE275" s="30">
        <f>ROUND(IF(AQ275="7",BI275,0),2)</f>
        <v>0</v>
      </c>
      <c r="AF275" s="30">
        <f>ROUND(IF(AQ275="2",BH275,0),2)</f>
        <v>0</v>
      </c>
      <c r="AG275" s="30">
        <f>ROUND(IF(AQ275="2",BI275,0),2)</f>
        <v>0</v>
      </c>
      <c r="AH275" s="30">
        <f>ROUND(IF(AQ275="0",BJ275,0),2)</f>
        <v>0</v>
      </c>
      <c r="AI275" s="10" t="s">
        <v>485</v>
      </c>
      <c r="AJ275" s="30">
        <f>IF(AN275=0,J275,0)</f>
        <v>0</v>
      </c>
      <c r="AK275" s="30">
        <f>IF(AN275=12,J275,0)</f>
        <v>0</v>
      </c>
      <c r="AL275" s="30">
        <f>IF(AN275=21,J275,0)</f>
        <v>0</v>
      </c>
      <c r="AN275" s="30">
        <v>21</v>
      </c>
      <c r="AO275" s="30">
        <f>G275*0</f>
        <v>0</v>
      </c>
      <c r="AP275" s="30">
        <f>G275*(1-0)</f>
        <v>0</v>
      </c>
      <c r="AQ275" s="33" t="s">
        <v>55</v>
      </c>
      <c r="AV275" s="30">
        <f>ROUND(AW275+AX275,2)</f>
        <v>0</v>
      </c>
      <c r="AW275" s="30">
        <f>ROUND(F275*AO275,2)</f>
        <v>0</v>
      </c>
      <c r="AX275" s="30">
        <f>ROUND(F275*AP275,2)</f>
        <v>0</v>
      </c>
      <c r="AY275" s="33" t="s">
        <v>163</v>
      </c>
      <c r="AZ275" s="33" t="s">
        <v>489</v>
      </c>
      <c r="BA275" s="10" t="s">
        <v>490</v>
      </c>
      <c r="BC275" s="30">
        <f>AW275+AX275</f>
        <v>0</v>
      </c>
      <c r="BD275" s="30">
        <f>G275/(100-BE275)*100</f>
        <v>0</v>
      </c>
      <c r="BE275" s="30">
        <v>0</v>
      </c>
      <c r="BF275" s="30">
        <f>275</f>
        <v>275</v>
      </c>
      <c r="BH275" s="30">
        <f>F275*AO275</f>
        <v>0</v>
      </c>
      <c r="BI275" s="30">
        <f>F275*AP275</f>
        <v>0</v>
      </c>
      <c r="BJ275" s="30">
        <f>F275*G275</f>
        <v>0</v>
      </c>
      <c r="BK275" s="33" t="s">
        <v>62</v>
      </c>
      <c r="BL275" s="30">
        <v>18</v>
      </c>
      <c r="BW275" s="30">
        <v>21</v>
      </c>
      <c r="BX275" s="4" t="s">
        <v>598</v>
      </c>
    </row>
    <row r="276" spans="1:76" x14ac:dyDescent="0.25">
      <c r="A276" s="34"/>
      <c r="C276" s="37" t="s">
        <v>599</v>
      </c>
      <c r="D276" s="37" t="s">
        <v>600</v>
      </c>
      <c r="F276" s="38">
        <v>2.52</v>
      </c>
      <c r="K276" s="39"/>
    </row>
    <row r="277" spans="1:76" x14ac:dyDescent="0.25">
      <c r="A277" s="34"/>
      <c r="C277" s="37" t="s">
        <v>601</v>
      </c>
      <c r="D277" s="37" t="s">
        <v>602</v>
      </c>
      <c r="F277" s="38">
        <v>4.09</v>
      </c>
      <c r="K277" s="39"/>
    </row>
    <row r="278" spans="1:76" x14ac:dyDescent="0.25">
      <c r="A278" s="2" t="s">
        <v>460</v>
      </c>
      <c r="B278" s="3" t="s">
        <v>603</v>
      </c>
      <c r="C278" s="76" t="s">
        <v>604</v>
      </c>
      <c r="D278" s="71"/>
      <c r="E278" s="3" t="s">
        <v>172</v>
      </c>
      <c r="F278" s="30">
        <v>7</v>
      </c>
      <c r="G278" s="31">
        <v>0</v>
      </c>
      <c r="H278" s="30">
        <f>ROUND(F278*AO278,2)</f>
        <v>0</v>
      </c>
      <c r="I278" s="30">
        <f>ROUND(F278*AP278,2)</f>
        <v>0</v>
      </c>
      <c r="J278" s="30">
        <f>ROUND(F278*G278,2)</f>
        <v>0</v>
      </c>
      <c r="K278" s="32" t="s">
        <v>130</v>
      </c>
      <c r="Z278" s="30">
        <f>ROUND(IF(AQ278="5",BJ278,0),2)</f>
        <v>0</v>
      </c>
      <c r="AB278" s="30">
        <f>ROUND(IF(AQ278="1",BH278,0),2)</f>
        <v>0</v>
      </c>
      <c r="AC278" s="30">
        <f>ROUND(IF(AQ278="1",BI278,0),2)</f>
        <v>0</v>
      </c>
      <c r="AD278" s="30">
        <f>ROUND(IF(AQ278="7",BH278,0),2)</f>
        <v>0</v>
      </c>
      <c r="AE278" s="30">
        <f>ROUND(IF(AQ278="7",BI278,0),2)</f>
        <v>0</v>
      </c>
      <c r="AF278" s="30">
        <f>ROUND(IF(AQ278="2",BH278,0),2)</f>
        <v>0</v>
      </c>
      <c r="AG278" s="30">
        <f>ROUND(IF(AQ278="2",BI278,0),2)</f>
        <v>0</v>
      </c>
      <c r="AH278" s="30">
        <f>ROUND(IF(AQ278="0",BJ278,0),2)</f>
        <v>0</v>
      </c>
      <c r="AI278" s="10" t="s">
        <v>485</v>
      </c>
      <c r="AJ278" s="30">
        <f>IF(AN278=0,J278,0)</f>
        <v>0</v>
      </c>
      <c r="AK278" s="30">
        <f>IF(AN278=12,J278,0)</f>
        <v>0</v>
      </c>
      <c r="AL278" s="30">
        <f>IF(AN278=21,J278,0)</f>
        <v>0</v>
      </c>
      <c r="AN278" s="30">
        <v>21</v>
      </c>
      <c r="AO278" s="30">
        <f>G278*1</f>
        <v>0</v>
      </c>
      <c r="AP278" s="30">
        <f>G278*(1-1)</f>
        <v>0</v>
      </c>
      <c r="AQ278" s="33" t="s">
        <v>55</v>
      </c>
      <c r="AV278" s="30">
        <f>ROUND(AW278+AX278,2)</f>
        <v>0</v>
      </c>
      <c r="AW278" s="30">
        <f>ROUND(F278*AO278,2)</f>
        <v>0</v>
      </c>
      <c r="AX278" s="30">
        <f>ROUND(F278*AP278,2)</f>
        <v>0</v>
      </c>
      <c r="AY278" s="33" t="s">
        <v>163</v>
      </c>
      <c r="AZ278" s="33" t="s">
        <v>489</v>
      </c>
      <c r="BA278" s="10" t="s">
        <v>490</v>
      </c>
      <c r="BC278" s="30">
        <f>AW278+AX278</f>
        <v>0</v>
      </c>
      <c r="BD278" s="30">
        <f>G278/(100-BE278)*100</f>
        <v>0</v>
      </c>
      <c r="BE278" s="30">
        <v>0</v>
      </c>
      <c r="BF278" s="30">
        <f>278</f>
        <v>278</v>
      </c>
      <c r="BH278" s="30">
        <f>F278*AO278</f>
        <v>0</v>
      </c>
      <c r="BI278" s="30">
        <f>F278*AP278</f>
        <v>0</v>
      </c>
      <c r="BJ278" s="30">
        <f>F278*G278</f>
        <v>0</v>
      </c>
      <c r="BK278" s="33" t="s">
        <v>173</v>
      </c>
      <c r="BL278" s="30">
        <v>18</v>
      </c>
      <c r="BW278" s="30">
        <v>21</v>
      </c>
      <c r="BX278" s="4" t="s">
        <v>604</v>
      </c>
    </row>
    <row r="279" spans="1:76" x14ac:dyDescent="0.25">
      <c r="A279" s="2" t="s">
        <v>164</v>
      </c>
      <c r="B279" s="3" t="s">
        <v>605</v>
      </c>
      <c r="C279" s="76" t="s">
        <v>606</v>
      </c>
      <c r="D279" s="71"/>
      <c r="E279" s="3" t="s">
        <v>78</v>
      </c>
      <c r="F279" s="30">
        <v>348</v>
      </c>
      <c r="G279" s="31">
        <v>0</v>
      </c>
      <c r="H279" s="30">
        <f>ROUND(F279*AO279,2)</f>
        <v>0</v>
      </c>
      <c r="I279" s="30">
        <f>ROUND(F279*AP279,2)</f>
        <v>0</v>
      </c>
      <c r="J279" s="30">
        <f>ROUND(F279*G279,2)</f>
        <v>0</v>
      </c>
      <c r="K279" s="32" t="s">
        <v>79</v>
      </c>
      <c r="Z279" s="30">
        <f>ROUND(IF(AQ279="5",BJ279,0),2)</f>
        <v>0</v>
      </c>
      <c r="AB279" s="30">
        <f>ROUND(IF(AQ279="1",BH279,0),2)</f>
        <v>0</v>
      </c>
      <c r="AC279" s="30">
        <f>ROUND(IF(AQ279="1",BI279,0),2)</f>
        <v>0</v>
      </c>
      <c r="AD279" s="30">
        <f>ROUND(IF(AQ279="7",BH279,0),2)</f>
        <v>0</v>
      </c>
      <c r="AE279" s="30">
        <f>ROUND(IF(AQ279="7",BI279,0),2)</f>
        <v>0</v>
      </c>
      <c r="AF279" s="30">
        <f>ROUND(IF(AQ279="2",BH279,0),2)</f>
        <v>0</v>
      </c>
      <c r="AG279" s="30">
        <f>ROUND(IF(AQ279="2",BI279,0),2)</f>
        <v>0</v>
      </c>
      <c r="AH279" s="30">
        <f>ROUND(IF(AQ279="0",BJ279,0),2)</f>
        <v>0</v>
      </c>
      <c r="AI279" s="10" t="s">
        <v>485</v>
      </c>
      <c r="AJ279" s="30">
        <f>IF(AN279=0,J279,0)</f>
        <v>0</v>
      </c>
      <c r="AK279" s="30">
        <f>IF(AN279=12,J279,0)</f>
        <v>0</v>
      </c>
      <c r="AL279" s="30">
        <f>IF(AN279=21,J279,0)</f>
        <v>0</v>
      </c>
      <c r="AN279" s="30">
        <v>21</v>
      </c>
      <c r="AO279" s="30">
        <f>G279*0</f>
        <v>0</v>
      </c>
      <c r="AP279" s="30">
        <f>G279*(1-0)</f>
        <v>0</v>
      </c>
      <c r="AQ279" s="33" t="s">
        <v>55</v>
      </c>
      <c r="AV279" s="30">
        <f>ROUND(AW279+AX279,2)</f>
        <v>0</v>
      </c>
      <c r="AW279" s="30">
        <f>ROUND(F279*AO279,2)</f>
        <v>0</v>
      </c>
      <c r="AX279" s="30">
        <f>ROUND(F279*AP279,2)</f>
        <v>0</v>
      </c>
      <c r="AY279" s="33" t="s">
        <v>163</v>
      </c>
      <c r="AZ279" s="33" t="s">
        <v>489</v>
      </c>
      <c r="BA279" s="10" t="s">
        <v>490</v>
      </c>
      <c r="BC279" s="30">
        <f>AW279+AX279</f>
        <v>0</v>
      </c>
      <c r="BD279" s="30">
        <f>G279/(100-BE279)*100</f>
        <v>0</v>
      </c>
      <c r="BE279" s="30">
        <v>0</v>
      </c>
      <c r="BF279" s="30">
        <f>279</f>
        <v>279</v>
      </c>
      <c r="BH279" s="30">
        <f>F279*AO279</f>
        <v>0</v>
      </c>
      <c r="BI279" s="30">
        <f>F279*AP279</f>
        <v>0</v>
      </c>
      <c r="BJ279" s="30">
        <f>F279*G279</f>
        <v>0</v>
      </c>
      <c r="BK279" s="33" t="s">
        <v>62</v>
      </c>
      <c r="BL279" s="30">
        <v>18</v>
      </c>
      <c r="BW279" s="30">
        <v>21</v>
      </c>
      <c r="BX279" s="4" t="s">
        <v>606</v>
      </c>
    </row>
    <row r="280" spans="1:76" x14ac:dyDescent="0.25">
      <c r="A280" s="34"/>
      <c r="C280" s="37" t="s">
        <v>607</v>
      </c>
      <c r="D280" s="37" t="s">
        <v>602</v>
      </c>
      <c r="F280" s="38">
        <v>226</v>
      </c>
      <c r="K280" s="39"/>
    </row>
    <row r="281" spans="1:76" x14ac:dyDescent="0.25">
      <c r="A281" s="34"/>
      <c r="C281" s="37" t="s">
        <v>166</v>
      </c>
      <c r="D281" s="37" t="s">
        <v>608</v>
      </c>
      <c r="F281" s="38">
        <v>122</v>
      </c>
      <c r="K281" s="39"/>
    </row>
    <row r="282" spans="1:76" x14ac:dyDescent="0.25">
      <c r="A282" s="2" t="s">
        <v>220</v>
      </c>
      <c r="B282" s="3" t="s">
        <v>609</v>
      </c>
      <c r="C282" s="76" t="s">
        <v>610</v>
      </c>
      <c r="D282" s="71"/>
      <c r="E282" s="3" t="s">
        <v>78</v>
      </c>
      <c r="F282" s="30">
        <v>348</v>
      </c>
      <c r="G282" s="31">
        <v>0</v>
      </c>
      <c r="H282" s="30">
        <f>ROUND(F282*AO282,2)</f>
        <v>0</v>
      </c>
      <c r="I282" s="30">
        <f>ROUND(F282*AP282,2)</f>
        <v>0</v>
      </c>
      <c r="J282" s="30">
        <f>ROUND(F282*G282,2)</f>
        <v>0</v>
      </c>
      <c r="K282" s="32" t="s">
        <v>79</v>
      </c>
      <c r="Z282" s="30">
        <f>ROUND(IF(AQ282="5",BJ282,0),2)</f>
        <v>0</v>
      </c>
      <c r="AB282" s="30">
        <f>ROUND(IF(AQ282="1",BH282,0),2)</f>
        <v>0</v>
      </c>
      <c r="AC282" s="30">
        <f>ROUND(IF(AQ282="1",BI282,0),2)</f>
        <v>0</v>
      </c>
      <c r="AD282" s="30">
        <f>ROUND(IF(AQ282="7",BH282,0),2)</f>
        <v>0</v>
      </c>
      <c r="AE282" s="30">
        <f>ROUND(IF(AQ282="7",BI282,0),2)</f>
        <v>0</v>
      </c>
      <c r="AF282" s="30">
        <f>ROUND(IF(AQ282="2",BH282,0),2)</f>
        <v>0</v>
      </c>
      <c r="AG282" s="30">
        <f>ROUND(IF(AQ282="2",BI282,0),2)</f>
        <v>0</v>
      </c>
      <c r="AH282" s="30">
        <f>ROUND(IF(AQ282="0",BJ282,0),2)</f>
        <v>0</v>
      </c>
      <c r="AI282" s="10" t="s">
        <v>485</v>
      </c>
      <c r="AJ282" s="30">
        <f>IF(AN282=0,J282,0)</f>
        <v>0</v>
      </c>
      <c r="AK282" s="30">
        <f>IF(AN282=12,J282,0)</f>
        <v>0</v>
      </c>
      <c r="AL282" s="30">
        <f>IF(AN282=21,J282,0)</f>
        <v>0</v>
      </c>
      <c r="AN282" s="30">
        <v>21</v>
      </c>
      <c r="AO282" s="30">
        <f>G282*0</f>
        <v>0</v>
      </c>
      <c r="AP282" s="30">
        <f>G282*(1-0)</f>
        <v>0</v>
      </c>
      <c r="AQ282" s="33" t="s">
        <v>55</v>
      </c>
      <c r="AV282" s="30">
        <f>ROUND(AW282+AX282,2)</f>
        <v>0</v>
      </c>
      <c r="AW282" s="30">
        <f>ROUND(F282*AO282,2)</f>
        <v>0</v>
      </c>
      <c r="AX282" s="30">
        <f>ROUND(F282*AP282,2)</f>
        <v>0</v>
      </c>
      <c r="AY282" s="33" t="s">
        <v>163</v>
      </c>
      <c r="AZ282" s="33" t="s">
        <v>489</v>
      </c>
      <c r="BA282" s="10" t="s">
        <v>490</v>
      </c>
      <c r="BC282" s="30">
        <f>AW282+AX282</f>
        <v>0</v>
      </c>
      <c r="BD282" s="30">
        <f>G282/(100-BE282)*100</f>
        <v>0</v>
      </c>
      <c r="BE282" s="30">
        <v>0</v>
      </c>
      <c r="BF282" s="30">
        <f>282</f>
        <v>282</v>
      </c>
      <c r="BH282" s="30">
        <f>F282*AO282</f>
        <v>0</v>
      </c>
      <c r="BI282" s="30">
        <f>F282*AP282</f>
        <v>0</v>
      </c>
      <c r="BJ282" s="30">
        <f>F282*G282</f>
        <v>0</v>
      </c>
      <c r="BK282" s="33" t="s">
        <v>62</v>
      </c>
      <c r="BL282" s="30">
        <v>18</v>
      </c>
      <c r="BW282" s="30">
        <v>21</v>
      </c>
      <c r="BX282" s="4" t="s">
        <v>610</v>
      </c>
    </row>
    <row r="283" spans="1:76" x14ac:dyDescent="0.25">
      <c r="A283" s="34"/>
      <c r="C283" s="37" t="s">
        <v>607</v>
      </c>
      <c r="D283" s="37" t="s">
        <v>602</v>
      </c>
      <c r="F283" s="38">
        <v>226</v>
      </c>
      <c r="K283" s="39"/>
    </row>
    <row r="284" spans="1:76" x14ac:dyDescent="0.25">
      <c r="A284" s="34"/>
      <c r="C284" s="37" t="s">
        <v>166</v>
      </c>
      <c r="D284" s="37" t="s">
        <v>608</v>
      </c>
      <c r="F284" s="38">
        <v>122</v>
      </c>
      <c r="K284" s="39"/>
    </row>
    <row r="285" spans="1:76" x14ac:dyDescent="0.25">
      <c r="A285" s="2" t="s">
        <v>611</v>
      </c>
      <c r="B285" s="3" t="s">
        <v>612</v>
      </c>
      <c r="C285" s="76" t="s">
        <v>613</v>
      </c>
      <c r="D285" s="71"/>
      <c r="E285" s="3" t="s">
        <v>78</v>
      </c>
      <c r="F285" s="30">
        <v>184</v>
      </c>
      <c r="G285" s="31">
        <v>0</v>
      </c>
      <c r="H285" s="30">
        <f>ROUND(F285*AO285,2)</f>
        <v>0</v>
      </c>
      <c r="I285" s="30">
        <f>ROUND(F285*AP285,2)</f>
        <v>0</v>
      </c>
      <c r="J285" s="30">
        <f>ROUND(F285*G285,2)</f>
        <v>0</v>
      </c>
      <c r="K285" s="32" t="s">
        <v>79</v>
      </c>
      <c r="Z285" s="30">
        <f>ROUND(IF(AQ285="5",BJ285,0),2)</f>
        <v>0</v>
      </c>
      <c r="AB285" s="30">
        <f>ROUND(IF(AQ285="1",BH285,0),2)</f>
        <v>0</v>
      </c>
      <c r="AC285" s="30">
        <f>ROUND(IF(AQ285="1",BI285,0),2)</f>
        <v>0</v>
      </c>
      <c r="AD285" s="30">
        <f>ROUND(IF(AQ285="7",BH285,0),2)</f>
        <v>0</v>
      </c>
      <c r="AE285" s="30">
        <f>ROUND(IF(AQ285="7",BI285,0),2)</f>
        <v>0</v>
      </c>
      <c r="AF285" s="30">
        <f>ROUND(IF(AQ285="2",BH285,0),2)</f>
        <v>0</v>
      </c>
      <c r="AG285" s="30">
        <f>ROUND(IF(AQ285="2",BI285,0),2)</f>
        <v>0</v>
      </c>
      <c r="AH285" s="30">
        <f>ROUND(IF(AQ285="0",BJ285,0),2)</f>
        <v>0</v>
      </c>
      <c r="AI285" s="10" t="s">
        <v>485</v>
      </c>
      <c r="AJ285" s="30">
        <f>IF(AN285=0,J285,0)</f>
        <v>0</v>
      </c>
      <c r="AK285" s="30">
        <f>IF(AN285=12,J285,0)</f>
        <v>0</v>
      </c>
      <c r="AL285" s="30">
        <f>IF(AN285=21,J285,0)</f>
        <v>0</v>
      </c>
      <c r="AN285" s="30">
        <v>21</v>
      </c>
      <c r="AO285" s="30">
        <f>G285*0</f>
        <v>0</v>
      </c>
      <c r="AP285" s="30">
        <f>G285*(1-0)</f>
        <v>0</v>
      </c>
      <c r="AQ285" s="33" t="s">
        <v>55</v>
      </c>
      <c r="AV285" s="30">
        <f>ROUND(AW285+AX285,2)</f>
        <v>0</v>
      </c>
      <c r="AW285" s="30">
        <f>ROUND(F285*AO285,2)</f>
        <v>0</v>
      </c>
      <c r="AX285" s="30">
        <f>ROUND(F285*AP285,2)</f>
        <v>0</v>
      </c>
      <c r="AY285" s="33" t="s">
        <v>163</v>
      </c>
      <c r="AZ285" s="33" t="s">
        <v>489</v>
      </c>
      <c r="BA285" s="10" t="s">
        <v>490</v>
      </c>
      <c r="BC285" s="30">
        <f>AW285+AX285</f>
        <v>0</v>
      </c>
      <c r="BD285" s="30">
        <f>G285/(100-BE285)*100</f>
        <v>0</v>
      </c>
      <c r="BE285" s="30">
        <v>0</v>
      </c>
      <c r="BF285" s="30">
        <f>285</f>
        <v>285</v>
      </c>
      <c r="BH285" s="30">
        <f>F285*AO285</f>
        <v>0</v>
      </c>
      <c r="BI285" s="30">
        <f>F285*AP285</f>
        <v>0</v>
      </c>
      <c r="BJ285" s="30">
        <f>F285*G285</f>
        <v>0</v>
      </c>
      <c r="BK285" s="33" t="s">
        <v>62</v>
      </c>
      <c r="BL285" s="30">
        <v>18</v>
      </c>
      <c r="BW285" s="30">
        <v>21</v>
      </c>
      <c r="BX285" s="4" t="s">
        <v>613</v>
      </c>
    </row>
    <row r="286" spans="1:76" x14ac:dyDescent="0.25">
      <c r="A286" s="34"/>
      <c r="C286" s="37" t="s">
        <v>614</v>
      </c>
      <c r="D286" s="37" t="s">
        <v>615</v>
      </c>
      <c r="F286" s="38">
        <v>184</v>
      </c>
      <c r="K286" s="39"/>
    </row>
    <row r="287" spans="1:76" x14ac:dyDescent="0.25">
      <c r="A287" s="2" t="s">
        <v>284</v>
      </c>
      <c r="B287" s="3" t="s">
        <v>616</v>
      </c>
      <c r="C287" s="76" t="s">
        <v>617</v>
      </c>
      <c r="D287" s="71"/>
      <c r="E287" s="3" t="s">
        <v>78</v>
      </c>
      <c r="F287" s="30">
        <v>184</v>
      </c>
      <c r="G287" s="31">
        <v>0</v>
      </c>
      <c r="H287" s="30">
        <f>ROUND(F287*AO287,2)</f>
        <v>0</v>
      </c>
      <c r="I287" s="30">
        <f>ROUND(F287*AP287,2)</f>
        <v>0</v>
      </c>
      <c r="J287" s="30">
        <f>ROUND(F287*G287,2)</f>
        <v>0</v>
      </c>
      <c r="K287" s="32" t="s">
        <v>79</v>
      </c>
      <c r="Z287" s="30">
        <f>ROUND(IF(AQ287="5",BJ287,0),2)</f>
        <v>0</v>
      </c>
      <c r="AB287" s="30">
        <f>ROUND(IF(AQ287="1",BH287,0),2)</f>
        <v>0</v>
      </c>
      <c r="AC287" s="30">
        <f>ROUND(IF(AQ287="1",BI287,0),2)</f>
        <v>0</v>
      </c>
      <c r="AD287" s="30">
        <f>ROUND(IF(AQ287="7",BH287,0),2)</f>
        <v>0</v>
      </c>
      <c r="AE287" s="30">
        <f>ROUND(IF(AQ287="7",BI287,0),2)</f>
        <v>0</v>
      </c>
      <c r="AF287" s="30">
        <f>ROUND(IF(AQ287="2",BH287,0),2)</f>
        <v>0</v>
      </c>
      <c r="AG287" s="30">
        <f>ROUND(IF(AQ287="2",BI287,0),2)</f>
        <v>0</v>
      </c>
      <c r="AH287" s="30">
        <f>ROUND(IF(AQ287="0",BJ287,0),2)</f>
        <v>0</v>
      </c>
      <c r="AI287" s="10" t="s">
        <v>485</v>
      </c>
      <c r="AJ287" s="30">
        <f>IF(AN287=0,J287,0)</f>
        <v>0</v>
      </c>
      <c r="AK287" s="30">
        <f>IF(AN287=12,J287,0)</f>
        <v>0</v>
      </c>
      <c r="AL287" s="30">
        <f>IF(AN287=21,J287,0)</f>
        <v>0</v>
      </c>
      <c r="AN287" s="30">
        <v>21</v>
      </c>
      <c r="AO287" s="30">
        <f>G287*0</f>
        <v>0</v>
      </c>
      <c r="AP287" s="30">
        <f>G287*(1-0)</f>
        <v>0</v>
      </c>
      <c r="AQ287" s="33" t="s">
        <v>55</v>
      </c>
      <c r="AV287" s="30">
        <f>ROUND(AW287+AX287,2)</f>
        <v>0</v>
      </c>
      <c r="AW287" s="30">
        <f>ROUND(F287*AO287,2)</f>
        <v>0</v>
      </c>
      <c r="AX287" s="30">
        <f>ROUND(F287*AP287,2)</f>
        <v>0</v>
      </c>
      <c r="AY287" s="33" t="s">
        <v>163</v>
      </c>
      <c r="AZ287" s="33" t="s">
        <v>489</v>
      </c>
      <c r="BA287" s="10" t="s">
        <v>490</v>
      </c>
      <c r="BC287" s="30">
        <f>AW287+AX287</f>
        <v>0</v>
      </c>
      <c r="BD287" s="30">
        <f>G287/(100-BE287)*100</f>
        <v>0</v>
      </c>
      <c r="BE287" s="30">
        <v>0</v>
      </c>
      <c r="BF287" s="30">
        <f>287</f>
        <v>287</v>
      </c>
      <c r="BH287" s="30">
        <f>F287*AO287</f>
        <v>0</v>
      </c>
      <c r="BI287" s="30">
        <f>F287*AP287</f>
        <v>0</v>
      </c>
      <c r="BJ287" s="30">
        <f>F287*G287</f>
        <v>0</v>
      </c>
      <c r="BK287" s="33" t="s">
        <v>62</v>
      </c>
      <c r="BL287" s="30">
        <v>18</v>
      </c>
      <c r="BW287" s="30">
        <v>21</v>
      </c>
      <c r="BX287" s="4" t="s">
        <v>617</v>
      </c>
    </row>
    <row r="288" spans="1:76" x14ac:dyDescent="0.25">
      <c r="A288" s="34"/>
      <c r="C288" s="37" t="s">
        <v>614</v>
      </c>
      <c r="D288" s="37" t="s">
        <v>615</v>
      </c>
      <c r="F288" s="38">
        <v>184</v>
      </c>
      <c r="K288" s="39"/>
    </row>
    <row r="289" spans="1:76" x14ac:dyDescent="0.25">
      <c r="A289" s="2" t="s">
        <v>618</v>
      </c>
      <c r="B289" s="3" t="s">
        <v>619</v>
      </c>
      <c r="C289" s="76" t="s">
        <v>620</v>
      </c>
      <c r="D289" s="71"/>
      <c r="E289" s="3" t="s">
        <v>120</v>
      </c>
      <c r="F289" s="30">
        <v>3089</v>
      </c>
      <c r="G289" s="31">
        <v>0</v>
      </c>
      <c r="H289" s="30">
        <f>ROUND(F289*AO289,2)</f>
        <v>0</v>
      </c>
      <c r="I289" s="30">
        <f>ROUND(F289*AP289,2)</f>
        <v>0</v>
      </c>
      <c r="J289" s="30">
        <f>ROUND(F289*G289,2)</f>
        <v>0</v>
      </c>
      <c r="K289" s="32" t="s">
        <v>79</v>
      </c>
      <c r="Z289" s="30">
        <f>ROUND(IF(AQ289="5",BJ289,0),2)</f>
        <v>0</v>
      </c>
      <c r="AB289" s="30">
        <f>ROUND(IF(AQ289="1",BH289,0),2)</f>
        <v>0</v>
      </c>
      <c r="AC289" s="30">
        <f>ROUND(IF(AQ289="1",BI289,0),2)</f>
        <v>0</v>
      </c>
      <c r="AD289" s="30">
        <f>ROUND(IF(AQ289="7",BH289,0),2)</f>
        <v>0</v>
      </c>
      <c r="AE289" s="30">
        <f>ROUND(IF(AQ289="7",BI289,0),2)</f>
        <v>0</v>
      </c>
      <c r="AF289" s="30">
        <f>ROUND(IF(AQ289="2",BH289,0),2)</f>
        <v>0</v>
      </c>
      <c r="AG289" s="30">
        <f>ROUND(IF(AQ289="2",BI289,0),2)</f>
        <v>0</v>
      </c>
      <c r="AH289" s="30">
        <f>ROUND(IF(AQ289="0",BJ289,0),2)</f>
        <v>0</v>
      </c>
      <c r="AI289" s="10" t="s">
        <v>485</v>
      </c>
      <c r="AJ289" s="30">
        <f>IF(AN289=0,J289,0)</f>
        <v>0</v>
      </c>
      <c r="AK289" s="30">
        <f>IF(AN289=12,J289,0)</f>
        <v>0</v>
      </c>
      <c r="AL289" s="30">
        <f>IF(AN289=21,J289,0)</f>
        <v>0</v>
      </c>
      <c r="AN289" s="30">
        <v>21</v>
      </c>
      <c r="AO289" s="30">
        <f>G289*0</f>
        <v>0</v>
      </c>
      <c r="AP289" s="30">
        <f>G289*(1-0)</f>
        <v>0</v>
      </c>
      <c r="AQ289" s="33" t="s">
        <v>55</v>
      </c>
      <c r="AV289" s="30">
        <f>ROUND(AW289+AX289,2)</f>
        <v>0</v>
      </c>
      <c r="AW289" s="30">
        <f>ROUND(F289*AO289,2)</f>
        <v>0</v>
      </c>
      <c r="AX289" s="30">
        <f>ROUND(F289*AP289,2)</f>
        <v>0</v>
      </c>
      <c r="AY289" s="33" t="s">
        <v>163</v>
      </c>
      <c r="AZ289" s="33" t="s">
        <v>489</v>
      </c>
      <c r="BA289" s="10" t="s">
        <v>490</v>
      </c>
      <c r="BC289" s="30">
        <f>AW289+AX289</f>
        <v>0</v>
      </c>
      <c r="BD289" s="30">
        <f>G289/(100-BE289)*100</f>
        <v>0</v>
      </c>
      <c r="BE289" s="30">
        <v>0</v>
      </c>
      <c r="BF289" s="30">
        <f>289</f>
        <v>289</v>
      </c>
      <c r="BH289" s="30">
        <f>F289*AO289</f>
        <v>0</v>
      </c>
      <c r="BI289" s="30">
        <f>F289*AP289</f>
        <v>0</v>
      </c>
      <c r="BJ289" s="30">
        <f>F289*G289</f>
        <v>0</v>
      </c>
      <c r="BK289" s="33" t="s">
        <v>62</v>
      </c>
      <c r="BL289" s="30">
        <v>18</v>
      </c>
      <c r="BW289" s="30">
        <v>21</v>
      </c>
      <c r="BX289" s="4" t="s">
        <v>620</v>
      </c>
    </row>
    <row r="290" spans="1:76" x14ac:dyDescent="0.25">
      <c r="A290" s="34"/>
      <c r="C290" s="37" t="s">
        <v>621</v>
      </c>
      <c r="D290" s="37" t="s">
        <v>622</v>
      </c>
      <c r="F290" s="38">
        <v>589</v>
      </c>
      <c r="K290" s="39"/>
    </row>
    <row r="291" spans="1:76" x14ac:dyDescent="0.25">
      <c r="A291" s="34"/>
      <c r="C291" s="37" t="s">
        <v>623</v>
      </c>
      <c r="D291" s="37" t="s">
        <v>624</v>
      </c>
      <c r="F291" s="38">
        <v>2500</v>
      </c>
      <c r="K291" s="39"/>
    </row>
    <row r="292" spans="1:76" x14ac:dyDescent="0.25">
      <c r="A292" s="2" t="s">
        <v>311</v>
      </c>
      <c r="B292" s="3" t="s">
        <v>625</v>
      </c>
      <c r="C292" s="76" t="s">
        <v>626</v>
      </c>
      <c r="D292" s="71"/>
      <c r="E292" s="3" t="s">
        <v>120</v>
      </c>
      <c r="F292" s="30">
        <v>589</v>
      </c>
      <c r="G292" s="31">
        <v>0</v>
      </c>
      <c r="H292" s="30">
        <f>ROUND(F292*AO292,2)</f>
        <v>0</v>
      </c>
      <c r="I292" s="30">
        <f>ROUND(F292*AP292,2)</f>
        <v>0</v>
      </c>
      <c r="J292" s="30">
        <f>ROUND(F292*G292,2)</f>
        <v>0</v>
      </c>
      <c r="K292" s="32" t="s">
        <v>79</v>
      </c>
      <c r="Z292" s="30">
        <f>ROUND(IF(AQ292="5",BJ292,0),2)</f>
        <v>0</v>
      </c>
      <c r="AB292" s="30">
        <f>ROUND(IF(AQ292="1",BH292,0),2)</f>
        <v>0</v>
      </c>
      <c r="AC292" s="30">
        <f>ROUND(IF(AQ292="1",BI292,0),2)</f>
        <v>0</v>
      </c>
      <c r="AD292" s="30">
        <f>ROUND(IF(AQ292="7",BH292,0),2)</f>
        <v>0</v>
      </c>
      <c r="AE292" s="30">
        <f>ROUND(IF(AQ292="7",BI292,0),2)</f>
        <v>0</v>
      </c>
      <c r="AF292" s="30">
        <f>ROUND(IF(AQ292="2",BH292,0),2)</f>
        <v>0</v>
      </c>
      <c r="AG292" s="30">
        <f>ROUND(IF(AQ292="2",BI292,0),2)</f>
        <v>0</v>
      </c>
      <c r="AH292" s="30">
        <f>ROUND(IF(AQ292="0",BJ292,0),2)</f>
        <v>0</v>
      </c>
      <c r="AI292" s="10" t="s">
        <v>485</v>
      </c>
      <c r="AJ292" s="30">
        <f>IF(AN292=0,J292,0)</f>
        <v>0</v>
      </c>
      <c r="AK292" s="30">
        <f>IF(AN292=12,J292,0)</f>
        <v>0</v>
      </c>
      <c r="AL292" s="30">
        <f>IF(AN292=21,J292,0)</f>
        <v>0</v>
      </c>
      <c r="AN292" s="30">
        <v>21</v>
      </c>
      <c r="AO292" s="30">
        <f>G292*0.007432432</f>
        <v>0</v>
      </c>
      <c r="AP292" s="30">
        <f>G292*(1-0.007432432)</f>
        <v>0</v>
      </c>
      <c r="AQ292" s="33" t="s">
        <v>55</v>
      </c>
      <c r="AV292" s="30">
        <f>ROUND(AW292+AX292,2)</f>
        <v>0</v>
      </c>
      <c r="AW292" s="30">
        <f>ROUND(F292*AO292,2)</f>
        <v>0</v>
      </c>
      <c r="AX292" s="30">
        <f>ROUND(F292*AP292,2)</f>
        <v>0</v>
      </c>
      <c r="AY292" s="33" t="s">
        <v>163</v>
      </c>
      <c r="AZ292" s="33" t="s">
        <v>489</v>
      </c>
      <c r="BA292" s="10" t="s">
        <v>490</v>
      </c>
      <c r="BC292" s="30">
        <f>AW292+AX292</f>
        <v>0</v>
      </c>
      <c r="BD292" s="30">
        <f>G292/(100-BE292)*100</f>
        <v>0</v>
      </c>
      <c r="BE292" s="30">
        <v>0</v>
      </c>
      <c r="BF292" s="30">
        <f>292</f>
        <v>292</v>
      </c>
      <c r="BH292" s="30">
        <f>F292*AO292</f>
        <v>0</v>
      </c>
      <c r="BI292" s="30">
        <f>F292*AP292</f>
        <v>0</v>
      </c>
      <c r="BJ292" s="30">
        <f>F292*G292</f>
        <v>0</v>
      </c>
      <c r="BK292" s="33" t="s">
        <v>62</v>
      </c>
      <c r="BL292" s="30">
        <v>18</v>
      </c>
      <c r="BW292" s="30">
        <v>21</v>
      </c>
      <c r="BX292" s="4" t="s">
        <v>626</v>
      </c>
    </row>
    <row r="293" spans="1:76" x14ac:dyDescent="0.25">
      <c r="A293" s="2" t="s">
        <v>627</v>
      </c>
      <c r="B293" s="3" t="s">
        <v>628</v>
      </c>
      <c r="C293" s="76" t="s">
        <v>629</v>
      </c>
      <c r="D293" s="71"/>
      <c r="E293" s="3" t="s">
        <v>120</v>
      </c>
      <c r="F293" s="30">
        <v>589</v>
      </c>
      <c r="G293" s="31">
        <v>0</v>
      </c>
      <c r="H293" s="30">
        <f>ROUND(F293*AO293,2)</f>
        <v>0</v>
      </c>
      <c r="I293" s="30">
        <f>ROUND(F293*AP293,2)</f>
        <v>0</v>
      </c>
      <c r="J293" s="30">
        <f>ROUND(F293*G293,2)</f>
        <v>0</v>
      </c>
      <c r="K293" s="32" t="s">
        <v>130</v>
      </c>
      <c r="Z293" s="30">
        <f>ROUND(IF(AQ293="5",BJ293,0),2)</f>
        <v>0</v>
      </c>
      <c r="AB293" s="30">
        <f>ROUND(IF(AQ293="1",BH293,0),2)</f>
        <v>0</v>
      </c>
      <c r="AC293" s="30">
        <f>ROUND(IF(AQ293="1",BI293,0),2)</f>
        <v>0</v>
      </c>
      <c r="AD293" s="30">
        <f>ROUND(IF(AQ293="7",BH293,0),2)</f>
        <v>0</v>
      </c>
      <c r="AE293" s="30">
        <f>ROUND(IF(AQ293="7",BI293,0),2)</f>
        <v>0</v>
      </c>
      <c r="AF293" s="30">
        <f>ROUND(IF(AQ293="2",BH293,0),2)</f>
        <v>0</v>
      </c>
      <c r="AG293" s="30">
        <f>ROUND(IF(AQ293="2",BI293,0),2)</f>
        <v>0</v>
      </c>
      <c r="AH293" s="30">
        <f>ROUND(IF(AQ293="0",BJ293,0),2)</f>
        <v>0</v>
      </c>
      <c r="AI293" s="10" t="s">
        <v>485</v>
      </c>
      <c r="AJ293" s="30">
        <f>IF(AN293=0,J293,0)</f>
        <v>0</v>
      </c>
      <c r="AK293" s="30">
        <f>IF(AN293=12,J293,0)</f>
        <v>0</v>
      </c>
      <c r="AL293" s="30">
        <f>IF(AN293=21,J293,0)</f>
        <v>0</v>
      </c>
      <c r="AN293" s="30">
        <v>21</v>
      </c>
      <c r="AO293" s="30">
        <f>G293*1</f>
        <v>0</v>
      </c>
      <c r="AP293" s="30">
        <f>G293*(1-1)</f>
        <v>0</v>
      </c>
      <c r="AQ293" s="33" t="s">
        <v>55</v>
      </c>
      <c r="AV293" s="30">
        <f>ROUND(AW293+AX293,2)</f>
        <v>0</v>
      </c>
      <c r="AW293" s="30">
        <f>ROUND(F293*AO293,2)</f>
        <v>0</v>
      </c>
      <c r="AX293" s="30">
        <f>ROUND(F293*AP293,2)</f>
        <v>0</v>
      </c>
      <c r="AY293" s="33" t="s">
        <v>163</v>
      </c>
      <c r="AZ293" s="33" t="s">
        <v>489</v>
      </c>
      <c r="BA293" s="10" t="s">
        <v>490</v>
      </c>
      <c r="BC293" s="30">
        <f>AW293+AX293</f>
        <v>0</v>
      </c>
      <c r="BD293" s="30">
        <f>G293/(100-BE293)*100</f>
        <v>0</v>
      </c>
      <c r="BE293" s="30">
        <v>0</v>
      </c>
      <c r="BF293" s="30">
        <f>293</f>
        <v>293</v>
      </c>
      <c r="BH293" s="30">
        <f>F293*AO293</f>
        <v>0</v>
      </c>
      <c r="BI293" s="30">
        <f>F293*AP293</f>
        <v>0</v>
      </c>
      <c r="BJ293" s="30">
        <f>F293*G293</f>
        <v>0</v>
      </c>
      <c r="BK293" s="33" t="s">
        <v>173</v>
      </c>
      <c r="BL293" s="30">
        <v>18</v>
      </c>
      <c r="BW293" s="30">
        <v>21</v>
      </c>
      <c r="BX293" s="4" t="s">
        <v>629</v>
      </c>
    </row>
    <row r="294" spans="1:76" x14ac:dyDescent="0.25">
      <c r="A294" s="34"/>
      <c r="B294" s="35" t="s">
        <v>84</v>
      </c>
      <c r="C294" s="102" t="s">
        <v>630</v>
      </c>
      <c r="D294" s="103"/>
      <c r="E294" s="103"/>
      <c r="F294" s="103"/>
      <c r="G294" s="104"/>
      <c r="H294" s="103"/>
      <c r="I294" s="103"/>
      <c r="J294" s="103"/>
      <c r="K294" s="105"/>
      <c r="BX294" s="36" t="s">
        <v>630</v>
      </c>
    </row>
    <row r="295" spans="1:76" x14ac:dyDescent="0.25">
      <c r="A295" s="2" t="s">
        <v>631</v>
      </c>
      <c r="B295" s="3" t="s">
        <v>632</v>
      </c>
      <c r="C295" s="76" t="s">
        <v>633</v>
      </c>
      <c r="D295" s="71"/>
      <c r="E295" s="3" t="s">
        <v>120</v>
      </c>
      <c r="F295" s="30">
        <v>2500</v>
      </c>
      <c r="G295" s="31">
        <v>0</v>
      </c>
      <c r="H295" s="30">
        <f>ROUND(F295*AO295,2)</f>
        <v>0</v>
      </c>
      <c r="I295" s="30">
        <f>ROUND(F295*AP295,2)</f>
        <v>0</v>
      </c>
      <c r="J295" s="30">
        <f>ROUND(F295*G295,2)</f>
        <v>0</v>
      </c>
      <c r="K295" s="32" t="s">
        <v>79</v>
      </c>
      <c r="Z295" s="30">
        <f>ROUND(IF(AQ295="5",BJ295,0),2)</f>
        <v>0</v>
      </c>
      <c r="AB295" s="30">
        <f>ROUND(IF(AQ295="1",BH295,0),2)</f>
        <v>0</v>
      </c>
      <c r="AC295" s="30">
        <f>ROUND(IF(AQ295="1",BI295,0),2)</f>
        <v>0</v>
      </c>
      <c r="AD295" s="30">
        <f>ROUND(IF(AQ295="7",BH295,0),2)</f>
        <v>0</v>
      </c>
      <c r="AE295" s="30">
        <f>ROUND(IF(AQ295="7",BI295,0),2)</f>
        <v>0</v>
      </c>
      <c r="AF295" s="30">
        <f>ROUND(IF(AQ295="2",BH295,0),2)</f>
        <v>0</v>
      </c>
      <c r="AG295" s="30">
        <f>ROUND(IF(AQ295="2",BI295,0),2)</f>
        <v>0</v>
      </c>
      <c r="AH295" s="30">
        <f>ROUND(IF(AQ295="0",BJ295,0),2)</f>
        <v>0</v>
      </c>
      <c r="AI295" s="10" t="s">
        <v>485</v>
      </c>
      <c r="AJ295" s="30">
        <f>IF(AN295=0,J295,0)</f>
        <v>0</v>
      </c>
      <c r="AK295" s="30">
        <f>IF(AN295=12,J295,0)</f>
        <v>0</v>
      </c>
      <c r="AL295" s="30">
        <f>IF(AN295=21,J295,0)</f>
        <v>0</v>
      </c>
      <c r="AN295" s="30">
        <v>21</v>
      </c>
      <c r="AO295" s="30">
        <f>G295*0.014864865</f>
        <v>0</v>
      </c>
      <c r="AP295" s="30">
        <f>G295*(1-0.014864865)</f>
        <v>0</v>
      </c>
      <c r="AQ295" s="33" t="s">
        <v>55</v>
      </c>
      <c r="AV295" s="30">
        <f>ROUND(AW295+AX295,2)</f>
        <v>0</v>
      </c>
      <c r="AW295" s="30">
        <f>ROUND(F295*AO295,2)</f>
        <v>0</v>
      </c>
      <c r="AX295" s="30">
        <f>ROUND(F295*AP295,2)</f>
        <v>0</v>
      </c>
      <c r="AY295" s="33" t="s">
        <v>163</v>
      </c>
      <c r="AZ295" s="33" t="s">
        <v>489</v>
      </c>
      <c r="BA295" s="10" t="s">
        <v>490</v>
      </c>
      <c r="BC295" s="30">
        <f>AW295+AX295</f>
        <v>0</v>
      </c>
      <c r="BD295" s="30">
        <f>G295/(100-BE295)*100</f>
        <v>0</v>
      </c>
      <c r="BE295" s="30">
        <v>0</v>
      </c>
      <c r="BF295" s="30">
        <f>295</f>
        <v>295</v>
      </c>
      <c r="BH295" s="30">
        <f>F295*AO295</f>
        <v>0</v>
      </c>
      <c r="BI295" s="30">
        <f>F295*AP295</f>
        <v>0</v>
      </c>
      <c r="BJ295" s="30">
        <f>F295*G295</f>
        <v>0</v>
      </c>
      <c r="BK295" s="33" t="s">
        <v>62</v>
      </c>
      <c r="BL295" s="30">
        <v>18</v>
      </c>
      <c r="BW295" s="30">
        <v>21</v>
      </c>
      <c r="BX295" s="4" t="s">
        <v>633</v>
      </c>
    </row>
    <row r="296" spans="1:76" x14ac:dyDescent="0.25">
      <c r="A296" s="2" t="s">
        <v>634</v>
      </c>
      <c r="B296" s="3" t="s">
        <v>635</v>
      </c>
      <c r="C296" s="76" t="s">
        <v>636</v>
      </c>
      <c r="D296" s="71"/>
      <c r="E296" s="3" t="s">
        <v>440</v>
      </c>
      <c r="F296" s="30">
        <v>2500</v>
      </c>
      <c r="G296" s="31">
        <v>0</v>
      </c>
      <c r="H296" s="30">
        <f>ROUND(F296*AO296,2)</f>
        <v>0</v>
      </c>
      <c r="I296" s="30">
        <f>ROUND(F296*AP296,2)</f>
        <v>0</v>
      </c>
      <c r="J296" s="30">
        <f>ROUND(F296*G296,2)</f>
        <v>0</v>
      </c>
      <c r="K296" s="32" t="s">
        <v>637</v>
      </c>
      <c r="Z296" s="30">
        <f>ROUND(IF(AQ296="5",BJ296,0),2)</f>
        <v>0</v>
      </c>
      <c r="AB296" s="30">
        <f>ROUND(IF(AQ296="1",BH296,0),2)</f>
        <v>0</v>
      </c>
      <c r="AC296" s="30">
        <f>ROUND(IF(AQ296="1",BI296,0),2)</f>
        <v>0</v>
      </c>
      <c r="AD296" s="30">
        <f>ROUND(IF(AQ296="7",BH296,0),2)</f>
        <v>0</v>
      </c>
      <c r="AE296" s="30">
        <f>ROUND(IF(AQ296="7",BI296,0),2)</f>
        <v>0</v>
      </c>
      <c r="AF296" s="30">
        <f>ROUND(IF(AQ296="2",BH296,0),2)</f>
        <v>0</v>
      </c>
      <c r="AG296" s="30">
        <f>ROUND(IF(AQ296="2",BI296,0),2)</f>
        <v>0</v>
      </c>
      <c r="AH296" s="30">
        <f>ROUND(IF(AQ296="0",BJ296,0),2)</f>
        <v>0</v>
      </c>
      <c r="AI296" s="10" t="s">
        <v>485</v>
      </c>
      <c r="AJ296" s="30">
        <f>IF(AN296=0,J296,0)</f>
        <v>0</v>
      </c>
      <c r="AK296" s="30">
        <f>IF(AN296=12,J296,0)</f>
        <v>0</v>
      </c>
      <c r="AL296" s="30">
        <f>IF(AN296=21,J296,0)</f>
        <v>0</v>
      </c>
      <c r="AN296" s="30">
        <v>21</v>
      </c>
      <c r="AO296" s="30">
        <f>G296*1</f>
        <v>0</v>
      </c>
      <c r="AP296" s="30">
        <f>G296*(1-1)</f>
        <v>0</v>
      </c>
      <c r="AQ296" s="33" t="s">
        <v>55</v>
      </c>
      <c r="AV296" s="30">
        <f>ROUND(AW296+AX296,2)</f>
        <v>0</v>
      </c>
      <c r="AW296" s="30">
        <f>ROUND(F296*AO296,2)</f>
        <v>0</v>
      </c>
      <c r="AX296" s="30">
        <f>ROUND(F296*AP296,2)</f>
        <v>0</v>
      </c>
      <c r="AY296" s="33" t="s">
        <v>163</v>
      </c>
      <c r="AZ296" s="33" t="s">
        <v>489</v>
      </c>
      <c r="BA296" s="10" t="s">
        <v>490</v>
      </c>
      <c r="BC296" s="30">
        <f>AW296+AX296</f>
        <v>0</v>
      </c>
      <c r="BD296" s="30">
        <f>G296/(100-BE296)*100</f>
        <v>0</v>
      </c>
      <c r="BE296" s="30">
        <v>0</v>
      </c>
      <c r="BF296" s="30">
        <f>296</f>
        <v>296</v>
      </c>
      <c r="BH296" s="30">
        <f>F296*AO296</f>
        <v>0</v>
      </c>
      <c r="BI296" s="30">
        <f>F296*AP296</f>
        <v>0</v>
      </c>
      <c r="BJ296" s="30">
        <f>F296*G296</f>
        <v>0</v>
      </c>
      <c r="BK296" s="33" t="s">
        <v>173</v>
      </c>
      <c r="BL296" s="30">
        <v>18</v>
      </c>
      <c r="BW296" s="30">
        <v>21</v>
      </c>
      <c r="BX296" s="4" t="s">
        <v>636</v>
      </c>
    </row>
    <row r="297" spans="1:76" x14ac:dyDescent="0.25">
      <c r="A297" s="2" t="s">
        <v>638</v>
      </c>
      <c r="B297" s="3" t="s">
        <v>639</v>
      </c>
      <c r="C297" s="76" t="s">
        <v>640</v>
      </c>
      <c r="D297" s="71"/>
      <c r="E297" s="3" t="s">
        <v>78</v>
      </c>
      <c r="F297" s="30">
        <v>226</v>
      </c>
      <c r="G297" s="31"/>
      <c r="H297" s="30">
        <f>ROUND(F297*AO297,2)</f>
        <v>0</v>
      </c>
      <c r="I297" s="30">
        <f>ROUND(F297*AP297,2)</f>
        <v>0</v>
      </c>
      <c r="J297" s="30">
        <f>ROUND(F297*G297,2)</f>
        <v>0</v>
      </c>
      <c r="K297" s="32" t="s">
        <v>79</v>
      </c>
      <c r="Z297" s="30">
        <f>ROUND(IF(AQ297="5",BJ297,0),2)</f>
        <v>0</v>
      </c>
      <c r="AB297" s="30">
        <f>ROUND(IF(AQ297="1",BH297,0),2)</f>
        <v>0</v>
      </c>
      <c r="AC297" s="30">
        <f>ROUND(IF(AQ297="1",BI297,0),2)</f>
        <v>0</v>
      </c>
      <c r="AD297" s="30">
        <f>ROUND(IF(AQ297="7",BH297,0),2)</f>
        <v>0</v>
      </c>
      <c r="AE297" s="30">
        <f>ROUND(IF(AQ297="7",BI297,0),2)</f>
        <v>0</v>
      </c>
      <c r="AF297" s="30">
        <f>ROUND(IF(AQ297="2",BH297,0),2)</f>
        <v>0</v>
      </c>
      <c r="AG297" s="30">
        <f>ROUND(IF(AQ297="2",BI297,0),2)</f>
        <v>0</v>
      </c>
      <c r="AH297" s="30">
        <f>ROUND(IF(AQ297="0",BJ297,0),2)</f>
        <v>0</v>
      </c>
      <c r="AI297" s="10" t="s">
        <v>485</v>
      </c>
      <c r="AJ297" s="30">
        <f>IF(AN297=0,J297,0)</f>
        <v>0</v>
      </c>
      <c r="AK297" s="30">
        <f>IF(AN297=12,J297,0)</f>
        <v>0</v>
      </c>
      <c r="AL297" s="30">
        <f>IF(AN297=21,J297,0)</f>
        <v>0</v>
      </c>
      <c r="AN297" s="30">
        <v>21</v>
      </c>
      <c r="AO297" s="30">
        <f>G297*0.064325843</f>
        <v>0</v>
      </c>
      <c r="AP297" s="30">
        <f>G297*(1-0.064325843)</f>
        <v>0</v>
      </c>
      <c r="AQ297" s="33" t="s">
        <v>55</v>
      </c>
      <c r="AV297" s="30">
        <f>ROUND(AW297+AX297,2)</f>
        <v>0</v>
      </c>
      <c r="AW297" s="30">
        <f>ROUND(F297*AO297,2)</f>
        <v>0</v>
      </c>
      <c r="AX297" s="30">
        <f>ROUND(F297*AP297,2)</f>
        <v>0</v>
      </c>
      <c r="AY297" s="33" t="s">
        <v>163</v>
      </c>
      <c r="AZ297" s="33" t="s">
        <v>489</v>
      </c>
      <c r="BA297" s="10" t="s">
        <v>490</v>
      </c>
      <c r="BC297" s="30">
        <f>AW297+AX297</f>
        <v>0</v>
      </c>
      <c r="BD297" s="30">
        <f>G297/(100-BE297)*100</f>
        <v>0</v>
      </c>
      <c r="BE297" s="30">
        <v>0</v>
      </c>
      <c r="BF297" s="30">
        <f>297</f>
        <v>297</v>
      </c>
      <c r="BH297" s="30">
        <f>F297*AO297</f>
        <v>0</v>
      </c>
      <c r="BI297" s="30">
        <f>F297*AP297</f>
        <v>0</v>
      </c>
      <c r="BJ297" s="30">
        <f>F297*G297</f>
        <v>0</v>
      </c>
      <c r="BK297" s="33" t="s">
        <v>62</v>
      </c>
      <c r="BL297" s="30">
        <v>18</v>
      </c>
      <c r="BW297" s="30">
        <v>21</v>
      </c>
      <c r="BX297" s="4" t="s">
        <v>640</v>
      </c>
    </row>
    <row r="298" spans="1:76" x14ac:dyDescent="0.25">
      <c r="A298" s="34"/>
      <c r="C298" s="37" t="s">
        <v>607</v>
      </c>
      <c r="D298" s="37" t="s">
        <v>602</v>
      </c>
      <c r="F298" s="38">
        <v>226</v>
      </c>
      <c r="K298" s="39"/>
    </row>
    <row r="299" spans="1:76" x14ac:dyDescent="0.25">
      <c r="A299" s="34"/>
      <c r="B299" s="35" t="s">
        <v>84</v>
      </c>
      <c r="C299" s="102" t="s">
        <v>641</v>
      </c>
      <c r="D299" s="103"/>
      <c r="E299" s="103"/>
      <c r="F299" s="103"/>
      <c r="G299" s="104"/>
      <c r="H299" s="103"/>
      <c r="I299" s="103"/>
      <c r="J299" s="103"/>
      <c r="K299" s="105"/>
      <c r="BX299" s="36" t="s">
        <v>641</v>
      </c>
    </row>
    <row r="300" spans="1:76" x14ac:dyDescent="0.25">
      <c r="A300" s="2" t="s">
        <v>642</v>
      </c>
      <c r="B300" s="3" t="s">
        <v>643</v>
      </c>
      <c r="C300" s="76" t="s">
        <v>644</v>
      </c>
      <c r="D300" s="71"/>
      <c r="E300" s="3" t="s">
        <v>194</v>
      </c>
      <c r="F300" s="30">
        <v>7.46</v>
      </c>
      <c r="G300" s="31">
        <v>0</v>
      </c>
      <c r="H300" s="30">
        <f>ROUND(F300*AO300,2)</f>
        <v>0</v>
      </c>
      <c r="I300" s="30">
        <f>ROUND(F300*AP300,2)</f>
        <v>0</v>
      </c>
      <c r="J300" s="30">
        <f>ROUND(F300*G300,2)</f>
        <v>0</v>
      </c>
      <c r="K300" s="32" t="s">
        <v>637</v>
      </c>
      <c r="Z300" s="30">
        <f>ROUND(IF(AQ300="5",BJ300,0),2)</f>
        <v>0</v>
      </c>
      <c r="AB300" s="30">
        <f>ROUND(IF(AQ300="1",BH300,0),2)</f>
        <v>0</v>
      </c>
      <c r="AC300" s="30">
        <f>ROUND(IF(AQ300="1",BI300,0),2)</f>
        <v>0</v>
      </c>
      <c r="AD300" s="30">
        <f>ROUND(IF(AQ300="7",BH300,0),2)</f>
        <v>0</v>
      </c>
      <c r="AE300" s="30">
        <f>ROUND(IF(AQ300="7",BI300,0),2)</f>
        <v>0</v>
      </c>
      <c r="AF300" s="30">
        <f>ROUND(IF(AQ300="2",BH300,0),2)</f>
        <v>0</v>
      </c>
      <c r="AG300" s="30">
        <f>ROUND(IF(AQ300="2",BI300,0),2)</f>
        <v>0</v>
      </c>
      <c r="AH300" s="30">
        <f>ROUND(IF(AQ300="0",BJ300,0),2)</f>
        <v>0</v>
      </c>
      <c r="AI300" s="10" t="s">
        <v>485</v>
      </c>
      <c r="AJ300" s="30">
        <f>IF(AN300=0,J300,0)</f>
        <v>0</v>
      </c>
      <c r="AK300" s="30">
        <f>IF(AN300=12,J300,0)</f>
        <v>0</v>
      </c>
      <c r="AL300" s="30">
        <f>IF(AN300=21,J300,0)</f>
        <v>0</v>
      </c>
      <c r="AN300" s="30">
        <v>21</v>
      </c>
      <c r="AO300" s="30">
        <f>G300*1</f>
        <v>0</v>
      </c>
      <c r="AP300" s="30">
        <f>G300*(1-1)</f>
        <v>0</v>
      </c>
      <c r="AQ300" s="33" t="s">
        <v>55</v>
      </c>
      <c r="AV300" s="30">
        <f>ROUND(AW300+AX300,2)</f>
        <v>0</v>
      </c>
      <c r="AW300" s="30">
        <f>ROUND(F300*AO300,2)</f>
        <v>0</v>
      </c>
      <c r="AX300" s="30">
        <f>ROUND(F300*AP300,2)</f>
        <v>0</v>
      </c>
      <c r="AY300" s="33" t="s">
        <v>163</v>
      </c>
      <c r="AZ300" s="33" t="s">
        <v>489</v>
      </c>
      <c r="BA300" s="10" t="s">
        <v>490</v>
      </c>
      <c r="BC300" s="30">
        <f>AW300+AX300</f>
        <v>0</v>
      </c>
      <c r="BD300" s="30">
        <f>G300/(100-BE300)*100</f>
        <v>0</v>
      </c>
      <c r="BE300" s="30">
        <v>0</v>
      </c>
      <c r="BF300" s="30">
        <f>300</f>
        <v>300</v>
      </c>
      <c r="BH300" s="30">
        <f>F300*AO300</f>
        <v>0</v>
      </c>
      <c r="BI300" s="30">
        <f>F300*AP300</f>
        <v>0</v>
      </c>
      <c r="BJ300" s="30">
        <f>F300*G300</f>
        <v>0</v>
      </c>
      <c r="BK300" s="33" t="s">
        <v>173</v>
      </c>
      <c r="BL300" s="30">
        <v>18</v>
      </c>
      <c r="BW300" s="30">
        <v>21</v>
      </c>
      <c r="BX300" s="4" t="s">
        <v>644</v>
      </c>
    </row>
    <row r="301" spans="1:76" x14ac:dyDescent="0.25">
      <c r="A301" s="34"/>
      <c r="C301" s="37" t="s">
        <v>645</v>
      </c>
      <c r="D301" s="37" t="s">
        <v>50</v>
      </c>
      <c r="F301" s="38">
        <v>6.78</v>
      </c>
      <c r="K301" s="39"/>
    </row>
    <row r="302" spans="1:76" x14ac:dyDescent="0.25">
      <c r="A302" s="34"/>
      <c r="C302" s="37" t="s">
        <v>646</v>
      </c>
      <c r="D302" s="37" t="s">
        <v>50</v>
      </c>
      <c r="F302" s="38">
        <v>0.68</v>
      </c>
      <c r="K302" s="39"/>
    </row>
    <row r="303" spans="1:76" x14ac:dyDescent="0.25">
      <c r="A303" s="2" t="s">
        <v>647</v>
      </c>
      <c r="B303" s="3" t="s">
        <v>648</v>
      </c>
      <c r="C303" s="76" t="s">
        <v>649</v>
      </c>
      <c r="D303" s="71"/>
      <c r="E303" s="3" t="s">
        <v>78</v>
      </c>
      <c r="F303" s="30">
        <v>184</v>
      </c>
      <c r="G303" s="31">
        <v>0</v>
      </c>
      <c r="H303" s="30">
        <f>ROUND(F303*AO303,2)</f>
        <v>0</v>
      </c>
      <c r="I303" s="30">
        <f>ROUND(F303*AP303,2)</f>
        <v>0</v>
      </c>
      <c r="J303" s="30">
        <f>ROUND(F303*G303,2)</f>
        <v>0</v>
      </c>
      <c r="K303" s="32" t="s">
        <v>79</v>
      </c>
      <c r="Z303" s="30">
        <f>ROUND(IF(AQ303="5",BJ303,0),2)</f>
        <v>0</v>
      </c>
      <c r="AB303" s="30">
        <f>ROUND(IF(AQ303="1",BH303,0),2)</f>
        <v>0</v>
      </c>
      <c r="AC303" s="30">
        <f>ROUND(IF(AQ303="1",BI303,0),2)</f>
        <v>0</v>
      </c>
      <c r="AD303" s="30">
        <f>ROUND(IF(AQ303="7",BH303,0),2)</f>
        <v>0</v>
      </c>
      <c r="AE303" s="30">
        <f>ROUND(IF(AQ303="7",BI303,0),2)</f>
        <v>0</v>
      </c>
      <c r="AF303" s="30">
        <f>ROUND(IF(AQ303="2",BH303,0),2)</f>
        <v>0</v>
      </c>
      <c r="AG303" s="30">
        <f>ROUND(IF(AQ303="2",BI303,0),2)</f>
        <v>0</v>
      </c>
      <c r="AH303" s="30">
        <f>ROUND(IF(AQ303="0",BJ303,0),2)</f>
        <v>0</v>
      </c>
      <c r="AI303" s="10" t="s">
        <v>485</v>
      </c>
      <c r="AJ303" s="30">
        <f>IF(AN303=0,J303,0)</f>
        <v>0</v>
      </c>
      <c r="AK303" s="30">
        <f>IF(AN303=12,J303,0)</f>
        <v>0</v>
      </c>
      <c r="AL303" s="30">
        <f>IF(AN303=21,J303,0)</f>
        <v>0</v>
      </c>
      <c r="AN303" s="30">
        <v>21</v>
      </c>
      <c r="AO303" s="30">
        <f>G303*0.041636364</f>
        <v>0</v>
      </c>
      <c r="AP303" s="30">
        <f>G303*(1-0.041636364)</f>
        <v>0</v>
      </c>
      <c r="AQ303" s="33" t="s">
        <v>55</v>
      </c>
      <c r="AV303" s="30">
        <f>ROUND(AW303+AX303,2)</f>
        <v>0</v>
      </c>
      <c r="AW303" s="30">
        <f>ROUND(F303*AO303,2)</f>
        <v>0</v>
      </c>
      <c r="AX303" s="30">
        <f>ROUND(F303*AP303,2)</f>
        <v>0</v>
      </c>
      <c r="AY303" s="33" t="s">
        <v>163</v>
      </c>
      <c r="AZ303" s="33" t="s">
        <v>489</v>
      </c>
      <c r="BA303" s="10" t="s">
        <v>490</v>
      </c>
      <c r="BC303" s="30">
        <f>AW303+AX303</f>
        <v>0</v>
      </c>
      <c r="BD303" s="30">
        <f>G303/(100-BE303)*100</f>
        <v>0</v>
      </c>
      <c r="BE303" s="30">
        <v>0</v>
      </c>
      <c r="BF303" s="30">
        <f>303</f>
        <v>303</v>
      </c>
      <c r="BH303" s="30">
        <f>F303*AO303</f>
        <v>0</v>
      </c>
      <c r="BI303" s="30">
        <f>F303*AP303</f>
        <v>0</v>
      </c>
      <c r="BJ303" s="30">
        <f>F303*G303</f>
        <v>0</v>
      </c>
      <c r="BK303" s="33" t="s">
        <v>62</v>
      </c>
      <c r="BL303" s="30">
        <v>18</v>
      </c>
      <c r="BW303" s="30">
        <v>21</v>
      </c>
      <c r="BX303" s="4" t="s">
        <v>649</v>
      </c>
    </row>
    <row r="304" spans="1:76" x14ac:dyDescent="0.25">
      <c r="A304" s="34"/>
      <c r="C304" s="37" t="s">
        <v>614</v>
      </c>
      <c r="D304" s="37" t="s">
        <v>650</v>
      </c>
      <c r="F304" s="38">
        <v>184</v>
      </c>
      <c r="K304" s="39"/>
    </row>
    <row r="305" spans="1:76" x14ac:dyDescent="0.25">
      <c r="A305" s="34"/>
      <c r="B305" s="35" t="s">
        <v>84</v>
      </c>
      <c r="C305" s="102" t="s">
        <v>651</v>
      </c>
      <c r="D305" s="103"/>
      <c r="E305" s="103"/>
      <c r="F305" s="103"/>
      <c r="G305" s="104"/>
      <c r="H305" s="103"/>
      <c r="I305" s="103"/>
      <c r="J305" s="103"/>
      <c r="K305" s="105"/>
      <c r="BX305" s="36" t="s">
        <v>651</v>
      </c>
    </row>
    <row r="306" spans="1:76" x14ac:dyDescent="0.25">
      <c r="A306" s="2" t="s">
        <v>652</v>
      </c>
      <c r="B306" s="3" t="s">
        <v>643</v>
      </c>
      <c r="C306" s="76" t="s">
        <v>644</v>
      </c>
      <c r="D306" s="71"/>
      <c r="E306" s="3" t="s">
        <v>194</v>
      </c>
      <c r="F306" s="30">
        <v>6.07</v>
      </c>
      <c r="G306" s="31">
        <v>0</v>
      </c>
      <c r="H306" s="30">
        <f>ROUND(F306*AO306,2)</f>
        <v>0</v>
      </c>
      <c r="I306" s="30">
        <f>ROUND(F306*AP306,2)</f>
        <v>0</v>
      </c>
      <c r="J306" s="30">
        <f>ROUND(F306*G306,2)</f>
        <v>0</v>
      </c>
      <c r="K306" s="32" t="s">
        <v>637</v>
      </c>
      <c r="Z306" s="30">
        <f>ROUND(IF(AQ306="5",BJ306,0),2)</f>
        <v>0</v>
      </c>
      <c r="AB306" s="30">
        <f>ROUND(IF(AQ306="1",BH306,0),2)</f>
        <v>0</v>
      </c>
      <c r="AC306" s="30">
        <f>ROUND(IF(AQ306="1",BI306,0),2)</f>
        <v>0</v>
      </c>
      <c r="AD306" s="30">
        <f>ROUND(IF(AQ306="7",BH306,0),2)</f>
        <v>0</v>
      </c>
      <c r="AE306" s="30">
        <f>ROUND(IF(AQ306="7",BI306,0),2)</f>
        <v>0</v>
      </c>
      <c r="AF306" s="30">
        <f>ROUND(IF(AQ306="2",BH306,0),2)</f>
        <v>0</v>
      </c>
      <c r="AG306" s="30">
        <f>ROUND(IF(AQ306="2",BI306,0),2)</f>
        <v>0</v>
      </c>
      <c r="AH306" s="30">
        <f>ROUND(IF(AQ306="0",BJ306,0),2)</f>
        <v>0</v>
      </c>
      <c r="AI306" s="10" t="s">
        <v>485</v>
      </c>
      <c r="AJ306" s="30">
        <f>IF(AN306=0,J306,0)</f>
        <v>0</v>
      </c>
      <c r="AK306" s="30">
        <f>IF(AN306=12,J306,0)</f>
        <v>0</v>
      </c>
      <c r="AL306" s="30">
        <f>IF(AN306=21,J306,0)</f>
        <v>0</v>
      </c>
      <c r="AN306" s="30">
        <v>21</v>
      </c>
      <c r="AO306" s="30">
        <f>G306*1</f>
        <v>0</v>
      </c>
      <c r="AP306" s="30">
        <f>G306*(1-1)</f>
        <v>0</v>
      </c>
      <c r="AQ306" s="33" t="s">
        <v>55</v>
      </c>
      <c r="AV306" s="30">
        <f>ROUND(AW306+AX306,2)</f>
        <v>0</v>
      </c>
      <c r="AW306" s="30">
        <f>ROUND(F306*AO306,2)</f>
        <v>0</v>
      </c>
      <c r="AX306" s="30">
        <f>ROUND(F306*AP306,2)</f>
        <v>0</v>
      </c>
      <c r="AY306" s="33" t="s">
        <v>163</v>
      </c>
      <c r="AZ306" s="33" t="s">
        <v>489</v>
      </c>
      <c r="BA306" s="10" t="s">
        <v>490</v>
      </c>
      <c r="BC306" s="30">
        <f>AW306+AX306</f>
        <v>0</v>
      </c>
      <c r="BD306" s="30">
        <f>G306/(100-BE306)*100</f>
        <v>0</v>
      </c>
      <c r="BE306" s="30">
        <v>0</v>
      </c>
      <c r="BF306" s="30">
        <f>306</f>
        <v>306</v>
      </c>
      <c r="BH306" s="30">
        <f>F306*AO306</f>
        <v>0</v>
      </c>
      <c r="BI306" s="30">
        <f>F306*AP306</f>
        <v>0</v>
      </c>
      <c r="BJ306" s="30">
        <f>F306*G306</f>
        <v>0</v>
      </c>
      <c r="BK306" s="33" t="s">
        <v>173</v>
      </c>
      <c r="BL306" s="30">
        <v>18</v>
      </c>
      <c r="BW306" s="30">
        <v>21</v>
      </c>
      <c r="BX306" s="4" t="s">
        <v>644</v>
      </c>
    </row>
    <row r="307" spans="1:76" x14ac:dyDescent="0.25">
      <c r="A307" s="34"/>
      <c r="C307" s="37" t="s">
        <v>653</v>
      </c>
      <c r="D307" s="37" t="s">
        <v>50</v>
      </c>
      <c r="F307" s="38">
        <v>5.52</v>
      </c>
      <c r="K307" s="39"/>
    </row>
    <row r="308" spans="1:76" x14ac:dyDescent="0.25">
      <c r="A308" s="34"/>
      <c r="C308" s="37" t="s">
        <v>654</v>
      </c>
      <c r="D308" s="37" t="s">
        <v>50</v>
      </c>
      <c r="F308" s="38">
        <v>0.55000000000000004</v>
      </c>
      <c r="K308" s="39"/>
    </row>
    <row r="309" spans="1:76" x14ac:dyDescent="0.25">
      <c r="A309" s="2" t="s">
        <v>655</v>
      </c>
      <c r="B309" s="3" t="s">
        <v>656</v>
      </c>
      <c r="C309" s="76" t="s">
        <v>657</v>
      </c>
      <c r="D309" s="71"/>
      <c r="E309" s="3" t="s">
        <v>78</v>
      </c>
      <c r="F309" s="30">
        <v>1008</v>
      </c>
      <c r="G309" s="31">
        <v>0</v>
      </c>
      <c r="H309" s="30">
        <f>ROUND(F309*AO309,2)</f>
        <v>0</v>
      </c>
      <c r="I309" s="30">
        <f>ROUND(F309*AP309,2)</f>
        <v>0</v>
      </c>
      <c r="J309" s="30">
        <f>ROUND(F309*G309,2)</f>
        <v>0</v>
      </c>
      <c r="K309" s="32" t="s">
        <v>79</v>
      </c>
      <c r="Z309" s="30">
        <f>ROUND(IF(AQ309="5",BJ309,0),2)</f>
        <v>0</v>
      </c>
      <c r="AB309" s="30">
        <f>ROUND(IF(AQ309="1",BH309,0),2)</f>
        <v>0</v>
      </c>
      <c r="AC309" s="30">
        <f>ROUND(IF(AQ309="1",BI309,0),2)</f>
        <v>0</v>
      </c>
      <c r="AD309" s="30">
        <f>ROUND(IF(AQ309="7",BH309,0),2)</f>
        <v>0</v>
      </c>
      <c r="AE309" s="30">
        <f>ROUND(IF(AQ309="7",BI309,0),2)</f>
        <v>0</v>
      </c>
      <c r="AF309" s="30">
        <f>ROUND(IF(AQ309="2",BH309,0),2)</f>
        <v>0</v>
      </c>
      <c r="AG309" s="30">
        <f>ROUND(IF(AQ309="2",BI309,0),2)</f>
        <v>0</v>
      </c>
      <c r="AH309" s="30">
        <f>ROUND(IF(AQ309="0",BJ309,0),2)</f>
        <v>0</v>
      </c>
      <c r="AI309" s="10" t="s">
        <v>485</v>
      </c>
      <c r="AJ309" s="30">
        <f>IF(AN309=0,J309,0)</f>
        <v>0</v>
      </c>
      <c r="AK309" s="30">
        <f>IF(AN309=12,J309,0)</f>
        <v>0</v>
      </c>
      <c r="AL309" s="30">
        <f>IF(AN309=21,J309,0)</f>
        <v>0</v>
      </c>
      <c r="AN309" s="30">
        <v>21</v>
      </c>
      <c r="AO309" s="30">
        <f>G309*0</f>
        <v>0</v>
      </c>
      <c r="AP309" s="30">
        <f>G309*(1-0)</f>
        <v>0</v>
      </c>
      <c r="AQ309" s="33" t="s">
        <v>55</v>
      </c>
      <c r="AV309" s="30">
        <f>ROUND(AW309+AX309,2)</f>
        <v>0</v>
      </c>
      <c r="AW309" s="30">
        <f>ROUND(F309*AO309,2)</f>
        <v>0</v>
      </c>
      <c r="AX309" s="30">
        <f>ROUND(F309*AP309,2)</f>
        <v>0</v>
      </c>
      <c r="AY309" s="33" t="s">
        <v>163</v>
      </c>
      <c r="AZ309" s="33" t="s">
        <v>489</v>
      </c>
      <c r="BA309" s="10" t="s">
        <v>490</v>
      </c>
      <c r="BC309" s="30">
        <f>AW309+AX309</f>
        <v>0</v>
      </c>
      <c r="BD309" s="30">
        <f>G309/(100-BE309)*100</f>
        <v>0</v>
      </c>
      <c r="BE309" s="30">
        <v>0</v>
      </c>
      <c r="BF309" s="30">
        <f>309</f>
        <v>309</v>
      </c>
      <c r="BH309" s="30">
        <f>F309*AO309</f>
        <v>0</v>
      </c>
      <c r="BI309" s="30">
        <f>F309*AP309</f>
        <v>0</v>
      </c>
      <c r="BJ309" s="30">
        <f>F309*G309</f>
        <v>0</v>
      </c>
      <c r="BK309" s="33" t="s">
        <v>62</v>
      </c>
      <c r="BL309" s="30">
        <v>18</v>
      </c>
      <c r="BW309" s="30">
        <v>21</v>
      </c>
      <c r="BX309" s="4" t="s">
        <v>657</v>
      </c>
    </row>
    <row r="310" spans="1:76" x14ac:dyDescent="0.25">
      <c r="A310" s="34"/>
      <c r="C310" s="37" t="s">
        <v>658</v>
      </c>
      <c r="D310" s="37" t="s">
        <v>659</v>
      </c>
      <c r="F310" s="38">
        <v>504</v>
      </c>
      <c r="K310" s="39"/>
    </row>
    <row r="311" spans="1:76" x14ac:dyDescent="0.25">
      <c r="A311" s="34"/>
      <c r="C311" s="37" t="s">
        <v>658</v>
      </c>
      <c r="D311" s="37" t="s">
        <v>660</v>
      </c>
      <c r="F311" s="38">
        <v>504</v>
      </c>
      <c r="K311" s="39"/>
    </row>
    <row r="312" spans="1:76" x14ac:dyDescent="0.25">
      <c r="A312" s="2" t="s">
        <v>661</v>
      </c>
      <c r="B312" s="3" t="s">
        <v>662</v>
      </c>
      <c r="C312" s="76" t="s">
        <v>663</v>
      </c>
      <c r="D312" s="71"/>
      <c r="E312" s="3" t="s">
        <v>172</v>
      </c>
      <c r="F312" s="30">
        <v>24.83</v>
      </c>
      <c r="G312" s="31">
        <v>0</v>
      </c>
      <c r="H312" s="30">
        <f>ROUND(F312*AO312,2)</f>
        <v>0</v>
      </c>
      <c r="I312" s="30">
        <f>ROUND(F312*AP312,2)</f>
        <v>0</v>
      </c>
      <c r="J312" s="30">
        <f>ROUND(F312*G312,2)</f>
        <v>0</v>
      </c>
      <c r="K312" s="32" t="s">
        <v>79</v>
      </c>
      <c r="Z312" s="30">
        <f>ROUND(IF(AQ312="5",BJ312,0),2)</f>
        <v>0</v>
      </c>
      <c r="AB312" s="30">
        <f>ROUND(IF(AQ312="1",BH312,0),2)</f>
        <v>0</v>
      </c>
      <c r="AC312" s="30">
        <f>ROUND(IF(AQ312="1",BI312,0),2)</f>
        <v>0</v>
      </c>
      <c r="AD312" s="30">
        <f>ROUND(IF(AQ312="7",BH312,0),2)</f>
        <v>0</v>
      </c>
      <c r="AE312" s="30">
        <f>ROUND(IF(AQ312="7",BI312,0),2)</f>
        <v>0</v>
      </c>
      <c r="AF312" s="30">
        <f>ROUND(IF(AQ312="2",BH312,0),2)</f>
        <v>0</v>
      </c>
      <c r="AG312" s="30">
        <f>ROUND(IF(AQ312="2",BI312,0),2)</f>
        <v>0</v>
      </c>
      <c r="AH312" s="30">
        <f>ROUND(IF(AQ312="0",BJ312,0),2)</f>
        <v>0</v>
      </c>
      <c r="AI312" s="10" t="s">
        <v>485</v>
      </c>
      <c r="AJ312" s="30">
        <f>IF(AN312=0,J312,0)</f>
        <v>0</v>
      </c>
      <c r="AK312" s="30">
        <f>IF(AN312=12,J312,0)</f>
        <v>0</v>
      </c>
      <c r="AL312" s="30">
        <f>IF(AN312=21,J312,0)</f>
        <v>0</v>
      </c>
      <c r="AN312" s="30">
        <v>21</v>
      </c>
      <c r="AO312" s="30">
        <f>G312*0</f>
        <v>0</v>
      </c>
      <c r="AP312" s="30">
        <f>G312*(1-0)</f>
        <v>0</v>
      </c>
      <c r="AQ312" s="33" t="s">
        <v>91</v>
      </c>
      <c r="AV312" s="30">
        <f>ROUND(AW312+AX312,2)</f>
        <v>0</v>
      </c>
      <c r="AW312" s="30">
        <f>ROUND(F312*AO312,2)</f>
        <v>0</v>
      </c>
      <c r="AX312" s="30">
        <f>ROUND(F312*AP312,2)</f>
        <v>0</v>
      </c>
      <c r="AY312" s="33" t="s">
        <v>163</v>
      </c>
      <c r="AZ312" s="33" t="s">
        <v>489</v>
      </c>
      <c r="BA312" s="10" t="s">
        <v>490</v>
      </c>
      <c r="BC312" s="30">
        <f>AW312+AX312</f>
        <v>0</v>
      </c>
      <c r="BD312" s="30">
        <f>G312/(100-BE312)*100</f>
        <v>0</v>
      </c>
      <c r="BE312" s="30">
        <v>0</v>
      </c>
      <c r="BF312" s="30">
        <f>312</f>
        <v>312</v>
      </c>
      <c r="BH312" s="30">
        <f>F312*AO312</f>
        <v>0</v>
      </c>
      <c r="BI312" s="30">
        <f>F312*AP312</f>
        <v>0</v>
      </c>
      <c r="BJ312" s="30">
        <f>F312*G312</f>
        <v>0</v>
      </c>
      <c r="BK312" s="33" t="s">
        <v>62</v>
      </c>
      <c r="BL312" s="30">
        <v>18</v>
      </c>
      <c r="BW312" s="30">
        <v>21</v>
      </c>
      <c r="BX312" s="4" t="s">
        <v>663</v>
      </c>
    </row>
    <row r="313" spans="1:76" x14ac:dyDescent="0.25">
      <c r="A313" s="25" t="s">
        <v>50</v>
      </c>
      <c r="B313" s="26" t="s">
        <v>50</v>
      </c>
      <c r="C313" s="93" t="s">
        <v>664</v>
      </c>
      <c r="D313" s="94"/>
      <c r="E313" s="27" t="s">
        <v>4</v>
      </c>
      <c r="F313" s="27" t="s">
        <v>4</v>
      </c>
      <c r="G313" s="28" t="s">
        <v>4</v>
      </c>
      <c r="H313" s="1">
        <f>H314+H322+H339+H348</f>
        <v>0</v>
      </c>
      <c r="I313" s="1">
        <f>I314+I322+I339+I348</f>
        <v>0</v>
      </c>
      <c r="J313" s="1">
        <f>J314+J322+J339+J348</f>
        <v>0</v>
      </c>
      <c r="K313" s="29" t="s">
        <v>50</v>
      </c>
    </row>
    <row r="314" spans="1:76" x14ac:dyDescent="0.25">
      <c r="A314" s="25" t="s">
        <v>50</v>
      </c>
      <c r="B314" s="26" t="s">
        <v>136</v>
      </c>
      <c r="C314" s="93" t="s">
        <v>665</v>
      </c>
      <c r="D314" s="94"/>
      <c r="E314" s="27" t="s">
        <v>4</v>
      </c>
      <c r="F314" s="27" t="s">
        <v>4</v>
      </c>
      <c r="G314" s="28" t="s">
        <v>4</v>
      </c>
      <c r="H314" s="1">
        <f>SUM(H315:H315)</f>
        <v>0</v>
      </c>
      <c r="I314" s="1">
        <f>SUM(I315:I315)</f>
        <v>0</v>
      </c>
      <c r="J314" s="1">
        <f>SUM(J315:J315)</f>
        <v>0</v>
      </c>
      <c r="K314" s="29" t="s">
        <v>50</v>
      </c>
      <c r="AI314" s="10" t="s">
        <v>666</v>
      </c>
      <c r="AS314" s="1">
        <f>SUM(AJ315:AJ315)</f>
        <v>0</v>
      </c>
      <c r="AT314" s="1">
        <f>SUM(AK315:AK315)</f>
        <v>0</v>
      </c>
      <c r="AU314" s="1">
        <f>SUM(AL315:AL315)</f>
        <v>0</v>
      </c>
    </row>
    <row r="315" spans="1:76" x14ac:dyDescent="0.25">
      <c r="A315" s="2" t="s">
        <v>667</v>
      </c>
      <c r="B315" s="3" t="s">
        <v>668</v>
      </c>
      <c r="C315" s="76" t="s">
        <v>669</v>
      </c>
      <c r="D315" s="71"/>
      <c r="E315" s="3" t="s">
        <v>129</v>
      </c>
      <c r="F315" s="30">
        <v>1.5</v>
      </c>
      <c r="G315" s="31">
        <v>0</v>
      </c>
      <c r="H315" s="30">
        <f>ROUND(F315*AO315,2)</f>
        <v>0</v>
      </c>
      <c r="I315" s="30">
        <f>ROUND(F315*AP315,2)</f>
        <v>0</v>
      </c>
      <c r="J315" s="30">
        <f>ROUND(F315*G315,2)</f>
        <v>0</v>
      </c>
      <c r="K315" s="32" t="s">
        <v>79</v>
      </c>
      <c r="Z315" s="30">
        <f>ROUND(IF(AQ315="5",BJ315,0),2)</f>
        <v>0</v>
      </c>
      <c r="AB315" s="30">
        <f>ROUND(IF(AQ315="1",BH315,0),2)</f>
        <v>0</v>
      </c>
      <c r="AC315" s="30">
        <f>ROUND(IF(AQ315="1",BI315,0),2)</f>
        <v>0</v>
      </c>
      <c r="AD315" s="30">
        <f>ROUND(IF(AQ315="7",BH315,0),2)</f>
        <v>0</v>
      </c>
      <c r="AE315" s="30">
        <f>ROUND(IF(AQ315="7",BI315,0),2)</f>
        <v>0</v>
      </c>
      <c r="AF315" s="30">
        <f>ROUND(IF(AQ315="2",BH315,0),2)</f>
        <v>0</v>
      </c>
      <c r="AG315" s="30">
        <f>ROUND(IF(AQ315="2",BI315,0),2)</f>
        <v>0</v>
      </c>
      <c r="AH315" s="30">
        <f>ROUND(IF(AQ315="0",BJ315,0),2)</f>
        <v>0</v>
      </c>
      <c r="AI315" s="10" t="s">
        <v>666</v>
      </c>
      <c r="AJ315" s="30">
        <f>IF(AN315=0,J315,0)</f>
        <v>0</v>
      </c>
      <c r="AK315" s="30">
        <f>IF(AN315=12,J315,0)</f>
        <v>0</v>
      </c>
      <c r="AL315" s="30">
        <f>IF(AN315=21,J315,0)</f>
        <v>0</v>
      </c>
      <c r="AN315" s="30">
        <v>21</v>
      </c>
      <c r="AO315" s="30">
        <f>G315*0</f>
        <v>0</v>
      </c>
      <c r="AP315" s="30">
        <f>G315*(1-0)</f>
        <v>0</v>
      </c>
      <c r="AQ315" s="33" t="s">
        <v>55</v>
      </c>
      <c r="AV315" s="30">
        <f>ROUND(AW315+AX315,2)</f>
        <v>0</v>
      </c>
      <c r="AW315" s="30">
        <f>ROUND(F315*AO315,2)</f>
        <v>0</v>
      </c>
      <c r="AX315" s="30">
        <f>ROUND(F315*AP315,2)</f>
        <v>0</v>
      </c>
      <c r="AY315" s="33" t="s">
        <v>670</v>
      </c>
      <c r="AZ315" s="33" t="s">
        <v>671</v>
      </c>
      <c r="BA315" s="10" t="s">
        <v>672</v>
      </c>
      <c r="BC315" s="30">
        <f>AW315+AX315</f>
        <v>0</v>
      </c>
      <c r="BD315" s="30">
        <f>G315/(100-BE315)*100</f>
        <v>0</v>
      </c>
      <c r="BE315" s="30">
        <v>0</v>
      </c>
      <c r="BF315" s="30">
        <f>315</f>
        <v>315</v>
      </c>
      <c r="BH315" s="30">
        <f>F315*AO315</f>
        <v>0</v>
      </c>
      <c r="BI315" s="30">
        <f>F315*AP315</f>
        <v>0</v>
      </c>
      <c r="BJ315" s="30">
        <f>F315*G315</f>
        <v>0</v>
      </c>
      <c r="BK315" s="33" t="s">
        <v>62</v>
      </c>
      <c r="BL315" s="30">
        <v>13</v>
      </c>
      <c r="BW315" s="30">
        <v>21</v>
      </c>
      <c r="BX315" s="4" t="s">
        <v>669</v>
      </c>
    </row>
    <row r="316" spans="1:76" ht="13.5" customHeight="1" x14ac:dyDescent="0.25">
      <c r="A316" s="34"/>
      <c r="B316" s="35" t="s">
        <v>63</v>
      </c>
      <c r="C316" s="89" t="s">
        <v>673</v>
      </c>
      <c r="D316" s="90"/>
      <c r="E316" s="90"/>
      <c r="F316" s="90"/>
      <c r="G316" s="91"/>
      <c r="H316" s="90"/>
      <c r="I316" s="90"/>
      <c r="J316" s="90"/>
      <c r="K316" s="92"/>
    </row>
    <row r="317" spans="1:76" x14ac:dyDescent="0.25">
      <c r="A317" s="34"/>
      <c r="C317" s="37" t="s">
        <v>674</v>
      </c>
      <c r="D317" s="37" t="s">
        <v>675</v>
      </c>
      <c r="F317" s="38">
        <v>0.27</v>
      </c>
      <c r="K317" s="39"/>
    </row>
    <row r="318" spans="1:76" x14ac:dyDescent="0.25">
      <c r="A318" s="34"/>
      <c r="C318" s="37" t="s">
        <v>676</v>
      </c>
      <c r="D318" s="37" t="s">
        <v>677</v>
      </c>
      <c r="F318" s="38">
        <v>0.22</v>
      </c>
      <c r="K318" s="39"/>
    </row>
    <row r="319" spans="1:76" x14ac:dyDescent="0.25">
      <c r="A319" s="34"/>
      <c r="C319" s="37" t="s">
        <v>678</v>
      </c>
      <c r="D319" s="37" t="s">
        <v>679</v>
      </c>
      <c r="F319" s="38">
        <v>7.0000000000000007E-2</v>
      </c>
      <c r="K319" s="39"/>
    </row>
    <row r="320" spans="1:76" x14ac:dyDescent="0.25">
      <c r="A320" s="34"/>
      <c r="C320" s="37" t="s">
        <v>680</v>
      </c>
      <c r="D320" s="37" t="s">
        <v>681</v>
      </c>
      <c r="F320" s="38">
        <v>0.94</v>
      </c>
      <c r="K320" s="39"/>
    </row>
    <row r="321" spans="1:76" x14ac:dyDescent="0.25">
      <c r="A321" s="34"/>
      <c r="B321" s="35" t="s">
        <v>84</v>
      </c>
      <c r="C321" s="102" t="s">
        <v>682</v>
      </c>
      <c r="D321" s="103"/>
      <c r="E321" s="103"/>
      <c r="F321" s="103"/>
      <c r="G321" s="104"/>
      <c r="H321" s="103"/>
      <c r="I321" s="103"/>
      <c r="J321" s="103"/>
      <c r="K321" s="105"/>
      <c r="BX321" s="36" t="s">
        <v>682</v>
      </c>
    </row>
    <row r="322" spans="1:76" x14ac:dyDescent="0.25">
      <c r="A322" s="25" t="s">
        <v>50</v>
      </c>
      <c r="B322" s="26" t="s">
        <v>249</v>
      </c>
      <c r="C322" s="93" t="s">
        <v>327</v>
      </c>
      <c r="D322" s="94"/>
      <c r="E322" s="27" t="s">
        <v>4</v>
      </c>
      <c r="F322" s="27" t="s">
        <v>4</v>
      </c>
      <c r="G322" s="28" t="s">
        <v>4</v>
      </c>
      <c r="H322" s="1">
        <f>SUM(H323:H334)</f>
        <v>0</v>
      </c>
      <c r="I322" s="1">
        <f>SUM(I323:I334)</f>
        <v>0</v>
      </c>
      <c r="J322" s="1">
        <f>SUM(J323:J334)</f>
        <v>0</v>
      </c>
      <c r="K322" s="29" t="s">
        <v>50</v>
      </c>
      <c r="AI322" s="10" t="s">
        <v>666</v>
      </c>
      <c r="AS322" s="1">
        <f>SUM(AJ323:AJ334)</f>
        <v>0</v>
      </c>
      <c r="AT322" s="1">
        <f>SUM(AK323:AK334)</f>
        <v>0</v>
      </c>
      <c r="AU322" s="1">
        <f>SUM(AL323:AL334)</f>
        <v>0</v>
      </c>
    </row>
    <row r="323" spans="1:76" x14ac:dyDescent="0.25">
      <c r="A323" s="2" t="s">
        <v>683</v>
      </c>
      <c r="B323" s="3" t="s">
        <v>341</v>
      </c>
      <c r="C323" s="76" t="s">
        <v>342</v>
      </c>
      <c r="D323" s="71"/>
      <c r="E323" s="3" t="s">
        <v>129</v>
      </c>
      <c r="F323" s="30">
        <v>1.5</v>
      </c>
      <c r="G323" s="31">
        <v>0</v>
      </c>
      <c r="H323" s="30">
        <f>ROUND(F323*AO323,2)</f>
        <v>0</v>
      </c>
      <c r="I323" s="30">
        <f>ROUND(F323*AP323,2)</f>
        <v>0</v>
      </c>
      <c r="J323" s="30">
        <f>ROUND(F323*G323,2)</f>
        <v>0</v>
      </c>
      <c r="K323" s="32" t="s">
        <v>79</v>
      </c>
      <c r="Z323" s="30">
        <f>ROUND(IF(AQ323="5",BJ323,0),2)</f>
        <v>0</v>
      </c>
      <c r="AB323" s="30">
        <f>ROUND(IF(AQ323="1",BH323,0),2)</f>
        <v>0</v>
      </c>
      <c r="AC323" s="30">
        <f>ROUND(IF(AQ323="1",BI323,0),2)</f>
        <v>0</v>
      </c>
      <c r="AD323" s="30">
        <f>ROUND(IF(AQ323="7",BH323,0),2)</f>
        <v>0</v>
      </c>
      <c r="AE323" s="30">
        <f>ROUND(IF(AQ323="7",BI323,0),2)</f>
        <v>0</v>
      </c>
      <c r="AF323" s="30">
        <f>ROUND(IF(AQ323="2",BH323,0),2)</f>
        <v>0</v>
      </c>
      <c r="AG323" s="30">
        <f>ROUND(IF(AQ323="2",BI323,0),2)</f>
        <v>0</v>
      </c>
      <c r="AH323" s="30">
        <f>ROUND(IF(AQ323="0",BJ323,0),2)</f>
        <v>0</v>
      </c>
      <c r="AI323" s="10" t="s">
        <v>666</v>
      </c>
      <c r="AJ323" s="30">
        <f>IF(AN323=0,J323,0)</f>
        <v>0</v>
      </c>
      <c r="AK323" s="30">
        <f>IF(AN323=12,J323,0)</f>
        <v>0</v>
      </c>
      <c r="AL323" s="30">
        <f>IF(AN323=21,J323,0)</f>
        <v>0</v>
      </c>
      <c r="AN323" s="30">
        <v>21</v>
      </c>
      <c r="AO323" s="30">
        <f>G323*0.904687351</f>
        <v>0</v>
      </c>
      <c r="AP323" s="30">
        <f>G323*(1-0.904687351)</f>
        <v>0</v>
      </c>
      <c r="AQ323" s="33" t="s">
        <v>55</v>
      </c>
      <c r="AV323" s="30">
        <f>ROUND(AW323+AX323,2)</f>
        <v>0</v>
      </c>
      <c r="AW323" s="30">
        <f>ROUND(F323*AO323,2)</f>
        <v>0</v>
      </c>
      <c r="AX323" s="30">
        <f>ROUND(F323*AP323,2)</f>
        <v>0</v>
      </c>
      <c r="AY323" s="33" t="s">
        <v>331</v>
      </c>
      <c r="AZ323" s="33" t="s">
        <v>684</v>
      </c>
      <c r="BA323" s="10" t="s">
        <v>672</v>
      </c>
      <c r="BC323" s="30">
        <f>AW323+AX323</f>
        <v>0</v>
      </c>
      <c r="BD323" s="30">
        <f>G323/(100-BE323)*100</f>
        <v>0</v>
      </c>
      <c r="BE323" s="30">
        <v>0</v>
      </c>
      <c r="BF323" s="30">
        <f>323</f>
        <v>323</v>
      </c>
      <c r="BH323" s="30">
        <f>F323*AO323</f>
        <v>0</v>
      </c>
      <c r="BI323" s="30">
        <f>F323*AP323</f>
        <v>0</v>
      </c>
      <c r="BJ323" s="30">
        <f>F323*G323</f>
        <v>0</v>
      </c>
      <c r="BK323" s="33" t="s">
        <v>62</v>
      </c>
      <c r="BL323" s="30">
        <v>27</v>
      </c>
      <c r="BW323" s="30">
        <v>21</v>
      </c>
      <c r="BX323" s="4" t="s">
        <v>342</v>
      </c>
    </row>
    <row r="324" spans="1:76" x14ac:dyDescent="0.25">
      <c r="A324" s="34"/>
      <c r="C324" s="37" t="s">
        <v>674</v>
      </c>
      <c r="D324" s="37" t="s">
        <v>675</v>
      </c>
      <c r="F324" s="38">
        <v>0.27</v>
      </c>
      <c r="K324" s="39"/>
    </row>
    <row r="325" spans="1:76" x14ac:dyDescent="0.25">
      <c r="A325" s="34"/>
      <c r="C325" s="37" t="s">
        <v>676</v>
      </c>
      <c r="D325" s="37" t="s">
        <v>677</v>
      </c>
      <c r="F325" s="38">
        <v>0.22</v>
      </c>
      <c r="K325" s="39"/>
    </row>
    <row r="326" spans="1:76" x14ac:dyDescent="0.25">
      <c r="A326" s="34"/>
      <c r="C326" s="37" t="s">
        <v>678</v>
      </c>
      <c r="D326" s="37" t="s">
        <v>679</v>
      </c>
      <c r="F326" s="38">
        <v>7.0000000000000007E-2</v>
      </c>
      <c r="K326" s="39"/>
    </row>
    <row r="327" spans="1:76" x14ac:dyDescent="0.25">
      <c r="A327" s="34"/>
      <c r="C327" s="37" t="s">
        <v>680</v>
      </c>
      <c r="D327" s="37" t="s">
        <v>681</v>
      </c>
      <c r="F327" s="38">
        <v>0.94</v>
      </c>
      <c r="K327" s="39"/>
    </row>
    <row r="328" spans="1:76" x14ac:dyDescent="0.25">
      <c r="A328" s="34"/>
      <c r="B328" s="35" t="s">
        <v>84</v>
      </c>
      <c r="C328" s="102" t="s">
        <v>343</v>
      </c>
      <c r="D328" s="103"/>
      <c r="E328" s="103"/>
      <c r="F328" s="103"/>
      <c r="G328" s="104"/>
      <c r="H328" s="103"/>
      <c r="I328" s="103"/>
      <c r="J328" s="103"/>
      <c r="K328" s="105"/>
      <c r="BX328" s="36" t="s">
        <v>343</v>
      </c>
    </row>
    <row r="329" spans="1:76" x14ac:dyDescent="0.25">
      <c r="A329" s="2" t="s">
        <v>685</v>
      </c>
      <c r="B329" s="3" t="s">
        <v>686</v>
      </c>
      <c r="C329" s="76" t="s">
        <v>687</v>
      </c>
      <c r="D329" s="71"/>
      <c r="E329" s="3" t="s">
        <v>78</v>
      </c>
      <c r="F329" s="30">
        <v>18.239999999999998</v>
      </c>
      <c r="G329" s="31">
        <v>0</v>
      </c>
      <c r="H329" s="30">
        <f>ROUND(F329*AO329,2)</f>
        <v>0</v>
      </c>
      <c r="I329" s="30">
        <f>ROUND(F329*AP329,2)</f>
        <v>0</v>
      </c>
      <c r="J329" s="30">
        <f>ROUND(F329*G329,2)</f>
        <v>0</v>
      </c>
      <c r="K329" s="32" t="s">
        <v>79</v>
      </c>
      <c r="Z329" s="30">
        <f>ROUND(IF(AQ329="5",BJ329,0),2)</f>
        <v>0</v>
      </c>
      <c r="AB329" s="30">
        <f>ROUND(IF(AQ329="1",BH329,0),2)</f>
        <v>0</v>
      </c>
      <c r="AC329" s="30">
        <f>ROUND(IF(AQ329="1",BI329,0),2)</f>
        <v>0</v>
      </c>
      <c r="AD329" s="30">
        <f>ROUND(IF(AQ329="7",BH329,0),2)</f>
        <v>0</v>
      </c>
      <c r="AE329" s="30">
        <f>ROUND(IF(AQ329="7",BI329,0),2)</f>
        <v>0</v>
      </c>
      <c r="AF329" s="30">
        <f>ROUND(IF(AQ329="2",BH329,0),2)</f>
        <v>0</v>
      </c>
      <c r="AG329" s="30">
        <f>ROUND(IF(AQ329="2",BI329,0),2)</f>
        <v>0</v>
      </c>
      <c r="AH329" s="30">
        <f>ROUND(IF(AQ329="0",BJ329,0),2)</f>
        <v>0</v>
      </c>
      <c r="AI329" s="10" t="s">
        <v>666</v>
      </c>
      <c r="AJ329" s="30">
        <f>IF(AN329=0,J329,0)</f>
        <v>0</v>
      </c>
      <c r="AK329" s="30">
        <f>IF(AN329=12,J329,0)</f>
        <v>0</v>
      </c>
      <c r="AL329" s="30">
        <f>IF(AN329=21,J329,0)</f>
        <v>0</v>
      </c>
      <c r="AN329" s="30">
        <v>21</v>
      </c>
      <c r="AO329" s="30">
        <f>G329*0.032616314</f>
        <v>0</v>
      </c>
      <c r="AP329" s="30">
        <f>G329*(1-0.032616314)</f>
        <v>0</v>
      </c>
      <c r="AQ329" s="33" t="s">
        <v>55</v>
      </c>
      <c r="AV329" s="30">
        <f>ROUND(AW329+AX329,2)</f>
        <v>0</v>
      </c>
      <c r="AW329" s="30">
        <f>ROUND(F329*AO329,2)</f>
        <v>0</v>
      </c>
      <c r="AX329" s="30">
        <f>ROUND(F329*AP329,2)</f>
        <v>0</v>
      </c>
      <c r="AY329" s="33" t="s">
        <v>331</v>
      </c>
      <c r="AZ329" s="33" t="s">
        <v>684</v>
      </c>
      <c r="BA329" s="10" t="s">
        <v>672</v>
      </c>
      <c r="BC329" s="30">
        <f>AW329+AX329</f>
        <v>0</v>
      </c>
      <c r="BD329" s="30">
        <f>G329/(100-BE329)*100</f>
        <v>0</v>
      </c>
      <c r="BE329" s="30">
        <v>0</v>
      </c>
      <c r="BF329" s="30">
        <f>329</f>
        <v>329</v>
      </c>
      <c r="BH329" s="30">
        <f>F329*AO329</f>
        <v>0</v>
      </c>
      <c r="BI329" s="30">
        <f>F329*AP329</f>
        <v>0</v>
      </c>
      <c r="BJ329" s="30">
        <f>F329*G329</f>
        <v>0</v>
      </c>
      <c r="BK329" s="33" t="s">
        <v>62</v>
      </c>
      <c r="BL329" s="30">
        <v>27</v>
      </c>
      <c r="BW329" s="30">
        <v>21</v>
      </c>
      <c r="BX329" s="4" t="s">
        <v>687</v>
      </c>
    </row>
    <row r="330" spans="1:76" x14ac:dyDescent="0.25">
      <c r="A330" s="34"/>
      <c r="C330" s="37" t="s">
        <v>688</v>
      </c>
      <c r="D330" s="37" t="s">
        <v>675</v>
      </c>
      <c r="F330" s="38">
        <v>3.6</v>
      </c>
      <c r="K330" s="39"/>
    </row>
    <row r="331" spans="1:76" x14ac:dyDescent="0.25">
      <c r="A331" s="34"/>
      <c r="C331" s="37" t="s">
        <v>689</v>
      </c>
      <c r="D331" s="37" t="s">
        <v>677</v>
      </c>
      <c r="F331" s="38">
        <v>2.88</v>
      </c>
      <c r="K331" s="39"/>
    </row>
    <row r="332" spans="1:76" x14ac:dyDescent="0.25">
      <c r="A332" s="34"/>
      <c r="C332" s="37" t="s">
        <v>690</v>
      </c>
      <c r="D332" s="37" t="s">
        <v>679</v>
      </c>
      <c r="F332" s="38">
        <v>0.84</v>
      </c>
      <c r="K332" s="39"/>
    </row>
    <row r="333" spans="1:76" x14ac:dyDescent="0.25">
      <c r="A333" s="34"/>
      <c r="C333" s="37" t="s">
        <v>691</v>
      </c>
      <c r="D333" s="37" t="s">
        <v>681</v>
      </c>
      <c r="F333" s="38">
        <v>10.92</v>
      </c>
      <c r="K333" s="39"/>
    </row>
    <row r="334" spans="1:76" x14ac:dyDescent="0.25">
      <c r="A334" s="2" t="s">
        <v>692</v>
      </c>
      <c r="B334" s="3" t="s">
        <v>693</v>
      </c>
      <c r="C334" s="76" t="s">
        <v>694</v>
      </c>
      <c r="D334" s="71"/>
      <c r="E334" s="3" t="s">
        <v>78</v>
      </c>
      <c r="F334" s="30">
        <v>18.239999999999998</v>
      </c>
      <c r="G334" s="31">
        <v>0</v>
      </c>
      <c r="H334" s="30">
        <f>ROUND(F334*AO334,2)</f>
        <v>0</v>
      </c>
      <c r="I334" s="30">
        <f>ROUND(F334*AP334,2)</f>
        <v>0</v>
      </c>
      <c r="J334" s="30">
        <f>ROUND(F334*G334,2)</f>
        <v>0</v>
      </c>
      <c r="K334" s="32" t="s">
        <v>79</v>
      </c>
      <c r="Z334" s="30">
        <f>ROUND(IF(AQ334="5",BJ334,0),2)</f>
        <v>0</v>
      </c>
      <c r="AB334" s="30">
        <f>ROUND(IF(AQ334="1",BH334,0),2)</f>
        <v>0</v>
      </c>
      <c r="AC334" s="30">
        <f>ROUND(IF(AQ334="1",BI334,0),2)</f>
        <v>0</v>
      </c>
      <c r="AD334" s="30">
        <f>ROUND(IF(AQ334="7",BH334,0),2)</f>
        <v>0</v>
      </c>
      <c r="AE334" s="30">
        <f>ROUND(IF(AQ334="7",BI334,0),2)</f>
        <v>0</v>
      </c>
      <c r="AF334" s="30">
        <f>ROUND(IF(AQ334="2",BH334,0),2)</f>
        <v>0</v>
      </c>
      <c r="AG334" s="30">
        <f>ROUND(IF(AQ334="2",BI334,0),2)</f>
        <v>0</v>
      </c>
      <c r="AH334" s="30">
        <f>ROUND(IF(AQ334="0",BJ334,0),2)</f>
        <v>0</v>
      </c>
      <c r="AI334" s="10" t="s">
        <v>666</v>
      </c>
      <c r="AJ334" s="30">
        <f>IF(AN334=0,J334,0)</f>
        <v>0</v>
      </c>
      <c r="AK334" s="30">
        <f>IF(AN334=12,J334,0)</f>
        <v>0</v>
      </c>
      <c r="AL334" s="30">
        <f>IF(AN334=21,J334,0)</f>
        <v>0</v>
      </c>
      <c r="AN334" s="30">
        <v>21</v>
      </c>
      <c r="AO334" s="30">
        <f>G334*0</f>
        <v>0</v>
      </c>
      <c r="AP334" s="30">
        <f>G334*(1-0)</f>
        <v>0</v>
      </c>
      <c r="AQ334" s="33" t="s">
        <v>55</v>
      </c>
      <c r="AV334" s="30">
        <f>ROUND(AW334+AX334,2)</f>
        <v>0</v>
      </c>
      <c r="AW334" s="30">
        <f>ROUND(F334*AO334,2)</f>
        <v>0</v>
      </c>
      <c r="AX334" s="30">
        <f>ROUND(F334*AP334,2)</f>
        <v>0</v>
      </c>
      <c r="AY334" s="33" t="s">
        <v>331</v>
      </c>
      <c r="AZ334" s="33" t="s">
        <v>684</v>
      </c>
      <c r="BA334" s="10" t="s">
        <v>672</v>
      </c>
      <c r="BC334" s="30">
        <f>AW334+AX334</f>
        <v>0</v>
      </c>
      <c r="BD334" s="30">
        <f>G334/(100-BE334)*100</f>
        <v>0</v>
      </c>
      <c r="BE334" s="30">
        <v>0</v>
      </c>
      <c r="BF334" s="30">
        <f>334</f>
        <v>334</v>
      </c>
      <c r="BH334" s="30">
        <f>F334*AO334</f>
        <v>0</v>
      </c>
      <c r="BI334" s="30">
        <f>F334*AP334</f>
        <v>0</v>
      </c>
      <c r="BJ334" s="30">
        <f>F334*G334</f>
        <v>0</v>
      </c>
      <c r="BK334" s="33" t="s">
        <v>62</v>
      </c>
      <c r="BL334" s="30">
        <v>27</v>
      </c>
      <c r="BW334" s="30">
        <v>21</v>
      </c>
      <c r="BX334" s="4" t="s">
        <v>694</v>
      </c>
    </row>
    <row r="335" spans="1:76" x14ac:dyDescent="0.25">
      <c r="A335" s="34"/>
      <c r="C335" s="37" t="s">
        <v>688</v>
      </c>
      <c r="D335" s="37" t="s">
        <v>675</v>
      </c>
      <c r="F335" s="38">
        <v>3.6</v>
      </c>
      <c r="K335" s="39"/>
    </row>
    <row r="336" spans="1:76" x14ac:dyDescent="0.25">
      <c r="A336" s="34"/>
      <c r="C336" s="37" t="s">
        <v>689</v>
      </c>
      <c r="D336" s="37" t="s">
        <v>677</v>
      </c>
      <c r="F336" s="38">
        <v>2.88</v>
      </c>
      <c r="K336" s="39"/>
    </row>
    <row r="337" spans="1:76" x14ac:dyDescent="0.25">
      <c r="A337" s="34"/>
      <c r="C337" s="37" t="s">
        <v>690</v>
      </c>
      <c r="D337" s="37" t="s">
        <v>679</v>
      </c>
      <c r="F337" s="38">
        <v>0.84</v>
      </c>
      <c r="K337" s="39"/>
    </row>
    <row r="338" spans="1:76" x14ac:dyDescent="0.25">
      <c r="A338" s="34"/>
      <c r="C338" s="37" t="s">
        <v>691</v>
      </c>
      <c r="D338" s="37" t="s">
        <v>681</v>
      </c>
      <c r="F338" s="38">
        <v>10.92</v>
      </c>
      <c r="K338" s="39"/>
    </row>
    <row r="339" spans="1:76" x14ac:dyDescent="0.25">
      <c r="A339" s="25" t="s">
        <v>50</v>
      </c>
      <c r="B339" s="26" t="s">
        <v>452</v>
      </c>
      <c r="C339" s="93" t="s">
        <v>453</v>
      </c>
      <c r="D339" s="94"/>
      <c r="E339" s="27" t="s">
        <v>4</v>
      </c>
      <c r="F339" s="27" t="s">
        <v>4</v>
      </c>
      <c r="G339" s="28" t="s">
        <v>4</v>
      </c>
      <c r="H339" s="1">
        <f>SUM(H340:H347)</f>
        <v>0</v>
      </c>
      <c r="I339" s="1">
        <f>SUM(I340:I347)</f>
        <v>0</v>
      </c>
      <c r="J339" s="1">
        <f>SUM(J340:J347)</f>
        <v>0</v>
      </c>
      <c r="K339" s="29" t="s">
        <v>50</v>
      </c>
      <c r="AI339" s="10" t="s">
        <v>666</v>
      </c>
      <c r="AS339" s="1">
        <f>SUM(AJ340:AJ347)</f>
        <v>0</v>
      </c>
      <c r="AT339" s="1">
        <f>SUM(AK340:AK347)</f>
        <v>0</v>
      </c>
      <c r="AU339" s="1">
        <f>SUM(AL340:AL347)</f>
        <v>0</v>
      </c>
    </row>
    <row r="340" spans="1:76" x14ac:dyDescent="0.25">
      <c r="A340" s="2" t="s">
        <v>695</v>
      </c>
      <c r="B340" s="3" t="s">
        <v>696</v>
      </c>
      <c r="C340" s="76" t="s">
        <v>697</v>
      </c>
      <c r="D340" s="71"/>
      <c r="E340" s="3" t="s">
        <v>120</v>
      </c>
      <c r="F340" s="30">
        <v>23</v>
      </c>
      <c r="G340" s="31">
        <v>0</v>
      </c>
      <c r="H340" s="30">
        <f>ROUND(F340*AO340,2)</f>
        <v>0</v>
      </c>
      <c r="I340" s="30">
        <f>ROUND(F340*AP340,2)</f>
        <v>0</v>
      </c>
      <c r="J340" s="30">
        <f>ROUND(F340*G340,2)</f>
        <v>0</v>
      </c>
      <c r="K340" s="32" t="s">
        <v>79</v>
      </c>
      <c r="Z340" s="30">
        <f>ROUND(IF(AQ340="5",BJ340,0),2)</f>
        <v>0</v>
      </c>
      <c r="AB340" s="30">
        <f>ROUND(IF(AQ340="1",BH340,0),2)</f>
        <v>0</v>
      </c>
      <c r="AC340" s="30">
        <f>ROUND(IF(AQ340="1",BI340,0),2)</f>
        <v>0</v>
      </c>
      <c r="AD340" s="30">
        <f>ROUND(IF(AQ340="7",BH340,0),2)</f>
        <v>0</v>
      </c>
      <c r="AE340" s="30">
        <f>ROUND(IF(AQ340="7",BI340,0),2)</f>
        <v>0</v>
      </c>
      <c r="AF340" s="30">
        <f>ROUND(IF(AQ340="2",BH340,0),2)</f>
        <v>0</v>
      </c>
      <c r="AG340" s="30">
        <f>ROUND(IF(AQ340="2",BI340,0),2)</f>
        <v>0</v>
      </c>
      <c r="AH340" s="30">
        <f>ROUND(IF(AQ340="0",BJ340,0),2)</f>
        <v>0</v>
      </c>
      <c r="AI340" s="10" t="s">
        <v>666</v>
      </c>
      <c r="AJ340" s="30">
        <f>IF(AN340=0,J340,0)</f>
        <v>0</v>
      </c>
      <c r="AK340" s="30">
        <f>IF(AN340=12,J340,0)</f>
        <v>0</v>
      </c>
      <c r="AL340" s="30">
        <f>IF(AN340=21,J340,0)</f>
        <v>0</v>
      </c>
      <c r="AN340" s="30">
        <v>21</v>
      </c>
      <c r="AO340" s="30">
        <f>G340*0.207547132</f>
        <v>0</v>
      </c>
      <c r="AP340" s="30">
        <f>G340*(1-0.207547132)</f>
        <v>0</v>
      </c>
      <c r="AQ340" s="33" t="s">
        <v>55</v>
      </c>
      <c r="AV340" s="30">
        <f>ROUND(AW340+AX340,2)</f>
        <v>0</v>
      </c>
      <c r="AW340" s="30">
        <f>ROUND(F340*AO340,2)</f>
        <v>0</v>
      </c>
      <c r="AX340" s="30">
        <f>ROUND(F340*AP340,2)</f>
        <v>0</v>
      </c>
      <c r="AY340" s="33" t="s">
        <v>457</v>
      </c>
      <c r="AZ340" s="33" t="s">
        <v>698</v>
      </c>
      <c r="BA340" s="10" t="s">
        <v>672</v>
      </c>
      <c r="BC340" s="30">
        <f>AW340+AX340</f>
        <v>0</v>
      </c>
      <c r="BD340" s="30">
        <f>G340/(100-BE340)*100</f>
        <v>0</v>
      </c>
      <c r="BE340" s="30">
        <v>0</v>
      </c>
      <c r="BF340" s="30">
        <f>340</f>
        <v>340</v>
      </c>
      <c r="BH340" s="30">
        <f>F340*AO340</f>
        <v>0</v>
      </c>
      <c r="BI340" s="30">
        <f>F340*AP340</f>
        <v>0</v>
      </c>
      <c r="BJ340" s="30">
        <f>F340*G340</f>
        <v>0</v>
      </c>
      <c r="BK340" s="33" t="s">
        <v>62</v>
      </c>
      <c r="BL340" s="30">
        <v>93</v>
      </c>
      <c r="BW340" s="30">
        <v>21</v>
      </c>
      <c r="BX340" s="4" t="s">
        <v>697</v>
      </c>
    </row>
    <row r="341" spans="1:76" ht="13.5" customHeight="1" x14ac:dyDescent="0.25">
      <c r="A341" s="34"/>
      <c r="B341" s="35" t="s">
        <v>63</v>
      </c>
      <c r="C341" s="89" t="s">
        <v>699</v>
      </c>
      <c r="D341" s="90"/>
      <c r="E341" s="90"/>
      <c r="F341" s="90"/>
      <c r="G341" s="91"/>
      <c r="H341" s="90"/>
      <c r="I341" s="90"/>
      <c r="J341" s="90"/>
      <c r="K341" s="92"/>
    </row>
    <row r="342" spans="1:76" x14ac:dyDescent="0.25">
      <c r="A342" s="34"/>
      <c r="C342" s="37" t="s">
        <v>700</v>
      </c>
      <c r="D342" s="37" t="s">
        <v>50</v>
      </c>
      <c r="F342" s="38">
        <v>23</v>
      </c>
      <c r="K342" s="39"/>
    </row>
    <row r="343" spans="1:76" ht="26.45" customHeight="1" x14ac:dyDescent="0.25">
      <c r="A343" s="2" t="s">
        <v>701</v>
      </c>
      <c r="B343" s="3" t="s">
        <v>702</v>
      </c>
      <c r="C343" s="76" t="s">
        <v>703</v>
      </c>
      <c r="D343" s="71"/>
      <c r="E343" s="3" t="s">
        <v>58</v>
      </c>
      <c r="F343" s="30">
        <v>1</v>
      </c>
      <c r="G343" s="31">
        <v>0</v>
      </c>
      <c r="H343" s="30">
        <f>ROUND(F343*AO343,2)</f>
        <v>0</v>
      </c>
      <c r="I343" s="30">
        <f>ROUND(F343*AP343,2)</f>
        <v>0</v>
      </c>
      <c r="J343" s="30">
        <f>ROUND(F343*G343,2)</f>
        <v>0</v>
      </c>
      <c r="K343" s="32" t="s">
        <v>50</v>
      </c>
      <c r="Z343" s="30">
        <f>ROUND(IF(AQ343="5",BJ343,0),2)</f>
        <v>0</v>
      </c>
      <c r="AB343" s="30">
        <f>ROUND(IF(AQ343="1",BH343,0),2)</f>
        <v>0</v>
      </c>
      <c r="AC343" s="30">
        <f>ROUND(IF(AQ343="1",BI343,0),2)</f>
        <v>0</v>
      </c>
      <c r="AD343" s="30">
        <f>ROUND(IF(AQ343="7",BH343,0),2)</f>
        <v>0</v>
      </c>
      <c r="AE343" s="30">
        <f>ROUND(IF(AQ343="7",BI343,0),2)</f>
        <v>0</v>
      </c>
      <c r="AF343" s="30">
        <f>ROUND(IF(AQ343="2",BH343,0),2)</f>
        <v>0</v>
      </c>
      <c r="AG343" s="30">
        <f>ROUND(IF(AQ343="2",BI343,0),2)</f>
        <v>0</v>
      </c>
      <c r="AH343" s="30">
        <f>ROUND(IF(AQ343="0",BJ343,0),2)</f>
        <v>0</v>
      </c>
      <c r="AI343" s="10" t="s">
        <v>666</v>
      </c>
      <c r="AJ343" s="30">
        <f>IF(AN343=0,J343,0)</f>
        <v>0</v>
      </c>
      <c r="AK343" s="30">
        <f>IF(AN343=12,J343,0)</f>
        <v>0</v>
      </c>
      <c r="AL343" s="30">
        <f>IF(AN343=21,J343,0)</f>
        <v>0</v>
      </c>
      <c r="AN343" s="30">
        <v>21</v>
      </c>
      <c r="AO343" s="30">
        <f>G343*1</f>
        <v>0</v>
      </c>
      <c r="AP343" s="30">
        <f>G343*(1-1)</f>
        <v>0</v>
      </c>
      <c r="AQ343" s="33" t="s">
        <v>55</v>
      </c>
      <c r="AV343" s="30">
        <f>ROUND(AW343+AX343,2)</f>
        <v>0</v>
      </c>
      <c r="AW343" s="30">
        <f>ROUND(F343*AO343,2)</f>
        <v>0</v>
      </c>
      <c r="AX343" s="30">
        <f>ROUND(F343*AP343,2)</f>
        <v>0</v>
      </c>
      <c r="AY343" s="33" t="s">
        <v>457</v>
      </c>
      <c r="AZ343" s="33" t="s">
        <v>698</v>
      </c>
      <c r="BA343" s="10" t="s">
        <v>672</v>
      </c>
      <c r="BC343" s="30">
        <f>AW343+AX343</f>
        <v>0</v>
      </c>
      <c r="BD343" s="30">
        <f>G343/(100-BE343)*100</f>
        <v>0</v>
      </c>
      <c r="BE343" s="30">
        <v>0</v>
      </c>
      <c r="BF343" s="30">
        <f>343</f>
        <v>343</v>
      </c>
      <c r="BH343" s="30">
        <f>F343*AO343</f>
        <v>0</v>
      </c>
      <c r="BI343" s="30">
        <f>F343*AP343</f>
        <v>0</v>
      </c>
      <c r="BJ343" s="30">
        <f>F343*G343</f>
        <v>0</v>
      </c>
      <c r="BK343" s="33" t="s">
        <v>173</v>
      </c>
      <c r="BL343" s="30">
        <v>93</v>
      </c>
      <c r="BW343" s="30">
        <v>21</v>
      </c>
      <c r="BX343" s="4" t="s">
        <v>703</v>
      </c>
    </row>
    <row r="344" spans="1:76" x14ac:dyDescent="0.25">
      <c r="A344" s="2" t="s">
        <v>704</v>
      </c>
      <c r="B344" s="3" t="s">
        <v>705</v>
      </c>
      <c r="C344" s="76" t="s">
        <v>706</v>
      </c>
      <c r="D344" s="71"/>
      <c r="E344" s="3" t="s">
        <v>440</v>
      </c>
      <c r="F344" s="30">
        <v>2</v>
      </c>
      <c r="G344" s="31">
        <v>0</v>
      </c>
      <c r="H344" s="30">
        <f>ROUND(F344*AO344,2)</f>
        <v>0</v>
      </c>
      <c r="I344" s="30">
        <f>ROUND(F344*AP344,2)</f>
        <v>0</v>
      </c>
      <c r="J344" s="30">
        <f>ROUND(F344*G344,2)</f>
        <v>0</v>
      </c>
      <c r="K344" s="32" t="s">
        <v>50</v>
      </c>
      <c r="Z344" s="30">
        <f>ROUND(IF(AQ344="5",BJ344,0),2)</f>
        <v>0</v>
      </c>
      <c r="AB344" s="30">
        <f>ROUND(IF(AQ344="1",BH344,0),2)</f>
        <v>0</v>
      </c>
      <c r="AC344" s="30">
        <f>ROUND(IF(AQ344="1",BI344,0),2)</f>
        <v>0</v>
      </c>
      <c r="AD344" s="30">
        <f>ROUND(IF(AQ344="7",BH344,0),2)</f>
        <v>0</v>
      </c>
      <c r="AE344" s="30">
        <f>ROUND(IF(AQ344="7",BI344,0),2)</f>
        <v>0</v>
      </c>
      <c r="AF344" s="30">
        <f>ROUND(IF(AQ344="2",BH344,0),2)</f>
        <v>0</v>
      </c>
      <c r="AG344" s="30">
        <f>ROUND(IF(AQ344="2",BI344,0),2)</f>
        <v>0</v>
      </c>
      <c r="AH344" s="30">
        <f>ROUND(IF(AQ344="0",BJ344,0),2)</f>
        <v>0</v>
      </c>
      <c r="AI344" s="10" t="s">
        <v>666</v>
      </c>
      <c r="AJ344" s="30">
        <f>IF(AN344=0,J344,0)</f>
        <v>0</v>
      </c>
      <c r="AK344" s="30">
        <f>IF(AN344=12,J344,0)</f>
        <v>0</v>
      </c>
      <c r="AL344" s="30">
        <f>IF(AN344=21,J344,0)</f>
        <v>0</v>
      </c>
      <c r="AN344" s="30">
        <v>21</v>
      </c>
      <c r="AO344" s="30">
        <f>G344*1</f>
        <v>0</v>
      </c>
      <c r="AP344" s="30">
        <f>G344*(1-1)</f>
        <v>0</v>
      </c>
      <c r="AQ344" s="33" t="s">
        <v>55</v>
      </c>
      <c r="AV344" s="30">
        <f>ROUND(AW344+AX344,2)</f>
        <v>0</v>
      </c>
      <c r="AW344" s="30">
        <f>ROUND(F344*AO344,2)</f>
        <v>0</v>
      </c>
      <c r="AX344" s="30">
        <f>ROUND(F344*AP344,2)</f>
        <v>0</v>
      </c>
      <c r="AY344" s="33" t="s">
        <v>457</v>
      </c>
      <c r="AZ344" s="33" t="s">
        <v>698</v>
      </c>
      <c r="BA344" s="10" t="s">
        <v>672</v>
      </c>
      <c r="BC344" s="30">
        <f>AW344+AX344</f>
        <v>0</v>
      </c>
      <c r="BD344" s="30">
        <f>G344/(100-BE344)*100</f>
        <v>0</v>
      </c>
      <c r="BE344" s="30">
        <v>0</v>
      </c>
      <c r="BF344" s="30">
        <f>344</f>
        <v>344</v>
      </c>
      <c r="BH344" s="30">
        <f>F344*AO344</f>
        <v>0</v>
      </c>
      <c r="BI344" s="30">
        <f>F344*AP344</f>
        <v>0</v>
      </c>
      <c r="BJ344" s="30">
        <f>F344*G344</f>
        <v>0</v>
      </c>
      <c r="BK344" s="33" t="s">
        <v>173</v>
      </c>
      <c r="BL344" s="30">
        <v>93</v>
      </c>
      <c r="BW344" s="30">
        <v>21</v>
      </c>
      <c r="BX344" s="4" t="s">
        <v>706</v>
      </c>
    </row>
    <row r="345" spans="1:76" ht="24.6" customHeight="1" x14ac:dyDescent="0.25">
      <c r="A345" s="2" t="s">
        <v>707</v>
      </c>
      <c r="B345" s="3" t="s">
        <v>708</v>
      </c>
      <c r="C345" s="76" t="s">
        <v>709</v>
      </c>
      <c r="D345" s="71"/>
      <c r="E345" s="3" t="s">
        <v>440</v>
      </c>
      <c r="F345" s="30">
        <v>5</v>
      </c>
      <c r="G345" s="31">
        <v>0</v>
      </c>
      <c r="H345" s="30">
        <f>ROUND(F345*AO345,2)</f>
        <v>0</v>
      </c>
      <c r="I345" s="30">
        <f>ROUND(F345*AP345,2)</f>
        <v>0</v>
      </c>
      <c r="J345" s="30">
        <f>ROUND(F345*G345,2)</f>
        <v>0</v>
      </c>
      <c r="K345" s="32" t="s">
        <v>50</v>
      </c>
      <c r="Z345" s="30">
        <f>ROUND(IF(AQ345="5",BJ345,0),2)</f>
        <v>0</v>
      </c>
      <c r="AB345" s="30">
        <f>ROUND(IF(AQ345="1",BH345,0),2)</f>
        <v>0</v>
      </c>
      <c r="AC345" s="30">
        <f>ROUND(IF(AQ345="1",BI345,0),2)</f>
        <v>0</v>
      </c>
      <c r="AD345" s="30">
        <f>ROUND(IF(AQ345="7",BH345,0),2)</f>
        <v>0</v>
      </c>
      <c r="AE345" s="30">
        <f>ROUND(IF(AQ345="7",BI345,0),2)</f>
        <v>0</v>
      </c>
      <c r="AF345" s="30">
        <f>ROUND(IF(AQ345="2",BH345,0),2)</f>
        <v>0</v>
      </c>
      <c r="AG345" s="30">
        <f>ROUND(IF(AQ345="2",BI345,0),2)</f>
        <v>0</v>
      </c>
      <c r="AH345" s="30">
        <f>ROUND(IF(AQ345="0",BJ345,0),2)</f>
        <v>0</v>
      </c>
      <c r="AI345" s="10" t="s">
        <v>666</v>
      </c>
      <c r="AJ345" s="30">
        <f>IF(AN345=0,J345,0)</f>
        <v>0</v>
      </c>
      <c r="AK345" s="30">
        <f>IF(AN345=12,J345,0)</f>
        <v>0</v>
      </c>
      <c r="AL345" s="30">
        <f>IF(AN345=21,J345,0)</f>
        <v>0</v>
      </c>
      <c r="AN345" s="30">
        <v>21</v>
      </c>
      <c r="AO345" s="30">
        <f>G345*1</f>
        <v>0</v>
      </c>
      <c r="AP345" s="30">
        <f>G345*(1-1)</f>
        <v>0</v>
      </c>
      <c r="AQ345" s="33" t="s">
        <v>55</v>
      </c>
      <c r="AV345" s="30">
        <f>ROUND(AW345+AX345,2)</f>
        <v>0</v>
      </c>
      <c r="AW345" s="30">
        <f>ROUND(F345*AO345,2)</f>
        <v>0</v>
      </c>
      <c r="AX345" s="30">
        <f>ROUND(F345*AP345,2)</f>
        <v>0</v>
      </c>
      <c r="AY345" s="33" t="s">
        <v>457</v>
      </c>
      <c r="AZ345" s="33" t="s">
        <v>698</v>
      </c>
      <c r="BA345" s="10" t="s">
        <v>672</v>
      </c>
      <c r="BC345" s="30">
        <f>AW345+AX345</f>
        <v>0</v>
      </c>
      <c r="BD345" s="30">
        <f>G345/(100-BE345)*100</f>
        <v>0</v>
      </c>
      <c r="BE345" s="30">
        <v>0</v>
      </c>
      <c r="BF345" s="30">
        <f>345</f>
        <v>345</v>
      </c>
      <c r="BH345" s="30">
        <f>F345*AO345</f>
        <v>0</v>
      </c>
      <c r="BI345" s="30">
        <f>F345*AP345</f>
        <v>0</v>
      </c>
      <c r="BJ345" s="30">
        <f>F345*G345</f>
        <v>0</v>
      </c>
      <c r="BK345" s="33" t="s">
        <v>173</v>
      </c>
      <c r="BL345" s="30">
        <v>93</v>
      </c>
      <c r="BW345" s="30">
        <v>21</v>
      </c>
      <c r="BX345" s="4" t="s">
        <v>709</v>
      </c>
    </row>
    <row r="346" spans="1:76" ht="25.15" customHeight="1" x14ac:dyDescent="0.25">
      <c r="A346" s="2" t="s">
        <v>710</v>
      </c>
      <c r="B346" s="3" t="s">
        <v>711</v>
      </c>
      <c r="C346" s="76" t="s">
        <v>712</v>
      </c>
      <c r="D346" s="71"/>
      <c r="E346" s="3" t="s">
        <v>440</v>
      </c>
      <c r="F346" s="30">
        <v>4</v>
      </c>
      <c r="G346" s="31">
        <v>0</v>
      </c>
      <c r="H346" s="30">
        <f>ROUND(F346*AO346,2)</f>
        <v>0</v>
      </c>
      <c r="I346" s="30">
        <f>ROUND(F346*AP346,2)</f>
        <v>0</v>
      </c>
      <c r="J346" s="30">
        <f>ROUND(F346*G346,2)</f>
        <v>0</v>
      </c>
      <c r="K346" s="32" t="s">
        <v>50</v>
      </c>
      <c r="Z346" s="30">
        <f>ROUND(IF(AQ346="5",BJ346,0),2)</f>
        <v>0</v>
      </c>
      <c r="AB346" s="30">
        <f>ROUND(IF(AQ346="1",BH346,0),2)</f>
        <v>0</v>
      </c>
      <c r="AC346" s="30">
        <f>ROUND(IF(AQ346="1",BI346,0),2)</f>
        <v>0</v>
      </c>
      <c r="AD346" s="30">
        <f>ROUND(IF(AQ346="7",BH346,0),2)</f>
        <v>0</v>
      </c>
      <c r="AE346" s="30">
        <f>ROUND(IF(AQ346="7",BI346,0),2)</f>
        <v>0</v>
      </c>
      <c r="AF346" s="30">
        <f>ROUND(IF(AQ346="2",BH346,0),2)</f>
        <v>0</v>
      </c>
      <c r="AG346" s="30">
        <f>ROUND(IF(AQ346="2",BI346,0),2)</f>
        <v>0</v>
      </c>
      <c r="AH346" s="30">
        <f>ROUND(IF(AQ346="0",BJ346,0),2)</f>
        <v>0</v>
      </c>
      <c r="AI346" s="10" t="s">
        <v>666</v>
      </c>
      <c r="AJ346" s="30">
        <f>IF(AN346=0,J346,0)</f>
        <v>0</v>
      </c>
      <c r="AK346" s="30">
        <f>IF(AN346=12,J346,0)</f>
        <v>0</v>
      </c>
      <c r="AL346" s="30">
        <f>IF(AN346=21,J346,0)</f>
        <v>0</v>
      </c>
      <c r="AN346" s="30">
        <v>21</v>
      </c>
      <c r="AO346" s="30">
        <f>G346*1</f>
        <v>0</v>
      </c>
      <c r="AP346" s="30">
        <f>G346*(1-1)</f>
        <v>0</v>
      </c>
      <c r="AQ346" s="33" t="s">
        <v>55</v>
      </c>
      <c r="AV346" s="30">
        <f>ROUND(AW346+AX346,2)</f>
        <v>0</v>
      </c>
      <c r="AW346" s="30">
        <f>ROUND(F346*AO346,2)</f>
        <v>0</v>
      </c>
      <c r="AX346" s="30">
        <f>ROUND(F346*AP346,2)</f>
        <v>0</v>
      </c>
      <c r="AY346" s="33" t="s">
        <v>457</v>
      </c>
      <c r="AZ346" s="33" t="s">
        <v>698</v>
      </c>
      <c r="BA346" s="10" t="s">
        <v>672</v>
      </c>
      <c r="BC346" s="30">
        <f>AW346+AX346</f>
        <v>0</v>
      </c>
      <c r="BD346" s="30">
        <f>G346/(100-BE346)*100</f>
        <v>0</v>
      </c>
      <c r="BE346" s="30">
        <v>0</v>
      </c>
      <c r="BF346" s="30">
        <f>346</f>
        <v>346</v>
      </c>
      <c r="BH346" s="30">
        <f>F346*AO346</f>
        <v>0</v>
      </c>
      <c r="BI346" s="30">
        <f>F346*AP346</f>
        <v>0</v>
      </c>
      <c r="BJ346" s="30">
        <f>F346*G346</f>
        <v>0</v>
      </c>
      <c r="BK346" s="33" t="s">
        <v>173</v>
      </c>
      <c r="BL346" s="30">
        <v>93</v>
      </c>
      <c r="BW346" s="30">
        <v>21</v>
      </c>
      <c r="BX346" s="4" t="s">
        <v>712</v>
      </c>
    </row>
    <row r="347" spans="1:76" x14ac:dyDescent="0.25">
      <c r="A347" s="2" t="s">
        <v>713</v>
      </c>
      <c r="B347" s="3" t="s">
        <v>714</v>
      </c>
      <c r="C347" s="76" t="s">
        <v>715</v>
      </c>
      <c r="D347" s="71"/>
      <c r="E347" s="3" t="s">
        <v>440</v>
      </c>
      <c r="F347" s="30">
        <v>2</v>
      </c>
      <c r="G347" s="31">
        <v>0</v>
      </c>
      <c r="H347" s="30">
        <f>ROUND(F347*AO347,2)</f>
        <v>0</v>
      </c>
      <c r="I347" s="30">
        <f>ROUND(F347*AP347,2)</f>
        <v>0</v>
      </c>
      <c r="J347" s="30">
        <f>ROUND(F347*G347,2)</f>
        <v>0</v>
      </c>
      <c r="K347" s="32" t="s">
        <v>50</v>
      </c>
      <c r="Z347" s="30">
        <f>ROUND(IF(AQ347="5",BJ347,0),2)</f>
        <v>0</v>
      </c>
      <c r="AB347" s="30">
        <f>ROUND(IF(AQ347="1",BH347,0),2)</f>
        <v>0</v>
      </c>
      <c r="AC347" s="30">
        <f>ROUND(IF(AQ347="1",BI347,0),2)</f>
        <v>0</v>
      </c>
      <c r="AD347" s="30">
        <f>ROUND(IF(AQ347="7",BH347,0),2)</f>
        <v>0</v>
      </c>
      <c r="AE347" s="30">
        <f>ROUND(IF(AQ347="7",BI347,0),2)</f>
        <v>0</v>
      </c>
      <c r="AF347" s="30">
        <f>ROUND(IF(AQ347="2",BH347,0),2)</f>
        <v>0</v>
      </c>
      <c r="AG347" s="30">
        <f>ROUND(IF(AQ347="2",BI347,0),2)</f>
        <v>0</v>
      </c>
      <c r="AH347" s="30">
        <f>ROUND(IF(AQ347="0",BJ347,0),2)</f>
        <v>0</v>
      </c>
      <c r="AI347" s="10" t="s">
        <v>666</v>
      </c>
      <c r="AJ347" s="30">
        <f>IF(AN347=0,J347,0)</f>
        <v>0</v>
      </c>
      <c r="AK347" s="30">
        <f>IF(AN347=12,J347,0)</f>
        <v>0</v>
      </c>
      <c r="AL347" s="30">
        <f>IF(AN347=21,J347,0)</f>
        <v>0</v>
      </c>
      <c r="AN347" s="30">
        <v>21</v>
      </c>
      <c r="AO347" s="30">
        <f>G347*0.571428571</f>
        <v>0</v>
      </c>
      <c r="AP347" s="30">
        <f>G347*(1-0.571428571)</f>
        <v>0</v>
      </c>
      <c r="AQ347" s="33" t="s">
        <v>55</v>
      </c>
      <c r="AV347" s="30">
        <f>ROUND(AW347+AX347,2)</f>
        <v>0</v>
      </c>
      <c r="AW347" s="30">
        <f>ROUND(F347*AO347,2)</f>
        <v>0</v>
      </c>
      <c r="AX347" s="30">
        <f>ROUND(F347*AP347,2)</f>
        <v>0</v>
      </c>
      <c r="AY347" s="33" t="s">
        <v>457</v>
      </c>
      <c r="AZ347" s="33" t="s">
        <v>698</v>
      </c>
      <c r="BA347" s="10" t="s">
        <v>672</v>
      </c>
      <c r="BC347" s="30">
        <f>AW347+AX347</f>
        <v>0</v>
      </c>
      <c r="BD347" s="30">
        <f>G347/(100-BE347)*100</f>
        <v>0</v>
      </c>
      <c r="BE347" s="30">
        <v>0</v>
      </c>
      <c r="BF347" s="30">
        <f>347</f>
        <v>347</v>
      </c>
      <c r="BH347" s="30">
        <f>F347*AO347</f>
        <v>0</v>
      </c>
      <c r="BI347" s="30">
        <f>F347*AP347</f>
        <v>0</v>
      </c>
      <c r="BJ347" s="30">
        <f>F347*G347</f>
        <v>0</v>
      </c>
      <c r="BK347" s="33" t="s">
        <v>62</v>
      </c>
      <c r="BL347" s="30">
        <v>93</v>
      </c>
      <c r="BW347" s="30">
        <v>21</v>
      </c>
      <c r="BX347" s="4" t="s">
        <v>715</v>
      </c>
    </row>
    <row r="348" spans="1:76" x14ac:dyDescent="0.25">
      <c r="A348" s="25" t="s">
        <v>50</v>
      </c>
      <c r="B348" s="26" t="s">
        <v>460</v>
      </c>
      <c r="C348" s="93" t="s">
        <v>461</v>
      </c>
      <c r="D348" s="94"/>
      <c r="E348" s="27" t="s">
        <v>4</v>
      </c>
      <c r="F348" s="27" t="s">
        <v>4</v>
      </c>
      <c r="G348" s="28" t="s">
        <v>4</v>
      </c>
      <c r="H348" s="1">
        <f>SUM(H349:H352)</f>
        <v>0</v>
      </c>
      <c r="I348" s="1">
        <f>SUM(I349:I352)</f>
        <v>0</v>
      </c>
      <c r="J348" s="1">
        <f>SUM(J349:J352)</f>
        <v>0</v>
      </c>
      <c r="K348" s="29" t="s">
        <v>50</v>
      </c>
      <c r="AI348" s="10" t="s">
        <v>666</v>
      </c>
      <c r="AS348" s="1">
        <f>SUM(AJ349:AJ352)</f>
        <v>0</v>
      </c>
      <c r="AT348" s="1">
        <f>SUM(AK349:AK352)</f>
        <v>0</v>
      </c>
      <c r="AU348" s="1">
        <f>SUM(AL349:AL352)</f>
        <v>0</v>
      </c>
    </row>
    <row r="349" spans="1:76" x14ac:dyDescent="0.25">
      <c r="A349" s="2" t="s">
        <v>515</v>
      </c>
      <c r="B349" s="3" t="s">
        <v>716</v>
      </c>
      <c r="C349" s="76" t="s">
        <v>717</v>
      </c>
      <c r="D349" s="71"/>
      <c r="E349" s="3" t="s">
        <v>120</v>
      </c>
      <c r="F349" s="30">
        <v>8</v>
      </c>
      <c r="G349" s="31">
        <v>0</v>
      </c>
      <c r="H349" s="30">
        <f>ROUND(F349*AO349,2)</f>
        <v>0</v>
      </c>
      <c r="I349" s="30">
        <f>ROUND(F349*AP349,2)</f>
        <v>0</v>
      </c>
      <c r="J349" s="30">
        <f>ROUND(F349*G349,2)</f>
        <v>0</v>
      </c>
      <c r="K349" s="32" t="s">
        <v>79</v>
      </c>
      <c r="Z349" s="30">
        <f>ROUND(IF(AQ349="5",BJ349,0),2)</f>
        <v>0</v>
      </c>
      <c r="AB349" s="30">
        <f>ROUND(IF(AQ349="1",BH349,0),2)</f>
        <v>0</v>
      </c>
      <c r="AC349" s="30">
        <f>ROUND(IF(AQ349="1",BI349,0),2)</f>
        <v>0</v>
      </c>
      <c r="AD349" s="30">
        <f>ROUND(IF(AQ349="7",BH349,0),2)</f>
        <v>0</v>
      </c>
      <c r="AE349" s="30">
        <f>ROUND(IF(AQ349="7",BI349,0),2)</f>
        <v>0</v>
      </c>
      <c r="AF349" s="30">
        <f>ROUND(IF(AQ349="2",BH349,0),2)</f>
        <v>0</v>
      </c>
      <c r="AG349" s="30">
        <f>ROUND(IF(AQ349="2",BI349,0),2)</f>
        <v>0</v>
      </c>
      <c r="AH349" s="30">
        <f>ROUND(IF(AQ349="0",BJ349,0),2)</f>
        <v>0</v>
      </c>
      <c r="AI349" s="10" t="s">
        <v>666</v>
      </c>
      <c r="AJ349" s="30">
        <f>IF(AN349=0,J349,0)</f>
        <v>0</v>
      </c>
      <c r="AK349" s="30">
        <f>IF(AN349=12,J349,0)</f>
        <v>0</v>
      </c>
      <c r="AL349" s="30">
        <f>IF(AN349=21,J349,0)</f>
        <v>0</v>
      </c>
      <c r="AN349" s="30">
        <v>21</v>
      </c>
      <c r="AO349" s="30">
        <f>G349*0.487546908</f>
        <v>0</v>
      </c>
      <c r="AP349" s="30">
        <f>G349*(1-0.487546908)</f>
        <v>0</v>
      </c>
      <c r="AQ349" s="33" t="s">
        <v>55</v>
      </c>
      <c r="AV349" s="30">
        <f>ROUND(AW349+AX349,2)</f>
        <v>0</v>
      </c>
      <c r="AW349" s="30">
        <f>ROUND(F349*AO349,2)</f>
        <v>0</v>
      </c>
      <c r="AX349" s="30">
        <f>ROUND(F349*AP349,2)</f>
        <v>0</v>
      </c>
      <c r="AY349" s="33" t="s">
        <v>465</v>
      </c>
      <c r="AZ349" s="33" t="s">
        <v>698</v>
      </c>
      <c r="BA349" s="10" t="s">
        <v>672</v>
      </c>
      <c r="BC349" s="30">
        <f>AW349+AX349</f>
        <v>0</v>
      </c>
      <c r="BD349" s="30">
        <f>G349/(100-BE349)*100</f>
        <v>0</v>
      </c>
      <c r="BE349" s="30">
        <v>0</v>
      </c>
      <c r="BF349" s="30">
        <f>349</f>
        <v>349</v>
      </c>
      <c r="BH349" s="30">
        <f>F349*AO349</f>
        <v>0</v>
      </c>
      <c r="BI349" s="30">
        <f>F349*AP349</f>
        <v>0</v>
      </c>
      <c r="BJ349" s="30">
        <f>F349*G349</f>
        <v>0</v>
      </c>
      <c r="BK349" s="33" t="s">
        <v>62</v>
      </c>
      <c r="BL349" s="30">
        <v>95</v>
      </c>
      <c r="BW349" s="30">
        <v>21</v>
      </c>
      <c r="BX349" s="4" t="s">
        <v>717</v>
      </c>
    </row>
    <row r="350" spans="1:76" x14ac:dyDescent="0.25">
      <c r="A350" s="34"/>
      <c r="C350" s="37" t="s">
        <v>109</v>
      </c>
      <c r="D350" s="37" t="s">
        <v>718</v>
      </c>
      <c r="F350" s="38">
        <v>8</v>
      </c>
      <c r="K350" s="39"/>
    </row>
    <row r="351" spans="1:76" ht="25.5" x14ac:dyDescent="0.25">
      <c r="A351" s="34"/>
      <c r="B351" s="35" t="s">
        <v>84</v>
      </c>
      <c r="C351" s="102" t="s">
        <v>719</v>
      </c>
      <c r="D351" s="103"/>
      <c r="E351" s="103"/>
      <c r="F351" s="103"/>
      <c r="G351" s="104"/>
      <c r="H351" s="103"/>
      <c r="I351" s="103"/>
      <c r="J351" s="103"/>
      <c r="K351" s="105"/>
      <c r="BX351" s="36" t="s">
        <v>719</v>
      </c>
    </row>
    <row r="352" spans="1:76" x14ac:dyDescent="0.25">
      <c r="A352" s="2" t="s">
        <v>166</v>
      </c>
      <c r="B352" s="3" t="s">
        <v>720</v>
      </c>
      <c r="C352" s="76" t="s">
        <v>721</v>
      </c>
      <c r="D352" s="71"/>
      <c r="E352" s="3" t="s">
        <v>120</v>
      </c>
      <c r="F352" s="30">
        <v>80</v>
      </c>
      <c r="G352" s="31">
        <v>0</v>
      </c>
      <c r="H352" s="30">
        <f>ROUND(F352*AO352,2)</f>
        <v>0</v>
      </c>
      <c r="I352" s="30">
        <f>ROUND(F352*AP352,2)</f>
        <v>0</v>
      </c>
      <c r="J352" s="30">
        <f>ROUND(F352*G352,2)</f>
        <v>0</v>
      </c>
      <c r="K352" s="32" t="s">
        <v>79</v>
      </c>
      <c r="Z352" s="30">
        <f>ROUND(IF(AQ352="5",BJ352,0),2)</f>
        <v>0</v>
      </c>
      <c r="AB352" s="30">
        <f>ROUND(IF(AQ352="1",BH352,0),2)</f>
        <v>0</v>
      </c>
      <c r="AC352" s="30">
        <f>ROUND(IF(AQ352="1",BI352,0),2)</f>
        <v>0</v>
      </c>
      <c r="AD352" s="30">
        <f>ROUND(IF(AQ352="7",BH352,0),2)</f>
        <v>0</v>
      </c>
      <c r="AE352" s="30">
        <f>ROUND(IF(AQ352="7",BI352,0),2)</f>
        <v>0</v>
      </c>
      <c r="AF352" s="30">
        <f>ROUND(IF(AQ352="2",BH352,0),2)</f>
        <v>0</v>
      </c>
      <c r="AG352" s="30">
        <f>ROUND(IF(AQ352="2",BI352,0),2)</f>
        <v>0</v>
      </c>
      <c r="AH352" s="30">
        <f>ROUND(IF(AQ352="0",BJ352,0),2)</f>
        <v>0</v>
      </c>
      <c r="AI352" s="10" t="s">
        <v>666</v>
      </c>
      <c r="AJ352" s="30">
        <f>IF(AN352=0,J352,0)</f>
        <v>0</v>
      </c>
      <c r="AK352" s="30">
        <f>IF(AN352=12,J352,0)</f>
        <v>0</v>
      </c>
      <c r="AL352" s="30">
        <f>IF(AN352=21,J352,0)</f>
        <v>0</v>
      </c>
      <c r="AN352" s="30">
        <v>21</v>
      </c>
      <c r="AO352" s="30">
        <f>G352*0.522880435</f>
        <v>0</v>
      </c>
      <c r="AP352" s="30">
        <f>G352*(1-0.522880435)</f>
        <v>0</v>
      </c>
      <c r="AQ352" s="33" t="s">
        <v>55</v>
      </c>
      <c r="AV352" s="30">
        <f>ROUND(AW352+AX352,2)</f>
        <v>0</v>
      </c>
      <c r="AW352" s="30">
        <f>ROUND(F352*AO352,2)</f>
        <v>0</v>
      </c>
      <c r="AX352" s="30">
        <f>ROUND(F352*AP352,2)</f>
        <v>0</v>
      </c>
      <c r="AY352" s="33" t="s">
        <v>465</v>
      </c>
      <c r="AZ352" s="33" t="s">
        <v>698</v>
      </c>
      <c r="BA352" s="10" t="s">
        <v>672</v>
      </c>
      <c r="BC352" s="30">
        <f>AW352+AX352</f>
        <v>0</v>
      </c>
      <c r="BD352" s="30">
        <f>G352/(100-BE352)*100</f>
        <v>0</v>
      </c>
      <c r="BE352" s="30">
        <v>0</v>
      </c>
      <c r="BF352" s="30">
        <f>352</f>
        <v>352</v>
      </c>
      <c r="BH352" s="30">
        <f>F352*AO352</f>
        <v>0</v>
      </c>
      <c r="BI352" s="30">
        <f>F352*AP352</f>
        <v>0</v>
      </c>
      <c r="BJ352" s="30">
        <f>F352*G352</f>
        <v>0</v>
      </c>
      <c r="BK352" s="33" t="s">
        <v>62</v>
      </c>
      <c r="BL352" s="30">
        <v>95</v>
      </c>
      <c r="BW352" s="30">
        <v>21</v>
      </c>
      <c r="BX352" s="4" t="s">
        <v>721</v>
      </c>
    </row>
    <row r="353" spans="1:76" x14ac:dyDescent="0.25">
      <c r="A353" s="34"/>
      <c r="C353" s="37" t="s">
        <v>243</v>
      </c>
      <c r="D353" s="37" t="s">
        <v>722</v>
      </c>
      <c r="F353" s="38">
        <v>26</v>
      </c>
      <c r="K353" s="39"/>
    </row>
    <row r="354" spans="1:76" x14ac:dyDescent="0.25">
      <c r="A354" s="34"/>
      <c r="C354" s="37" t="s">
        <v>265</v>
      </c>
      <c r="D354" s="37" t="s">
        <v>723</v>
      </c>
      <c r="F354" s="38">
        <v>30</v>
      </c>
      <c r="K354" s="39"/>
    </row>
    <row r="355" spans="1:76" x14ac:dyDescent="0.25">
      <c r="A355" s="34"/>
      <c r="C355" s="37" t="s">
        <v>234</v>
      </c>
      <c r="D355" s="37" t="s">
        <v>724</v>
      </c>
      <c r="F355" s="38">
        <v>24</v>
      </c>
      <c r="K355" s="39"/>
    </row>
    <row r="356" spans="1:76" ht="25.5" x14ac:dyDescent="0.25">
      <c r="A356" s="41"/>
      <c r="B356" s="42" t="s">
        <v>84</v>
      </c>
      <c r="C356" s="106" t="s">
        <v>725</v>
      </c>
      <c r="D356" s="107"/>
      <c r="E356" s="107"/>
      <c r="F356" s="107"/>
      <c r="G356" s="108"/>
      <c r="H356" s="107"/>
      <c r="I356" s="107"/>
      <c r="J356" s="107"/>
      <c r="K356" s="109"/>
      <c r="BX356" s="36" t="s">
        <v>725</v>
      </c>
    </row>
    <row r="357" spans="1:76" x14ac:dyDescent="0.25">
      <c r="H357" s="110" t="s">
        <v>726</v>
      </c>
      <c r="I357" s="110"/>
      <c r="J357" s="43">
        <f>ROUND(J13+J19+J44+J56+J60+J77+J82+J91+J94+J104+J119+J123+J131+J139+J148+J156+J165+J186+J202+J207+J211+J220+J224+J314+J322+J339+J348,1)</f>
        <v>0</v>
      </c>
    </row>
    <row r="358" spans="1:76" x14ac:dyDescent="0.25">
      <c r="A358" s="44" t="s">
        <v>368</v>
      </c>
    </row>
    <row r="359" spans="1:76" ht="12.75" customHeight="1" x14ac:dyDescent="0.25">
      <c r="A359" s="76" t="s">
        <v>50</v>
      </c>
      <c r="B359" s="71"/>
      <c r="C359" s="71"/>
      <c r="D359" s="71"/>
      <c r="E359" s="71"/>
      <c r="F359" s="71"/>
      <c r="G359" s="71"/>
      <c r="H359" s="71"/>
      <c r="I359" s="71"/>
      <c r="J359" s="71"/>
      <c r="K359" s="71"/>
    </row>
  </sheetData>
  <sheetProtection algorithmName="SHA-512" hashValue="e3uGVbnYZXioA5n7fiQidcZ0oCQB3Gs/zYIh2ERF58e5wy+MxCW3r5/AlGaNiPQ9jZWGTnLVrNYu0bVL4wFaUg==" saltValue="cNUCilz6w9o01mf7Q8CelQ==" spinCount="100000" sheet="1"/>
  <mergeCells count="249">
    <mergeCell ref="C356:K356"/>
    <mergeCell ref="H357:I357"/>
    <mergeCell ref="A359:K359"/>
    <mergeCell ref="C347:D347"/>
    <mergeCell ref="C348:D348"/>
    <mergeCell ref="C349:D349"/>
    <mergeCell ref="C351:K351"/>
    <mergeCell ref="C352:D352"/>
    <mergeCell ref="C341:K341"/>
    <mergeCell ref="C343:D343"/>
    <mergeCell ref="C344:D344"/>
    <mergeCell ref="C345:D345"/>
    <mergeCell ref="C346:D346"/>
    <mergeCell ref="C328:K328"/>
    <mergeCell ref="C329:D329"/>
    <mergeCell ref="C334:D334"/>
    <mergeCell ref="C339:D339"/>
    <mergeCell ref="C340:D340"/>
    <mergeCell ref="C315:D315"/>
    <mergeCell ref="C316:K316"/>
    <mergeCell ref="C321:K321"/>
    <mergeCell ref="C322:D322"/>
    <mergeCell ref="C323:D323"/>
    <mergeCell ref="C306:D306"/>
    <mergeCell ref="C309:D309"/>
    <mergeCell ref="C312:D312"/>
    <mergeCell ref="C313:D313"/>
    <mergeCell ref="C314:D314"/>
    <mergeCell ref="C297:D297"/>
    <mergeCell ref="C299:K299"/>
    <mergeCell ref="C300:D300"/>
    <mergeCell ref="C303:D303"/>
    <mergeCell ref="C305:K305"/>
    <mergeCell ref="C292:D292"/>
    <mergeCell ref="C293:D293"/>
    <mergeCell ref="C294:K294"/>
    <mergeCell ref="C295:D295"/>
    <mergeCell ref="C296:D296"/>
    <mergeCell ref="C279:D279"/>
    <mergeCell ref="C282:D282"/>
    <mergeCell ref="C285:D285"/>
    <mergeCell ref="C287:D287"/>
    <mergeCell ref="C289:D289"/>
    <mergeCell ref="C268:D268"/>
    <mergeCell ref="C270:D270"/>
    <mergeCell ref="C272:D272"/>
    <mergeCell ref="C275:D275"/>
    <mergeCell ref="C278:D278"/>
    <mergeCell ref="C257:D257"/>
    <mergeCell ref="C259:D259"/>
    <mergeCell ref="C261:D261"/>
    <mergeCell ref="C263:D263"/>
    <mergeCell ref="C265:D265"/>
    <mergeCell ref="C249:K249"/>
    <mergeCell ref="C251:D251"/>
    <mergeCell ref="C252:D252"/>
    <mergeCell ref="C253:D253"/>
    <mergeCell ref="C254:D254"/>
    <mergeCell ref="C240:D240"/>
    <mergeCell ref="C241:K241"/>
    <mergeCell ref="C246:D246"/>
    <mergeCell ref="C247:K247"/>
    <mergeCell ref="C248:D248"/>
    <mergeCell ref="C231:D231"/>
    <mergeCell ref="C232:D232"/>
    <mergeCell ref="C233:D233"/>
    <mergeCell ref="C236:D236"/>
    <mergeCell ref="C237:K237"/>
    <mergeCell ref="C226:D226"/>
    <mergeCell ref="C227:D227"/>
    <mergeCell ref="C228:K228"/>
    <mergeCell ref="C229:D229"/>
    <mergeCell ref="C230:K230"/>
    <mergeCell ref="C221:D221"/>
    <mergeCell ref="C222:K222"/>
    <mergeCell ref="C223:D223"/>
    <mergeCell ref="C224:D224"/>
    <mergeCell ref="C225:D225"/>
    <mergeCell ref="C215:K215"/>
    <mergeCell ref="C216:D216"/>
    <mergeCell ref="C217:D217"/>
    <mergeCell ref="C219:K219"/>
    <mergeCell ref="C220:D220"/>
    <mergeCell ref="C209:K209"/>
    <mergeCell ref="C211:D211"/>
    <mergeCell ref="C212:D212"/>
    <mergeCell ref="C213:K213"/>
    <mergeCell ref="C214:D214"/>
    <mergeCell ref="C201:D201"/>
    <mergeCell ref="C202:D202"/>
    <mergeCell ref="C203:D203"/>
    <mergeCell ref="C207:D207"/>
    <mergeCell ref="C208:D208"/>
    <mergeCell ref="C196:D196"/>
    <mergeCell ref="C197:K197"/>
    <mergeCell ref="C198:K198"/>
    <mergeCell ref="C199:D199"/>
    <mergeCell ref="C200:K200"/>
    <mergeCell ref="C189:D189"/>
    <mergeCell ref="C190:K190"/>
    <mergeCell ref="C191:D191"/>
    <mergeCell ref="C192:K192"/>
    <mergeCell ref="C195:K195"/>
    <mergeCell ref="C182:D182"/>
    <mergeCell ref="C185:K185"/>
    <mergeCell ref="C186:D186"/>
    <mergeCell ref="C187:D187"/>
    <mergeCell ref="C188:K188"/>
    <mergeCell ref="C171:D171"/>
    <mergeCell ref="C175:D175"/>
    <mergeCell ref="C178:D178"/>
    <mergeCell ref="C179:D179"/>
    <mergeCell ref="C180:K180"/>
    <mergeCell ref="C163:D163"/>
    <mergeCell ref="C164:D164"/>
    <mergeCell ref="C165:D165"/>
    <mergeCell ref="C166:D166"/>
    <mergeCell ref="C170:K170"/>
    <mergeCell ref="C157:D157"/>
    <mergeCell ref="C158:K158"/>
    <mergeCell ref="C160:K160"/>
    <mergeCell ref="C161:D161"/>
    <mergeCell ref="C162:D162"/>
    <mergeCell ref="C148:D148"/>
    <mergeCell ref="C149:D149"/>
    <mergeCell ref="C150:K150"/>
    <mergeCell ref="C155:D155"/>
    <mergeCell ref="C156:D156"/>
    <mergeCell ref="C141:K141"/>
    <mergeCell ref="C143:D143"/>
    <mergeCell ref="C144:K144"/>
    <mergeCell ref="C145:D145"/>
    <mergeCell ref="C147:K147"/>
    <mergeCell ref="C132:D132"/>
    <mergeCell ref="C133:K133"/>
    <mergeCell ref="C138:K138"/>
    <mergeCell ref="C139:D139"/>
    <mergeCell ref="C140:D140"/>
    <mergeCell ref="C127:D127"/>
    <mergeCell ref="C128:D128"/>
    <mergeCell ref="C129:D129"/>
    <mergeCell ref="C130:D130"/>
    <mergeCell ref="C131:D131"/>
    <mergeCell ref="C122:D122"/>
    <mergeCell ref="C123:D123"/>
    <mergeCell ref="C124:D124"/>
    <mergeCell ref="C125:D125"/>
    <mergeCell ref="C126:K126"/>
    <mergeCell ref="C117:K117"/>
    <mergeCell ref="C118:D118"/>
    <mergeCell ref="C119:D119"/>
    <mergeCell ref="C120:D120"/>
    <mergeCell ref="C121:D121"/>
    <mergeCell ref="C112:D112"/>
    <mergeCell ref="C113:K113"/>
    <mergeCell ref="C114:D114"/>
    <mergeCell ref="C115:K115"/>
    <mergeCell ref="C116:D116"/>
    <mergeCell ref="C104:D104"/>
    <mergeCell ref="C105:D105"/>
    <mergeCell ref="C106:D106"/>
    <mergeCell ref="C108:D108"/>
    <mergeCell ref="C111:K111"/>
    <mergeCell ref="C99:K99"/>
    <mergeCell ref="C100:D100"/>
    <mergeCell ref="C101:K101"/>
    <mergeCell ref="C102:D102"/>
    <mergeCell ref="C103:K103"/>
    <mergeCell ref="C94:D94"/>
    <mergeCell ref="C95:D95"/>
    <mergeCell ref="C96:K96"/>
    <mergeCell ref="C97:D97"/>
    <mergeCell ref="C98:K98"/>
    <mergeCell ref="C88:D88"/>
    <mergeCell ref="C90:K90"/>
    <mergeCell ref="C91:D91"/>
    <mergeCell ref="C92:D92"/>
    <mergeCell ref="C93:K93"/>
    <mergeCell ref="C77:D77"/>
    <mergeCell ref="C78:D78"/>
    <mergeCell ref="C82:D82"/>
    <mergeCell ref="C83:D83"/>
    <mergeCell ref="C87:K87"/>
    <mergeCell ref="C69:K69"/>
    <mergeCell ref="C70:D70"/>
    <mergeCell ref="C71:K71"/>
    <mergeCell ref="C72:D72"/>
    <mergeCell ref="C73:K73"/>
    <mergeCell ref="C59:K59"/>
    <mergeCell ref="C60:D60"/>
    <mergeCell ref="C61:D61"/>
    <mergeCell ref="C64:K64"/>
    <mergeCell ref="C65:D65"/>
    <mergeCell ref="C48:K48"/>
    <mergeCell ref="C49:D49"/>
    <mergeCell ref="C56:D56"/>
    <mergeCell ref="C57:D57"/>
    <mergeCell ref="C40:D40"/>
    <mergeCell ref="C42:D42"/>
    <mergeCell ref="C43:K43"/>
    <mergeCell ref="C44:D44"/>
    <mergeCell ref="C45:D45"/>
    <mergeCell ref="C35:D35"/>
    <mergeCell ref="C37:D37"/>
    <mergeCell ref="C39:K39"/>
    <mergeCell ref="C22:K22"/>
    <mergeCell ref="C23:D23"/>
    <mergeCell ref="C25:D25"/>
    <mergeCell ref="C29:K29"/>
    <mergeCell ref="C30:D30"/>
    <mergeCell ref="C46:K46"/>
    <mergeCell ref="C19:D19"/>
    <mergeCell ref="C20:D20"/>
    <mergeCell ref="C11:D11"/>
    <mergeCell ref="H10:J10"/>
    <mergeCell ref="C12:D12"/>
    <mergeCell ref="C13:D13"/>
    <mergeCell ref="C14:D14"/>
    <mergeCell ref="C32:K32"/>
    <mergeCell ref="C33:D33"/>
    <mergeCell ref="C10:D10"/>
    <mergeCell ref="C8:D9"/>
    <mergeCell ref="G2:G3"/>
    <mergeCell ref="G4:G5"/>
    <mergeCell ref="G6:G7"/>
    <mergeCell ref="G8:G9"/>
    <mergeCell ref="C15:K15"/>
    <mergeCell ref="C16:D16"/>
    <mergeCell ref="C17:K17"/>
    <mergeCell ref="A1:K1"/>
    <mergeCell ref="A2:B3"/>
    <mergeCell ref="A4:B5"/>
    <mergeCell ref="A6:B7"/>
    <mergeCell ref="A8:B9"/>
    <mergeCell ref="E2:F3"/>
    <mergeCell ref="E4:F5"/>
    <mergeCell ref="E6:F7"/>
    <mergeCell ref="E8:F9"/>
    <mergeCell ref="H2:H3"/>
    <mergeCell ref="H4:H5"/>
    <mergeCell ref="H6:H7"/>
    <mergeCell ref="H8:H9"/>
    <mergeCell ref="C2:D3"/>
    <mergeCell ref="C4:D5"/>
    <mergeCell ref="C6:D7"/>
    <mergeCell ref="I2:K3"/>
    <mergeCell ref="I4:K5"/>
    <mergeCell ref="I6:K7"/>
    <mergeCell ref="I8:K9"/>
  </mergeCells>
  <pageMargins left="0.25" right="0.25" top="0.75" bottom="0.75" header="0.3" footer="0.3"/>
  <pageSetup paperSize="9" scale="7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37"/>
  <sheetViews>
    <sheetView workbookViewId="0">
      <selection activeCell="A37" sqref="A37:I37"/>
    </sheetView>
  </sheetViews>
  <sheetFormatPr defaultColWidth="12.140625" defaultRowHeight="15" customHeight="1" x14ac:dyDescent="0.25"/>
  <cols>
    <col min="1" max="1" width="9.140625" customWidth="1"/>
    <col min="2" max="2" width="12.85546875" customWidth="1"/>
    <col min="3" max="3" width="27.140625" customWidth="1"/>
    <col min="4" max="4" width="10" customWidth="1"/>
    <col min="5" max="5" width="14" customWidth="1"/>
    <col min="6" max="6" width="27.140625" customWidth="1"/>
    <col min="7" max="7" width="9.140625" customWidth="1"/>
    <col min="8" max="8" width="12.85546875" customWidth="1"/>
    <col min="9" max="9" width="27.140625" customWidth="1"/>
  </cols>
  <sheetData>
    <row r="1" spans="1:9" ht="54.75" customHeight="1" x14ac:dyDescent="0.25">
      <c r="A1" s="111" t="s">
        <v>727</v>
      </c>
      <c r="B1" s="67"/>
      <c r="C1" s="67"/>
      <c r="D1" s="67"/>
      <c r="E1" s="67"/>
      <c r="F1" s="67"/>
      <c r="G1" s="67"/>
      <c r="H1" s="67"/>
      <c r="I1" s="67"/>
    </row>
    <row r="2" spans="1:9" x14ac:dyDescent="0.25">
      <c r="A2" s="68" t="s">
        <v>1</v>
      </c>
      <c r="B2" s="69"/>
      <c r="C2" s="77" t="str">
        <f>'Stavební rozpočet'!C2</f>
        <v>Modrozelený ostrov Urxova x Vrbenského x Jožky Jabůrkové</v>
      </c>
      <c r="D2" s="78"/>
      <c r="E2" s="75" t="s">
        <v>5</v>
      </c>
      <c r="F2" s="75" t="str">
        <f>'Stavební rozpočet'!I2</f>
        <v>Statutární město Brno, MČ Brno - Komín</v>
      </c>
      <c r="G2" s="69"/>
      <c r="H2" s="75" t="s">
        <v>728</v>
      </c>
      <c r="I2" s="80" t="s">
        <v>729</v>
      </c>
    </row>
    <row r="3" spans="1:9" ht="15" customHeight="1" x14ac:dyDescent="0.25">
      <c r="A3" s="70"/>
      <c r="B3" s="71"/>
      <c r="C3" s="79"/>
      <c r="D3" s="79"/>
      <c r="E3" s="71"/>
      <c r="F3" s="71"/>
      <c r="G3" s="71"/>
      <c r="H3" s="71"/>
      <c r="I3" s="81"/>
    </row>
    <row r="4" spans="1:9" x14ac:dyDescent="0.25">
      <c r="A4" s="72" t="s">
        <v>7</v>
      </c>
      <c r="B4" s="71"/>
      <c r="C4" s="76" t="str">
        <f>'Stavební rozpočet'!C4</f>
        <v>Veřejné prostranství</v>
      </c>
      <c r="D4" s="71"/>
      <c r="E4" s="76" t="s">
        <v>10</v>
      </c>
      <c r="F4" s="76" t="str">
        <f>'Stavební rozpočet'!I4</f>
        <v>Atelier V8 s.r.o., Vez Zmolách 10, 675 73 Kralice</v>
      </c>
      <c r="G4" s="71"/>
      <c r="H4" s="76" t="s">
        <v>728</v>
      </c>
      <c r="I4" s="81" t="s">
        <v>730</v>
      </c>
    </row>
    <row r="5" spans="1:9" ht="15" customHeight="1" x14ac:dyDescent="0.25">
      <c r="A5" s="70"/>
      <c r="B5" s="71"/>
      <c r="C5" s="71"/>
      <c r="D5" s="71"/>
      <c r="E5" s="71"/>
      <c r="F5" s="71"/>
      <c r="G5" s="71"/>
      <c r="H5" s="71"/>
      <c r="I5" s="81"/>
    </row>
    <row r="6" spans="1:9" x14ac:dyDescent="0.25">
      <c r="A6" s="72" t="s">
        <v>12</v>
      </c>
      <c r="B6" s="71"/>
      <c r="C6" s="76" t="str">
        <f>'Stavební rozpočet'!C6</f>
        <v>Brno - Komín</v>
      </c>
      <c r="D6" s="71"/>
      <c r="E6" s="76" t="s">
        <v>15</v>
      </c>
      <c r="F6" s="76" t="str">
        <f>'Stavební rozpočet'!I6</f>
        <v> </v>
      </c>
      <c r="G6" s="71"/>
      <c r="H6" s="76" t="s">
        <v>728</v>
      </c>
      <c r="I6" s="81" t="s">
        <v>50</v>
      </c>
    </row>
    <row r="7" spans="1:9" ht="15" customHeight="1" x14ac:dyDescent="0.25">
      <c r="A7" s="70"/>
      <c r="B7" s="71"/>
      <c r="C7" s="71"/>
      <c r="D7" s="71"/>
      <c r="E7" s="71"/>
      <c r="F7" s="71"/>
      <c r="G7" s="71"/>
      <c r="H7" s="71"/>
      <c r="I7" s="81"/>
    </row>
    <row r="8" spans="1:9" x14ac:dyDescent="0.25">
      <c r="A8" s="72" t="s">
        <v>9</v>
      </c>
      <c r="B8" s="71"/>
      <c r="C8" s="76">
        <f>'Stavební rozpočet'!G4</f>
        <v>0</v>
      </c>
      <c r="D8" s="71"/>
      <c r="E8" s="76" t="s">
        <v>14</v>
      </c>
      <c r="F8" s="76" t="str">
        <f>'Stavební rozpočet'!G6</f>
        <v xml:space="preserve"> </v>
      </c>
      <c r="G8" s="71"/>
      <c r="H8" s="71" t="s">
        <v>731</v>
      </c>
      <c r="I8" s="112">
        <v>122</v>
      </c>
    </row>
    <row r="9" spans="1:9" x14ac:dyDescent="0.25">
      <c r="A9" s="70"/>
      <c r="B9" s="71"/>
      <c r="C9" s="71"/>
      <c r="D9" s="71"/>
      <c r="E9" s="71"/>
      <c r="F9" s="71"/>
      <c r="G9" s="71"/>
      <c r="H9" s="71"/>
      <c r="I9" s="81"/>
    </row>
    <row r="10" spans="1:9" x14ac:dyDescent="0.25">
      <c r="A10" s="72" t="s">
        <v>17</v>
      </c>
      <c r="B10" s="71"/>
      <c r="C10" s="76" t="str">
        <f>'Stavební rozpočet'!C8</f>
        <v>823</v>
      </c>
      <c r="D10" s="71"/>
      <c r="E10" s="76" t="s">
        <v>20</v>
      </c>
      <c r="F10" s="76">
        <f>'Stavební rozpočet'!I8</f>
        <v>0</v>
      </c>
      <c r="G10" s="71"/>
      <c r="H10" s="71" t="s">
        <v>732</v>
      </c>
      <c r="I10" s="114">
        <f>'Stavební rozpočet'!G8</f>
        <v>0</v>
      </c>
    </row>
    <row r="11" spans="1:9" x14ac:dyDescent="0.25">
      <c r="A11" s="119"/>
      <c r="B11" s="113"/>
      <c r="C11" s="113"/>
      <c r="D11" s="113"/>
      <c r="E11" s="113"/>
      <c r="F11" s="113"/>
      <c r="G11" s="113"/>
      <c r="H11" s="113"/>
      <c r="I11" s="115"/>
    </row>
    <row r="12" spans="1:9" ht="23.25" x14ac:dyDescent="0.25">
      <c r="A12" s="116" t="s">
        <v>733</v>
      </c>
      <c r="B12" s="116"/>
      <c r="C12" s="116"/>
      <c r="D12" s="116"/>
      <c r="E12" s="116"/>
      <c r="F12" s="116"/>
      <c r="G12" s="116"/>
      <c r="H12" s="116"/>
      <c r="I12" s="116"/>
    </row>
    <row r="13" spans="1:9" ht="26.25" customHeight="1" x14ac:dyDescent="0.25">
      <c r="A13" s="45" t="s">
        <v>734</v>
      </c>
      <c r="B13" s="117" t="s">
        <v>735</v>
      </c>
      <c r="C13" s="118"/>
      <c r="D13" s="46" t="s">
        <v>736</v>
      </c>
      <c r="E13" s="117" t="s">
        <v>737</v>
      </c>
      <c r="F13" s="118"/>
      <c r="G13" s="46" t="s">
        <v>738</v>
      </c>
      <c r="H13" s="117" t="s">
        <v>739</v>
      </c>
      <c r="I13" s="118"/>
    </row>
    <row r="14" spans="1:9" ht="15.75" x14ac:dyDescent="0.25">
      <c r="A14" s="47" t="s">
        <v>740</v>
      </c>
      <c r="B14" s="48" t="s">
        <v>741</v>
      </c>
      <c r="C14" s="49">
        <f>SUM('Stavební rozpočet'!AB12:AB712)</f>
        <v>0</v>
      </c>
      <c r="D14" s="126" t="s">
        <v>742</v>
      </c>
      <c r="E14" s="127"/>
      <c r="F14" s="49">
        <f>VORN!I15</f>
        <v>0</v>
      </c>
      <c r="G14" s="126" t="s">
        <v>293</v>
      </c>
      <c r="H14" s="127"/>
      <c r="I14" s="50">
        <f>VORN!I21</f>
        <v>0</v>
      </c>
    </row>
    <row r="15" spans="1:9" ht="15.75" x14ac:dyDescent="0.25">
      <c r="A15" s="51" t="s">
        <v>50</v>
      </c>
      <c r="B15" s="48" t="s">
        <v>35</v>
      </c>
      <c r="C15" s="49">
        <f>SUM('Stavební rozpočet'!AC12:AC712)</f>
        <v>0</v>
      </c>
      <c r="D15" s="126" t="s">
        <v>743</v>
      </c>
      <c r="E15" s="127"/>
      <c r="F15" s="49">
        <f>VORN!I16</f>
        <v>0</v>
      </c>
      <c r="G15" s="126" t="s">
        <v>744</v>
      </c>
      <c r="H15" s="127"/>
      <c r="I15" s="50">
        <f>VORN!I22</f>
        <v>0</v>
      </c>
    </row>
    <row r="16" spans="1:9" ht="15.75" x14ac:dyDescent="0.25">
      <c r="A16" s="47" t="s">
        <v>745</v>
      </c>
      <c r="B16" s="48" t="s">
        <v>741</v>
      </c>
      <c r="C16" s="49">
        <f>SUM('Stavební rozpočet'!AD12:AD712)</f>
        <v>0</v>
      </c>
      <c r="D16" s="126" t="s">
        <v>746</v>
      </c>
      <c r="E16" s="127"/>
      <c r="F16" s="49">
        <f>VORN!I17</f>
        <v>0</v>
      </c>
      <c r="G16" s="126" t="s">
        <v>747</v>
      </c>
      <c r="H16" s="127"/>
      <c r="I16" s="50">
        <f>VORN!I23</f>
        <v>0</v>
      </c>
    </row>
    <row r="17" spans="1:9" ht="15.75" x14ac:dyDescent="0.25">
      <c r="A17" s="51" t="s">
        <v>50</v>
      </c>
      <c r="B17" s="48" t="s">
        <v>35</v>
      </c>
      <c r="C17" s="49">
        <f>SUM('Stavební rozpočet'!AE12:AE712)</f>
        <v>0</v>
      </c>
      <c r="D17" s="126" t="s">
        <v>50</v>
      </c>
      <c r="E17" s="127"/>
      <c r="F17" s="50" t="s">
        <v>50</v>
      </c>
      <c r="G17" s="126" t="s">
        <v>748</v>
      </c>
      <c r="H17" s="127"/>
      <c r="I17" s="50">
        <f>VORN!I24</f>
        <v>0</v>
      </c>
    </row>
    <row r="18" spans="1:9" ht="15.75" x14ac:dyDescent="0.25">
      <c r="A18" s="47" t="s">
        <v>749</v>
      </c>
      <c r="B18" s="48" t="s">
        <v>741</v>
      </c>
      <c r="C18" s="49">
        <f>SUM('Stavební rozpočet'!AF12:AF712)</f>
        <v>0</v>
      </c>
      <c r="D18" s="126" t="s">
        <v>50</v>
      </c>
      <c r="E18" s="127"/>
      <c r="F18" s="50" t="s">
        <v>50</v>
      </c>
      <c r="G18" s="126" t="s">
        <v>750</v>
      </c>
      <c r="H18" s="127"/>
      <c r="I18" s="50">
        <f>VORN!I25</f>
        <v>0</v>
      </c>
    </row>
    <row r="19" spans="1:9" ht="15.75" x14ac:dyDescent="0.25">
      <c r="A19" s="51" t="s">
        <v>50</v>
      </c>
      <c r="B19" s="48" t="s">
        <v>35</v>
      </c>
      <c r="C19" s="49">
        <f>SUM('Stavební rozpočet'!AG12:AG712)</f>
        <v>0</v>
      </c>
      <c r="D19" s="126" t="s">
        <v>50</v>
      </c>
      <c r="E19" s="127"/>
      <c r="F19" s="50" t="s">
        <v>50</v>
      </c>
      <c r="G19" s="126" t="s">
        <v>751</v>
      </c>
      <c r="H19" s="127"/>
      <c r="I19" s="50">
        <f>VORN!I26</f>
        <v>0</v>
      </c>
    </row>
    <row r="20" spans="1:9" ht="15.75" x14ac:dyDescent="0.25">
      <c r="A20" s="120" t="s">
        <v>752</v>
      </c>
      <c r="B20" s="121"/>
      <c r="C20" s="49">
        <f>SUM('Stavební rozpočet'!AH12:AH712)</f>
        <v>0</v>
      </c>
      <c r="D20" s="126" t="s">
        <v>50</v>
      </c>
      <c r="E20" s="127"/>
      <c r="F20" s="50" t="s">
        <v>50</v>
      </c>
      <c r="G20" s="126" t="s">
        <v>50</v>
      </c>
      <c r="H20" s="127"/>
      <c r="I20" s="50" t="s">
        <v>50</v>
      </c>
    </row>
    <row r="21" spans="1:9" ht="15.75" x14ac:dyDescent="0.25">
      <c r="A21" s="122" t="s">
        <v>753</v>
      </c>
      <c r="B21" s="123"/>
      <c r="C21" s="52">
        <f>SUM('Stavební rozpočet'!Z12:Z712)</f>
        <v>0</v>
      </c>
      <c r="D21" s="128" t="s">
        <v>50</v>
      </c>
      <c r="E21" s="129"/>
      <c r="F21" s="53" t="s">
        <v>50</v>
      </c>
      <c r="G21" s="128" t="s">
        <v>50</v>
      </c>
      <c r="H21" s="129"/>
      <c r="I21" s="53" t="s">
        <v>50</v>
      </c>
    </row>
    <row r="22" spans="1:9" ht="16.5" customHeight="1" x14ac:dyDescent="0.25">
      <c r="A22" s="124" t="s">
        <v>754</v>
      </c>
      <c r="B22" s="125"/>
      <c r="C22" s="54">
        <f>ROUND(SUM(C14:C21),1)</f>
        <v>0</v>
      </c>
      <c r="D22" s="130" t="s">
        <v>755</v>
      </c>
      <c r="E22" s="125"/>
      <c r="F22" s="54">
        <f>SUM(F14:F21)</f>
        <v>0</v>
      </c>
      <c r="G22" s="130" t="s">
        <v>756</v>
      </c>
      <c r="H22" s="125"/>
      <c r="I22" s="54">
        <f>SUM(I14:I21)</f>
        <v>0</v>
      </c>
    </row>
    <row r="23" spans="1:9" ht="15.75" x14ac:dyDescent="0.25">
      <c r="D23" s="120" t="s">
        <v>757</v>
      </c>
      <c r="E23" s="121"/>
      <c r="F23" s="55">
        <v>0</v>
      </c>
      <c r="G23" s="131" t="s">
        <v>758</v>
      </c>
      <c r="H23" s="121"/>
      <c r="I23" s="49">
        <v>0</v>
      </c>
    </row>
    <row r="24" spans="1:9" ht="15.75" x14ac:dyDescent="0.25">
      <c r="G24" s="120" t="s">
        <v>759</v>
      </c>
      <c r="H24" s="121"/>
      <c r="I24" s="52">
        <f>vorn_sum</f>
        <v>0</v>
      </c>
    </row>
    <row r="25" spans="1:9" ht="15.75" x14ac:dyDescent="0.25">
      <c r="G25" s="120" t="s">
        <v>760</v>
      </c>
      <c r="H25" s="121"/>
      <c r="I25" s="54">
        <v>0</v>
      </c>
    </row>
    <row r="27" spans="1:9" ht="15.75" x14ac:dyDescent="0.25">
      <c r="A27" s="132" t="s">
        <v>761</v>
      </c>
      <c r="B27" s="133"/>
      <c r="C27" s="56">
        <f>ROUND(SUM('Stavební rozpočet'!AJ12:AJ712),1)</f>
        <v>0</v>
      </c>
    </row>
    <row r="28" spans="1:9" ht="15.75" x14ac:dyDescent="0.25">
      <c r="A28" s="134" t="s">
        <v>762</v>
      </c>
      <c r="B28" s="135"/>
      <c r="C28" s="57">
        <f>ROUND(SUM('Stavební rozpočet'!AK12:AK712),1)</f>
        <v>0</v>
      </c>
      <c r="D28" s="136" t="s">
        <v>763</v>
      </c>
      <c r="E28" s="133"/>
      <c r="F28" s="56">
        <f>ROUND(C28*(12/100),2)</f>
        <v>0</v>
      </c>
      <c r="G28" s="136" t="s">
        <v>764</v>
      </c>
      <c r="H28" s="133"/>
      <c r="I28" s="56">
        <f>ROUND(SUM(C27:C29),1)</f>
        <v>0</v>
      </c>
    </row>
    <row r="29" spans="1:9" ht="15.75" x14ac:dyDescent="0.25">
      <c r="A29" s="134" t="s">
        <v>765</v>
      </c>
      <c r="B29" s="135"/>
      <c r="C29" s="57">
        <f>ROUND(SUM('Stavební rozpočet'!AL12:AL712),1)</f>
        <v>0</v>
      </c>
      <c r="D29" s="137" t="s">
        <v>766</v>
      </c>
      <c r="E29" s="135"/>
      <c r="F29" s="57">
        <f>ROUND(C29*(21/100),2)</f>
        <v>0</v>
      </c>
      <c r="G29" s="137" t="s">
        <v>767</v>
      </c>
      <c r="H29" s="135"/>
      <c r="I29" s="57">
        <f>ROUND(SUM(F28:F29)+I28,1)</f>
        <v>0</v>
      </c>
    </row>
    <row r="31" spans="1:9" x14ac:dyDescent="0.25">
      <c r="A31" s="147" t="s">
        <v>768</v>
      </c>
      <c r="B31" s="139"/>
      <c r="C31" s="140"/>
      <c r="D31" s="138" t="s">
        <v>769</v>
      </c>
      <c r="E31" s="139"/>
      <c r="F31" s="140"/>
      <c r="G31" s="138" t="s">
        <v>770</v>
      </c>
      <c r="H31" s="139"/>
      <c r="I31" s="140"/>
    </row>
    <row r="32" spans="1:9" x14ac:dyDescent="0.25">
      <c r="A32" s="148" t="s">
        <v>50</v>
      </c>
      <c r="B32" s="142"/>
      <c r="C32" s="143"/>
      <c r="D32" s="141" t="s">
        <v>50</v>
      </c>
      <c r="E32" s="142"/>
      <c r="F32" s="143"/>
      <c r="G32" s="141" t="s">
        <v>50</v>
      </c>
      <c r="H32" s="142"/>
      <c r="I32" s="143"/>
    </row>
    <row r="33" spans="1:9" x14ac:dyDescent="0.25">
      <c r="A33" s="148" t="s">
        <v>50</v>
      </c>
      <c r="B33" s="142"/>
      <c r="C33" s="143"/>
      <c r="D33" s="141" t="s">
        <v>50</v>
      </c>
      <c r="E33" s="142"/>
      <c r="F33" s="143"/>
      <c r="G33" s="141" t="s">
        <v>50</v>
      </c>
      <c r="H33" s="142"/>
      <c r="I33" s="143"/>
    </row>
    <row r="34" spans="1:9" x14ac:dyDescent="0.25">
      <c r="A34" s="148" t="s">
        <v>50</v>
      </c>
      <c r="B34" s="142"/>
      <c r="C34" s="143"/>
      <c r="D34" s="141" t="s">
        <v>50</v>
      </c>
      <c r="E34" s="142"/>
      <c r="F34" s="143"/>
      <c r="G34" s="141" t="s">
        <v>50</v>
      </c>
      <c r="H34" s="142"/>
      <c r="I34" s="143"/>
    </row>
    <row r="35" spans="1:9" x14ac:dyDescent="0.25">
      <c r="A35" s="149" t="s">
        <v>771</v>
      </c>
      <c r="B35" s="145"/>
      <c r="C35" s="146"/>
      <c r="D35" s="144" t="s">
        <v>771</v>
      </c>
      <c r="E35" s="145"/>
      <c r="F35" s="146"/>
      <c r="G35" s="144" t="s">
        <v>771</v>
      </c>
      <c r="H35" s="145"/>
      <c r="I35" s="146"/>
    </row>
    <row r="36" spans="1:9" x14ac:dyDescent="0.25">
      <c r="A36" s="58" t="s">
        <v>368</v>
      </c>
    </row>
    <row r="37" spans="1:9" ht="12.75" customHeight="1" x14ac:dyDescent="0.25">
      <c r="A37" s="76" t="s">
        <v>50</v>
      </c>
      <c r="B37" s="71"/>
      <c r="C37" s="71"/>
      <c r="D37" s="71"/>
      <c r="E37" s="71"/>
      <c r="F37" s="71"/>
      <c r="G37" s="71"/>
      <c r="H37" s="71"/>
      <c r="I37" s="71"/>
    </row>
  </sheetData>
  <sheetProtection password="C71C" sheet="1"/>
  <mergeCells count="83">
    <mergeCell ref="A37:I37"/>
    <mergeCell ref="G31:I31"/>
    <mergeCell ref="G32:I32"/>
    <mergeCell ref="G33:I33"/>
    <mergeCell ref="G34:I34"/>
    <mergeCell ref="G35:I35"/>
    <mergeCell ref="D31:F31"/>
    <mergeCell ref="D32:F32"/>
    <mergeCell ref="D33:F33"/>
    <mergeCell ref="D34:F34"/>
    <mergeCell ref="D35:F35"/>
    <mergeCell ref="A31:C31"/>
    <mergeCell ref="A32:C32"/>
    <mergeCell ref="A33:C33"/>
    <mergeCell ref="A34:C34"/>
    <mergeCell ref="A35:C35"/>
    <mergeCell ref="G24:H24"/>
    <mergeCell ref="G25:H25"/>
    <mergeCell ref="A27:B27"/>
    <mergeCell ref="A28:B28"/>
    <mergeCell ref="A29:B29"/>
    <mergeCell ref="D28:E28"/>
    <mergeCell ref="D29:E29"/>
    <mergeCell ref="G28:H28"/>
    <mergeCell ref="G29:H29"/>
    <mergeCell ref="D23:E23"/>
    <mergeCell ref="G14:H14"/>
    <mergeCell ref="G15:H15"/>
    <mergeCell ref="G16:H16"/>
    <mergeCell ref="G17:H17"/>
    <mergeCell ref="G18:H18"/>
    <mergeCell ref="G19:H19"/>
    <mergeCell ref="G20:H20"/>
    <mergeCell ref="G21:H21"/>
    <mergeCell ref="G22:H22"/>
    <mergeCell ref="G23:H23"/>
    <mergeCell ref="A20:B20"/>
    <mergeCell ref="A21:B21"/>
    <mergeCell ref="A22:B22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I10:I11"/>
    <mergeCell ref="A12:I12"/>
    <mergeCell ref="B13:C13"/>
    <mergeCell ref="E13:F13"/>
    <mergeCell ref="H13:I13"/>
    <mergeCell ref="F10:G11"/>
    <mergeCell ref="A10:B11"/>
    <mergeCell ref="H2:H3"/>
    <mergeCell ref="H4:H5"/>
    <mergeCell ref="H6:H7"/>
    <mergeCell ref="H8:H9"/>
    <mergeCell ref="H10:H11"/>
    <mergeCell ref="C8:D9"/>
    <mergeCell ref="C10:D11"/>
    <mergeCell ref="E2:E3"/>
    <mergeCell ref="E4:E5"/>
    <mergeCell ref="E6:E7"/>
    <mergeCell ref="E8:E9"/>
    <mergeCell ref="E10:E11"/>
    <mergeCell ref="A1:I1"/>
    <mergeCell ref="A2:B3"/>
    <mergeCell ref="A4:B5"/>
    <mergeCell ref="A6:B7"/>
    <mergeCell ref="A8:B9"/>
    <mergeCell ref="F2:G3"/>
    <mergeCell ref="F4:G5"/>
    <mergeCell ref="F6:G7"/>
    <mergeCell ref="F8:G9"/>
    <mergeCell ref="I2:I3"/>
    <mergeCell ref="I4:I5"/>
    <mergeCell ref="I6:I7"/>
    <mergeCell ref="I8:I9"/>
    <mergeCell ref="C2:D3"/>
    <mergeCell ref="C4:D5"/>
    <mergeCell ref="C6:D7"/>
  </mergeCells>
  <pageMargins left="0.393999993801117" right="0.393999993801117" top="0.59100002050399802" bottom="0.59100002050399802" header="0" footer="0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45"/>
  <sheetViews>
    <sheetView workbookViewId="0">
      <selection activeCell="A45" sqref="A45:E45"/>
    </sheetView>
  </sheetViews>
  <sheetFormatPr defaultColWidth="12.140625" defaultRowHeight="15" customHeight="1" x14ac:dyDescent="0.25"/>
  <cols>
    <col min="1" max="1" width="9.140625" customWidth="1"/>
    <col min="2" max="2" width="12.85546875" customWidth="1"/>
    <col min="3" max="3" width="22.85546875" customWidth="1"/>
    <col min="4" max="4" width="10" customWidth="1"/>
    <col min="5" max="5" width="14" customWidth="1"/>
    <col min="6" max="6" width="22.85546875" customWidth="1"/>
    <col min="7" max="7" width="9.140625" customWidth="1"/>
    <col min="8" max="8" width="17.140625" customWidth="1"/>
    <col min="9" max="9" width="22.85546875" customWidth="1"/>
  </cols>
  <sheetData>
    <row r="1" spans="1:9" ht="54.75" customHeight="1" x14ac:dyDescent="0.25">
      <c r="A1" s="111" t="s">
        <v>277</v>
      </c>
      <c r="B1" s="67"/>
      <c r="C1" s="67"/>
      <c r="D1" s="67"/>
      <c r="E1" s="67"/>
      <c r="F1" s="67"/>
      <c r="G1" s="67"/>
      <c r="H1" s="67"/>
      <c r="I1" s="67"/>
    </row>
    <row r="2" spans="1:9" x14ac:dyDescent="0.25">
      <c r="A2" s="68" t="s">
        <v>1</v>
      </c>
      <c r="B2" s="69"/>
      <c r="C2" s="77" t="str">
        <f>'Stavební rozpočet'!C2</f>
        <v>Modrozelený ostrov Urxova x Vrbenského x Jožky Jabůrkové</v>
      </c>
      <c r="D2" s="78"/>
      <c r="E2" s="75" t="s">
        <v>5</v>
      </c>
      <c r="F2" s="75" t="str">
        <f>'Stavební rozpočet'!I2</f>
        <v>Statutární město Brno, MČ Brno - Komín</v>
      </c>
      <c r="G2" s="69"/>
      <c r="H2" s="75" t="s">
        <v>728</v>
      </c>
      <c r="I2" s="80" t="s">
        <v>729</v>
      </c>
    </row>
    <row r="3" spans="1:9" ht="25.5" customHeight="1" x14ac:dyDescent="0.25">
      <c r="A3" s="70"/>
      <c r="B3" s="71"/>
      <c r="C3" s="79"/>
      <c r="D3" s="79"/>
      <c r="E3" s="71"/>
      <c r="F3" s="71"/>
      <c r="G3" s="71"/>
      <c r="H3" s="71"/>
      <c r="I3" s="81"/>
    </row>
    <row r="4" spans="1:9" x14ac:dyDescent="0.25">
      <c r="A4" s="72" t="s">
        <v>7</v>
      </c>
      <c r="B4" s="71"/>
      <c r="C4" s="76" t="str">
        <f>'Stavební rozpočet'!C4</f>
        <v>Veřejné prostranství</v>
      </c>
      <c r="D4" s="71"/>
      <c r="E4" s="76" t="s">
        <v>10</v>
      </c>
      <c r="F4" s="76" t="str">
        <f>'Stavební rozpočet'!I4</f>
        <v>Atelier V8 s.r.o., Vez Zmolách 10, 675 73 Kralice</v>
      </c>
      <c r="G4" s="71"/>
      <c r="H4" s="76" t="s">
        <v>728</v>
      </c>
      <c r="I4" s="81" t="s">
        <v>730</v>
      </c>
    </row>
    <row r="5" spans="1:9" ht="15" customHeight="1" x14ac:dyDescent="0.25">
      <c r="A5" s="70"/>
      <c r="B5" s="71"/>
      <c r="C5" s="71"/>
      <c r="D5" s="71"/>
      <c r="E5" s="71"/>
      <c r="F5" s="71"/>
      <c r="G5" s="71"/>
      <c r="H5" s="71"/>
      <c r="I5" s="81"/>
    </row>
    <row r="6" spans="1:9" x14ac:dyDescent="0.25">
      <c r="A6" s="72" t="s">
        <v>12</v>
      </c>
      <c r="B6" s="71"/>
      <c r="C6" s="76" t="str">
        <f>'Stavební rozpočet'!C6</f>
        <v>Brno - Komín</v>
      </c>
      <c r="D6" s="71"/>
      <c r="E6" s="76" t="s">
        <v>15</v>
      </c>
      <c r="F6" s="76" t="str">
        <f>'Stavební rozpočet'!I6</f>
        <v> </v>
      </c>
      <c r="G6" s="71"/>
      <c r="H6" s="76" t="s">
        <v>728</v>
      </c>
      <c r="I6" s="81" t="s">
        <v>50</v>
      </c>
    </row>
    <row r="7" spans="1:9" ht="15" customHeight="1" x14ac:dyDescent="0.25">
      <c r="A7" s="70"/>
      <c r="B7" s="71"/>
      <c r="C7" s="71"/>
      <c r="D7" s="71"/>
      <c r="E7" s="71"/>
      <c r="F7" s="71"/>
      <c r="G7" s="71"/>
      <c r="H7" s="71"/>
      <c r="I7" s="81"/>
    </row>
    <row r="8" spans="1:9" x14ac:dyDescent="0.25">
      <c r="A8" s="72" t="s">
        <v>9</v>
      </c>
      <c r="B8" s="71"/>
      <c r="C8" s="76">
        <f>'Stavební rozpočet'!G4</f>
        <v>0</v>
      </c>
      <c r="D8" s="71"/>
      <c r="E8" s="76" t="s">
        <v>14</v>
      </c>
      <c r="F8" s="76" t="str">
        <f>'Stavební rozpočet'!G6</f>
        <v xml:space="preserve"> </v>
      </c>
      <c r="G8" s="71"/>
      <c r="H8" s="71" t="s">
        <v>731</v>
      </c>
      <c r="I8" s="112">
        <v>122</v>
      </c>
    </row>
    <row r="9" spans="1:9" x14ac:dyDescent="0.25">
      <c r="A9" s="70"/>
      <c r="B9" s="71"/>
      <c r="C9" s="71"/>
      <c r="D9" s="71"/>
      <c r="E9" s="71"/>
      <c r="F9" s="71"/>
      <c r="G9" s="71"/>
      <c r="H9" s="71"/>
      <c r="I9" s="81"/>
    </row>
    <row r="10" spans="1:9" x14ac:dyDescent="0.25">
      <c r="A10" s="72" t="s">
        <v>17</v>
      </c>
      <c r="B10" s="71"/>
      <c r="C10" s="76" t="str">
        <f>'Stavební rozpočet'!C8</f>
        <v>823</v>
      </c>
      <c r="D10" s="71"/>
      <c r="E10" s="76" t="s">
        <v>20</v>
      </c>
      <c r="F10" s="76">
        <f>'Stavební rozpočet'!I8</f>
        <v>0</v>
      </c>
      <c r="G10" s="71"/>
      <c r="H10" s="71" t="s">
        <v>732</v>
      </c>
      <c r="I10" s="114">
        <f>'Stavební rozpočet'!G8</f>
        <v>0</v>
      </c>
    </row>
    <row r="11" spans="1:9" x14ac:dyDescent="0.25">
      <c r="A11" s="119"/>
      <c r="B11" s="113"/>
      <c r="C11" s="113"/>
      <c r="D11" s="113"/>
      <c r="E11" s="113"/>
      <c r="F11" s="113"/>
      <c r="G11" s="113"/>
      <c r="H11" s="113"/>
      <c r="I11" s="115"/>
    </row>
    <row r="13" spans="1:9" ht="15.75" x14ac:dyDescent="0.25">
      <c r="A13" s="150" t="s">
        <v>772</v>
      </c>
      <c r="B13" s="150"/>
      <c r="C13" s="150"/>
      <c r="D13" s="150"/>
      <c r="E13" s="150"/>
    </row>
    <row r="14" spans="1:9" x14ac:dyDescent="0.25">
      <c r="A14" s="151" t="s">
        <v>773</v>
      </c>
      <c r="B14" s="152"/>
      <c r="C14" s="152"/>
      <c r="D14" s="152"/>
      <c r="E14" s="153"/>
      <c r="F14" s="59" t="s">
        <v>774</v>
      </c>
      <c r="G14" s="59" t="s">
        <v>775</v>
      </c>
      <c r="H14" s="59" t="s">
        <v>776</v>
      </c>
      <c r="I14" s="59" t="s">
        <v>774</v>
      </c>
    </row>
    <row r="15" spans="1:9" x14ac:dyDescent="0.25">
      <c r="A15" s="154" t="s">
        <v>742</v>
      </c>
      <c r="B15" s="155"/>
      <c r="C15" s="155"/>
      <c r="D15" s="155"/>
      <c r="E15" s="156"/>
      <c r="F15" s="60">
        <v>0</v>
      </c>
      <c r="G15" s="61" t="s">
        <v>50</v>
      </c>
      <c r="H15" s="61" t="s">
        <v>50</v>
      </c>
      <c r="I15" s="60">
        <f>F15</f>
        <v>0</v>
      </c>
    </row>
    <row r="16" spans="1:9" x14ac:dyDescent="0.25">
      <c r="A16" s="154" t="s">
        <v>743</v>
      </c>
      <c r="B16" s="155"/>
      <c r="C16" s="155"/>
      <c r="D16" s="155"/>
      <c r="E16" s="156"/>
      <c r="F16" s="60">
        <v>0</v>
      </c>
      <c r="G16" s="61" t="s">
        <v>50</v>
      </c>
      <c r="H16" s="61" t="s">
        <v>50</v>
      </c>
      <c r="I16" s="60">
        <f>F16</f>
        <v>0</v>
      </c>
    </row>
    <row r="17" spans="1:9" x14ac:dyDescent="0.25">
      <c r="A17" s="157" t="s">
        <v>746</v>
      </c>
      <c r="B17" s="158"/>
      <c r="C17" s="158"/>
      <c r="D17" s="158"/>
      <c r="E17" s="159"/>
      <c r="F17" s="62">
        <v>0</v>
      </c>
      <c r="G17" s="63" t="s">
        <v>50</v>
      </c>
      <c r="H17" s="63" t="s">
        <v>50</v>
      </c>
      <c r="I17" s="62">
        <f>F17</f>
        <v>0</v>
      </c>
    </row>
    <row r="18" spans="1:9" x14ac:dyDescent="0.25">
      <c r="A18" s="160" t="s">
        <v>777</v>
      </c>
      <c r="B18" s="161"/>
      <c r="C18" s="161"/>
      <c r="D18" s="161"/>
      <c r="E18" s="162"/>
      <c r="F18" s="64" t="s">
        <v>50</v>
      </c>
      <c r="G18" s="65" t="s">
        <v>50</v>
      </c>
      <c r="H18" s="65" t="s">
        <v>50</v>
      </c>
      <c r="I18" s="66">
        <f>SUM(I15:I17)</f>
        <v>0</v>
      </c>
    </row>
    <row r="20" spans="1:9" x14ac:dyDescent="0.25">
      <c r="A20" s="151" t="s">
        <v>739</v>
      </c>
      <c r="B20" s="152"/>
      <c r="C20" s="152"/>
      <c r="D20" s="152"/>
      <c r="E20" s="153"/>
      <c r="F20" s="59" t="s">
        <v>774</v>
      </c>
      <c r="G20" s="59" t="s">
        <v>775</v>
      </c>
      <c r="H20" s="59" t="s">
        <v>776</v>
      </c>
      <c r="I20" s="59" t="s">
        <v>774</v>
      </c>
    </row>
    <row r="21" spans="1:9" x14ac:dyDescent="0.25">
      <c r="A21" s="154" t="s">
        <v>293</v>
      </c>
      <c r="B21" s="155"/>
      <c r="C21" s="155"/>
      <c r="D21" s="155"/>
      <c r="E21" s="156"/>
      <c r="F21" s="60">
        <v>0</v>
      </c>
      <c r="G21" s="61" t="s">
        <v>50</v>
      </c>
      <c r="H21" s="61" t="s">
        <v>50</v>
      </c>
      <c r="I21" s="60">
        <f t="shared" ref="I21:I26" si="0">F21</f>
        <v>0</v>
      </c>
    </row>
    <row r="22" spans="1:9" x14ac:dyDescent="0.25">
      <c r="A22" s="154" t="s">
        <v>744</v>
      </c>
      <c r="B22" s="155"/>
      <c r="C22" s="155"/>
      <c r="D22" s="155"/>
      <c r="E22" s="156"/>
      <c r="F22" s="60">
        <v>0</v>
      </c>
      <c r="G22" s="61" t="s">
        <v>50</v>
      </c>
      <c r="H22" s="61" t="s">
        <v>50</v>
      </c>
      <c r="I22" s="60">
        <f t="shared" si="0"/>
        <v>0</v>
      </c>
    </row>
    <row r="23" spans="1:9" x14ac:dyDescent="0.25">
      <c r="A23" s="154" t="s">
        <v>747</v>
      </c>
      <c r="B23" s="155"/>
      <c r="C23" s="155"/>
      <c r="D23" s="155"/>
      <c r="E23" s="156"/>
      <c r="F23" s="60">
        <v>0</v>
      </c>
      <c r="G23" s="61" t="s">
        <v>50</v>
      </c>
      <c r="H23" s="61" t="s">
        <v>50</v>
      </c>
      <c r="I23" s="60">
        <f t="shared" si="0"/>
        <v>0</v>
      </c>
    </row>
    <row r="24" spans="1:9" x14ac:dyDescent="0.25">
      <c r="A24" s="154" t="s">
        <v>748</v>
      </c>
      <c r="B24" s="155"/>
      <c r="C24" s="155"/>
      <c r="D24" s="155"/>
      <c r="E24" s="156"/>
      <c r="F24" s="60">
        <v>0</v>
      </c>
      <c r="G24" s="61" t="s">
        <v>50</v>
      </c>
      <c r="H24" s="61" t="s">
        <v>50</v>
      </c>
      <c r="I24" s="60">
        <f t="shared" si="0"/>
        <v>0</v>
      </c>
    </row>
    <row r="25" spans="1:9" x14ac:dyDescent="0.25">
      <c r="A25" s="154" t="s">
        <v>750</v>
      </c>
      <c r="B25" s="155"/>
      <c r="C25" s="155"/>
      <c r="D25" s="155"/>
      <c r="E25" s="156"/>
      <c r="F25" s="60">
        <v>0</v>
      </c>
      <c r="G25" s="61" t="s">
        <v>50</v>
      </c>
      <c r="H25" s="61" t="s">
        <v>50</v>
      </c>
      <c r="I25" s="60">
        <f t="shared" si="0"/>
        <v>0</v>
      </c>
    </row>
    <row r="26" spans="1:9" x14ac:dyDescent="0.25">
      <c r="A26" s="157" t="s">
        <v>751</v>
      </c>
      <c r="B26" s="158"/>
      <c r="C26" s="158"/>
      <c r="D26" s="158"/>
      <c r="E26" s="159"/>
      <c r="F26" s="62">
        <v>0</v>
      </c>
      <c r="G26" s="63" t="s">
        <v>50</v>
      </c>
      <c r="H26" s="63" t="s">
        <v>50</v>
      </c>
      <c r="I26" s="62">
        <f t="shared" si="0"/>
        <v>0</v>
      </c>
    </row>
    <row r="27" spans="1:9" x14ac:dyDescent="0.25">
      <c r="A27" s="160" t="s">
        <v>778</v>
      </c>
      <c r="B27" s="161"/>
      <c r="C27" s="161"/>
      <c r="D27" s="161"/>
      <c r="E27" s="162"/>
      <c r="F27" s="64" t="s">
        <v>50</v>
      </c>
      <c r="G27" s="65" t="s">
        <v>50</v>
      </c>
      <c r="H27" s="65" t="s">
        <v>50</v>
      </c>
      <c r="I27" s="66">
        <f>SUM(I21:I26)</f>
        <v>0</v>
      </c>
    </row>
    <row r="29" spans="1:9" ht="15.75" x14ac:dyDescent="0.25">
      <c r="A29" s="163" t="s">
        <v>779</v>
      </c>
      <c r="B29" s="164"/>
      <c r="C29" s="164"/>
      <c r="D29" s="164"/>
      <c r="E29" s="165"/>
      <c r="F29" s="166">
        <f>I18+I27</f>
        <v>0</v>
      </c>
      <c r="G29" s="167"/>
      <c r="H29" s="167"/>
      <c r="I29" s="168"/>
    </row>
    <row r="33" spans="1:9" ht="15.75" x14ac:dyDescent="0.25">
      <c r="A33" s="150" t="s">
        <v>780</v>
      </c>
      <c r="B33" s="150"/>
      <c r="C33" s="150"/>
      <c r="D33" s="150"/>
      <c r="E33" s="150"/>
    </row>
    <row r="34" spans="1:9" x14ac:dyDescent="0.25">
      <c r="A34" s="151" t="s">
        <v>781</v>
      </c>
      <c r="B34" s="152"/>
      <c r="C34" s="152"/>
      <c r="D34" s="152"/>
      <c r="E34" s="153"/>
      <c r="F34" s="59" t="s">
        <v>774</v>
      </c>
      <c r="G34" s="59" t="s">
        <v>775</v>
      </c>
      <c r="H34" s="59" t="s">
        <v>776</v>
      </c>
      <c r="I34" s="59" t="s">
        <v>774</v>
      </c>
    </row>
    <row r="35" spans="1:9" x14ac:dyDescent="0.25">
      <c r="A35" s="154" t="s">
        <v>279</v>
      </c>
      <c r="B35" s="155"/>
      <c r="C35" s="155"/>
      <c r="D35" s="155"/>
      <c r="E35" s="156"/>
      <c r="F35" s="60">
        <f>SUM('Stavební rozpočet'!BM12:BM712)</f>
        <v>0</v>
      </c>
      <c r="G35" s="61" t="s">
        <v>50</v>
      </c>
      <c r="H35" s="61" t="s">
        <v>50</v>
      </c>
      <c r="I35" s="60">
        <f t="shared" ref="I35:I44" si="1">F35</f>
        <v>0</v>
      </c>
    </row>
    <row r="36" spans="1:9" x14ac:dyDescent="0.25">
      <c r="A36" s="154" t="s">
        <v>782</v>
      </c>
      <c r="B36" s="155"/>
      <c r="C36" s="155"/>
      <c r="D36" s="155"/>
      <c r="E36" s="156"/>
      <c r="F36" s="60">
        <f>SUM('Stavební rozpočet'!BN12:BN712)</f>
        <v>0</v>
      </c>
      <c r="G36" s="61" t="s">
        <v>50</v>
      </c>
      <c r="H36" s="61" t="s">
        <v>50</v>
      </c>
      <c r="I36" s="60">
        <f t="shared" si="1"/>
        <v>0</v>
      </c>
    </row>
    <row r="37" spans="1:9" x14ac:dyDescent="0.25">
      <c r="A37" s="154" t="s">
        <v>293</v>
      </c>
      <c r="B37" s="155"/>
      <c r="C37" s="155"/>
      <c r="D37" s="155"/>
      <c r="E37" s="156"/>
      <c r="F37" s="60">
        <f>SUM('Stavební rozpočet'!BO12:BO712)</f>
        <v>0</v>
      </c>
      <c r="G37" s="61" t="s">
        <v>50</v>
      </c>
      <c r="H37" s="61" t="s">
        <v>50</v>
      </c>
      <c r="I37" s="60">
        <f t="shared" si="1"/>
        <v>0</v>
      </c>
    </row>
    <row r="38" spans="1:9" x14ac:dyDescent="0.25">
      <c r="A38" s="154" t="s">
        <v>783</v>
      </c>
      <c r="B38" s="155"/>
      <c r="C38" s="155"/>
      <c r="D38" s="155"/>
      <c r="E38" s="156"/>
      <c r="F38" s="60">
        <f>SUM('Stavební rozpočet'!BP12:BP712)</f>
        <v>0</v>
      </c>
      <c r="G38" s="61" t="s">
        <v>50</v>
      </c>
      <c r="H38" s="61" t="s">
        <v>50</v>
      </c>
      <c r="I38" s="60">
        <f t="shared" si="1"/>
        <v>0</v>
      </c>
    </row>
    <row r="39" spans="1:9" x14ac:dyDescent="0.25">
      <c r="A39" s="154" t="s">
        <v>784</v>
      </c>
      <c r="B39" s="155"/>
      <c r="C39" s="155"/>
      <c r="D39" s="155"/>
      <c r="E39" s="156"/>
      <c r="F39" s="60">
        <f>SUM('Stavební rozpočet'!BQ12:BQ712)</f>
        <v>0</v>
      </c>
      <c r="G39" s="61" t="s">
        <v>50</v>
      </c>
      <c r="H39" s="61" t="s">
        <v>50</v>
      </c>
      <c r="I39" s="60">
        <f t="shared" si="1"/>
        <v>0</v>
      </c>
    </row>
    <row r="40" spans="1:9" x14ac:dyDescent="0.25">
      <c r="A40" s="154" t="s">
        <v>747</v>
      </c>
      <c r="B40" s="155"/>
      <c r="C40" s="155"/>
      <c r="D40" s="155"/>
      <c r="E40" s="156"/>
      <c r="F40" s="60">
        <f>SUM('Stavební rozpočet'!BR12:BR712)</f>
        <v>0</v>
      </c>
      <c r="G40" s="61" t="s">
        <v>50</v>
      </c>
      <c r="H40" s="61" t="s">
        <v>50</v>
      </c>
      <c r="I40" s="60">
        <f t="shared" si="1"/>
        <v>0</v>
      </c>
    </row>
    <row r="41" spans="1:9" x14ac:dyDescent="0.25">
      <c r="A41" s="154" t="s">
        <v>748</v>
      </c>
      <c r="B41" s="155"/>
      <c r="C41" s="155"/>
      <c r="D41" s="155"/>
      <c r="E41" s="156"/>
      <c r="F41" s="60">
        <f>SUM('Stavební rozpočet'!BS12:BS712)</f>
        <v>0</v>
      </c>
      <c r="G41" s="61" t="s">
        <v>50</v>
      </c>
      <c r="H41" s="61" t="s">
        <v>50</v>
      </c>
      <c r="I41" s="60">
        <f t="shared" si="1"/>
        <v>0</v>
      </c>
    </row>
    <row r="42" spans="1:9" x14ac:dyDescent="0.25">
      <c r="A42" s="154" t="s">
        <v>785</v>
      </c>
      <c r="B42" s="155"/>
      <c r="C42" s="155"/>
      <c r="D42" s="155"/>
      <c r="E42" s="156"/>
      <c r="F42" s="60">
        <f>SUM('Stavební rozpočet'!BT12:BT712)</f>
        <v>0</v>
      </c>
      <c r="G42" s="61" t="s">
        <v>50</v>
      </c>
      <c r="H42" s="61" t="s">
        <v>50</v>
      </c>
      <c r="I42" s="60">
        <f t="shared" si="1"/>
        <v>0</v>
      </c>
    </row>
    <row r="43" spans="1:9" x14ac:dyDescent="0.25">
      <c r="A43" s="154" t="s">
        <v>786</v>
      </c>
      <c r="B43" s="155"/>
      <c r="C43" s="155"/>
      <c r="D43" s="155"/>
      <c r="E43" s="156"/>
      <c r="F43" s="60">
        <f>SUM('Stavební rozpočet'!BU12:BU712)</f>
        <v>0</v>
      </c>
      <c r="G43" s="61" t="s">
        <v>50</v>
      </c>
      <c r="H43" s="61" t="s">
        <v>50</v>
      </c>
      <c r="I43" s="60">
        <f t="shared" si="1"/>
        <v>0</v>
      </c>
    </row>
    <row r="44" spans="1:9" x14ac:dyDescent="0.25">
      <c r="A44" s="157" t="s">
        <v>787</v>
      </c>
      <c r="B44" s="158"/>
      <c r="C44" s="158"/>
      <c r="D44" s="158"/>
      <c r="E44" s="159"/>
      <c r="F44" s="62">
        <f>SUM('Stavební rozpočet'!BV12:BV712)</f>
        <v>0</v>
      </c>
      <c r="G44" s="63" t="s">
        <v>50</v>
      </c>
      <c r="H44" s="63" t="s">
        <v>50</v>
      </c>
      <c r="I44" s="62">
        <f t="shared" si="1"/>
        <v>0</v>
      </c>
    </row>
    <row r="45" spans="1:9" x14ac:dyDescent="0.25">
      <c r="A45" s="160" t="s">
        <v>788</v>
      </c>
      <c r="B45" s="161"/>
      <c r="C45" s="161"/>
      <c r="D45" s="161"/>
      <c r="E45" s="162"/>
      <c r="F45" s="64" t="s">
        <v>50</v>
      </c>
      <c r="G45" s="65" t="s">
        <v>50</v>
      </c>
      <c r="H45" s="65" t="s">
        <v>50</v>
      </c>
      <c r="I45" s="66">
        <f>SUM(I35:I44)</f>
        <v>0</v>
      </c>
    </row>
  </sheetData>
  <sheetProtection password="C71C" sheet="1"/>
  <mergeCells count="60">
    <mergeCell ref="A41:E41"/>
    <mergeCell ref="A42:E42"/>
    <mergeCell ref="A43:E43"/>
    <mergeCell ref="A44:E44"/>
    <mergeCell ref="A45:E45"/>
    <mergeCell ref="A36:E36"/>
    <mergeCell ref="A37:E37"/>
    <mergeCell ref="A38:E38"/>
    <mergeCell ref="A39:E39"/>
    <mergeCell ref="A40:E40"/>
    <mergeCell ref="A29:E29"/>
    <mergeCell ref="F29:I29"/>
    <mergeCell ref="A33:E33"/>
    <mergeCell ref="A34:E34"/>
    <mergeCell ref="A35:E35"/>
    <mergeCell ref="A23:E23"/>
    <mergeCell ref="A24:E24"/>
    <mergeCell ref="A25:E25"/>
    <mergeCell ref="A26:E26"/>
    <mergeCell ref="A27:E27"/>
    <mergeCell ref="A17:E17"/>
    <mergeCell ref="A18:E18"/>
    <mergeCell ref="A20:E20"/>
    <mergeCell ref="A21:E21"/>
    <mergeCell ref="A22:E22"/>
    <mergeCell ref="I10:I11"/>
    <mergeCell ref="A13:E13"/>
    <mergeCell ref="A14:E14"/>
    <mergeCell ref="A15:E15"/>
    <mergeCell ref="A16:E16"/>
    <mergeCell ref="H10:H11"/>
    <mergeCell ref="A10:B11"/>
    <mergeCell ref="C2:D3"/>
    <mergeCell ref="C4:D5"/>
    <mergeCell ref="C6:D7"/>
    <mergeCell ref="C8:D9"/>
    <mergeCell ref="C10:D11"/>
    <mergeCell ref="E8:E9"/>
    <mergeCell ref="E10:E11"/>
    <mergeCell ref="F2:G3"/>
    <mergeCell ref="F4:G5"/>
    <mergeCell ref="F6:G7"/>
    <mergeCell ref="F8:G9"/>
    <mergeCell ref="F10:G11"/>
    <mergeCell ref="A1:I1"/>
    <mergeCell ref="A2:B3"/>
    <mergeCell ref="A4:B5"/>
    <mergeCell ref="A6:B7"/>
    <mergeCell ref="A8:B9"/>
    <mergeCell ref="H2:H3"/>
    <mergeCell ref="H4:H5"/>
    <mergeCell ref="H6:H7"/>
    <mergeCell ref="H8:H9"/>
    <mergeCell ref="I2:I3"/>
    <mergeCell ref="I4:I5"/>
    <mergeCell ref="I6:I7"/>
    <mergeCell ref="I8:I9"/>
    <mergeCell ref="E2:E3"/>
    <mergeCell ref="E4:E5"/>
    <mergeCell ref="E6:E7"/>
  </mergeCells>
  <pageMargins left="0.393999993801117" right="0.393999993801117" top="0.59100002050399802" bottom="0.59100002050399802" header="0" footer="0"/>
  <pageSetup fitToHeight="0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2</vt:i4>
      </vt:variant>
    </vt:vector>
  </HeadingPairs>
  <TitlesOfParts>
    <vt:vector size="5" baseType="lpstr">
      <vt:lpstr>Stavební rozpočet</vt:lpstr>
      <vt:lpstr>Krycí list rozpočtu</vt:lpstr>
      <vt:lpstr>VORN</vt:lpstr>
      <vt:lpstr>'Stavební rozpočet'!Názvy_tisku</vt:lpstr>
      <vt:lpstr>vorn_sum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Sodomka Jiří (MČ Brno-Komín)</cp:lastModifiedBy>
  <cp:lastPrinted>2025-06-17T20:10:14Z</cp:lastPrinted>
  <dcterms:created xsi:type="dcterms:W3CDTF">2021-06-10T20:06:38Z</dcterms:created>
  <dcterms:modified xsi:type="dcterms:W3CDTF">2025-07-09T06:54:22Z</dcterms:modified>
</cp:coreProperties>
</file>