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9660" windowHeight="5496"/>
  </bookViews>
  <sheets>
    <sheet name="Stavební rozpočet" sheetId="1" r:id="rId1"/>
    <sheet name="Výkaz výměr" sheetId="2" r:id="rId2"/>
    <sheet name="Krycí list rozpočtu" sheetId="3" r:id="rId3"/>
    <sheet name="VORN" sheetId="4" r:id="rId4"/>
  </sheets>
  <definedNames>
    <definedName name="vorn_sum">VORN!$I$44:$I$44</definedName>
  </definedNames>
  <calcPr calcId="125725"/>
</workbook>
</file>

<file path=xl/calcChain.xml><?xml version="1.0" encoding="utf-8"?>
<calcChain xmlns="http://schemas.openxmlformats.org/spreadsheetml/2006/main">
  <c r="F14" i="3"/>
  <c r="I14"/>
  <c r="F15"/>
  <c r="I15"/>
  <c r="F16"/>
  <c r="I16"/>
  <c r="I17"/>
  <c r="I18"/>
  <c r="I19"/>
  <c r="F22"/>
  <c r="I22"/>
  <c r="I13" i="1"/>
  <c r="K13"/>
  <c r="K12" s="1"/>
  <c r="O13"/>
  <c r="S13"/>
  <c r="T13"/>
  <c r="U13"/>
  <c r="V13"/>
  <c r="W13"/>
  <c r="Y13"/>
  <c r="Z13"/>
  <c r="AA13"/>
  <c r="AJ12" s="1"/>
  <c r="AD13"/>
  <c r="G13" s="1"/>
  <c r="AE13"/>
  <c r="AL13"/>
  <c r="AM13"/>
  <c r="AR13"/>
  <c r="AS13"/>
  <c r="AU13"/>
  <c r="K15"/>
  <c r="I16"/>
  <c r="K16"/>
  <c r="O16"/>
  <c r="S16"/>
  <c r="T16"/>
  <c r="U16"/>
  <c r="V16"/>
  <c r="W16"/>
  <c r="Y16"/>
  <c r="AH15" s="1"/>
  <c r="Z16"/>
  <c r="AI15" s="1"/>
  <c r="AA16"/>
  <c r="AJ15" s="1"/>
  <c r="AD16"/>
  <c r="G16" s="1"/>
  <c r="AE16"/>
  <c r="AL16"/>
  <c r="AM16"/>
  <c r="AR16" s="1"/>
  <c r="AS16"/>
  <c r="AU16"/>
  <c r="I18"/>
  <c r="K18"/>
  <c r="K17" s="1"/>
  <c r="O18"/>
  <c r="S18"/>
  <c r="T18"/>
  <c r="U18"/>
  <c r="V18"/>
  <c r="W18"/>
  <c r="Y18"/>
  <c r="AH17" s="1"/>
  <c r="Z18"/>
  <c r="AI17" s="1"/>
  <c r="AA18"/>
  <c r="AJ17" s="1"/>
  <c r="AD18"/>
  <c r="G18" s="1"/>
  <c r="AE18"/>
  <c r="AL18"/>
  <c r="AM18"/>
  <c r="AR18" s="1"/>
  <c r="AS18"/>
  <c r="AU18"/>
  <c r="I21"/>
  <c r="K21"/>
  <c r="K20" s="1"/>
  <c r="O21"/>
  <c r="S21"/>
  <c r="T21"/>
  <c r="U21"/>
  <c r="V21"/>
  <c r="W21"/>
  <c r="Y21"/>
  <c r="AH20" s="1"/>
  <c r="Z21"/>
  <c r="AI20" s="1"/>
  <c r="AA21"/>
  <c r="AJ20" s="1"/>
  <c r="AD21"/>
  <c r="G21" s="1"/>
  <c r="AE21"/>
  <c r="AL21"/>
  <c r="AM21"/>
  <c r="AS21"/>
  <c r="AU21"/>
  <c r="I24"/>
  <c r="K24"/>
  <c r="K23" s="1"/>
  <c r="O24"/>
  <c r="S24"/>
  <c r="T24"/>
  <c r="U24"/>
  <c r="V24"/>
  <c r="W24"/>
  <c r="Y24"/>
  <c r="Z24"/>
  <c r="AA24"/>
  <c r="AD24"/>
  <c r="G24" s="1"/>
  <c r="AE24"/>
  <c r="AL24"/>
  <c r="AM24"/>
  <c r="AR24" s="1"/>
  <c r="AS24"/>
  <c r="AU24"/>
  <c r="I26"/>
  <c r="K26"/>
  <c r="O26"/>
  <c r="S26"/>
  <c r="T26"/>
  <c r="U26"/>
  <c r="V26"/>
  <c r="W26"/>
  <c r="Y26"/>
  <c r="Z26"/>
  <c r="AA26"/>
  <c r="AD26"/>
  <c r="G26" s="1"/>
  <c r="Q26" s="1"/>
  <c r="AE26"/>
  <c r="AL26"/>
  <c r="AM26"/>
  <c r="AR26"/>
  <c r="AS26"/>
  <c r="AU26"/>
  <c r="I27"/>
  <c r="K27"/>
  <c r="O27"/>
  <c r="S27"/>
  <c r="T27"/>
  <c r="U27"/>
  <c r="V27"/>
  <c r="W27"/>
  <c r="Y27"/>
  <c r="Z27"/>
  <c r="AA27"/>
  <c r="AD27"/>
  <c r="G27" s="1"/>
  <c r="Q27" s="1"/>
  <c r="AE27"/>
  <c r="AL27"/>
  <c r="AM27"/>
  <c r="AR27"/>
  <c r="AS27"/>
  <c r="AU27"/>
  <c r="I28"/>
  <c r="K28"/>
  <c r="O28"/>
  <c r="S28"/>
  <c r="T28"/>
  <c r="U28"/>
  <c r="V28"/>
  <c r="W28"/>
  <c r="Y28"/>
  <c r="Z28"/>
  <c r="AA28"/>
  <c r="AD28"/>
  <c r="G28" s="1"/>
  <c r="Q28" s="1"/>
  <c r="AE28"/>
  <c r="AL28"/>
  <c r="AM28"/>
  <c r="AS28"/>
  <c r="AU28"/>
  <c r="I30"/>
  <c r="H30" s="1"/>
  <c r="R30" s="1"/>
  <c r="K30"/>
  <c r="O30"/>
  <c r="S30"/>
  <c r="T30"/>
  <c r="U30"/>
  <c r="V30"/>
  <c r="W30"/>
  <c r="Y30"/>
  <c r="Z30"/>
  <c r="AA30"/>
  <c r="AD30"/>
  <c r="G30" s="1"/>
  <c r="Q30" s="1"/>
  <c r="AE30"/>
  <c r="AL30"/>
  <c r="AM30"/>
  <c r="AR30" s="1"/>
  <c r="AS30"/>
  <c r="AU30"/>
  <c r="I31"/>
  <c r="K31"/>
  <c r="O31"/>
  <c r="S31"/>
  <c r="T31"/>
  <c r="U31"/>
  <c r="V31"/>
  <c r="W31"/>
  <c r="Y31"/>
  <c r="Z31"/>
  <c r="AA31"/>
  <c r="AD31"/>
  <c r="G31" s="1"/>
  <c r="Q31" s="1"/>
  <c r="AE31"/>
  <c r="AL31"/>
  <c r="AM31"/>
  <c r="AS31"/>
  <c r="AU31"/>
  <c r="I33"/>
  <c r="K33"/>
  <c r="K32" s="1"/>
  <c r="O33"/>
  <c r="S33"/>
  <c r="T33"/>
  <c r="U33"/>
  <c r="V33"/>
  <c r="W33"/>
  <c r="Y33"/>
  <c r="AH32" s="1"/>
  <c r="Z33"/>
  <c r="AA33"/>
  <c r="AD33"/>
  <c r="G33" s="1"/>
  <c r="AE33"/>
  <c r="AL33"/>
  <c r="AM33"/>
  <c r="AR33" s="1"/>
  <c r="AS33"/>
  <c r="AU33"/>
  <c r="I35"/>
  <c r="K35"/>
  <c r="O35"/>
  <c r="S35"/>
  <c r="T35"/>
  <c r="U35"/>
  <c r="V35"/>
  <c r="W35"/>
  <c r="Y35"/>
  <c r="Z35"/>
  <c r="AA35"/>
  <c r="AD35"/>
  <c r="G35" s="1"/>
  <c r="Q35" s="1"/>
  <c r="AE35"/>
  <c r="AL35"/>
  <c r="AM35"/>
  <c r="AS35"/>
  <c r="AU35"/>
  <c r="I38"/>
  <c r="K38"/>
  <c r="K37" s="1"/>
  <c r="O38"/>
  <c r="S38"/>
  <c r="T38"/>
  <c r="U38"/>
  <c r="V38"/>
  <c r="W38"/>
  <c r="Y38"/>
  <c r="AH37" s="1"/>
  <c r="Z38"/>
  <c r="AA38"/>
  <c r="AD38"/>
  <c r="G38" s="1"/>
  <c r="AE38"/>
  <c r="AL38"/>
  <c r="AM38"/>
  <c r="AR38" s="1"/>
  <c r="AS38"/>
  <c r="AU38"/>
  <c r="I40"/>
  <c r="K40"/>
  <c r="O40"/>
  <c r="S40"/>
  <c r="T40"/>
  <c r="U40"/>
  <c r="V40"/>
  <c r="W40"/>
  <c r="Y40"/>
  <c r="Z40"/>
  <c r="AA40"/>
  <c r="AD40"/>
  <c r="G40" s="1"/>
  <c r="AE40"/>
  <c r="AL40"/>
  <c r="AM40"/>
  <c r="AR40"/>
  <c r="AS40"/>
  <c r="AU40"/>
  <c r="I42"/>
  <c r="K42"/>
  <c r="O42"/>
  <c r="S42"/>
  <c r="T42"/>
  <c r="U42"/>
  <c r="V42"/>
  <c r="W42"/>
  <c r="Y42"/>
  <c r="Z42"/>
  <c r="AA42"/>
  <c r="AD42"/>
  <c r="G42" s="1"/>
  <c r="AE42"/>
  <c r="AL42"/>
  <c r="AM42"/>
  <c r="AR42"/>
  <c r="AS42"/>
  <c r="AU42"/>
  <c r="I43"/>
  <c r="K43"/>
  <c r="O43"/>
  <c r="S43"/>
  <c r="T43"/>
  <c r="U43"/>
  <c r="V43"/>
  <c r="W43"/>
  <c r="Y43"/>
  <c r="Z43"/>
  <c r="AA43"/>
  <c r="AD43"/>
  <c r="G43" s="1"/>
  <c r="Q43" s="1"/>
  <c r="AE43"/>
  <c r="AL43"/>
  <c r="AM43"/>
  <c r="AR43"/>
  <c r="AS43"/>
  <c r="AU43"/>
  <c r="I45"/>
  <c r="K45"/>
  <c r="O45"/>
  <c r="S45"/>
  <c r="T45"/>
  <c r="U45"/>
  <c r="V45"/>
  <c r="W45"/>
  <c r="Y45"/>
  <c r="Z45"/>
  <c r="AA45"/>
  <c r="AD45"/>
  <c r="G45" s="1"/>
  <c r="AE45"/>
  <c r="AL45"/>
  <c r="AM45"/>
  <c r="AR45"/>
  <c r="AS45"/>
  <c r="AU45"/>
  <c r="I47"/>
  <c r="K47"/>
  <c r="K46" s="1"/>
  <c r="O47"/>
  <c r="S47"/>
  <c r="T47"/>
  <c r="U47"/>
  <c r="V47"/>
  <c r="W47"/>
  <c r="Y47"/>
  <c r="Z47"/>
  <c r="AA47"/>
  <c r="AD47"/>
  <c r="G47" s="1"/>
  <c r="AE47"/>
  <c r="AL47"/>
  <c r="AM47"/>
  <c r="AS47"/>
  <c r="AU47"/>
  <c r="I48"/>
  <c r="K48"/>
  <c r="O48"/>
  <c r="S48"/>
  <c r="T48"/>
  <c r="U48"/>
  <c r="V48"/>
  <c r="W48"/>
  <c r="Y48"/>
  <c r="Z48"/>
  <c r="AA48"/>
  <c r="AD48"/>
  <c r="G48" s="1"/>
  <c r="Q48" s="1"/>
  <c r="AE48"/>
  <c r="AL48"/>
  <c r="AM48"/>
  <c r="AR48" s="1"/>
  <c r="AS48"/>
  <c r="AU48"/>
  <c r="I50"/>
  <c r="K50"/>
  <c r="O50"/>
  <c r="S50"/>
  <c r="T50"/>
  <c r="U50"/>
  <c r="V50"/>
  <c r="W50"/>
  <c r="Y50"/>
  <c r="Z50"/>
  <c r="AA50"/>
  <c r="AD50"/>
  <c r="G50" s="1"/>
  <c r="Q50" s="1"/>
  <c r="AE50"/>
  <c r="AL50"/>
  <c r="AM50"/>
  <c r="AS50"/>
  <c r="AU50"/>
  <c r="I52"/>
  <c r="K52"/>
  <c r="K51" s="1"/>
  <c r="O52"/>
  <c r="Q52"/>
  <c r="R52"/>
  <c r="U52"/>
  <c r="V52"/>
  <c r="W52"/>
  <c r="Y52"/>
  <c r="Z52"/>
  <c r="AA52"/>
  <c r="AD52"/>
  <c r="G52" s="1"/>
  <c r="AE52"/>
  <c r="AL52"/>
  <c r="AM52"/>
  <c r="AR52" s="1"/>
  <c r="AS52"/>
  <c r="AU52"/>
  <c r="I54"/>
  <c r="K54"/>
  <c r="O54"/>
  <c r="Q54"/>
  <c r="R54"/>
  <c r="U54"/>
  <c r="V54"/>
  <c r="W54"/>
  <c r="Y54"/>
  <c r="Z54"/>
  <c r="AA54"/>
  <c r="AD54"/>
  <c r="G54" s="1"/>
  <c r="AE54"/>
  <c r="AL54"/>
  <c r="AM54"/>
  <c r="AR54"/>
  <c r="AS54"/>
  <c r="AU54"/>
  <c r="I55"/>
  <c r="K55"/>
  <c r="O55"/>
  <c r="Q55"/>
  <c r="R55"/>
  <c r="S55"/>
  <c r="T55"/>
  <c r="U55"/>
  <c r="V55"/>
  <c r="W55"/>
  <c r="Y55"/>
  <c r="Z55"/>
  <c r="AA55"/>
  <c r="AD55"/>
  <c r="G55" s="1"/>
  <c r="AE55"/>
  <c r="AL55"/>
  <c r="AM55"/>
  <c r="AS55"/>
  <c r="AU55"/>
  <c r="I57"/>
  <c r="K57"/>
  <c r="K56" s="1"/>
  <c r="O57"/>
  <c r="Q57"/>
  <c r="R57"/>
  <c r="U57"/>
  <c r="V57"/>
  <c r="W57"/>
  <c r="Y57"/>
  <c r="Z57"/>
  <c r="AA57"/>
  <c r="AD57"/>
  <c r="G57" s="1"/>
  <c r="AE57"/>
  <c r="AL57"/>
  <c r="AM57"/>
  <c r="AR57" s="1"/>
  <c r="AS57"/>
  <c r="AU57"/>
  <c r="I59"/>
  <c r="K59"/>
  <c r="O59"/>
  <c r="Q59"/>
  <c r="R59"/>
  <c r="U59"/>
  <c r="V59"/>
  <c r="W59"/>
  <c r="Y59"/>
  <c r="Z59"/>
  <c r="AA59"/>
  <c r="AD59"/>
  <c r="G59" s="1"/>
  <c r="S59" s="1"/>
  <c r="AE59"/>
  <c r="AL59"/>
  <c r="AM59"/>
  <c r="AS59"/>
  <c r="AU59"/>
  <c r="I61"/>
  <c r="K61"/>
  <c r="O61"/>
  <c r="Q61"/>
  <c r="R61"/>
  <c r="S61"/>
  <c r="T61"/>
  <c r="U61"/>
  <c r="V61"/>
  <c r="W61"/>
  <c r="Y61"/>
  <c r="Z61"/>
  <c r="AA61"/>
  <c r="AD61"/>
  <c r="G61" s="1"/>
  <c r="AE61"/>
  <c r="AL61"/>
  <c r="AM61"/>
  <c r="AR61" s="1"/>
  <c r="AS61"/>
  <c r="AU61"/>
  <c r="I63"/>
  <c r="K63"/>
  <c r="K62" s="1"/>
  <c r="O63"/>
  <c r="Q63"/>
  <c r="R63"/>
  <c r="U63"/>
  <c r="V63"/>
  <c r="W63"/>
  <c r="Y63"/>
  <c r="Z63"/>
  <c r="AA63"/>
  <c r="AD63"/>
  <c r="G63" s="1"/>
  <c r="AE63"/>
  <c r="AL63"/>
  <c r="AM63"/>
  <c r="AR63" s="1"/>
  <c r="AS63"/>
  <c r="AU63"/>
  <c r="I65"/>
  <c r="K65"/>
  <c r="O65"/>
  <c r="Q65"/>
  <c r="R65"/>
  <c r="S65"/>
  <c r="T65"/>
  <c r="U65"/>
  <c r="V65"/>
  <c r="W65"/>
  <c r="Y65"/>
  <c r="Z65"/>
  <c r="AA65"/>
  <c r="AD65"/>
  <c r="G65" s="1"/>
  <c r="AE65"/>
  <c r="AL65"/>
  <c r="AM65"/>
  <c r="AR65" s="1"/>
  <c r="AS65"/>
  <c r="AU65"/>
  <c r="I67"/>
  <c r="K67"/>
  <c r="K66" s="1"/>
  <c r="O67"/>
  <c r="Q67"/>
  <c r="R67"/>
  <c r="U67"/>
  <c r="V67"/>
  <c r="W67"/>
  <c r="Y67"/>
  <c r="AH66" s="1"/>
  <c r="Z67"/>
  <c r="AI66" s="1"/>
  <c r="AA67"/>
  <c r="AJ66" s="1"/>
  <c r="AD67"/>
  <c r="G67" s="1"/>
  <c r="AE67"/>
  <c r="AL67"/>
  <c r="AM67"/>
  <c r="AR67"/>
  <c r="AS67"/>
  <c r="AU67"/>
  <c r="I70"/>
  <c r="K70"/>
  <c r="K69" s="1"/>
  <c r="O70"/>
  <c r="S70"/>
  <c r="T70"/>
  <c r="U70"/>
  <c r="V70"/>
  <c r="W70"/>
  <c r="Y70"/>
  <c r="AH69" s="1"/>
  <c r="Z70"/>
  <c r="AI69" s="1"/>
  <c r="AA70"/>
  <c r="AJ69" s="1"/>
  <c r="AD70"/>
  <c r="G70" s="1"/>
  <c r="AE70"/>
  <c r="AL70"/>
  <c r="AM70"/>
  <c r="AS70"/>
  <c r="AU70"/>
  <c r="I73"/>
  <c r="K73"/>
  <c r="K72" s="1"/>
  <c r="O73"/>
  <c r="S73"/>
  <c r="T73"/>
  <c r="U73"/>
  <c r="V73"/>
  <c r="W73"/>
  <c r="Y73"/>
  <c r="AH72" s="1"/>
  <c r="Z73"/>
  <c r="AI72" s="1"/>
  <c r="AA73"/>
  <c r="AJ72" s="1"/>
  <c r="AD73"/>
  <c r="G73" s="1"/>
  <c r="AE73"/>
  <c r="AL73"/>
  <c r="AM73"/>
  <c r="AR73" s="1"/>
  <c r="AS73"/>
  <c r="AU73"/>
  <c r="I76"/>
  <c r="K76"/>
  <c r="K75" s="1"/>
  <c r="O76"/>
  <c r="S76"/>
  <c r="T76"/>
  <c r="U76"/>
  <c r="V76"/>
  <c r="W76"/>
  <c r="Y76"/>
  <c r="Z76"/>
  <c r="AA76"/>
  <c r="AD76"/>
  <c r="G76" s="1"/>
  <c r="AE76"/>
  <c r="AL76"/>
  <c r="AM76"/>
  <c r="AS76"/>
  <c r="AU76"/>
  <c r="I77"/>
  <c r="K77"/>
  <c r="O77"/>
  <c r="S77"/>
  <c r="T77"/>
  <c r="U77"/>
  <c r="V77"/>
  <c r="W77"/>
  <c r="Y77"/>
  <c r="Z77"/>
  <c r="AA77"/>
  <c r="AD77"/>
  <c r="G77" s="1"/>
  <c r="Q77" s="1"/>
  <c r="AE77"/>
  <c r="AL77"/>
  <c r="AM77"/>
  <c r="AR77" s="1"/>
  <c r="AS77"/>
  <c r="AU77"/>
  <c r="I80"/>
  <c r="K80"/>
  <c r="K79" s="1"/>
  <c r="O80"/>
  <c r="S80"/>
  <c r="T80"/>
  <c r="U80"/>
  <c r="V80"/>
  <c r="W80"/>
  <c r="Y80"/>
  <c r="AH79" s="1"/>
  <c r="Z80"/>
  <c r="AI79" s="1"/>
  <c r="AA80"/>
  <c r="AJ79" s="1"/>
  <c r="AD80"/>
  <c r="G80" s="1"/>
  <c r="AE80"/>
  <c r="AL80"/>
  <c r="AM80"/>
  <c r="AR80" s="1"/>
  <c r="AS80"/>
  <c r="AU80"/>
  <c r="I82"/>
  <c r="K82"/>
  <c r="K81" s="1"/>
  <c r="O82"/>
  <c r="S82"/>
  <c r="T82"/>
  <c r="U82"/>
  <c r="V82"/>
  <c r="W82"/>
  <c r="Y82"/>
  <c r="Z82"/>
  <c r="AA82"/>
  <c r="AD82"/>
  <c r="G82" s="1"/>
  <c r="AE82"/>
  <c r="AL82"/>
  <c r="AM82"/>
  <c r="AR82" s="1"/>
  <c r="AS82"/>
  <c r="AU82"/>
  <c r="I84"/>
  <c r="K84"/>
  <c r="O84"/>
  <c r="S84"/>
  <c r="T84"/>
  <c r="U84"/>
  <c r="V84"/>
  <c r="W84"/>
  <c r="Y84"/>
  <c r="Z84"/>
  <c r="AA84"/>
  <c r="AD84"/>
  <c r="G84" s="1"/>
  <c r="Q84" s="1"/>
  <c r="AE84"/>
  <c r="AL84"/>
  <c r="AM84"/>
  <c r="AS84"/>
  <c r="AU84"/>
  <c r="I86"/>
  <c r="K86"/>
  <c r="O86"/>
  <c r="S86"/>
  <c r="T86"/>
  <c r="U86"/>
  <c r="V86"/>
  <c r="W86"/>
  <c r="Y86"/>
  <c r="Z86"/>
  <c r="AA86"/>
  <c r="AD86"/>
  <c r="G86" s="1"/>
  <c r="Q86" s="1"/>
  <c r="AE86"/>
  <c r="AL86"/>
  <c r="AM86"/>
  <c r="AR86" s="1"/>
  <c r="AS86"/>
  <c r="AU86"/>
  <c r="I88"/>
  <c r="K88"/>
  <c r="O88"/>
  <c r="S88"/>
  <c r="T88"/>
  <c r="U88"/>
  <c r="V88"/>
  <c r="W88"/>
  <c r="Y88"/>
  <c r="Z88"/>
  <c r="AA88"/>
  <c r="AD88"/>
  <c r="G88" s="1"/>
  <c r="Q88" s="1"/>
  <c r="AE88"/>
  <c r="AL88"/>
  <c r="AM88"/>
  <c r="AS88"/>
  <c r="AU88"/>
  <c r="I90"/>
  <c r="K90"/>
  <c r="O90"/>
  <c r="S90"/>
  <c r="T90"/>
  <c r="U90"/>
  <c r="V90"/>
  <c r="W90"/>
  <c r="Y90"/>
  <c r="Z90"/>
  <c r="AA90"/>
  <c r="AD90"/>
  <c r="G90" s="1"/>
  <c r="Q90" s="1"/>
  <c r="AE90"/>
  <c r="AL90"/>
  <c r="AM90"/>
  <c r="AR90" s="1"/>
  <c r="AS90"/>
  <c r="AU90"/>
  <c r="I92"/>
  <c r="K92"/>
  <c r="O92"/>
  <c r="S92"/>
  <c r="T92"/>
  <c r="U92"/>
  <c r="V92"/>
  <c r="W92"/>
  <c r="Y92"/>
  <c r="Z92"/>
  <c r="AA92"/>
  <c r="AD92"/>
  <c r="G92" s="1"/>
  <c r="Q92" s="1"/>
  <c r="AE92"/>
  <c r="AL92"/>
  <c r="AM92"/>
  <c r="AS92"/>
  <c r="AU92"/>
  <c r="I94"/>
  <c r="K94"/>
  <c r="O94"/>
  <c r="S94"/>
  <c r="T94"/>
  <c r="U94"/>
  <c r="V94"/>
  <c r="W94"/>
  <c r="Y94"/>
  <c r="Z94"/>
  <c r="AA94"/>
  <c r="AD94"/>
  <c r="G94" s="1"/>
  <c r="Q94" s="1"/>
  <c r="AE94"/>
  <c r="AL94"/>
  <c r="AM94"/>
  <c r="AR94" s="1"/>
  <c r="AS94"/>
  <c r="AU94"/>
  <c r="I96"/>
  <c r="K96"/>
  <c r="O96"/>
  <c r="S96"/>
  <c r="T96"/>
  <c r="U96"/>
  <c r="V96"/>
  <c r="W96"/>
  <c r="Y96"/>
  <c r="Z96"/>
  <c r="AA96"/>
  <c r="AD96"/>
  <c r="G96" s="1"/>
  <c r="Q96" s="1"/>
  <c r="AE96"/>
  <c r="AL96"/>
  <c r="AM96"/>
  <c r="AS96"/>
  <c r="AU96"/>
  <c r="I99"/>
  <c r="K99"/>
  <c r="K98" s="1"/>
  <c r="O99"/>
  <c r="S99"/>
  <c r="T99"/>
  <c r="U99"/>
  <c r="V99"/>
  <c r="W99"/>
  <c r="Y99"/>
  <c r="Z99"/>
  <c r="AA99"/>
  <c r="AD99"/>
  <c r="G99" s="1"/>
  <c r="AE99"/>
  <c r="AL99"/>
  <c r="AM99"/>
  <c r="AR99" s="1"/>
  <c r="AS99"/>
  <c r="AU99"/>
  <c r="I100"/>
  <c r="K100"/>
  <c r="O100"/>
  <c r="S100"/>
  <c r="T100"/>
  <c r="U100"/>
  <c r="V100"/>
  <c r="W100"/>
  <c r="Y100"/>
  <c r="Z100"/>
  <c r="AA100"/>
  <c r="AD100"/>
  <c r="G100" s="1"/>
  <c r="AE100"/>
  <c r="AL100"/>
  <c r="AM100"/>
  <c r="AR100"/>
  <c r="AS100"/>
  <c r="AU100"/>
  <c r="I101"/>
  <c r="K101"/>
  <c r="O101"/>
  <c r="S101"/>
  <c r="T101"/>
  <c r="U101"/>
  <c r="V101"/>
  <c r="W101"/>
  <c r="Y101"/>
  <c r="Z101"/>
  <c r="AA101"/>
  <c r="AD101"/>
  <c r="G101" s="1"/>
  <c r="AE101"/>
  <c r="AL101"/>
  <c r="AM101"/>
  <c r="AR101"/>
  <c r="AS101"/>
  <c r="AU101"/>
  <c r="I103"/>
  <c r="K103"/>
  <c r="O103"/>
  <c r="S103"/>
  <c r="T103"/>
  <c r="U103"/>
  <c r="V103"/>
  <c r="W103"/>
  <c r="Y103"/>
  <c r="Z103"/>
  <c r="AA103"/>
  <c r="AD103"/>
  <c r="G103" s="1"/>
  <c r="AE103"/>
  <c r="AL103"/>
  <c r="AM103"/>
  <c r="AR103"/>
  <c r="AS103"/>
  <c r="AU103"/>
  <c r="I105"/>
  <c r="K105"/>
  <c r="K104" s="1"/>
  <c r="O105"/>
  <c r="Q105"/>
  <c r="R105"/>
  <c r="S105"/>
  <c r="T105"/>
  <c r="U105"/>
  <c r="V105"/>
  <c r="W105"/>
  <c r="Y105"/>
  <c r="AH104" s="1"/>
  <c r="Z105"/>
  <c r="AI104" s="1"/>
  <c r="AA105"/>
  <c r="AJ104" s="1"/>
  <c r="AD105"/>
  <c r="G105" s="1"/>
  <c r="G104" s="1"/>
  <c r="AE105"/>
  <c r="AL105"/>
  <c r="AM105"/>
  <c r="AS105"/>
  <c r="AU105"/>
  <c r="I107"/>
  <c r="K107"/>
  <c r="K106" s="1"/>
  <c r="O107"/>
  <c r="Q107"/>
  <c r="R107"/>
  <c r="S107"/>
  <c r="T107"/>
  <c r="W107"/>
  <c r="Y107"/>
  <c r="Z107"/>
  <c r="AA107"/>
  <c r="AD107"/>
  <c r="G107" s="1"/>
  <c r="AE107"/>
  <c r="AL107"/>
  <c r="AM107"/>
  <c r="AR107" s="1"/>
  <c r="AS107"/>
  <c r="AU107"/>
  <c r="I108"/>
  <c r="K108"/>
  <c r="O108"/>
  <c r="Q108"/>
  <c r="R108"/>
  <c r="S108"/>
  <c r="T108"/>
  <c r="W108"/>
  <c r="Y108"/>
  <c r="Z108"/>
  <c r="AA108"/>
  <c r="AD108"/>
  <c r="G108" s="1"/>
  <c r="AE108"/>
  <c r="AL108"/>
  <c r="AM108"/>
  <c r="AR108"/>
  <c r="AS108"/>
  <c r="AU108"/>
  <c r="I109"/>
  <c r="K109"/>
  <c r="O109"/>
  <c r="S109"/>
  <c r="T109"/>
  <c r="U109"/>
  <c r="V109"/>
  <c r="W109"/>
  <c r="Y109"/>
  <c r="Z109"/>
  <c r="AA109"/>
  <c r="AD109"/>
  <c r="G109" s="1"/>
  <c r="AE109"/>
  <c r="AL109"/>
  <c r="AM109"/>
  <c r="AR109"/>
  <c r="AS109"/>
  <c r="AU109"/>
  <c r="I110"/>
  <c r="K110"/>
  <c r="O110"/>
  <c r="S110"/>
  <c r="T110"/>
  <c r="U110"/>
  <c r="V110"/>
  <c r="W110"/>
  <c r="Y110"/>
  <c r="Z110"/>
  <c r="AA110"/>
  <c r="AD110"/>
  <c r="G110" s="1"/>
  <c r="AE110"/>
  <c r="AL110"/>
  <c r="AM110"/>
  <c r="AR110" s="1"/>
  <c r="AS110"/>
  <c r="AU110"/>
  <c r="I111"/>
  <c r="K111"/>
  <c r="O111"/>
  <c r="Q111"/>
  <c r="R111"/>
  <c r="S111"/>
  <c r="T111"/>
  <c r="W111"/>
  <c r="Y111"/>
  <c r="Z111"/>
  <c r="AA111"/>
  <c r="AD111"/>
  <c r="G111" s="1"/>
  <c r="U111" s="1"/>
  <c r="AE111"/>
  <c r="AL111"/>
  <c r="AM111"/>
  <c r="AR111" s="1"/>
  <c r="AS111"/>
  <c r="AU111"/>
  <c r="I113"/>
  <c r="K113"/>
  <c r="O113"/>
  <c r="Q113"/>
  <c r="R113"/>
  <c r="S113"/>
  <c r="T113"/>
  <c r="W113"/>
  <c r="Y113"/>
  <c r="Z113"/>
  <c r="AA113"/>
  <c r="AD113"/>
  <c r="G113" s="1"/>
  <c r="U113" s="1"/>
  <c r="AE113"/>
  <c r="AL113"/>
  <c r="AM113"/>
  <c r="AS113"/>
  <c r="AU113"/>
  <c r="I115"/>
  <c r="K115"/>
  <c r="O115"/>
  <c r="Q115"/>
  <c r="R115"/>
  <c r="S115"/>
  <c r="T115"/>
  <c r="W115"/>
  <c r="Y115"/>
  <c r="Z115"/>
  <c r="AA115"/>
  <c r="AD115"/>
  <c r="G115" s="1"/>
  <c r="U115" s="1"/>
  <c r="AE115"/>
  <c r="AL115"/>
  <c r="AM115"/>
  <c r="AR115" s="1"/>
  <c r="AS115"/>
  <c r="AU115"/>
  <c r="I117"/>
  <c r="K117"/>
  <c r="O117"/>
  <c r="S117"/>
  <c r="T117"/>
  <c r="U117"/>
  <c r="V117"/>
  <c r="W117"/>
  <c r="Y117"/>
  <c r="Z117"/>
  <c r="AA117"/>
  <c r="AD117"/>
  <c r="G117" s="1"/>
  <c r="Q117" s="1"/>
  <c r="AE117"/>
  <c r="AL117"/>
  <c r="AM117"/>
  <c r="AS117"/>
  <c r="AU117"/>
  <c r="I119"/>
  <c r="K119"/>
  <c r="K118" s="1"/>
  <c r="O119"/>
  <c r="Q119"/>
  <c r="R119"/>
  <c r="S119"/>
  <c r="T119"/>
  <c r="U119"/>
  <c r="V119"/>
  <c r="W119"/>
  <c r="Y119"/>
  <c r="Z119"/>
  <c r="AA119"/>
  <c r="AD119"/>
  <c r="G119" s="1"/>
  <c r="AE119"/>
  <c r="AL119"/>
  <c r="AM119"/>
  <c r="AR119" s="1"/>
  <c r="AS119"/>
  <c r="AU119"/>
  <c r="I120"/>
  <c r="K120"/>
  <c r="O120"/>
  <c r="Q120"/>
  <c r="R120"/>
  <c r="S120"/>
  <c r="T120"/>
  <c r="U120"/>
  <c r="V120"/>
  <c r="W120"/>
  <c r="Y120"/>
  <c r="Z120"/>
  <c r="AA120"/>
  <c r="AD120"/>
  <c r="G120" s="1"/>
  <c r="AE120"/>
  <c r="AL120"/>
  <c r="AM120"/>
  <c r="AR120" s="1"/>
  <c r="AS120"/>
  <c r="AU120"/>
  <c r="I121"/>
  <c r="K121"/>
  <c r="O121"/>
  <c r="Q121"/>
  <c r="R121"/>
  <c r="S121"/>
  <c r="T121"/>
  <c r="U121"/>
  <c r="V121"/>
  <c r="W121"/>
  <c r="Y121"/>
  <c r="Z121"/>
  <c r="AA121"/>
  <c r="AD121"/>
  <c r="G121" s="1"/>
  <c r="AE121"/>
  <c r="AL121"/>
  <c r="AM121"/>
  <c r="AR121" s="1"/>
  <c r="AS121"/>
  <c r="AU121"/>
  <c r="I122"/>
  <c r="K122"/>
  <c r="O122"/>
  <c r="Q122"/>
  <c r="R122"/>
  <c r="S122"/>
  <c r="T122"/>
  <c r="U122"/>
  <c r="V122"/>
  <c r="W122"/>
  <c r="Y122"/>
  <c r="Z122"/>
  <c r="AA122"/>
  <c r="AD122"/>
  <c r="G122" s="1"/>
  <c r="AE122"/>
  <c r="AL122"/>
  <c r="AM122"/>
  <c r="AS122"/>
  <c r="AU122"/>
  <c r="I123"/>
  <c r="K123"/>
  <c r="O123"/>
  <c r="Q123"/>
  <c r="R123"/>
  <c r="S123"/>
  <c r="T123"/>
  <c r="U123"/>
  <c r="V123"/>
  <c r="W123"/>
  <c r="Y123"/>
  <c r="Z123"/>
  <c r="AA123"/>
  <c r="AD123"/>
  <c r="G123" s="1"/>
  <c r="AE123"/>
  <c r="AL123"/>
  <c r="AM123"/>
  <c r="AR123" s="1"/>
  <c r="AS123"/>
  <c r="AU123"/>
  <c r="I124"/>
  <c r="K124"/>
  <c r="O124"/>
  <c r="Q124"/>
  <c r="R124"/>
  <c r="S124"/>
  <c r="T124"/>
  <c r="U124"/>
  <c r="V124"/>
  <c r="W124"/>
  <c r="Y124"/>
  <c r="Z124"/>
  <c r="AA124"/>
  <c r="AD124"/>
  <c r="G124" s="1"/>
  <c r="AE124"/>
  <c r="AL124"/>
  <c r="AM124"/>
  <c r="AR124" s="1"/>
  <c r="AS124"/>
  <c r="AU124"/>
  <c r="I125"/>
  <c r="K125"/>
  <c r="O125"/>
  <c r="Q125"/>
  <c r="R125"/>
  <c r="S125"/>
  <c r="T125"/>
  <c r="U125"/>
  <c r="V125"/>
  <c r="W125"/>
  <c r="Y125"/>
  <c r="Z125"/>
  <c r="AA125"/>
  <c r="AD125"/>
  <c r="G125" s="1"/>
  <c r="AE125"/>
  <c r="AL125"/>
  <c r="AM125"/>
  <c r="AR125" s="1"/>
  <c r="AS125"/>
  <c r="AU125"/>
  <c r="I126"/>
  <c r="K126"/>
  <c r="O126"/>
  <c r="Q126"/>
  <c r="R126"/>
  <c r="S126"/>
  <c r="T126"/>
  <c r="U126"/>
  <c r="V126"/>
  <c r="W126"/>
  <c r="Y126"/>
  <c r="Z126"/>
  <c r="AA126"/>
  <c r="AD126"/>
  <c r="G126" s="1"/>
  <c r="AE126"/>
  <c r="AL126"/>
  <c r="AM126"/>
  <c r="AR126" s="1"/>
  <c r="AS126"/>
  <c r="AU126"/>
  <c r="I127"/>
  <c r="K127"/>
  <c r="O127"/>
  <c r="Q127"/>
  <c r="R127"/>
  <c r="S127"/>
  <c r="T127"/>
  <c r="U127"/>
  <c r="V127"/>
  <c r="W127"/>
  <c r="Y127"/>
  <c r="Z127"/>
  <c r="AA127"/>
  <c r="AD127"/>
  <c r="G127" s="1"/>
  <c r="AE127"/>
  <c r="AL127"/>
  <c r="AM127"/>
  <c r="AR127" s="1"/>
  <c r="AS127"/>
  <c r="AU127"/>
  <c r="I15" i="4"/>
  <c r="I16"/>
  <c r="I17"/>
  <c r="I18"/>
  <c r="I21"/>
  <c r="I22"/>
  <c r="I23"/>
  <c r="I24"/>
  <c r="I25"/>
  <c r="I26"/>
  <c r="I27"/>
  <c r="F29"/>
  <c r="I35"/>
  <c r="I39"/>
  <c r="I40"/>
  <c r="I41"/>
  <c r="I42"/>
  <c r="H126" i="1" l="1"/>
  <c r="H124"/>
  <c r="AR122"/>
  <c r="H122"/>
  <c r="H120"/>
  <c r="AI118"/>
  <c r="AJ118"/>
  <c r="AH118"/>
  <c r="AR117"/>
  <c r="H115"/>
  <c r="V115" s="1"/>
  <c r="AR113"/>
  <c r="AI106"/>
  <c r="AJ106"/>
  <c r="AH106"/>
  <c r="AR105"/>
  <c r="H105"/>
  <c r="H104" s="1"/>
  <c r="AI98"/>
  <c r="AJ98"/>
  <c r="AH98"/>
  <c r="AR96"/>
  <c r="H94"/>
  <c r="R94" s="1"/>
  <c r="AR92"/>
  <c r="H90"/>
  <c r="R90" s="1"/>
  <c r="AR88"/>
  <c r="H86"/>
  <c r="R86" s="1"/>
  <c r="AR84"/>
  <c r="AI81"/>
  <c r="AJ81"/>
  <c r="AH81"/>
  <c r="H82"/>
  <c r="AJ75"/>
  <c r="AH75"/>
  <c r="AI75"/>
  <c r="AR76"/>
  <c r="H76"/>
  <c r="R76" s="1"/>
  <c r="AR70"/>
  <c r="AJ62"/>
  <c r="AH62"/>
  <c r="H65"/>
  <c r="AI62"/>
  <c r="AR59"/>
  <c r="H59"/>
  <c r="T59" s="1"/>
  <c r="AI56"/>
  <c r="AJ56"/>
  <c r="AH56"/>
  <c r="AR55"/>
  <c r="H55"/>
  <c r="AI51"/>
  <c r="AJ51"/>
  <c r="AH51"/>
  <c r="AR50"/>
  <c r="AJ46"/>
  <c r="AH46"/>
  <c r="H48"/>
  <c r="R48" s="1"/>
  <c r="AI46"/>
  <c r="AR47"/>
  <c r="AJ37"/>
  <c r="AI37"/>
  <c r="AR35"/>
  <c r="H35"/>
  <c r="R35" s="1"/>
  <c r="AI32"/>
  <c r="AJ32"/>
  <c r="H33"/>
  <c r="AR31"/>
  <c r="AR28"/>
  <c r="AI23"/>
  <c r="AJ23"/>
  <c r="AH23"/>
  <c r="AR21"/>
  <c r="H21"/>
  <c r="C28" i="3"/>
  <c r="F28" s="1"/>
  <c r="C20"/>
  <c r="C27"/>
  <c r="C21"/>
  <c r="H109" i="1"/>
  <c r="R109" s="1"/>
  <c r="Q109"/>
  <c r="H108"/>
  <c r="V108" s="1"/>
  <c r="U108"/>
  <c r="G106"/>
  <c r="H107"/>
  <c r="U107"/>
  <c r="G118"/>
  <c r="H119"/>
  <c r="H103"/>
  <c r="R103" s="1"/>
  <c r="Q103"/>
  <c r="H101"/>
  <c r="R101" s="1"/>
  <c r="Q101"/>
  <c r="H100"/>
  <c r="R100" s="1"/>
  <c r="Q100"/>
  <c r="G98"/>
  <c r="H99"/>
  <c r="Q99"/>
  <c r="G81"/>
  <c r="Q82"/>
  <c r="G79"/>
  <c r="H80"/>
  <c r="Q80"/>
  <c r="G75"/>
  <c r="Q76"/>
  <c r="G72"/>
  <c r="H73"/>
  <c r="Q73"/>
  <c r="G62"/>
  <c r="H63"/>
  <c r="S63"/>
  <c r="H54"/>
  <c r="T54" s="1"/>
  <c r="S54"/>
  <c r="G51"/>
  <c r="H52"/>
  <c r="S52"/>
  <c r="G32"/>
  <c r="Q33"/>
  <c r="G20"/>
  <c r="Q21"/>
  <c r="G17"/>
  <c r="H18"/>
  <c r="Q18"/>
  <c r="G12"/>
  <c r="H13"/>
  <c r="Q13"/>
  <c r="H127"/>
  <c r="H125"/>
  <c r="H123"/>
  <c r="H121"/>
  <c r="H117"/>
  <c r="R117" s="1"/>
  <c r="H113"/>
  <c r="V113" s="1"/>
  <c r="H111"/>
  <c r="V111" s="1"/>
  <c r="I104"/>
  <c r="H96"/>
  <c r="R96" s="1"/>
  <c r="H92"/>
  <c r="R92" s="1"/>
  <c r="H88"/>
  <c r="R88" s="1"/>
  <c r="H84"/>
  <c r="R84" s="1"/>
  <c r="H77"/>
  <c r="R77" s="1"/>
  <c r="H70"/>
  <c r="H61"/>
  <c r="H57"/>
  <c r="H50"/>
  <c r="R50" s="1"/>
  <c r="H47"/>
  <c r="H43"/>
  <c r="R43" s="1"/>
  <c r="H31"/>
  <c r="R31" s="1"/>
  <c r="H28"/>
  <c r="R28" s="1"/>
  <c r="H27"/>
  <c r="R27" s="1"/>
  <c r="H26"/>
  <c r="R26" s="1"/>
  <c r="H24"/>
  <c r="H16"/>
  <c r="C18" i="3"/>
  <c r="H110" i="1"/>
  <c r="R110" s="1"/>
  <c r="Q110"/>
  <c r="H81"/>
  <c r="R82"/>
  <c r="H75"/>
  <c r="G69"/>
  <c r="Q70"/>
  <c r="G66"/>
  <c r="H67"/>
  <c r="S67"/>
  <c r="G56"/>
  <c r="S57"/>
  <c r="G46"/>
  <c r="Q47"/>
  <c r="H45"/>
  <c r="R45" s="1"/>
  <c r="Q45"/>
  <c r="H42"/>
  <c r="R42" s="1"/>
  <c r="Q42"/>
  <c r="H40"/>
  <c r="R40" s="1"/>
  <c r="Q40"/>
  <c r="G37"/>
  <c r="H38"/>
  <c r="Q38"/>
  <c r="R33"/>
  <c r="G23"/>
  <c r="Q24"/>
  <c r="H20"/>
  <c r="R21"/>
  <c r="G15"/>
  <c r="Q16"/>
  <c r="AH12"/>
  <c r="AI12"/>
  <c r="C16" i="3" l="1"/>
  <c r="H32" i="1"/>
  <c r="H37"/>
  <c r="I37" s="1"/>
  <c r="R38"/>
  <c r="H23"/>
  <c r="R24"/>
  <c r="H46"/>
  <c r="I46" s="1"/>
  <c r="R47"/>
  <c r="H56"/>
  <c r="I56" s="1"/>
  <c r="T57"/>
  <c r="H69"/>
  <c r="R70"/>
  <c r="H17"/>
  <c r="R18"/>
  <c r="H66"/>
  <c r="T67"/>
  <c r="H15"/>
  <c r="R16"/>
  <c r="H12"/>
  <c r="R13"/>
  <c r="H51"/>
  <c r="T52"/>
  <c r="H72"/>
  <c r="R73"/>
  <c r="H98"/>
  <c r="I98" s="1"/>
  <c r="R99"/>
  <c r="I23"/>
  <c r="I66"/>
  <c r="C14" i="3"/>
  <c r="I12" i="1"/>
  <c r="I51"/>
  <c r="I17"/>
  <c r="I20"/>
  <c r="I32"/>
  <c r="I81"/>
  <c r="H118"/>
  <c r="I118" s="1"/>
  <c r="H62"/>
  <c r="I62" s="1"/>
  <c r="T63"/>
  <c r="H79"/>
  <c r="I79" s="1"/>
  <c r="R80"/>
  <c r="H106"/>
  <c r="I106" s="1"/>
  <c r="V107"/>
  <c r="C19" i="3" s="1"/>
  <c r="I15" i="1"/>
  <c r="I69"/>
  <c r="I72"/>
  <c r="I75"/>
  <c r="I128" l="1"/>
  <c r="C17" i="3"/>
  <c r="C15"/>
  <c r="C22" l="1"/>
  <c r="H36" i="4" s="1"/>
  <c r="I36" s="1"/>
  <c r="H43" l="1"/>
  <c r="I43" s="1"/>
  <c r="H37"/>
  <c r="I37" s="1"/>
  <c r="H38"/>
  <c r="I38" s="1"/>
  <c r="I44" l="1"/>
  <c r="I24" i="3" s="1"/>
  <c r="C29" s="1"/>
  <c r="I28" s="1"/>
  <c r="F29" l="1"/>
  <c r="I29" s="1"/>
</calcChain>
</file>

<file path=xl/sharedStrings.xml><?xml version="1.0" encoding="utf-8"?>
<sst xmlns="http://schemas.openxmlformats.org/spreadsheetml/2006/main" count="1171" uniqueCount="476">
  <si>
    <t>Stavební rozpočet</t>
  </si>
  <si>
    <t>Název stavby:</t>
  </si>
  <si>
    <t>Druh stavby:</t>
  </si>
  <si>
    <t>Lokalita:</t>
  </si>
  <si>
    <t>JKSO:</t>
  </si>
  <si>
    <t>Č</t>
  </si>
  <si>
    <t xml:space="preserve">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</si>
  <si>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</si>
  <si>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</si>
  <si>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</si>
  <si>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</si>
  <si>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</si>
  <si>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</si>
  <si>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</si>
  <si>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</si>
  <si>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</si>
  <si>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</si>
  <si>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</si>
  <si>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</si>
  <si>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</si>
  <si>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</si>
  <si>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</si>
  <si>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</si>
  <si>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</si>
  <si>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</si>
  <si>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</si>
  <si>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</si>
  <si>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</si>
  <si>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</si>
  <si>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</si>
  <si>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</si>
  <si>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</si>
  <si>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</si>
  <si>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</si>
  <si>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</si>
  <si>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</si>
  <si>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</si>
  <si>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</si>
  <si>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</si>
  <si>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</si>
  <si>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</si>
  <si>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</si>
  <si>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</si>
  <si>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</si>
  <si>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</si>
  <si>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</si>
  <si>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</si>
  <si>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</si>
  <si>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</si>
  <si>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</si>
  <si>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</si>
  <si>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</si>
  <si>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</si>
  <si>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</si>
  <si>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</si>
  <si>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</si>
  <si>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</si>
  <si>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</si>
  <si>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</si>
  <si>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</si>
  <si>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</si>
  <si>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</si>
  <si>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</si>
  <si>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</si>
  <si>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</si>
  <si>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</si>
  <si>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</si>
  <si>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</si>
  <si>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</si>
  <si>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</si>
  <si>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</si>
  <si>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Poznámka:</t>
  </si>
  <si>
    <t>Kód</t>
  </si>
  <si>
    <t>139601103R00</t>
  </si>
  <si>
    <t>162201210R00</t>
  </si>
  <si>
    <t>171102103R00</t>
  </si>
  <si>
    <t>275313711R00</t>
  </si>
  <si>
    <t>434311116R00</t>
  </si>
  <si>
    <t>434351141R00</t>
  </si>
  <si>
    <t>434351142R00</t>
  </si>
  <si>
    <t>434121426R00</t>
  </si>
  <si>
    <t>593723022</t>
  </si>
  <si>
    <t>567132115R00</t>
  </si>
  <si>
    <t>564751111R00</t>
  </si>
  <si>
    <t>591241111R00</t>
  </si>
  <si>
    <t>591211111R00</t>
  </si>
  <si>
    <t>58380056</t>
  </si>
  <si>
    <t>596841111R00</t>
  </si>
  <si>
    <t>59245323</t>
  </si>
  <si>
    <t>622474203R00</t>
  </si>
  <si>
    <t>622481211RT2</t>
  </si>
  <si>
    <t>621461151R00</t>
  </si>
  <si>
    <t>711</t>
  </si>
  <si>
    <t>711132311R00</t>
  </si>
  <si>
    <t>28323110</t>
  </si>
  <si>
    <t>998711101R00</t>
  </si>
  <si>
    <t>767</t>
  </si>
  <si>
    <t>767990010RAB</t>
  </si>
  <si>
    <t>998767101R00</t>
  </si>
  <si>
    <t>782</t>
  </si>
  <si>
    <t>782631323R00</t>
  </si>
  <si>
    <t>998782101R00</t>
  </si>
  <si>
    <t>783</t>
  </si>
  <si>
    <t>783220010RAC</t>
  </si>
  <si>
    <t>90</t>
  </si>
  <si>
    <t>900      R02</t>
  </si>
  <si>
    <t>91</t>
  </si>
  <si>
    <t>916561111RT2</t>
  </si>
  <si>
    <t>93</t>
  </si>
  <si>
    <t>938902122R00</t>
  </si>
  <si>
    <t>931961115RR1</t>
  </si>
  <si>
    <t>95</t>
  </si>
  <si>
    <t>952901411R00</t>
  </si>
  <si>
    <t>96</t>
  </si>
  <si>
    <t>965024121R00</t>
  </si>
  <si>
    <t>965024131R00</t>
  </si>
  <si>
    <t>965022121R00</t>
  </si>
  <si>
    <t>965022131R00</t>
  </si>
  <si>
    <t>965042241RT1</t>
  </si>
  <si>
    <t>965042241RT5</t>
  </si>
  <si>
    <t>965081813RT3</t>
  </si>
  <si>
    <t>960321271R00</t>
  </si>
  <si>
    <t>97</t>
  </si>
  <si>
    <t>970051020R00</t>
  </si>
  <si>
    <t>970241150R00</t>
  </si>
  <si>
    <t>973042341R00</t>
  </si>
  <si>
    <t>978059621R00</t>
  </si>
  <si>
    <t>H22</t>
  </si>
  <si>
    <t>998223011R00</t>
  </si>
  <si>
    <t>M21</t>
  </si>
  <si>
    <t>210140502R00</t>
  </si>
  <si>
    <t>210140503R00</t>
  </si>
  <si>
    <t>34841203</t>
  </si>
  <si>
    <t>34841236</t>
  </si>
  <si>
    <t>210100020RA0</t>
  </si>
  <si>
    <t>211150301R00</t>
  </si>
  <si>
    <t>210140512R00</t>
  </si>
  <si>
    <t>34841208</t>
  </si>
  <si>
    <t>S</t>
  </si>
  <si>
    <t>979082111R00</t>
  </si>
  <si>
    <t>979082121R00</t>
  </si>
  <si>
    <t>979083117R00</t>
  </si>
  <si>
    <t>979083191R00</t>
  </si>
  <si>
    <t>979086112R00</t>
  </si>
  <si>
    <t>979087311R00</t>
  </si>
  <si>
    <t>979087391R00</t>
  </si>
  <si>
    <t>979093111R00</t>
  </si>
  <si>
    <t>979990001R00</t>
  </si>
  <si>
    <t>Oprava schodiště Domu kultury Vizovice</t>
  </si>
  <si>
    <t>Oprava venkovního hlavního schodiště DK Vizovice</t>
  </si>
  <si>
    <t>parc.č. 2348, 5416 k.ú. Vizovice</t>
  </si>
  <si>
    <t>Zkrácený popis / Varianta</t>
  </si>
  <si>
    <t>Rozměry</t>
  </si>
  <si>
    <t>Hloubené vykopávky</t>
  </si>
  <si>
    <t>Ruční výkop jam, rýh a šachet v hornině tř. 4</t>
  </si>
  <si>
    <t>pro základ sloupkového osvětlení 1</t>
  </si>
  <si>
    <t>Přemístění výkopku</t>
  </si>
  <si>
    <t>Příplatek za dalš.10 m, kolečko, výkop. z hor.1- 4</t>
  </si>
  <si>
    <t>Konstrukce ze zemin</t>
  </si>
  <si>
    <t>Uložení sypaniny do násypů, zhutn, na 100% PS</t>
  </si>
  <si>
    <t>z výkopoku základu pro osvětlení, zůstává v místě</t>
  </si>
  <si>
    <t>Základy</t>
  </si>
  <si>
    <t>Beton základových patek prostý C 25/30</t>
  </si>
  <si>
    <t>pro sloupkové osvětlení  a kotvení zábradlí 1 vyléváno do výkopku</t>
  </si>
  <si>
    <t>Schodiště</t>
  </si>
  <si>
    <t>Stupně dusané na terén, na desku, z betonu C 25/30</t>
  </si>
  <si>
    <t>nově vytvořený podklad pro osazení prefabrikovaných stupňů</t>
  </si>
  <si>
    <t>Bednění stupňů přímočarých - zřízení</t>
  </si>
  <si>
    <t>Bednění stupňů přímočarých - odstranění</t>
  </si>
  <si>
    <t>Osazení želbet. stupňů na desku, prefabrikovaných</t>
  </si>
  <si>
    <t>do flexiblního tmele, je součástí položky</t>
  </si>
  <si>
    <t>Stupeň schod. prefa struktura beton.šedý 1600/350/150</t>
  </si>
  <si>
    <t>Stupeň schod. prefa struktura beton šedý 1000/350/150</t>
  </si>
  <si>
    <t>Podkladní vrstvy komunikací, letišť a ploch</t>
  </si>
  <si>
    <t>Podklad z kameniva zpev.cementem KZC 1 tl.20 cm</t>
  </si>
  <si>
    <t>pod rampu, lze provést i betonovou mazaninu tl 200mm</t>
  </si>
  <si>
    <t>Podklad z kameniva drceného vel.32-63 mm,tl. 15 cm</t>
  </si>
  <si>
    <t>dosyp na úroveň pod KZC (mazaninu)</t>
  </si>
  <si>
    <t>Kryty pozemních komunikací, letišť a ploch dlážděných (předlažby)</t>
  </si>
  <si>
    <t>Kladení dlažby drobné kostky, lože z kameniva tl. 5 cm bez dodávky</t>
  </si>
  <si>
    <t>zpětně se použijí rozebrané kostky</t>
  </si>
  <si>
    <t>Kladení dlažby drobné kostky,lože z cementové malty.tl. 5 cm rampa</t>
  </si>
  <si>
    <t>z částečně použitých kostek</t>
  </si>
  <si>
    <t>Mozaika dlažební žulová 4/6  štípaná</t>
  </si>
  <si>
    <t>Kladení dlažby z dlaždic kom.pro pěší do lože z flexibilního lepidla</t>
  </si>
  <si>
    <t>na podestě</t>
  </si>
  <si>
    <t>Dlaždice betonová hladká  60x40x44 cm  šedá</t>
  </si>
  <si>
    <t>Úprava povrchů vnější</t>
  </si>
  <si>
    <t>Reprofilace stěn sanační maltou Mapefinish tl.3 mm</t>
  </si>
  <si>
    <t>Montáž výztužné sítě (perlinky) do stěrky-stěny</t>
  </si>
  <si>
    <t>včetně výztužné sítě a stěrkového tmelu Baumit</t>
  </si>
  <si>
    <t>Omítka květníků škrábaná, složitost 1-2 sjednocení s budovou</t>
  </si>
  <si>
    <t>Izolace proti vodě</t>
  </si>
  <si>
    <t>Prov. izolace nopovou fólií svisle, vč.uchyc.prvků</t>
  </si>
  <si>
    <t>na dilataci</t>
  </si>
  <si>
    <t>Fólie nopová nopy 8mm G8 tl. 0,6 mm š. 2000 mm</t>
  </si>
  <si>
    <t>Přesun hmot pro izolace proti vodě, výšky do 6 m</t>
  </si>
  <si>
    <t>Konstrukce doplňkové stavební (zámečnické)</t>
  </si>
  <si>
    <t>Atypické ocelové konstrukce zábradlí z pásoviny 42/12mm d+m</t>
  </si>
  <si>
    <t>5 - 10 kg/kus kotveno do prefa stupňů</t>
  </si>
  <si>
    <t>5 - 10 kg/kus kotveno do  mazaniny nebo KZC tl. 200m přes kostku</t>
  </si>
  <si>
    <t>Přesun hmot pro zámečnické konstr., výšky do 6 m</t>
  </si>
  <si>
    <t>Obklady z přírodního a konglomerovaného kamene</t>
  </si>
  <si>
    <t>Obklad parapetů kamenem tvrdým tl. 2,5 a 3 cm květníky</t>
  </si>
  <si>
    <t>vyspravení poškozených částí, pouze montáž materiál původní, nebo ze schodů</t>
  </si>
  <si>
    <t>Přesun hmot pro obklady z kamene, výšky do 6 m</t>
  </si>
  <si>
    <t>Nátěry</t>
  </si>
  <si>
    <t>Nátěr kovových doplňkových konstrukcí syntetický antracit</t>
  </si>
  <si>
    <t>dvojnásobný krycí s 1x emailováním na zábradlí</t>
  </si>
  <si>
    <t>Hodinové zúčtovací sazby (HZS)</t>
  </si>
  <si>
    <t>HZS stavební přípomoci pro práce elektroinstalace</t>
  </si>
  <si>
    <t>stavební dělník v tarifní třídě 5</t>
  </si>
  <si>
    <t>Doplňující konstrukce a práce na pozemních komunikacích a zpevněných plochách</t>
  </si>
  <si>
    <t>Osazení záhon.obrubníků do lože z C 12/15 s opěrou vč. obrubníku</t>
  </si>
  <si>
    <t>včetně obrubníku   50/5/20 cm</t>
  </si>
  <si>
    <t>Různé dokončovací konstrukce a práce inženýrských staveb</t>
  </si>
  <si>
    <t>Čištění ploch betonových konstrukcí tlakovou vodou</t>
  </si>
  <si>
    <t>Vložky do dilatačních spár, polystyren, tl 30 mm styk zdiva a rampy</t>
  </si>
  <si>
    <t>STYRODUR</t>
  </si>
  <si>
    <t>Různé dokončovací konstrukce a práce na pozemních stavbách</t>
  </si>
  <si>
    <t>Vyčištění ostatních objektů plochy  realizace</t>
  </si>
  <si>
    <t>Bourání konstrukcí</t>
  </si>
  <si>
    <t>Bourání kamenných podlah z desek plochy do 1 m2</t>
  </si>
  <si>
    <t>podstupnice stávajícího schodičtě</t>
  </si>
  <si>
    <t>Bourání kamenných podlah z desek plochy nad 1 m2</t>
  </si>
  <si>
    <t>stupnice původního schodiště</t>
  </si>
  <si>
    <t>Bourání kamenných podlah z kostek plochy do 1m2</t>
  </si>
  <si>
    <t>u nové rampy 3 linky</t>
  </si>
  <si>
    <t>Bourání kamenných podlah z kostek plochy nad 1 m2</t>
  </si>
  <si>
    <t>3 linky u hlavního schodiště</t>
  </si>
  <si>
    <t>Bourání mazanin betonových tl. nad 10 cm, nad 4 m2 podesta</t>
  </si>
  <si>
    <t>ručně tl. mazaniny 10 - 15 cm částečné odbourání a úprava  pro zpětné kladení</t>
  </si>
  <si>
    <t>Bourání mazanin betonových tl. nad 10 cm, nad 4 m2 pod stupni</t>
  </si>
  <si>
    <t>pneumat. kladivo, tl. mazaniny 15 - 20 cm schodiště  schodnice pod stupni</t>
  </si>
  <si>
    <t>Bourání dlažeb terac.,čedič.kámen tl.do 30 mm, nad 1 m2 terasa</t>
  </si>
  <si>
    <t>ručně, kamenná dlažba</t>
  </si>
  <si>
    <t>Bourání konstrukcí květníku ze železobetonu</t>
  </si>
  <si>
    <t>stávající květník</t>
  </si>
  <si>
    <t>Prorážení otvorů a ostatní bourací práce</t>
  </si>
  <si>
    <t>Vrtání jádrové do ŽB d 20 mm pro přívod elektro</t>
  </si>
  <si>
    <t>Řezání stupňů z  betonu hl. řezu 150 mm</t>
  </si>
  <si>
    <t>Vysekání kapes zeď betonová pl. 0,16 m2, hl. 15 cm</t>
  </si>
  <si>
    <t>pro osvětlení 2</t>
  </si>
  <si>
    <t>Odsekání vnějších obkladů stěn do 2 m2</t>
  </si>
  <si>
    <t>Přesun hmot pro komunikace pozemní a letiště</t>
  </si>
  <si>
    <t>Přesun hmot, pozemní komunikace, kryt dlážděný</t>
  </si>
  <si>
    <t>Elektromontáže</t>
  </si>
  <si>
    <t>Svítidlo ozn. 1 sloupkové montáž včetně žárovek a zapojení</t>
  </si>
  <si>
    <t>Svítidlo ozn. 2 nástěnné montáž včetně žárovek a zapojení</t>
  </si>
  <si>
    <t>Svítidlo venkovní sloupkové  ozn. 1 DN88mm v. 450mm antracit LED</t>
  </si>
  <si>
    <t>Svítidlo venkovní nástěnné ozn. 2 IP 54 LED</t>
  </si>
  <si>
    <t>Přípojka elektro v zemi pro administrativní budovy</t>
  </si>
  <si>
    <t>ve volném terénu včetně výkopových a zásypových zemních prací</t>
  </si>
  <si>
    <t>Úprava napojení elektro v rozvaděči a montáž časového relé</t>
  </si>
  <si>
    <t>pro osvětlení 1+2</t>
  </si>
  <si>
    <t>Svítidlo ozn. 3 venkovní v podhledu závětří  včetně žárovky a zapojení</t>
  </si>
  <si>
    <t>vstup závětří</t>
  </si>
  <si>
    <t>Svítidlo venkovní stropní válcové LED</t>
  </si>
  <si>
    <t>Přesuny sutí</t>
  </si>
  <si>
    <t>Vnitrostaveništní doprava suti do 10 m</t>
  </si>
  <si>
    <t>Příplatek k vnitrost. dopravě suti za dalších 5 m</t>
  </si>
  <si>
    <t>Vodorovné přemístění suti na skládku do 6000 m</t>
  </si>
  <si>
    <t>Příplatek za dalších započatých 1000 m nad 6000 m</t>
  </si>
  <si>
    <t>Nakládání nebo překládání suti a vybouraných hmot</t>
  </si>
  <si>
    <t>Vodorovné přemístění suti nošením do 10 m</t>
  </si>
  <si>
    <t>Příplatek za nošení suti každých dalších 10 m</t>
  </si>
  <si>
    <t>Uložení suti na skládku bez zhutnění</t>
  </si>
  <si>
    <t>Poplatek za skládku stavební suti</t>
  </si>
  <si>
    <t>Doba výstavby:</t>
  </si>
  <si>
    <t>Začátek výstavby:</t>
  </si>
  <si>
    <t>Konec výstavby:</t>
  </si>
  <si>
    <t>Zpracováno dne:</t>
  </si>
  <si>
    <t>M.j.</t>
  </si>
  <si>
    <t>m3</t>
  </si>
  <si>
    <t>m</t>
  </si>
  <si>
    <t>m2</t>
  </si>
  <si>
    <t>kus</t>
  </si>
  <si>
    <t>t</t>
  </si>
  <si>
    <t>kg</t>
  </si>
  <si>
    <t>h</t>
  </si>
  <si>
    <t>soubor</t>
  </si>
  <si>
    <t>Množství</t>
  </si>
  <si>
    <t>43 dní</t>
  </si>
  <si>
    <t>Jednot.</t>
  </si>
  <si>
    <t>cena (Kč)</t>
  </si>
  <si>
    <t>Náklady (Kč)</t>
  </si>
  <si>
    <t>Dodávka</t>
  </si>
  <si>
    <t>Celkem:</t>
  </si>
  <si>
    <t>Objednatel:</t>
  </si>
  <si>
    <t>Projektant:</t>
  </si>
  <si>
    <t>Zhotovitel:</t>
  </si>
  <si>
    <t>Zpracoval:</t>
  </si>
  <si>
    <t>Montáž</t>
  </si>
  <si>
    <t>Město Vizovice, Masarykovo nám. 1007, 763 12</t>
  </si>
  <si>
    <t>Ing. Arch. Petr Zámečník, Hana Schreiberová</t>
  </si>
  <si>
    <t>Dle výběru objednatele</t>
  </si>
  <si>
    <t>Ing. Vladislav Jurčák</t>
  </si>
  <si>
    <t>Celkem</t>
  </si>
  <si>
    <t>Hmotnost (t)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</si>
  <si>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</si>
  <si>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</si>
  <si>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</si>
  <si>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</si>
  <si>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</si>
  <si>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</si>
  <si>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</si>
  <si>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</si>
  <si>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</si>
  <si>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13_</t>
  </si>
  <si>
    <t>16_</t>
  </si>
  <si>
    <t>17_</t>
  </si>
  <si>
    <t>27_</t>
  </si>
  <si>
    <t>43_</t>
  </si>
  <si>
    <t>56_</t>
  </si>
  <si>
    <t>59_</t>
  </si>
  <si>
    <t>62_</t>
  </si>
  <si>
    <t>711_</t>
  </si>
  <si>
    <t>767_</t>
  </si>
  <si>
    <t>782_</t>
  </si>
  <si>
    <t>783_</t>
  </si>
  <si>
    <t>90_</t>
  </si>
  <si>
    <t>91_</t>
  </si>
  <si>
    <t>93_</t>
  </si>
  <si>
    <t>95_</t>
  </si>
  <si>
    <t>96_</t>
  </si>
  <si>
    <t>97_</t>
  </si>
  <si>
    <t>H22_</t>
  </si>
  <si>
    <t>M21_</t>
  </si>
  <si>
    <t>S_</t>
  </si>
  <si>
    <t>1_</t>
  </si>
  <si>
    <t>2_</t>
  </si>
  <si>
    <t>4_</t>
  </si>
  <si>
    <t>5_</t>
  </si>
  <si>
    <t>6_</t>
  </si>
  <si>
    <t>71_</t>
  </si>
  <si>
    <t>76_</t>
  </si>
  <si>
    <t>78_</t>
  </si>
  <si>
    <t>9_</t>
  </si>
  <si>
    <t>_</t>
  </si>
  <si>
    <t>Výkaz výměr</t>
  </si>
  <si>
    <t>0,5*0,5*0,8*5   pro osvětlení 1</t>
  </si>
  <si>
    <t>0,3*0,3* 0,5*5   pro kotvení zábradlí</t>
  </si>
  <si>
    <t>1,225</t>
  </si>
  <si>
    <t>1,225   výkopek rozrnutý v místě květníku u obrubníku</t>
  </si>
  <si>
    <t>8,17*4+5,46*4+9,5*4+10,35*5</t>
  </si>
  <si>
    <t>0,16*8,17*4+0,16*4*5,46</t>
  </si>
  <si>
    <t>0,15*4*9,5+0,16*10,35*4</t>
  </si>
  <si>
    <t>21,0472</t>
  </si>
  <si>
    <t>4*8,17+4*5,46</t>
  </si>
  <si>
    <t>4*9,5+4*10,35</t>
  </si>
  <si>
    <t>4*5+4*3</t>
  </si>
  <si>
    <t>4*6+4*7</t>
  </si>
  <si>
    <t>;ztratné 10%; 8,4</t>
  </si>
  <si>
    <t>;ztratné 10%; 0,4</t>
  </si>
  <si>
    <t>3,12*4,0</t>
  </si>
  <si>
    <t>1,8*3,12*1,2</t>
  </si>
  <si>
    <t>10,044+0,936</t>
  </si>
  <si>
    <t>4,0*3,12</t>
  </si>
  <si>
    <t>12,48*0,6</t>
  </si>
  <si>
    <t>;ztratné 3%; 0,22464</t>
  </si>
  <si>
    <t>0,86*2,76+2,92*7,18+2,92*3,0*0,5   podesta</t>
  </si>
  <si>
    <t>0,4*10,35   mezi stupni na úrovni -1,390</t>
  </si>
  <si>
    <t>0,86*2,76+2,92*7,18+2,92*3,0*0,5+0,4*10,35</t>
  </si>
  <si>
    <t>;ztratné 10%; 3,18592</t>
  </si>
  <si>
    <t>0,9*0,6+0,9*5,8+0,8*5,0+0,4*1,85+0,4*3,6   květník spodní</t>
  </si>
  <si>
    <t>0,4*5,35</t>
  </si>
  <si>
    <t>0,5*2,9+0,15*2,76+0,5*2,9+0,9*2,76   květník čvercový</t>
  </si>
  <si>
    <t>0,5*5,0*2   květník trojúhelníkový</t>
  </si>
  <si>
    <t>24,878</t>
  </si>
  <si>
    <t>4,0*0,6</t>
  </si>
  <si>
    <t>2,4</t>
  </si>
  <si>
    <t>;ztratné 10%; 0,24</t>
  </si>
  <si>
    <t>4,24*(0,95*2+1,5)*1,08*3   3 kusy schodiště</t>
  </si>
  <si>
    <t>3,0*2*3   6 ploten</t>
  </si>
  <si>
    <t>4,24*(0,95*3+4,0)*1,08*1   1 kus rampa</t>
  </si>
  <si>
    <t>3,0*3   3plotny</t>
  </si>
  <si>
    <t>0,3*3,0   čtvercový květník</t>
  </si>
  <si>
    <t>0,3*8,0   spodní květník</t>
  </si>
  <si>
    <t>0,15*4,0+0,15*0,9*2+0,2*0,2*2*3</t>
  </si>
  <si>
    <t>0,15*(1,5+0,1*0,95*2)*3+0,2*0,2*2*6</t>
  </si>
  <si>
    <t>9,5   po odstranění květníku</t>
  </si>
  <si>
    <t>2,92*8,17+2,92*3,0*0,5+0,86*2,76+1,86*3,12</t>
  </si>
  <si>
    <t>1,2*(8,17+5,45+9,5+10,35)</t>
  </si>
  <si>
    <t>1,6*3,12</t>
  </si>
  <si>
    <t>0,6*4,0</t>
  </si>
  <si>
    <t>18,0*13,0   hlavní procha realizace</t>
  </si>
  <si>
    <t>0,16*3,12*5</t>
  </si>
  <si>
    <t>0,16*8,17*4+0,16*5,45*4</t>
  </si>
  <si>
    <t>0,16*10,35*4+0,15*9,5*4</t>
  </si>
  <si>
    <t>0,31*3,12*5</t>
  </si>
  <si>
    <t>0,31*8,17*3+0,31*5,45*3</t>
  </si>
  <si>
    <t>0,31*10,39*7+0,78*10,35</t>
  </si>
  <si>
    <t>0,3*3,12+3,12*3,0   rampa návaznost</t>
  </si>
  <si>
    <t>0,3*0,3*2   pro osvělení 2</t>
  </si>
  <si>
    <t>0,3*(8,17+5,46)</t>
  </si>
  <si>
    <t>0,3*(9,5+10,35)</t>
  </si>
  <si>
    <t>0,05*(2,92*8,17+2,92*3,0*0,5+0,86*2,76+1,86*3,12)</t>
  </si>
  <si>
    <t>0,2*1,2*(8,17+5,46)</t>
  </si>
  <si>
    <t>0,2*1,2*9,5+0,2*1,2*10,35</t>
  </si>
  <si>
    <t>0,12*0,6*2*0,6+0,12*9,5*2*0,6</t>
  </si>
  <si>
    <t>1,0</t>
  </si>
  <si>
    <t>0,35*4*8</t>
  </si>
  <si>
    <t>0,9*0,6+0,9*5,8+0,8*5,80+0,4*1,85+0,4*3,6   velký květník</t>
  </si>
  <si>
    <t>0,5*2,9   čtvercový květník</t>
  </si>
  <si>
    <t>60   pro svítidla 1</t>
  </si>
  <si>
    <t>52,82+1,75</t>
  </si>
  <si>
    <t>54,57*2</t>
  </si>
  <si>
    <t>54,57</t>
  </si>
  <si>
    <t>9*54,57</t>
  </si>
  <si>
    <t>54,34</t>
  </si>
  <si>
    <t>Rozpočtové náklady v Kč</t>
  </si>
  <si>
    <t>A</t>
  </si>
  <si>
    <t>HSV</t>
  </si>
  <si>
    <t>PSV</t>
  </si>
  <si>
    <t>"M"</t>
  </si>
  <si>
    <t>Ostatní materiál</t>
  </si>
  <si>
    <t>Přesun hmot a sutí</t>
  </si>
  <si>
    <t>ZRN celkem</t>
  </si>
  <si>
    <t>Základ 0%</t>
  </si>
  <si>
    <t>Základ 15%</t>
  </si>
  <si>
    <t>Základ 21%</t>
  </si>
  <si>
    <t>Projektant</t>
  </si>
  <si>
    <t>Datum, razítko a podpis</t>
  </si>
  <si>
    <t>Základní rozpočtové náklady</t>
  </si>
  <si>
    <t>Dodávky</t>
  </si>
  <si>
    <t>Krycí list rozpočtu</t>
  </si>
  <si>
    <t>B</t>
  </si>
  <si>
    <t>Práce přesčas</t>
  </si>
  <si>
    <t>Bez pevné podl.</t>
  </si>
  <si>
    <t>Kulturní památka</t>
  </si>
  <si>
    <t>DN celkem</t>
  </si>
  <si>
    <t>DN celkem z obj.</t>
  </si>
  <si>
    <t>DPH 15%</t>
  </si>
  <si>
    <t>DPH 21%</t>
  </si>
  <si>
    <t>Objednatel</t>
  </si>
  <si>
    <t>Doplňkové náklady</t>
  </si>
  <si>
    <t>C</t>
  </si>
  <si>
    <t>Zařízení staveniště</t>
  </si>
  <si>
    <t>Mimostav. doprava</t>
  </si>
  <si>
    <t>Územní vlivy</t>
  </si>
  <si>
    <t>Provozní vlivy</t>
  </si>
  <si>
    <t>Ostatní</t>
  </si>
  <si>
    <t>NUS z rozpočtu</t>
  </si>
  <si>
    <t>NUS celkem</t>
  </si>
  <si>
    <t>NUS celkem z obj.</t>
  </si>
  <si>
    <t>ORN celkem</t>
  </si>
  <si>
    <t>ORN celkem z obj.</t>
  </si>
  <si>
    <t>Celkem bez DPH</t>
  </si>
  <si>
    <t>Celkem včetně DPH</t>
  </si>
  <si>
    <t>Zhotovitel</t>
  </si>
  <si>
    <t>IČ/DIČ:</t>
  </si>
  <si>
    <t>Položek:</t>
  </si>
  <si>
    <t>Datum:</t>
  </si>
  <si>
    <t>Náklady na umístění stavby (NUS)</t>
  </si>
  <si>
    <t>Vedlejší rozpočtové náklady VRN</t>
  </si>
  <si>
    <t>Doplňkové náklady DN</t>
  </si>
  <si>
    <t>Celkem DN</t>
  </si>
  <si>
    <t>Celkem NUS</t>
  </si>
  <si>
    <t>Celkem VRN</t>
  </si>
  <si>
    <t>Ostatní rozpočtové náklady ORN</t>
  </si>
  <si>
    <t>Ostatní rozpočtové náklady (ORN)</t>
  </si>
  <si>
    <t>Předání staveniště</t>
  </si>
  <si>
    <t>Zařízení staveniště- vybudování</t>
  </si>
  <si>
    <t>Zařízení staveniště - provoz</t>
  </si>
  <si>
    <t>Zařízení staveniště - odstranění</t>
  </si>
  <si>
    <t>Zkoušky a revize</t>
  </si>
  <si>
    <t>Předání hotového díla</t>
  </si>
  <si>
    <t>Dokumentace skutečného provedení</t>
  </si>
  <si>
    <t>Dílenská dokumentace - zámečnická</t>
  </si>
  <si>
    <t>Celkem ORN</t>
  </si>
  <si>
    <t>Vedlejší a ostatní rozpočtové náklady</t>
  </si>
  <si>
    <t>Kč</t>
  </si>
  <si>
    <t>%</t>
  </si>
  <si>
    <t>Základna</t>
  </si>
  <si>
    <t>Reprofilace stěn sanační maltou  tl.3 mm</t>
  </si>
  <si>
    <t>vyplní uchazeč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</si>
</sst>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sz val="10"/>
      <color indexed="8"/>
      <name val="Arial"/>
      <charset val="238"/>
    </font>
    <font>
      <sz val="18"/>
      <color indexed="8"/>
      <name val="Arial"/>
      <charset val="238"/>
    </font>
    <font>
      <b/>
      <sz val="10"/>
      <color indexed="8"/>
      <name val="Arial"/>
      <charset val="238"/>
    </font>
    <font>
      <sz val="10"/>
      <color indexed="56"/>
      <name val="Arial"/>
      <charset val="238"/>
    </font>
    <font>
      <sz val="10"/>
      <color indexed="61"/>
      <name val="Arial"/>
      <charset val="238"/>
    </font>
    <font>
      <sz val="10"/>
      <color indexed="62"/>
      <name val="Arial"/>
      <charset val="238"/>
    </font>
    <font>
      <i/>
      <sz val="8"/>
      <color indexed="8"/>
      <name val="Arial"/>
      <charset val="238"/>
    </font>
    <font>
      <b/>
      <sz val="10"/>
      <color indexed="56"/>
      <name val="Arial"/>
      <charset val="238"/>
    </font>
    <font>
      <sz val="10"/>
      <color indexed="59"/>
      <name val="Arial"/>
      <charset val="238"/>
    </font>
    <font>
      <b/>
      <sz val="18"/>
      <color indexed="8"/>
      <name val="Arial"/>
      <charset val="238"/>
    </font>
    <font>
      <b/>
      <sz val="20"/>
      <color indexed="8"/>
      <name val="Arial"/>
      <charset val="238"/>
    </font>
    <font>
      <b/>
      <sz val="12"/>
      <color indexed="8"/>
      <name val="Arial"/>
      <charset val="238"/>
    </font>
    <font>
      <sz val="12"/>
      <color indexed="8"/>
      <name val="Arial"/>
      <charset val="238"/>
    </font>
    <font>
      <b/>
      <sz val="11"/>
      <color indexed="8"/>
      <name val="Arial"/>
      <charset val="238"/>
    </font>
    <font>
      <sz val="24"/>
      <color indexed="8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7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3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1" fillId="0" borderId="0" xfId="0" applyFont="1" applyAlignment="1">
      <alignment vertical="center"/>
    </xf>
    <xf numFmtId="49" fontId="3" fillId="0" borderId="5" xfId="0" applyNumberFormat="1" applyFont="1" applyFill="1" applyBorder="1" applyAlignment="1" applyProtection="1">
      <alignment horizontal="left" vertical="center"/>
    </xf>
    <xf numFmtId="49" fontId="1" fillId="0" borderId="6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4" fillId="2" borderId="0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1" fillId="0" borderId="8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49" fontId="3" fillId="0" borderId="10" xfId="0" applyNumberFormat="1" applyFont="1" applyFill="1" applyBorder="1" applyAlignment="1" applyProtection="1">
      <alignment horizontal="left" vertical="center"/>
    </xf>
    <xf numFmtId="49" fontId="1" fillId="0" borderId="11" xfId="0" applyNumberFormat="1" applyFont="1" applyFill="1" applyBorder="1" applyAlignment="1" applyProtection="1">
      <alignment horizontal="left" vertical="center"/>
    </xf>
    <xf numFmtId="49" fontId="8" fillId="2" borderId="7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49" fontId="3" fillId="0" borderId="1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49" fontId="3" fillId="0" borderId="10" xfId="0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>
      <alignment horizontal="right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5" fillId="0" borderId="1" xfId="0" applyNumberFormat="1" applyFont="1" applyFill="1" applyBorder="1" applyAlignment="1" applyProtection="1">
      <alignment horizontal="right" vertical="center"/>
    </xf>
    <xf numFmtId="49" fontId="3" fillId="0" borderId="12" xfId="0" applyNumberFormat="1" applyFont="1" applyFill="1" applyBorder="1" applyAlignment="1" applyProtection="1">
      <alignment horizontal="center" vertical="center"/>
    </xf>
    <xf numFmtId="49" fontId="3" fillId="0" borderId="13" xfId="0" applyNumberFormat="1" applyFont="1" applyFill="1" applyBorder="1" applyAlignment="1" applyProtection="1">
      <alignment horizontal="center" vertical="center"/>
    </xf>
    <xf numFmtId="49" fontId="3" fillId="0" borderId="15" xfId="0" applyNumberFormat="1" applyFont="1" applyFill="1" applyBorder="1" applyAlignment="1" applyProtection="1">
      <alignment horizontal="center" vertical="center"/>
    </xf>
    <xf numFmtId="49" fontId="3" fillId="0" borderId="17" xfId="0" applyNumberFormat="1" applyFont="1" applyFill="1" applyBorder="1" applyAlignment="1" applyProtection="1">
      <alignment horizontal="center" vertical="center"/>
    </xf>
    <xf numFmtId="49" fontId="3" fillId="0" borderId="19" xfId="0" applyNumberFormat="1" applyFont="1" applyFill="1" applyBorder="1" applyAlignment="1" applyProtection="1">
      <alignment horizontal="center" vertical="center"/>
    </xf>
    <xf numFmtId="49" fontId="8" fillId="2" borderId="7" xfId="0" applyNumberFormat="1" applyFont="1" applyFill="1" applyBorder="1" applyAlignment="1" applyProtection="1">
      <alignment horizontal="right" vertical="center"/>
    </xf>
    <xf numFmtId="49" fontId="8" fillId="2" borderId="0" xfId="0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right" vertical="center"/>
    </xf>
    <xf numFmtId="0" fontId="1" fillId="0" borderId="3" xfId="0" applyNumberFormat="1" applyFont="1" applyFill="1" applyBorder="1" applyAlignment="1" applyProtection="1">
      <alignment vertical="center"/>
    </xf>
    <xf numFmtId="0" fontId="1" fillId="0" borderId="22" xfId="0" applyNumberFormat="1" applyFont="1" applyFill="1" applyBorder="1" applyAlignment="1" applyProtection="1">
      <alignment vertical="center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4" fontId="8" fillId="2" borderId="7" xfId="0" applyNumberFormat="1" applyFont="1" applyFill="1" applyBorder="1" applyAlignment="1" applyProtection="1">
      <alignment horizontal="right" vertical="center"/>
    </xf>
    <xf numFmtId="4" fontId="8" fillId="2" borderId="0" xfId="0" applyNumberFormat="1" applyFont="1" applyFill="1" applyBorder="1" applyAlignment="1" applyProtection="1">
      <alignment horizontal="right" vertical="center"/>
    </xf>
    <xf numFmtId="4" fontId="3" fillId="0" borderId="8" xfId="0" applyNumberFormat="1" applyFont="1" applyFill="1" applyBorder="1" applyAlignment="1" applyProtection="1">
      <alignment horizontal="right" vertical="center"/>
    </xf>
    <xf numFmtId="49" fontId="3" fillId="0" borderId="23" xfId="0" applyNumberFormat="1" applyFont="1" applyFill="1" applyBorder="1" applyAlignment="1" applyProtection="1">
      <alignment horizontal="left" vertical="center"/>
    </xf>
    <xf numFmtId="49" fontId="5" fillId="0" borderId="7" xfId="0" applyNumberFormat="1" applyFont="1" applyFill="1" applyBorder="1" applyAlignment="1" applyProtection="1">
      <alignment horizontal="left" vertical="center"/>
    </xf>
    <xf numFmtId="49" fontId="3" fillId="0" borderId="24" xfId="0" applyNumberFormat="1" applyFont="1" applyFill="1" applyBorder="1" applyAlignment="1" applyProtection="1">
      <alignment horizontal="left" vertical="center"/>
    </xf>
    <xf numFmtId="0" fontId="1" fillId="0" borderId="7" xfId="0" applyNumberFormat="1" applyFont="1" applyFill="1" applyBorder="1" applyAlignment="1" applyProtection="1">
      <alignment vertical="center"/>
    </xf>
    <xf numFmtId="49" fontId="3" fillId="0" borderId="24" xfId="0" applyNumberFormat="1" applyFont="1" applyFill="1" applyBorder="1" applyAlignment="1" applyProtection="1">
      <alignment horizontal="right" vertical="center"/>
    </xf>
    <xf numFmtId="4" fontId="5" fillId="0" borderId="7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vertical="center"/>
    </xf>
    <xf numFmtId="49" fontId="11" fillId="3" borderId="27" xfId="0" applyNumberFormat="1" applyFont="1" applyFill="1" applyBorder="1" applyAlignment="1" applyProtection="1">
      <alignment horizontal="center" vertical="center"/>
    </xf>
    <xf numFmtId="49" fontId="12" fillId="0" borderId="28" xfId="0" applyNumberFormat="1" applyFont="1" applyFill="1" applyBorder="1" applyAlignment="1" applyProtection="1">
      <alignment horizontal="left" vertical="center"/>
    </xf>
    <xf numFmtId="49" fontId="12" fillId="0" borderId="29" xfId="0" applyNumberFormat="1" applyFont="1" applyFill="1" applyBorder="1" applyAlignment="1" applyProtection="1">
      <alignment horizontal="left" vertical="center"/>
    </xf>
    <xf numFmtId="0" fontId="1" fillId="0" borderId="31" xfId="0" applyNumberFormat="1" applyFont="1" applyFill="1" applyBorder="1" applyAlignment="1" applyProtection="1">
      <alignment vertical="center"/>
    </xf>
    <xf numFmtId="49" fontId="7" fillId="0" borderId="7" xfId="0" applyNumberFormat="1" applyFont="1" applyFill="1" applyBorder="1" applyAlignment="1" applyProtection="1">
      <alignment horizontal="left" vertical="center"/>
    </xf>
    <xf numFmtId="49" fontId="13" fillId="0" borderId="27" xfId="0" applyNumberFormat="1" applyFont="1" applyFill="1" applyBorder="1" applyAlignment="1" applyProtection="1">
      <alignment horizontal="left" vertical="center"/>
    </xf>
    <xf numFmtId="0" fontId="1" fillId="0" borderId="20" xfId="0" applyNumberFormat="1" applyFont="1" applyFill="1" applyBorder="1" applyAlignment="1" applyProtection="1">
      <alignment vertical="center"/>
    </xf>
    <xf numFmtId="0" fontId="1" fillId="0" borderId="25" xfId="0" applyNumberFormat="1" applyFont="1" applyFill="1" applyBorder="1" applyAlignment="1" applyProtection="1">
      <alignment vertical="center"/>
    </xf>
    <xf numFmtId="4" fontId="13" fillId="0" borderId="27" xfId="0" applyNumberFormat="1" applyFont="1" applyFill="1" applyBorder="1" applyAlignment="1" applyProtection="1">
      <alignment horizontal="right" vertical="center"/>
    </xf>
    <xf numFmtId="49" fontId="13" fillId="0" borderId="27" xfId="0" applyNumberFormat="1" applyFont="1" applyFill="1" applyBorder="1" applyAlignment="1" applyProtection="1">
      <alignment horizontal="right" vertical="center"/>
    </xf>
    <xf numFmtId="4" fontId="13" fillId="0" borderId="17" xfId="0" applyNumberFormat="1" applyFont="1" applyFill="1" applyBorder="1" applyAlignment="1" applyProtection="1">
      <alignment horizontal="right" vertical="center"/>
    </xf>
    <xf numFmtId="0" fontId="1" fillId="0" borderId="38" xfId="0" applyNumberFormat="1" applyFont="1" applyFill="1" applyBorder="1" applyAlignment="1" applyProtection="1">
      <alignment vertical="center"/>
    </xf>
    <xf numFmtId="0" fontId="1" fillId="0" borderId="21" xfId="0" applyNumberFormat="1" applyFont="1" applyFill="1" applyBorder="1" applyAlignment="1" applyProtection="1">
      <alignment vertical="center"/>
    </xf>
    <xf numFmtId="4" fontId="12" fillId="3" borderId="34" xfId="0" applyNumberFormat="1" applyFont="1" applyFill="1" applyBorder="1" applyAlignment="1" applyProtection="1">
      <alignment horizontal="right" vertical="center"/>
    </xf>
    <xf numFmtId="0" fontId="1" fillId="0" borderId="42" xfId="0" applyNumberFormat="1" applyFont="1" applyFill="1" applyBorder="1" applyAlignment="1" applyProtection="1">
      <alignment vertical="center"/>
    </xf>
    <xf numFmtId="0" fontId="1" fillId="0" borderId="9" xfId="0" applyNumberFormat="1" applyFont="1" applyFill="1" applyBorder="1" applyAlignment="1" applyProtection="1">
      <alignment vertical="center"/>
    </xf>
    <xf numFmtId="49" fontId="3" fillId="0" borderId="45" xfId="0" applyNumberFormat="1" applyFont="1" applyFill="1" applyBorder="1" applyAlignment="1" applyProtection="1">
      <alignment horizontal="right" vertical="center"/>
    </xf>
    <xf numFmtId="4" fontId="1" fillId="0" borderId="27" xfId="0" applyNumberFormat="1" applyFont="1" applyFill="1" applyBorder="1" applyAlignment="1" applyProtection="1">
      <alignment horizontal="right" vertical="center"/>
    </xf>
    <xf numFmtId="4" fontId="1" fillId="0" borderId="17" xfId="0" applyNumberFormat="1" applyFont="1" applyFill="1" applyBorder="1" applyAlignment="1" applyProtection="1">
      <alignment horizontal="right" vertical="center"/>
    </xf>
    <xf numFmtId="49" fontId="3" fillId="0" borderId="46" xfId="0" applyNumberFormat="1" applyFont="1" applyFill="1" applyBorder="1" applyAlignment="1" applyProtection="1">
      <alignment horizontal="left" vertical="center"/>
    </xf>
    <xf numFmtId="49" fontId="1" fillId="0" borderId="27" xfId="0" applyNumberFormat="1" applyFont="1" applyFill="1" applyBorder="1" applyAlignment="1" applyProtection="1">
      <alignment horizontal="left" vertical="center"/>
    </xf>
    <xf numFmtId="49" fontId="1" fillId="0" borderId="17" xfId="0" applyNumberFormat="1" applyFont="1" applyFill="1" applyBorder="1" applyAlignment="1" applyProtection="1">
      <alignment horizontal="left" vertical="center"/>
    </xf>
    <xf numFmtId="49" fontId="3" fillId="0" borderId="46" xfId="0" applyNumberFormat="1" applyFont="1" applyFill="1" applyBorder="1" applyAlignment="1" applyProtection="1">
      <alignment horizontal="right" vertical="center"/>
    </xf>
    <xf numFmtId="4" fontId="3" fillId="0" borderId="46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0" fontId="8" fillId="2" borderId="0" xfId="0" applyNumberFormat="1" applyFont="1" applyFill="1" applyBorder="1" applyAlignment="1" applyProtection="1">
      <alignment horizontal="left" vertical="center"/>
    </xf>
    <xf numFmtId="49" fontId="3" fillId="0" borderId="8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/>
    </xf>
    <xf numFmtId="49" fontId="3" fillId="0" borderId="14" xfId="0" applyNumberFormat="1" applyFont="1" applyFill="1" applyBorder="1" applyAlignment="1" applyProtection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49" fontId="8" fillId="2" borderId="7" xfId="0" applyNumberFormat="1" applyFont="1" applyFill="1" applyBorder="1" applyAlignment="1" applyProtection="1">
      <alignment horizontal="left" vertical="center"/>
    </xf>
    <xf numFmtId="0" fontId="8" fillId="2" borderId="7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9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14" fontId="1" fillId="0" borderId="0" xfId="0" applyNumberFormat="1" applyFont="1" applyFill="1" applyBorder="1" applyAlignment="1" applyProtection="1">
      <alignment horizontal="left" vertical="center"/>
    </xf>
    <xf numFmtId="0" fontId="3" fillId="0" borderId="16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8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49" fontId="1" fillId="0" borderId="8" xfId="0" applyNumberFormat="1" applyFont="1" applyFill="1" applyBorder="1" applyAlignment="1" applyProtection="1">
      <alignment horizontal="left" vertical="center"/>
    </xf>
    <xf numFmtId="0" fontId="1" fillId="0" borderId="8" xfId="0" applyNumberFormat="1" applyFont="1" applyFill="1" applyBorder="1" applyAlignment="1" applyProtection="1">
      <alignment horizontal="left" vertical="center" wrapText="1"/>
    </xf>
    <xf numFmtId="49" fontId="13" fillId="0" borderId="22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36" xfId="0" applyNumberFormat="1" applyFont="1" applyFill="1" applyBorder="1" applyAlignment="1" applyProtection="1">
      <alignment horizontal="left" vertical="center"/>
    </xf>
    <xf numFmtId="49" fontId="13" fillId="0" borderId="33" xfId="0" applyNumberFormat="1" applyFont="1" applyFill="1" applyBorder="1" applyAlignment="1" applyProtection="1">
      <alignment horizontal="left" vertical="center"/>
    </xf>
    <xf numFmtId="0" fontId="13" fillId="0" borderId="9" xfId="0" applyNumberFormat="1" applyFont="1" applyFill="1" applyBorder="1" applyAlignment="1" applyProtection="1">
      <alignment horizontal="left" vertical="center"/>
    </xf>
    <xf numFmtId="0" fontId="13" fillId="0" borderId="37" xfId="0" applyNumberFormat="1" applyFont="1" applyFill="1" applyBorder="1" applyAlignment="1" applyProtection="1">
      <alignment horizontal="left" vertical="center"/>
    </xf>
    <xf numFmtId="49" fontId="12" fillId="3" borderId="30" xfId="0" applyNumberFormat="1" applyFont="1" applyFill="1" applyBorder="1" applyAlignment="1" applyProtection="1">
      <alignment horizontal="left" vertical="center"/>
    </xf>
    <xf numFmtId="0" fontId="12" fillId="3" borderId="26" xfId="0" applyNumberFormat="1" applyFont="1" applyFill="1" applyBorder="1" applyAlignment="1" applyProtection="1">
      <alignment horizontal="left" vertical="center"/>
    </xf>
    <xf numFmtId="49" fontId="13" fillId="0" borderId="32" xfId="0" applyNumberFormat="1" applyFont="1" applyFill="1" applyBorder="1" applyAlignment="1" applyProtection="1">
      <alignment horizontal="left" vertical="center"/>
    </xf>
    <xf numFmtId="0" fontId="13" fillId="0" borderId="7" xfId="0" applyNumberFormat="1" applyFont="1" applyFill="1" applyBorder="1" applyAlignment="1" applyProtection="1">
      <alignment horizontal="left" vertical="center"/>
    </xf>
    <xf numFmtId="0" fontId="13" fillId="0" borderId="35" xfId="0" applyNumberFormat="1" applyFont="1" applyFill="1" applyBorder="1" applyAlignment="1" applyProtection="1">
      <alignment horizontal="left" vertical="center"/>
    </xf>
    <xf numFmtId="49" fontId="12" fillId="0" borderId="30" xfId="0" applyNumberFormat="1" applyFont="1" applyFill="1" applyBorder="1" applyAlignment="1" applyProtection="1">
      <alignment horizontal="left" vertical="center"/>
    </xf>
    <xf numFmtId="0" fontId="12" fillId="0" borderId="34" xfId="0" applyNumberFormat="1" applyFont="1" applyFill="1" applyBorder="1" applyAlignment="1" applyProtection="1">
      <alignment horizontal="left" vertical="center"/>
    </xf>
    <xf numFmtId="49" fontId="13" fillId="0" borderId="30" xfId="0" applyNumberFormat="1" applyFont="1" applyFill="1" applyBorder="1" applyAlignment="1" applyProtection="1">
      <alignment horizontal="left" vertical="center"/>
    </xf>
    <xf numFmtId="0" fontId="13" fillId="0" borderId="34" xfId="0" applyNumberFormat="1" applyFont="1" applyFill="1" applyBorder="1" applyAlignment="1" applyProtection="1">
      <alignment horizontal="left" vertical="center"/>
    </xf>
    <xf numFmtId="49" fontId="10" fillId="0" borderId="26" xfId="0" applyNumberFormat="1" applyFont="1" applyFill="1" applyBorder="1" applyAlignment="1" applyProtection="1">
      <alignment horizontal="center" vertical="center"/>
    </xf>
    <xf numFmtId="0" fontId="10" fillId="0" borderId="26" xfId="0" applyNumberFormat="1" applyFont="1" applyFill="1" applyBorder="1" applyAlignment="1" applyProtection="1">
      <alignment horizontal="center" vertical="center"/>
    </xf>
    <xf numFmtId="49" fontId="14" fillId="0" borderId="30" xfId="0" applyNumberFormat="1" applyFont="1" applyFill="1" applyBorder="1" applyAlignment="1" applyProtection="1">
      <alignment horizontal="left" vertical="center"/>
    </xf>
    <xf numFmtId="0" fontId="14" fillId="0" borderId="34" xfId="0" applyNumberFormat="1" applyFont="1" applyFill="1" applyBorder="1" applyAlignment="1" applyProtection="1">
      <alignment horizontal="left" vertical="center"/>
    </xf>
    <xf numFmtId="14" fontId="1" fillId="0" borderId="21" xfId="0" applyNumberFormat="1" applyFont="1" applyFill="1" applyBorder="1" applyAlignment="1" applyProtection="1">
      <alignment horizontal="left" vertical="center"/>
    </xf>
    <xf numFmtId="0" fontId="1" fillId="0" borderId="39" xfId="0" applyNumberFormat="1" applyFont="1" applyFill="1" applyBorder="1" applyAlignment="1" applyProtection="1">
      <alignment horizontal="left" vertical="center"/>
    </xf>
    <xf numFmtId="49" fontId="1" fillId="0" borderId="21" xfId="0" applyNumberFormat="1" applyFont="1" applyFill="1" applyBorder="1" applyAlignment="1" applyProtection="1">
      <alignment horizontal="left" vertical="center"/>
    </xf>
    <xf numFmtId="0" fontId="1" fillId="0" borderId="21" xfId="0" applyNumberFormat="1" applyFont="1" applyFill="1" applyBorder="1" applyAlignment="1" applyProtection="1">
      <alignment horizontal="left" vertical="center"/>
    </xf>
    <xf numFmtId="0" fontId="1" fillId="0" borderId="25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49" fontId="1" fillId="0" borderId="20" xfId="0" applyNumberFormat="1" applyFont="1" applyFill="1" applyBorder="1" applyAlignment="1" applyProtection="1">
      <alignment horizontal="left" vertical="center"/>
    </xf>
    <xf numFmtId="49" fontId="3" fillId="0" borderId="41" xfId="0" applyNumberFormat="1" applyFont="1" applyFill="1" applyBorder="1" applyAlignment="1" applyProtection="1">
      <alignment horizontal="left" vertical="center"/>
    </xf>
    <xf numFmtId="0" fontId="3" fillId="0" borderId="42" xfId="0" applyNumberFormat="1" applyFont="1" applyFill="1" applyBorder="1" applyAlignment="1" applyProtection="1">
      <alignment horizontal="left" vertical="center"/>
    </xf>
    <xf numFmtId="0" fontId="3" fillId="0" borderId="44" xfId="0" applyNumberFormat="1" applyFont="1" applyFill="1" applyBorder="1" applyAlignment="1" applyProtection="1">
      <alignment horizontal="left" vertical="center"/>
    </xf>
    <xf numFmtId="49" fontId="1" fillId="0" borderId="30" xfId="0" applyNumberFormat="1" applyFont="1" applyFill="1" applyBorder="1" applyAlignment="1" applyProtection="1">
      <alignment horizontal="left" vertical="center"/>
    </xf>
    <xf numFmtId="0" fontId="1" fillId="0" borderId="26" xfId="0" applyNumberFormat="1" applyFont="1" applyFill="1" applyBorder="1" applyAlignment="1" applyProtection="1">
      <alignment horizontal="left" vertical="center"/>
    </xf>
    <xf numFmtId="0" fontId="1" fillId="0" borderId="34" xfId="0" applyNumberFormat="1" applyFont="1" applyFill="1" applyBorder="1" applyAlignment="1" applyProtection="1">
      <alignment horizontal="left" vertical="center"/>
    </xf>
    <xf numFmtId="4" fontId="12" fillId="0" borderId="41" xfId="0" applyNumberFormat="1" applyFont="1" applyFill="1" applyBorder="1" applyAlignment="1" applyProtection="1">
      <alignment horizontal="right" vertical="center"/>
    </xf>
    <xf numFmtId="0" fontId="12" fillId="0" borderId="42" xfId="0" applyNumberFormat="1" applyFont="1" applyFill="1" applyBorder="1" applyAlignment="1" applyProtection="1">
      <alignment horizontal="right" vertical="center"/>
    </xf>
    <xf numFmtId="0" fontId="12" fillId="0" borderId="44" xfId="0" applyNumberFormat="1" applyFont="1" applyFill="1" applyBorder="1" applyAlignment="1" applyProtection="1">
      <alignment horizontal="right" vertical="center"/>
    </xf>
    <xf numFmtId="49" fontId="12" fillId="0" borderId="9" xfId="0" applyNumberFormat="1" applyFont="1" applyFill="1" applyBorder="1" applyAlignment="1" applyProtection="1">
      <alignment horizontal="left" vertical="center"/>
    </xf>
    <xf numFmtId="0" fontId="12" fillId="0" borderId="9" xfId="0" applyNumberFormat="1" applyFont="1" applyFill="1" applyBorder="1" applyAlignment="1" applyProtection="1">
      <alignment horizontal="left" vertical="center"/>
    </xf>
    <xf numFmtId="49" fontId="1" fillId="0" borderId="40" xfId="0" applyNumberFormat="1" applyFont="1" applyFill="1" applyBorder="1" applyAlignment="1" applyProtection="1">
      <alignment horizontal="left" vertical="center"/>
    </xf>
    <xf numFmtId="0" fontId="1" fillId="0" borderId="31" xfId="0" applyNumberFormat="1" applyFont="1" applyFill="1" applyBorder="1" applyAlignment="1" applyProtection="1">
      <alignment horizontal="left" vertical="center"/>
    </xf>
    <xf numFmtId="0" fontId="1" fillId="0" borderId="43" xfId="0" applyNumberFormat="1" applyFont="1" applyFill="1" applyBorder="1" applyAlignment="1" applyProtection="1">
      <alignment horizontal="left" vertical="center"/>
    </xf>
    <xf numFmtId="49" fontId="3" fillId="0" borderId="14" xfId="0" applyNumberFormat="1" applyFont="1" applyFill="1" applyBorder="1" applyAlignment="1" applyProtection="1">
      <alignment horizontal="left" vertical="center"/>
    </xf>
    <xf numFmtId="0" fontId="3" fillId="0" borderId="16" xfId="0" applyNumberFormat="1" applyFont="1" applyFill="1" applyBorder="1" applyAlignment="1" applyProtection="1">
      <alignment horizontal="left" vertical="center"/>
    </xf>
    <xf numFmtId="0" fontId="3" fillId="0" borderId="18" xfId="0" applyNumberFormat="1" applyFont="1" applyFill="1" applyBorder="1" applyAlignment="1" applyProtection="1">
      <alignment horizontal="left" vertical="center"/>
    </xf>
    <xf numFmtId="49" fontId="12" fillId="0" borderId="41" xfId="0" applyNumberFormat="1" applyFont="1" applyFill="1" applyBorder="1" applyAlignment="1" applyProtection="1">
      <alignment horizontal="left" vertical="center"/>
    </xf>
    <xf numFmtId="0" fontId="12" fillId="0" borderId="42" xfId="0" applyNumberFormat="1" applyFont="1" applyFill="1" applyBorder="1" applyAlignment="1" applyProtection="1">
      <alignment horizontal="left" vertical="center"/>
    </xf>
    <xf numFmtId="0" fontId="12" fillId="0" borderId="44" xfId="0" applyNumberFormat="1" applyFont="1" applyFill="1" applyBorder="1" applyAlignment="1" applyProtection="1">
      <alignment horizontal="left" vertical="center"/>
    </xf>
    <xf numFmtId="4" fontId="5" fillId="4" borderId="0" xfId="0" applyNumberFormat="1" applyFont="1" applyFill="1" applyBorder="1" applyAlignment="1" applyProtection="1">
      <alignment horizontal="right" vertical="center"/>
    </xf>
    <xf numFmtId="4" fontId="5" fillId="4" borderId="1" xfId="0" applyNumberFormat="1" applyFont="1" applyFill="1" applyBorder="1" applyAlignment="1" applyProtection="1">
      <alignment horizontal="right" vertical="center"/>
    </xf>
    <xf numFmtId="4" fontId="6" fillId="4" borderId="0" xfId="0" applyNumberFormat="1" applyFont="1" applyFill="1" applyBorder="1" applyAlignment="1" applyProtection="1">
      <alignment horizontal="right" vertical="center"/>
    </xf>
    <xf numFmtId="4" fontId="1" fillId="4" borderId="27" xfId="0" applyNumberFormat="1" applyFont="1" applyFill="1" applyBorder="1" applyAlignment="1" applyProtection="1">
      <alignment horizontal="right" vertical="center"/>
    </xf>
    <xf numFmtId="4" fontId="1" fillId="4" borderId="17" xfId="0" applyNumberFormat="1" applyFont="1" applyFill="1" applyBorder="1" applyAlignment="1" applyProtection="1">
      <alignment horizontal="right" vertical="center"/>
    </xf>
    <xf numFmtId="0" fontId="1" fillId="4" borderId="0" xfId="0" applyFont="1" applyFill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000000"/>
      <rgbColor rgb="00DBDBDB"/>
      <rgbColor rgb="00000000"/>
      <rgbColor rgb="00C0C0C0"/>
      <rgbColor rgb="00000000"/>
      <rgbColor rgb="00C0C0C0"/>
      <rgbColor rgb="00000000"/>
      <rgbColor rgb="00000000"/>
      <rgbColor rgb="00000000"/>
      <rgbColor rgb="00000000"/>
      <rgbColor rgb="00000000"/>
      <rgbColor rgb="00000000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685800</xdr:colOff>
      <xdr:row>0</xdr:row>
      <xdr:rowOff>891540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37260" cy="89154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891540</xdr:colOff>
      <xdr:row>0</xdr:row>
      <xdr:rowOff>891540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91540" cy="89154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289560</xdr:colOff>
      <xdr:row>0</xdr:row>
      <xdr:rowOff>891540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14400" cy="8915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289560</xdr:colOff>
      <xdr:row>0</xdr:row>
      <xdr:rowOff>891540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14400" cy="8915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131"/>
  <sheetViews>
    <sheetView tabSelected="1" topLeftCell="A7" workbookViewId="0">
      <selection activeCell="C141" sqref="C141"/>
    </sheetView>
  </sheetViews>
  <sheetFormatPr defaultColWidth="11.5546875" defaultRowHeight="13.2"/>
  <cols>
    <col min="1" max="1" width="3.6640625" customWidth="1"/>
    <col min="2" max="2" width="13.33203125" customWidth="1"/>
    <col min="3" max="3" width="58" customWidth="1"/>
    <col min="4" max="4" width="6.44140625" customWidth="1"/>
    <col min="5" max="5" width="12.88671875" customWidth="1"/>
    <col min="6" max="6" width="12" customWidth="1"/>
    <col min="7" max="9" width="14.33203125" customWidth="1"/>
    <col min="10" max="11" width="11.6640625" customWidth="1"/>
    <col min="13" max="47" width="12.109375" hidden="1" customWidth="1"/>
  </cols>
  <sheetData>
    <row r="1" spans="1:47" ht="73.05" customHeight="1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47">
      <c r="A2" s="87" t="s">
        <v>1</v>
      </c>
      <c r="B2" s="88"/>
      <c r="C2" s="89" t="s">
        <v>148</v>
      </c>
      <c r="D2" s="91" t="s">
        <v>268</v>
      </c>
      <c r="E2" s="88"/>
      <c r="F2" s="91" t="s">
        <v>282</v>
      </c>
      <c r="G2" s="88"/>
      <c r="H2" s="92" t="s">
        <v>288</v>
      </c>
      <c r="I2" s="92" t="s">
        <v>293</v>
      </c>
      <c r="J2" s="88"/>
      <c r="K2" s="88"/>
      <c r="L2" s="29"/>
    </row>
    <row r="3" spans="1:47">
      <c r="A3" s="84"/>
      <c r="B3" s="69"/>
      <c r="C3" s="90"/>
      <c r="D3" s="69"/>
      <c r="E3" s="69"/>
      <c r="F3" s="69"/>
      <c r="G3" s="69"/>
      <c r="H3" s="69"/>
      <c r="I3" s="69"/>
      <c r="J3" s="69"/>
      <c r="K3" s="69"/>
      <c r="L3" s="29"/>
    </row>
    <row r="4" spans="1:47">
      <c r="A4" s="78" t="s">
        <v>2</v>
      </c>
      <c r="B4" s="69"/>
      <c r="C4" s="68" t="s">
        <v>149</v>
      </c>
      <c r="D4" s="81" t="s">
        <v>269</v>
      </c>
      <c r="E4" s="69"/>
      <c r="F4" s="82">
        <v>43413</v>
      </c>
      <c r="G4" s="69"/>
      <c r="H4" s="68" t="s">
        <v>289</v>
      </c>
      <c r="I4" s="68" t="s">
        <v>294</v>
      </c>
      <c r="J4" s="69"/>
      <c r="K4" s="69"/>
      <c r="L4" s="29"/>
    </row>
    <row r="5" spans="1:47">
      <c r="A5" s="84"/>
      <c r="B5" s="69"/>
      <c r="C5" s="69"/>
      <c r="D5" s="69"/>
      <c r="E5" s="69"/>
      <c r="F5" s="69"/>
      <c r="G5" s="69"/>
      <c r="H5" s="69"/>
      <c r="I5" s="69"/>
      <c r="J5" s="69"/>
      <c r="K5" s="69"/>
      <c r="L5" s="29"/>
    </row>
    <row r="6" spans="1:47">
      <c r="A6" s="78" t="s">
        <v>3</v>
      </c>
      <c r="B6" s="69"/>
      <c r="C6" s="68" t="s">
        <v>150</v>
      </c>
      <c r="D6" s="81" t="s">
        <v>270</v>
      </c>
      <c r="E6" s="69"/>
      <c r="F6" s="82">
        <v>43455</v>
      </c>
      <c r="G6" s="69"/>
      <c r="H6" s="68" t="s">
        <v>290</v>
      </c>
      <c r="I6" s="68" t="s">
        <v>295</v>
      </c>
      <c r="J6" s="69"/>
      <c r="K6" s="69"/>
      <c r="L6" s="29"/>
    </row>
    <row r="7" spans="1:47">
      <c r="A7" s="84"/>
      <c r="B7" s="69"/>
      <c r="C7" s="69"/>
      <c r="D7" s="69"/>
      <c r="E7" s="69"/>
      <c r="F7" s="69"/>
      <c r="G7" s="69"/>
      <c r="H7" s="69"/>
      <c r="I7" s="69"/>
      <c r="J7" s="69"/>
      <c r="K7" s="69"/>
      <c r="L7" s="29"/>
    </row>
    <row r="8" spans="1:47">
      <c r="A8" s="78" t="s">
        <v>4</v>
      </c>
      <c r="B8" s="69"/>
      <c r="C8" s="68">
        <v>8225233</v>
      </c>
      <c r="D8" s="81" t="s">
        <v>271</v>
      </c>
      <c r="E8" s="69"/>
      <c r="F8" s="82">
        <v>43382</v>
      </c>
      <c r="G8" s="69"/>
      <c r="H8" s="68" t="s">
        <v>291</v>
      </c>
      <c r="I8" s="68" t="s">
        <v>296</v>
      </c>
      <c r="J8" s="69"/>
      <c r="K8" s="69"/>
      <c r="L8" s="29"/>
    </row>
    <row r="9" spans="1:47">
      <c r="A9" s="79"/>
      <c r="B9" s="80"/>
      <c r="C9" s="80"/>
      <c r="D9" s="80"/>
      <c r="E9" s="80"/>
      <c r="F9" s="80"/>
      <c r="G9" s="80"/>
      <c r="H9" s="80"/>
      <c r="I9" s="80"/>
      <c r="J9" s="80"/>
      <c r="K9" s="80"/>
      <c r="L9" s="29"/>
    </row>
    <row r="10" spans="1:47">
      <c r="A10" s="1" t="s">
        <v>5</v>
      </c>
      <c r="B10" s="10" t="s">
        <v>72</v>
      </c>
      <c r="C10" s="10" t="s">
        <v>151</v>
      </c>
      <c r="D10" s="10" t="s">
        <v>272</v>
      </c>
      <c r="E10" s="16" t="s">
        <v>281</v>
      </c>
      <c r="F10" s="20" t="s">
        <v>283</v>
      </c>
      <c r="G10" s="74" t="s">
        <v>285</v>
      </c>
      <c r="H10" s="83"/>
      <c r="I10" s="75"/>
      <c r="J10" s="74" t="s">
        <v>298</v>
      </c>
      <c r="K10" s="75"/>
      <c r="L10" s="30"/>
    </row>
    <row r="11" spans="1:47">
      <c r="A11" s="2" t="s">
        <v>6</v>
      </c>
      <c r="B11" s="11" t="s">
        <v>6</v>
      </c>
      <c r="C11" s="14" t="s">
        <v>152</v>
      </c>
      <c r="D11" s="11" t="s">
        <v>6</v>
      </c>
      <c r="E11" s="11" t="s">
        <v>6</v>
      </c>
      <c r="F11" s="21" t="s">
        <v>284</v>
      </c>
      <c r="G11" s="22" t="s">
        <v>286</v>
      </c>
      <c r="H11" s="23" t="s">
        <v>292</v>
      </c>
      <c r="I11" s="24" t="s">
        <v>297</v>
      </c>
      <c r="J11" s="22" t="s">
        <v>283</v>
      </c>
      <c r="K11" s="24" t="s">
        <v>297</v>
      </c>
      <c r="L11" s="30"/>
      <c r="O11" s="26" t="s">
        <v>299</v>
      </c>
      <c r="P11" s="26" t="s">
        <v>300</v>
      </c>
      <c r="Q11" s="26" t="s">
        <v>301</v>
      </c>
      <c r="R11" s="26" t="s">
        <v>302</v>
      </c>
      <c r="S11" s="26" t="s">
        <v>303</v>
      </c>
      <c r="T11" s="26" t="s">
        <v>304</v>
      </c>
      <c r="U11" s="26" t="s">
        <v>305</v>
      </c>
      <c r="V11" s="26" t="s">
        <v>306</v>
      </c>
      <c r="W11" s="26" t="s">
        <v>307</v>
      </c>
    </row>
    <row r="12" spans="1:47">
      <c r="A12" s="3"/>
      <c r="B12" s="12" t="s">
        <v>19</v>
      </c>
      <c r="C12" s="76" t="s">
        <v>153</v>
      </c>
      <c r="D12" s="77"/>
      <c r="E12" s="77"/>
      <c r="F12" s="77"/>
      <c r="G12" s="33">
        <f>SUM(G13:G13)</f>
        <v>0</v>
      </c>
      <c r="H12" s="33">
        <f>SUM(H13:H13)</f>
        <v>0</v>
      </c>
      <c r="I12" s="33">
        <f>G12+H12</f>
        <v>0</v>
      </c>
      <c r="J12" s="25"/>
      <c r="K12" s="33">
        <f>SUM(K13:K13)</f>
        <v>0</v>
      </c>
      <c r="X12" s="26"/>
      <c r="AH12" s="34">
        <f>SUM(Y13:Y13)</f>
        <v>0</v>
      </c>
      <c r="AI12" s="34">
        <f>SUM(Z13:Z13)</f>
        <v>0</v>
      </c>
      <c r="AJ12" s="34">
        <f>SUM(AA13:AA13)</f>
        <v>0</v>
      </c>
    </row>
    <row r="13" spans="1:47">
      <c r="A13" s="4" t="s">
        <v>7</v>
      </c>
      <c r="B13" s="4" t="s">
        <v>73</v>
      </c>
      <c r="C13" s="4" t="s">
        <v>154</v>
      </c>
      <c r="D13" s="4" t="s">
        <v>273</v>
      </c>
      <c r="E13" s="17">
        <v>1.2250000000000001</v>
      </c>
      <c r="F13" s="141">
        <v>0</v>
      </c>
      <c r="G13" s="17">
        <f>E13*AD13</f>
        <v>0</v>
      </c>
      <c r="H13" s="17">
        <f>I13-G13</f>
        <v>0</v>
      </c>
      <c r="I13" s="17">
        <f>E13*F13</f>
        <v>0</v>
      </c>
      <c r="J13" s="17">
        <v>0</v>
      </c>
      <c r="K13" s="17">
        <f>E13*J13</f>
        <v>0</v>
      </c>
      <c r="O13" s="31">
        <f>IF(AF13="5",I13,0)</f>
        <v>0</v>
      </c>
      <c r="Q13" s="31">
        <f>IF(AF13="1",G13,0)</f>
        <v>0</v>
      </c>
      <c r="R13" s="31">
        <f>IF(AF13="1",H13,0)</f>
        <v>0</v>
      </c>
      <c r="S13" s="31">
        <f>IF(AF13="7",G13,0)</f>
        <v>0</v>
      </c>
      <c r="T13" s="31">
        <f>IF(AF13="7",H13,0)</f>
        <v>0</v>
      </c>
      <c r="U13" s="31">
        <f>IF(AF13="2",G13,0)</f>
        <v>0</v>
      </c>
      <c r="V13" s="31">
        <f>IF(AF13="2",H13,0)</f>
        <v>0</v>
      </c>
      <c r="W13" s="31">
        <f>IF(AF13="0",I13,0)</f>
        <v>0</v>
      </c>
      <c r="X13" s="26"/>
      <c r="Y13" s="17">
        <f>IF(AC13=0,I13,0)</f>
        <v>0</v>
      </c>
      <c r="Z13" s="17">
        <f>IF(AC13=15,I13,0)</f>
        <v>0</v>
      </c>
      <c r="AA13" s="17">
        <f>IF(AC13=21,I13,0)</f>
        <v>0</v>
      </c>
      <c r="AC13" s="31">
        <v>21</v>
      </c>
      <c r="AD13" s="31">
        <f>F13*0</f>
        <v>0</v>
      </c>
      <c r="AE13" s="31">
        <f>F13*(1-0)</f>
        <v>0</v>
      </c>
      <c r="AF13" s="27" t="s">
        <v>7</v>
      </c>
      <c r="AL13" s="31">
        <f>E13*AD13</f>
        <v>0</v>
      </c>
      <c r="AM13" s="31">
        <f>E13*AE13</f>
        <v>0</v>
      </c>
      <c r="AN13" s="32" t="s">
        <v>308</v>
      </c>
      <c r="AO13" s="32" t="s">
        <v>329</v>
      </c>
      <c r="AP13" s="26" t="s">
        <v>338</v>
      </c>
      <c r="AR13" s="31">
        <f>AL13+AM13</f>
        <v>0</v>
      </c>
      <c r="AS13" s="31">
        <f>F13/(100-AT13)*100</f>
        <v>0</v>
      </c>
      <c r="AT13" s="31">
        <v>0</v>
      </c>
      <c r="AU13" s="31">
        <f>K13</f>
        <v>0</v>
      </c>
    </row>
    <row r="14" spans="1:47">
      <c r="C14" s="15" t="s">
        <v>155</v>
      </c>
    </row>
    <row r="15" spans="1:47">
      <c r="A15" s="5"/>
      <c r="B15" s="13" t="s">
        <v>22</v>
      </c>
      <c r="C15" s="70" t="s">
        <v>156</v>
      </c>
      <c r="D15" s="71"/>
      <c r="E15" s="71"/>
      <c r="F15" s="71"/>
      <c r="G15" s="34">
        <f>SUM(G16:G16)</f>
        <v>0</v>
      </c>
      <c r="H15" s="34">
        <f>SUM(H16:H16)</f>
        <v>0</v>
      </c>
      <c r="I15" s="34">
        <f>G15+H15</f>
        <v>0</v>
      </c>
      <c r="J15" s="26"/>
      <c r="K15" s="34">
        <f>SUM(K16:K16)</f>
        <v>0</v>
      </c>
      <c r="X15" s="26"/>
      <c r="AH15" s="34">
        <f>SUM(Y16:Y16)</f>
        <v>0</v>
      </c>
      <c r="AI15" s="34">
        <f>SUM(Z16:Z16)</f>
        <v>0</v>
      </c>
      <c r="AJ15" s="34">
        <f>SUM(AA16:AA16)</f>
        <v>0</v>
      </c>
    </row>
    <row r="16" spans="1:47">
      <c r="A16" s="4" t="s">
        <v>8</v>
      </c>
      <c r="B16" s="4" t="s">
        <v>74</v>
      </c>
      <c r="C16" s="4" t="s">
        <v>157</v>
      </c>
      <c r="D16" s="4" t="s">
        <v>273</v>
      </c>
      <c r="E16" s="17">
        <v>1.2250000000000001</v>
      </c>
      <c r="F16" s="141">
        <v>0</v>
      </c>
      <c r="G16" s="17">
        <f>E16*AD16</f>
        <v>0</v>
      </c>
      <c r="H16" s="17">
        <f>I16-G16</f>
        <v>0</v>
      </c>
      <c r="I16" s="17">
        <f>E16*F16</f>
        <v>0</v>
      </c>
      <c r="J16" s="17">
        <v>0</v>
      </c>
      <c r="K16" s="17">
        <f>E16*J16</f>
        <v>0</v>
      </c>
      <c r="O16" s="31">
        <f>IF(AF16="5",I16,0)</f>
        <v>0</v>
      </c>
      <c r="Q16" s="31">
        <f>IF(AF16="1",G16,0)</f>
        <v>0</v>
      </c>
      <c r="R16" s="31">
        <f>IF(AF16="1",H16,0)</f>
        <v>0</v>
      </c>
      <c r="S16" s="31">
        <f>IF(AF16="7",G16,0)</f>
        <v>0</v>
      </c>
      <c r="T16" s="31">
        <f>IF(AF16="7",H16,0)</f>
        <v>0</v>
      </c>
      <c r="U16" s="31">
        <f>IF(AF16="2",G16,0)</f>
        <v>0</v>
      </c>
      <c r="V16" s="31">
        <f>IF(AF16="2",H16,0)</f>
        <v>0</v>
      </c>
      <c r="W16" s="31">
        <f>IF(AF16="0",I16,0)</f>
        <v>0</v>
      </c>
      <c r="X16" s="26"/>
      <c r="Y16" s="17">
        <f>IF(AC16=0,I16,0)</f>
        <v>0</v>
      </c>
      <c r="Z16" s="17">
        <f>IF(AC16=15,I16,0)</f>
        <v>0</v>
      </c>
      <c r="AA16" s="17">
        <f>IF(AC16=21,I16,0)</f>
        <v>0</v>
      </c>
      <c r="AC16" s="31">
        <v>21</v>
      </c>
      <c r="AD16" s="31">
        <f>F16*0</f>
        <v>0</v>
      </c>
      <c r="AE16" s="31">
        <f>F16*(1-0)</f>
        <v>0</v>
      </c>
      <c r="AF16" s="27" t="s">
        <v>7</v>
      </c>
      <c r="AL16" s="31">
        <f>E16*AD16</f>
        <v>0</v>
      </c>
      <c r="AM16" s="31">
        <f>E16*AE16</f>
        <v>0</v>
      </c>
      <c r="AN16" s="32" t="s">
        <v>309</v>
      </c>
      <c r="AO16" s="32" t="s">
        <v>329</v>
      </c>
      <c r="AP16" s="26" t="s">
        <v>338</v>
      </c>
      <c r="AR16" s="31">
        <f>AL16+AM16</f>
        <v>0</v>
      </c>
      <c r="AS16" s="31">
        <f>F16/(100-AT16)*100</f>
        <v>0</v>
      </c>
      <c r="AT16" s="31">
        <v>0</v>
      </c>
      <c r="AU16" s="31">
        <f>K16</f>
        <v>0</v>
      </c>
    </row>
    <row r="17" spans="1:47">
      <c r="A17" s="5"/>
      <c r="B17" s="13" t="s">
        <v>23</v>
      </c>
      <c r="C17" s="70" t="s">
        <v>158</v>
      </c>
      <c r="D17" s="71"/>
      <c r="E17" s="71"/>
      <c r="F17" s="71"/>
      <c r="G17" s="34">
        <f>SUM(G18:G18)</f>
        <v>0</v>
      </c>
      <c r="H17" s="34">
        <f>SUM(H18:H18)</f>
        <v>0</v>
      </c>
      <c r="I17" s="34">
        <f>G17+H17</f>
        <v>0</v>
      </c>
      <c r="J17" s="26"/>
      <c r="K17" s="34">
        <f>SUM(K18:K18)</f>
        <v>0</v>
      </c>
      <c r="X17" s="26"/>
      <c r="AH17" s="34">
        <f>SUM(Y18:Y18)</f>
        <v>0</v>
      </c>
      <c r="AI17" s="34">
        <f>SUM(Z18:Z18)</f>
        <v>0</v>
      </c>
      <c r="AJ17" s="34">
        <f>SUM(AA18:AA18)</f>
        <v>0</v>
      </c>
    </row>
    <row r="18" spans="1:47">
      <c r="A18" s="4" t="s">
        <v>9</v>
      </c>
      <c r="B18" s="4" t="s">
        <v>75</v>
      </c>
      <c r="C18" s="4" t="s">
        <v>159</v>
      </c>
      <c r="D18" s="4" t="s">
        <v>273</v>
      </c>
      <c r="E18" s="17">
        <v>1.2250000000000001</v>
      </c>
      <c r="F18" s="141">
        <v>0</v>
      </c>
      <c r="G18" s="17">
        <f>E18*AD18</f>
        <v>0</v>
      </c>
      <c r="H18" s="17">
        <f>I18-G18</f>
        <v>0</v>
      </c>
      <c r="I18" s="17">
        <f>E18*F18</f>
        <v>0</v>
      </c>
      <c r="J18" s="17">
        <v>0</v>
      </c>
      <c r="K18" s="17">
        <f>E18*J18</f>
        <v>0</v>
      </c>
      <c r="O18" s="31">
        <f>IF(AF18="5",I18,0)</f>
        <v>0</v>
      </c>
      <c r="Q18" s="31">
        <f>IF(AF18="1",G18,0)</f>
        <v>0</v>
      </c>
      <c r="R18" s="31">
        <f>IF(AF18="1",H18,0)</f>
        <v>0</v>
      </c>
      <c r="S18" s="31">
        <f>IF(AF18="7",G18,0)</f>
        <v>0</v>
      </c>
      <c r="T18" s="31">
        <f>IF(AF18="7",H18,0)</f>
        <v>0</v>
      </c>
      <c r="U18" s="31">
        <f>IF(AF18="2",G18,0)</f>
        <v>0</v>
      </c>
      <c r="V18" s="31">
        <f>IF(AF18="2",H18,0)</f>
        <v>0</v>
      </c>
      <c r="W18" s="31">
        <f>IF(AF18="0",I18,0)</f>
        <v>0</v>
      </c>
      <c r="X18" s="26"/>
      <c r="Y18" s="17">
        <f>IF(AC18=0,I18,0)</f>
        <v>0</v>
      </c>
      <c r="Z18" s="17">
        <f>IF(AC18=15,I18,0)</f>
        <v>0</v>
      </c>
      <c r="AA18" s="17">
        <f>IF(AC18=21,I18,0)</f>
        <v>0</v>
      </c>
      <c r="AC18" s="31">
        <v>21</v>
      </c>
      <c r="AD18" s="31">
        <f>F18*0</f>
        <v>0</v>
      </c>
      <c r="AE18" s="31">
        <f>F18*(1-0)</f>
        <v>0</v>
      </c>
      <c r="AF18" s="27" t="s">
        <v>7</v>
      </c>
      <c r="AL18" s="31">
        <f>E18*AD18</f>
        <v>0</v>
      </c>
      <c r="AM18" s="31">
        <f>E18*AE18</f>
        <v>0</v>
      </c>
      <c r="AN18" s="32" t="s">
        <v>310</v>
      </c>
      <c r="AO18" s="32" t="s">
        <v>329</v>
      </c>
      <c r="AP18" s="26" t="s">
        <v>338</v>
      </c>
      <c r="AR18" s="31">
        <f>AL18+AM18</f>
        <v>0</v>
      </c>
      <c r="AS18" s="31">
        <f>F18/(100-AT18)*100</f>
        <v>0</v>
      </c>
      <c r="AT18" s="31">
        <v>0</v>
      </c>
      <c r="AU18" s="31">
        <f>K18</f>
        <v>0</v>
      </c>
    </row>
    <row r="19" spans="1:47">
      <c r="C19" s="15" t="s">
        <v>160</v>
      </c>
    </row>
    <row r="20" spans="1:47">
      <c r="A20" s="5"/>
      <c r="B20" s="13" t="s">
        <v>33</v>
      </c>
      <c r="C20" s="70" t="s">
        <v>161</v>
      </c>
      <c r="D20" s="71"/>
      <c r="E20" s="71"/>
      <c r="F20" s="71"/>
      <c r="G20" s="34">
        <f>SUM(G21:G21)</f>
        <v>0</v>
      </c>
      <c r="H20" s="34">
        <f>SUM(H21:H21)</f>
        <v>0</v>
      </c>
      <c r="I20" s="34">
        <f>G20+H20</f>
        <v>0</v>
      </c>
      <c r="J20" s="26"/>
      <c r="K20" s="34">
        <f>SUM(K21:K21)</f>
        <v>3.0931250000000001</v>
      </c>
      <c r="X20" s="26"/>
      <c r="AH20" s="34">
        <f>SUM(Y21:Y21)</f>
        <v>0</v>
      </c>
      <c r="AI20" s="34">
        <f>SUM(Z21:Z21)</f>
        <v>0</v>
      </c>
      <c r="AJ20" s="34">
        <f>SUM(AA21:AA21)</f>
        <v>0</v>
      </c>
    </row>
    <row r="21" spans="1:47">
      <c r="A21" s="4" t="s">
        <v>10</v>
      </c>
      <c r="B21" s="4" t="s">
        <v>76</v>
      </c>
      <c r="C21" s="4" t="s">
        <v>162</v>
      </c>
      <c r="D21" s="4" t="s">
        <v>273</v>
      </c>
      <c r="E21" s="17">
        <v>1.2250000000000001</v>
      </c>
      <c r="F21" s="141">
        <v>0</v>
      </c>
      <c r="G21" s="17">
        <f>E21*AD21</f>
        <v>0</v>
      </c>
      <c r="H21" s="17">
        <f>I21-G21</f>
        <v>0</v>
      </c>
      <c r="I21" s="17">
        <f>E21*F21</f>
        <v>0</v>
      </c>
      <c r="J21" s="17">
        <v>2.5249999999999999</v>
      </c>
      <c r="K21" s="17">
        <f>E21*J21</f>
        <v>3.0931250000000001</v>
      </c>
      <c r="O21" s="31">
        <f>IF(AF21="5",I21,0)</f>
        <v>0</v>
      </c>
      <c r="Q21" s="31">
        <f>IF(AF21="1",G21,0)</f>
        <v>0</v>
      </c>
      <c r="R21" s="31">
        <f>IF(AF21="1",H21,0)</f>
        <v>0</v>
      </c>
      <c r="S21" s="31">
        <f>IF(AF21="7",G21,0)</f>
        <v>0</v>
      </c>
      <c r="T21" s="31">
        <f>IF(AF21="7",H21,0)</f>
        <v>0</v>
      </c>
      <c r="U21" s="31">
        <f>IF(AF21="2",G21,0)</f>
        <v>0</v>
      </c>
      <c r="V21" s="31">
        <f>IF(AF21="2",H21,0)</f>
        <v>0</v>
      </c>
      <c r="W21" s="31">
        <f>IF(AF21="0",I21,0)</f>
        <v>0</v>
      </c>
      <c r="X21" s="26"/>
      <c r="Y21" s="17">
        <f>IF(AC21=0,I21,0)</f>
        <v>0</v>
      </c>
      <c r="Z21" s="17">
        <f>IF(AC21=15,I21,0)</f>
        <v>0</v>
      </c>
      <c r="AA21" s="17">
        <f>IF(AC21=21,I21,0)</f>
        <v>0</v>
      </c>
      <c r="AC21" s="31">
        <v>21</v>
      </c>
      <c r="AD21" s="31">
        <f>F21*0.90770137524558</f>
        <v>0</v>
      </c>
      <c r="AE21" s="31">
        <f>F21*(1-0.90770137524558)</f>
        <v>0</v>
      </c>
      <c r="AF21" s="27" t="s">
        <v>7</v>
      </c>
      <c r="AL21" s="31">
        <f>E21*AD21</f>
        <v>0</v>
      </c>
      <c r="AM21" s="31">
        <f>E21*AE21</f>
        <v>0</v>
      </c>
      <c r="AN21" s="32" t="s">
        <v>311</v>
      </c>
      <c r="AO21" s="32" t="s">
        <v>330</v>
      </c>
      <c r="AP21" s="26" t="s">
        <v>338</v>
      </c>
      <c r="AR21" s="31">
        <f>AL21+AM21</f>
        <v>0</v>
      </c>
      <c r="AS21" s="31">
        <f>F21/(100-AT21)*100</f>
        <v>0</v>
      </c>
      <c r="AT21" s="31">
        <v>0</v>
      </c>
      <c r="AU21" s="31">
        <f>K21</f>
        <v>3.0931250000000001</v>
      </c>
    </row>
    <row r="22" spans="1:47">
      <c r="C22" s="15" t="s">
        <v>163</v>
      </c>
    </row>
    <row r="23" spans="1:47">
      <c r="A23" s="5"/>
      <c r="B23" s="13" t="s">
        <v>49</v>
      </c>
      <c r="C23" s="70" t="s">
        <v>164</v>
      </c>
      <c r="D23" s="71"/>
      <c r="E23" s="71"/>
      <c r="F23" s="71"/>
      <c r="G23" s="34">
        <f>SUM(G24:G31)</f>
        <v>0</v>
      </c>
      <c r="H23" s="34">
        <f>SUM(H24:H31)</f>
        <v>0</v>
      </c>
      <c r="I23" s="34">
        <f>G23+H23</f>
        <v>0</v>
      </c>
      <c r="J23" s="26"/>
      <c r="K23" s="34">
        <f>SUM(K24:K31)</f>
        <v>31.558695795999999</v>
      </c>
      <c r="X23" s="26"/>
      <c r="AH23" s="34">
        <f>SUM(Y24:Y31)</f>
        <v>0</v>
      </c>
      <c r="AI23" s="34">
        <f>SUM(Z24:Z31)</f>
        <v>0</v>
      </c>
      <c r="AJ23" s="34">
        <f>SUM(AA24:AA31)</f>
        <v>0</v>
      </c>
    </row>
    <row r="24" spans="1:47">
      <c r="A24" s="4" t="s">
        <v>11</v>
      </c>
      <c r="B24" s="4" t="s">
        <v>77</v>
      </c>
      <c r="C24" s="4" t="s">
        <v>165</v>
      </c>
      <c r="D24" s="4" t="s">
        <v>274</v>
      </c>
      <c r="E24" s="17">
        <v>144.27000000000001</v>
      </c>
      <c r="F24" s="141">
        <v>0</v>
      </c>
      <c r="G24" s="17">
        <f>E24*AD24</f>
        <v>0</v>
      </c>
      <c r="H24" s="17">
        <f>I24-G24</f>
        <v>0</v>
      </c>
      <c r="I24" s="17">
        <f>E24*F24</f>
        <v>0</v>
      </c>
      <c r="J24" s="17">
        <v>0.11369</v>
      </c>
      <c r="K24" s="17">
        <f>E24*J24</f>
        <v>16.402056300000002</v>
      </c>
      <c r="O24" s="31">
        <f>IF(AF24="5",I24,0)</f>
        <v>0</v>
      </c>
      <c r="Q24" s="31">
        <f>IF(AF24="1",G24,0)</f>
        <v>0</v>
      </c>
      <c r="R24" s="31">
        <f>IF(AF24="1",H24,0)</f>
        <v>0</v>
      </c>
      <c r="S24" s="31">
        <f>IF(AF24="7",G24,0)</f>
        <v>0</v>
      </c>
      <c r="T24" s="31">
        <f>IF(AF24="7",H24,0)</f>
        <v>0</v>
      </c>
      <c r="U24" s="31">
        <f>IF(AF24="2",G24,0)</f>
        <v>0</v>
      </c>
      <c r="V24" s="31">
        <f>IF(AF24="2",H24,0)</f>
        <v>0</v>
      </c>
      <c r="W24" s="31">
        <f>IF(AF24="0",I24,0)</f>
        <v>0</v>
      </c>
      <c r="X24" s="26"/>
      <c r="Y24" s="17">
        <f>IF(AC24=0,I24,0)</f>
        <v>0</v>
      </c>
      <c r="Z24" s="17">
        <f>IF(AC24=15,I24,0)</f>
        <v>0</v>
      </c>
      <c r="AA24" s="17">
        <f>IF(AC24=21,I24,0)</f>
        <v>0</v>
      </c>
      <c r="AC24" s="31">
        <v>21</v>
      </c>
      <c r="AD24" s="31">
        <f>F24*0.371370529928899</f>
        <v>0</v>
      </c>
      <c r="AE24" s="31">
        <f>F24*(1-0.371370529928899)</f>
        <v>0</v>
      </c>
      <c r="AF24" s="27" t="s">
        <v>7</v>
      </c>
      <c r="AL24" s="31">
        <f>E24*AD24</f>
        <v>0</v>
      </c>
      <c r="AM24" s="31">
        <f>E24*AE24</f>
        <v>0</v>
      </c>
      <c r="AN24" s="32" t="s">
        <v>312</v>
      </c>
      <c r="AO24" s="32" t="s">
        <v>331</v>
      </c>
      <c r="AP24" s="26" t="s">
        <v>338</v>
      </c>
      <c r="AR24" s="31">
        <f>AL24+AM24</f>
        <v>0</v>
      </c>
      <c r="AS24" s="31">
        <f>F24/(100-AT24)*100</f>
        <v>0</v>
      </c>
      <c r="AT24" s="31">
        <v>0</v>
      </c>
      <c r="AU24" s="31">
        <f>K24</f>
        <v>16.402056300000002</v>
      </c>
    </row>
    <row r="25" spans="1:47">
      <c r="C25" s="15" t="s">
        <v>166</v>
      </c>
    </row>
    <row r="26" spans="1:47">
      <c r="A26" s="4" t="s">
        <v>12</v>
      </c>
      <c r="B26" s="4" t="s">
        <v>78</v>
      </c>
      <c r="C26" s="4" t="s">
        <v>167</v>
      </c>
      <c r="D26" s="4" t="s">
        <v>275</v>
      </c>
      <c r="E26" s="17">
        <v>21.0472</v>
      </c>
      <c r="F26" s="141">
        <v>0</v>
      </c>
      <c r="G26" s="17">
        <f>E26*AD26</f>
        <v>0</v>
      </c>
      <c r="H26" s="17">
        <f>I26-G26</f>
        <v>0</v>
      </c>
      <c r="I26" s="17">
        <f>E26*F26</f>
        <v>0</v>
      </c>
      <c r="J26" s="17">
        <v>1.6930000000000001E-2</v>
      </c>
      <c r="K26" s="17">
        <f>E26*J26</f>
        <v>0.35632909600000001</v>
      </c>
      <c r="O26" s="31">
        <f>IF(AF26="5",I26,0)</f>
        <v>0</v>
      </c>
      <c r="Q26" s="31">
        <f>IF(AF26="1",G26,0)</f>
        <v>0</v>
      </c>
      <c r="R26" s="31">
        <f>IF(AF26="1",H26,0)</f>
        <v>0</v>
      </c>
      <c r="S26" s="31">
        <f>IF(AF26="7",G26,0)</f>
        <v>0</v>
      </c>
      <c r="T26" s="31">
        <f>IF(AF26="7",H26,0)</f>
        <v>0</v>
      </c>
      <c r="U26" s="31">
        <f>IF(AF26="2",G26,0)</f>
        <v>0</v>
      </c>
      <c r="V26" s="31">
        <f>IF(AF26="2",H26,0)</f>
        <v>0</v>
      </c>
      <c r="W26" s="31">
        <f>IF(AF26="0",I26,0)</f>
        <v>0</v>
      </c>
      <c r="X26" s="26"/>
      <c r="Y26" s="17">
        <f>IF(AC26=0,I26,0)</f>
        <v>0</v>
      </c>
      <c r="Z26" s="17">
        <f>IF(AC26=15,I26,0)</f>
        <v>0</v>
      </c>
      <c r="AA26" s="17">
        <f>IF(AC26=21,I26,0)</f>
        <v>0</v>
      </c>
      <c r="AC26" s="31">
        <v>21</v>
      </c>
      <c r="AD26" s="31">
        <f>F26*0.476939736346516</f>
        <v>0</v>
      </c>
      <c r="AE26" s="31">
        <f>F26*(1-0.476939736346516)</f>
        <v>0</v>
      </c>
      <c r="AF26" s="27" t="s">
        <v>7</v>
      </c>
      <c r="AL26" s="31">
        <f>E26*AD26</f>
        <v>0</v>
      </c>
      <c r="AM26" s="31">
        <f>E26*AE26</f>
        <v>0</v>
      </c>
      <c r="AN26" s="32" t="s">
        <v>312</v>
      </c>
      <c r="AO26" s="32" t="s">
        <v>331</v>
      </c>
      <c r="AP26" s="26" t="s">
        <v>338</v>
      </c>
      <c r="AR26" s="31">
        <f>AL26+AM26</f>
        <v>0</v>
      </c>
      <c r="AS26" s="31">
        <f>F26/(100-AT26)*100</f>
        <v>0</v>
      </c>
      <c r="AT26" s="31">
        <v>0</v>
      </c>
      <c r="AU26" s="31">
        <f>K26</f>
        <v>0.35632909600000001</v>
      </c>
    </row>
    <row r="27" spans="1:47">
      <c r="A27" s="4" t="s">
        <v>13</v>
      </c>
      <c r="B27" s="4" t="s">
        <v>79</v>
      </c>
      <c r="C27" s="4" t="s">
        <v>168</v>
      </c>
      <c r="D27" s="4" t="s">
        <v>275</v>
      </c>
      <c r="E27" s="17">
        <v>21.0472</v>
      </c>
      <c r="F27" s="141">
        <v>0</v>
      </c>
      <c r="G27" s="17">
        <f>E27*AD27</f>
        <v>0</v>
      </c>
      <c r="H27" s="17">
        <f>I27-G27</f>
        <v>0</v>
      </c>
      <c r="I27" s="17">
        <f>E27*F27</f>
        <v>0</v>
      </c>
      <c r="J27" s="17">
        <v>0</v>
      </c>
      <c r="K27" s="17">
        <f>E27*J27</f>
        <v>0</v>
      </c>
      <c r="O27" s="31">
        <f>IF(AF27="5",I27,0)</f>
        <v>0</v>
      </c>
      <c r="Q27" s="31">
        <f>IF(AF27="1",G27,0)</f>
        <v>0</v>
      </c>
      <c r="R27" s="31">
        <f>IF(AF27="1",H27,0)</f>
        <v>0</v>
      </c>
      <c r="S27" s="31">
        <f>IF(AF27="7",G27,0)</f>
        <v>0</v>
      </c>
      <c r="T27" s="31">
        <f>IF(AF27="7",H27,0)</f>
        <v>0</v>
      </c>
      <c r="U27" s="31">
        <f>IF(AF27="2",G27,0)</f>
        <v>0</v>
      </c>
      <c r="V27" s="31">
        <f>IF(AF27="2",H27,0)</f>
        <v>0</v>
      </c>
      <c r="W27" s="31">
        <f>IF(AF27="0",I27,0)</f>
        <v>0</v>
      </c>
      <c r="X27" s="26"/>
      <c r="Y27" s="17">
        <f>IF(AC27=0,I27,0)</f>
        <v>0</v>
      </c>
      <c r="Z27" s="17">
        <f>IF(AC27=15,I27,0)</f>
        <v>0</v>
      </c>
      <c r="AA27" s="17">
        <f>IF(AC27=21,I27,0)</f>
        <v>0</v>
      </c>
      <c r="AC27" s="31">
        <v>21</v>
      </c>
      <c r="AD27" s="31">
        <f>F27*0</f>
        <v>0</v>
      </c>
      <c r="AE27" s="31">
        <f>F27*(1-0)</f>
        <v>0</v>
      </c>
      <c r="AF27" s="27" t="s">
        <v>7</v>
      </c>
      <c r="AL27" s="31">
        <f>E27*AD27</f>
        <v>0</v>
      </c>
      <c r="AM27" s="31">
        <f>E27*AE27</f>
        <v>0</v>
      </c>
      <c r="AN27" s="32" t="s">
        <v>312</v>
      </c>
      <c r="AO27" s="32" t="s">
        <v>331</v>
      </c>
      <c r="AP27" s="26" t="s">
        <v>338</v>
      </c>
      <c r="AR27" s="31">
        <f>AL27+AM27</f>
        <v>0</v>
      </c>
      <c r="AS27" s="31">
        <f>F27/(100-AT27)*100</f>
        <v>0</v>
      </c>
      <c r="AT27" s="31">
        <v>0</v>
      </c>
      <c r="AU27" s="31">
        <f>K27</f>
        <v>0</v>
      </c>
    </row>
    <row r="28" spans="1:47">
      <c r="A28" s="4" t="s">
        <v>14</v>
      </c>
      <c r="B28" s="4" t="s">
        <v>80</v>
      </c>
      <c r="C28" s="4" t="s">
        <v>169</v>
      </c>
      <c r="D28" s="4" t="s">
        <v>274</v>
      </c>
      <c r="E28" s="17">
        <v>133.91999999999999</v>
      </c>
      <c r="F28" s="141">
        <v>0</v>
      </c>
      <c r="G28" s="17">
        <f>E28*AD28</f>
        <v>0</v>
      </c>
      <c r="H28" s="17">
        <f>I28-G28</f>
        <v>0</v>
      </c>
      <c r="I28" s="17">
        <f>E28*F28</f>
        <v>0</v>
      </c>
      <c r="J28" s="17">
        <v>3.4619999999999998E-2</v>
      </c>
      <c r="K28" s="17">
        <f>E28*J28</f>
        <v>4.6363103999999993</v>
      </c>
      <c r="O28" s="31">
        <f>IF(AF28="5",I28,0)</f>
        <v>0</v>
      </c>
      <c r="Q28" s="31">
        <f>IF(AF28="1",G28,0)</f>
        <v>0</v>
      </c>
      <c r="R28" s="31">
        <f>IF(AF28="1",H28,0)</f>
        <v>0</v>
      </c>
      <c r="S28" s="31">
        <f>IF(AF28="7",G28,0)</f>
        <v>0</v>
      </c>
      <c r="T28" s="31">
        <f>IF(AF28="7",H28,0)</f>
        <v>0</v>
      </c>
      <c r="U28" s="31">
        <f>IF(AF28="2",G28,0)</f>
        <v>0</v>
      </c>
      <c r="V28" s="31">
        <f>IF(AF28="2",H28,0)</f>
        <v>0</v>
      </c>
      <c r="W28" s="31">
        <f>IF(AF28="0",I28,0)</f>
        <v>0</v>
      </c>
      <c r="X28" s="26"/>
      <c r="Y28" s="17">
        <f>IF(AC28=0,I28,0)</f>
        <v>0</v>
      </c>
      <c r="Z28" s="17">
        <f>IF(AC28=15,I28,0)</f>
        <v>0</v>
      </c>
      <c r="AA28" s="17">
        <f>IF(AC28=21,I28,0)</f>
        <v>0</v>
      </c>
      <c r="AC28" s="31">
        <v>21</v>
      </c>
      <c r="AD28" s="31">
        <f>F28*0.218355879292404</f>
        <v>0</v>
      </c>
      <c r="AE28" s="31">
        <f>F28*(1-0.218355879292404)</f>
        <v>0</v>
      </c>
      <c r="AF28" s="27" t="s">
        <v>7</v>
      </c>
      <c r="AL28" s="31">
        <f>E28*AD28</f>
        <v>0</v>
      </c>
      <c r="AM28" s="31">
        <f>E28*AE28</f>
        <v>0</v>
      </c>
      <c r="AN28" s="32" t="s">
        <v>312</v>
      </c>
      <c r="AO28" s="32" t="s">
        <v>331</v>
      </c>
      <c r="AP28" s="26" t="s">
        <v>338</v>
      </c>
      <c r="AR28" s="31">
        <f>AL28+AM28</f>
        <v>0</v>
      </c>
      <c r="AS28" s="31">
        <f>F28/(100-AT28)*100</f>
        <v>0</v>
      </c>
      <c r="AT28" s="31">
        <v>0</v>
      </c>
      <c r="AU28" s="31">
        <f>K28</f>
        <v>4.6363103999999993</v>
      </c>
    </row>
    <row r="29" spans="1:47">
      <c r="C29" s="15" t="s">
        <v>170</v>
      </c>
    </row>
    <row r="30" spans="1:47">
      <c r="A30" s="6" t="s">
        <v>15</v>
      </c>
      <c r="B30" s="6" t="s">
        <v>81</v>
      </c>
      <c r="C30" s="6" t="s">
        <v>171</v>
      </c>
      <c r="D30" s="6" t="s">
        <v>276</v>
      </c>
      <c r="E30" s="18">
        <v>92.4</v>
      </c>
      <c r="F30" s="143">
        <v>0</v>
      </c>
      <c r="G30" s="18">
        <f>E30*AD30</f>
        <v>0</v>
      </c>
      <c r="H30" s="18">
        <f>I30-G30</f>
        <v>0</v>
      </c>
      <c r="I30" s="18">
        <f>E30*F30</f>
        <v>0</v>
      </c>
      <c r="J30" s="18">
        <v>0.105</v>
      </c>
      <c r="K30" s="18">
        <f>E30*J30</f>
        <v>9.702</v>
      </c>
      <c r="O30" s="31">
        <f>IF(AF30="5",I30,0)</f>
        <v>0</v>
      </c>
      <c r="Q30" s="31">
        <f>IF(AF30="1",G30,0)</f>
        <v>0</v>
      </c>
      <c r="R30" s="31">
        <f>IF(AF30="1",H30,0)</f>
        <v>0</v>
      </c>
      <c r="S30" s="31">
        <f>IF(AF30="7",G30,0)</f>
        <v>0</v>
      </c>
      <c r="T30" s="31">
        <f>IF(AF30="7",H30,0)</f>
        <v>0</v>
      </c>
      <c r="U30" s="31">
        <f>IF(AF30="2",G30,0)</f>
        <v>0</v>
      </c>
      <c r="V30" s="31">
        <f>IF(AF30="2",H30,0)</f>
        <v>0</v>
      </c>
      <c r="W30" s="31">
        <f>IF(AF30="0",I30,0)</f>
        <v>0</v>
      </c>
      <c r="X30" s="26"/>
      <c r="Y30" s="18">
        <f>IF(AC30=0,I30,0)</f>
        <v>0</v>
      </c>
      <c r="Z30" s="18">
        <f>IF(AC30=15,I30,0)</f>
        <v>0</v>
      </c>
      <c r="AA30" s="18">
        <f>IF(AC30=21,I30,0)</f>
        <v>0</v>
      </c>
      <c r="AC30" s="31">
        <v>21</v>
      </c>
      <c r="AD30" s="31">
        <f>F30*1</f>
        <v>0</v>
      </c>
      <c r="AE30" s="31">
        <f>F30*(1-1)</f>
        <v>0</v>
      </c>
      <c r="AF30" s="28" t="s">
        <v>7</v>
      </c>
      <c r="AL30" s="31">
        <f>E30*AD30</f>
        <v>0</v>
      </c>
      <c r="AM30" s="31">
        <f>E30*AE30</f>
        <v>0</v>
      </c>
      <c r="AN30" s="32" t="s">
        <v>312</v>
      </c>
      <c r="AO30" s="32" t="s">
        <v>331</v>
      </c>
      <c r="AP30" s="26" t="s">
        <v>338</v>
      </c>
      <c r="AR30" s="31">
        <f>AL30+AM30</f>
        <v>0</v>
      </c>
      <c r="AS30" s="31">
        <f>F30/(100-AT30)*100</f>
        <v>0</v>
      </c>
      <c r="AT30" s="31">
        <v>0</v>
      </c>
      <c r="AU30" s="31">
        <f>K30</f>
        <v>9.702</v>
      </c>
    </row>
    <row r="31" spans="1:47">
      <c r="A31" s="6" t="s">
        <v>16</v>
      </c>
      <c r="B31" s="6" t="s">
        <v>81</v>
      </c>
      <c r="C31" s="6" t="s">
        <v>172</v>
      </c>
      <c r="D31" s="6" t="s">
        <v>276</v>
      </c>
      <c r="E31" s="18">
        <v>4.4000000000000004</v>
      </c>
      <c r="F31" s="143">
        <v>0</v>
      </c>
      <c r="G31" s="18">
        <f>E31*AD31</f>
        <v>0</v>
      </c>
      <c r="H31" s="18">
        <f>I31-G31</f>
        <v>0</v>
      </c>
      <c r="I31" s="18">
        <f>E31*F31</f>
        <v>0</v>
      </c>
      <c r="J31" s="18">
        <v>0.105</v>
      </c>
      <c r="K31" s="18">
        <f>E31*J31</f>
        <v>0.46200000000000002</v>
      </c>
      <c r="O31" s="31">
        <f>IF(AF31="5",I31,0)</f>
        <v>0</v>
      </c>
      <c r="Q31" s="31">
        <f>IF(AF31="1",G31,0)</f>
        <v>0</v>
      </c>
      <c r="R31" s="31">
        <f>IF(AF31="1",H31,0)</f>
        <v>0</v>
      </c>
      <c r="S31" s="31">
        <f>IF(AF31="7",G31,0)</f>
        <v>0</v>
      </c>
      <c r="T31" s="31">
        <f>IF(AF31="7",H31,0)</f>
        <v>0</v>
      </c>
      <c r="U31" s="31">
        <f>IF(AF31="2",G31,0)</f>
        <v>0</v>
      </c>
      <c r="V31" s="31">
        <f>IF(AF31="2",H31,0)</f>
        <v>0</v>
      </c>
      <c r="W31" s="31">
        <f>IF(AF31="0",I31,0)</f>
        <v>0</v>
      </c>
      <c r="X31" s="26"/>
      <c r="Y31" s="18">
        <f>IF(AC31=0,I31,0)</f>
        <v>0</v>
      </c>
      <c r="Z31" s="18">
        <f>IF(AC31=15,I31,0)</f>
        <v>0</v>
      </c>
      <c r="AA31" s="18">
        <f>IF(AC31=21,I31,0)</f>
        <v>0</v>
      </c>
      <c r="AC31" s="31">
        <v>21</v>
      </c>
      <c r="AD31" s="31">
        <f>F31*1</f>
        <v>0</v>
      </c>
      <c r="AE31" s="31">
        <f>F31*(1-1)</f>
        <v>0</v>
      </c>
      <c r="AF31" s="28" t="s">
        <v>7</v>
      </c>
      <c r="AL31" s="31">
        <f>E31*AD31</f>
        <v>0</v>
      </c>
      <c r="AM31" s="31">
        <f>E31*AE31</f>
        <v>0</v>
      </c>
      <c r="AN31" s="32" t="s">
        <v>312</v>
      </c>
      <c r="AO31" s="32" t="s">
        <v>331</v>
      </c>
      <c r="AP31" s="26" t="s">
        <v>338</v>
      </c>
      <c r="AR31" s="31">
        <f>AL31+AM31</f>
        <v>0</v>
      </c>
      <c r="AS31" s="31">
        <f>F31/(100-AT31)*100</f>
        <v>0</v>
      </c>
      <c r="AT31" s="31">
        <v>0</v>
      </c>
      <c r="AU31" s="31">
        <f>K31</f>
        <v>0.46200000000000002</v>
      </c>
    </row>
    <row r="32" spans="1:47">
      <c r="A32" s="5"/>
      <c r="B32" s="13" t="s">
        <v>62</v>
      </c>
      <c r="C32" s="70" t="s">
        <v>173</v>
      </c>
      <c r="D32" s="71"/>
      <c r="E32" s="71"/>
      <c r="F32" s="71"/>
      <c r="G32" s="34">
        <f>SUM(G33:G35)</f>
        <v>0</v>
      </c>
      <c r="H32" s="34">
        <f>SUM(H33:H35)</f>
        <v>0</v>
      </c>
      <c r="I32" s="34">
        <f>G32+H32</f>
        <v>0</v>
      </c>
      <c r="J32" s="26"/>
      <c r="K32" s="34">
        <f>SUM(K33:K35)</f>
        <v>8.3406835200000007</v>
      </c>
      <c r="X32" s="26"/>
      <c r="AH32" s="34">
        <f>SUM(Y33:Y35)</f>
        <v>0</v>
      </c>
      <c r="AI32" s="34">
        <f>SUM(Z33:Z35)</f>
        <v>0</v>
      </c>
      <c r="AJ32" s="34">
        <f>SUM(AA33:AA35)</f>
        <v>0</v>
      </c>
    </row>
    <row r="33" spans="1:47">
      <c r="A33" s="4" t="s">
        <v>17</v>
      </c>
      <c r="B33" s="4" t="s">
        <v>82</v>
      </c>
      <c r="C33" s="4" t="s">
        <v>174</v>
      </c>
      <c r="D33" s="4" t="s">
        <v>275</v>
      </c>
      <c r="E33" s="17">
        <v>12.48</v>
      </c>
      <c r="F33" s="141">
        <v>0</v>
      </c>
      <c r="G33" s="17">
        <f>E33*AD33</f>
        <v>0</v>
      </c>
      <c r="H33" s="17">
        <f>I33-G33</f>
        <v>0</v>
      </c>
      <c r="I33" s="17">
        <f>E33*F33</f>
        <v>0</v>
      </c>
      <c r="J33" s="17">
        <v>0.51085999999999998</v>
      </c>
      <c r="K33" s="17">
        <f>E33*J33</f>
        <v>6.3755328000000002</v>
      </c>
      <c r="O33" s="31">
        <f>IF(AF33="5",I33,0)</f>
        <v>0</v>
      </c>
      <c r="Q33" s="31">
        <f>IF(AF33="1",G33,0)</f>
        <v>0</v>
      </c>
      <c r="R33" s="31">
        <f>IF(AF33="1",H33,0)</f>
        <v>0</v>
      </c>
      <c r="S33" s="31">
        <f>IF(AF33="7",G33,0)</f>
        <v>0</v>
      </c>
      <c r="T33" s="31">
        <f>IF(AF33="7",H33,0)</f>
        <v>0</v>
      </c>
      <c r="U33" s="31">
        <f>IF(AF33="2",G33,0)</f>
        <v>0</v>
      </c>
      <c r="V33" s="31">
        <f>IF(AF33="2",H33,0)</f>
        <v>0</v>
      </c>
      <c r="W33" s="31">
        <f>IF(AF33="0",I33,0)</f>
        <v>0</v>
      </c>
      <c r="X33" s="26"/>
      <c r="Y33" s="17">
        <f>IF(AC33=0,I33,0)</f>
        <v>0</v>
      </c>
      <c r="Z33" s="17">
        <f>IF(AC33=15,I33,0)</f>
        <v>0</v>
      </c>
      <c r="AA33" s="17">
        <f>IF(AC33=21,I33,0)</f>
        <v>0</v>
      </c>
      <c r="AC33" s="31">
        <v>21</v>
      </c>
      <c r="AD33" s="31">
        <f>F33*0.895914080298233</f>
        <v>0</v>
      </c>
      <c r="AE33" s="31">
        <f>F33*(1-0.895914080298233)</f>
        <v>0</v>
      </c>
      <c r="AF33" s="27" t="s">
        <v>7</v>
      </c>
      <c r="AL33" s="31">
        <f>E33*AD33</f>
        <v>0</v>
      </c>
      <c r="AM33" s="31">
        <f>E33*AE33</f>
        <v>0</v>
      </c>
      <c r="AN33" s="32" t="s">
        <v>313</v>
      </c>
      <c r="AO33" s="32" t="s">
        <v>332</v>
      </c>
      <c r="AP33" s="26" t="s">
        <v>338</v>
      </c>
      <c r="AR33" s="31">
        <f>AL33+AM33</f>
        <v>0</v>
      </c>
      <c r="AS33" s="31">
        <f>F33/(100-AT33)*100</f>
        <v>0</v>
      </c>
      <c r="AT33" s="31">
        <v>0</v>
      </c>
      <c r="AU33" s="31">
        <f>K33</f>
        <v>6.3755328000000002</v>
      </c>
    </row>
    <row r="34" spans="1:47">
      <c r="C34" s="15" t="s">
        <v>175</v>
      </c>
    </row>
    <row r="35" spans="1:47">
      <c r="A35" s="4" t="s">
        <v>18</v>
      </c>
      <c r="B35" s="4" t="s">
        <v>83</v>
      </c>
      <c r="C35" s="4" t="s">
        <v>176</v>
      </c>
      <c r="D35" s="4" t="s">
        <v>275</v>
      </c>
      <c r="E35" s="17">
        <v>6.7392000000000003</v>
      </c>
      <c r="F35" s="141">
        <v>0</v>
      </c>
      <c r="G35" s="17">
        <f>E35*AD35</f>
        <v>0</v>
      </c>
      <c r="H35" s="17">
        <f>I35-G35</f>
        <v>0</v>
      </c>
      <c r="I35" s="17">
        <f>E35*F35</f>
        <v>0</v>
      </c>
      <c r="J35" s="17">
        <v>0.29160000000000003</v>
      </c>
      <c r="K35" s="17">
        <f>E35*J35</f>
        <v>1.9651507200000002</v>
      </c>
      <c r="O35" s="31">
        <f>IF(AF35="5",I35,0)</f>
        <v>0</v>
      </c>
      <c r="Q35" s="31">
        <f>IF(AF35="1",G35,0)</f>
        <v>0</v>
      </c>
      <c r="R35" s="31">
        <f>IF(AF35="1",H35,0)</f>
        <v>0</v>
      </c>
      <c r="S35" s="31">
        <f>IF(AF35="7",G35,0)</f>
        <v>0</v>
      </c>
      <c r="T35" s="31">
        <f>IF(AF35="7",H35,0)</f>
        <v>0</v>
      </c>
      <c r="U35" s="31">
        <f>IF(AF35="2",G35,0)</f>
        <v>0</v>
      </c>
      <c r="V35" s="31">
        <f>IF(AF35="2",H35,0)</f>
        <v>0</v>
      </c>
      <c r="W35" s="31">
        <f>IF(AF35="0",I35,0)</f>
        <v>0</v>
      </c>
      <c r="X35" s="26"/>
      <c r="Y35" s="17">
        <f>IF(AC35=0,I35,0)</f>
        <v>0</v>
      </c>
      <c r="Z35" s="17">
        <f>IF(AC35=15,I35,0)</f>
        <v>0</v>
      </c>
      <c r="AA35" s="17">
        <f>IF(AC35=21,I35,0)</f>
        <v>0</v>
      </c>
      <c r="AC35" s="31">
        <v>21</v>
      </c>
      <c r="AD35" s="31">
        <f>F35*0.829505703422053</f>
        <v>0</v>
      </c>
      <c r="AE35" s="31">
        <f>F35*(1-0.829505703422053)</f>
        <v>0</v>
      </c>
      <c r="AF35" s="27" t="s">
        <v>7</v>
      </c>
      <c r="AL35" s="31">
        <f>E35*AD35</f>
        <v>0</v>
      </c>
      <c r="AM35" s="31">
        <f>E35*AE35</f>
        <v>0</v>
      </c>
      <c r="AN35" s="32" t="s">
        <v>313</v>
      </c>
      <c r="AO35" s="32" t="s">
        <v>332</v>
      </c>
      <c r="AP35" s="26" t="s">
        <v>338</v>
      </c>
      <c r="AR35" s="31">
        <f>AL35+AM35</f>
        <v>0</v>
      </c>
      <c r="AS35" s="31">
        <f>F35/(100-AT35)*100</f>
        <v>0</v>
      </c>
      <c r="AT35" s="31">
        <v>0</v>
      </c>
      <c r="AU35" s="31">
        <f>K35</f>
        <v>1.9651507200000002</v>
      </c>
    </row>
    <row r="36" spans="1:47">
      <c r="C36" s="15" t="s">
        <v>177</v>
      </c>
    </row>
    <row r="37" spans="1:47">
      <c r="A37" s="5"/>
      <c r="B37" s="13" t="s">
        <v>65</v>
      </c>
      <c r="C37" s="70" t="s">
        <v>178</v>
      </c>
      <c r="D37" s="71"/>
      <c r="E37" s="71"/>
      <c r="F37" s="71"/>
      <c r="G37" s="34">
        <f>SUM(G38:G45)</f>
        <v>0</v>
      </c>
      <c r="H37" s="34">
        <f>SUM(H38:H45)</f>
        <v>0</v>
      </c>
      <c r="I37" s="34">
        <f>G37+H37</f>
        <v>0</v>
      </c>
      <c r="J37" s="26"/>
      <c r="K37" s="34">
        <f>SUM(K38:K45)</f>
        <v>15.690114335999999</v>
      </c>
      <c r="X37" s="26"/>
      <c r="AH37" s="34">
        <f>SUM(Y38:Y45)</f>
        <v>0</v>
      </c>
      <c r="AI37" s="34">
        <f>SUM(Z38:Z45)</f>
        <v>0</v>
      </c>
      <c r="AJ37" s="34">
        <f>SUM(AA38:AA45)</f>
        <v>0</v>
      </c>
    </row>
    <row r="38" spans="1:47">
      <c r="A38" s="4" t="s">
        <v>19</v>
      </c>
      <c r="B38" s="4" t="s">
        <v>84</v>
      </c>
      <c r="C38" s="4" t="s">
        <v>179</v>
      </c>
      <c r="D38" s="4" t="s">
        <v>275</v>
      </c>
      <c r="E38" s="17">
        <v>10.98</v>
      </c>
      <c r="F38" s="141">
        <v>0</v>
      </c>
      <c r="G38" s="17">
        <f>E38*AD38</f>
        <v>0</v>
      </c>
      <c r="H38" s="17">
        <f>I38-G38</f>
        <v>0</v>
      </c>
      <c r="I38" s="17">
        <f>E38*F38</f>
        <v>0</v>
      </c>
      <c r="J38" s="17">
        <v>0.30131999999999998</v>
      </c>
      <c r="K38" s="17">
        <f>E38*J38</f>
        <v>3.3084935999999998</v>
      </c>
      <c r="O38" s="31">
        <f>IF(AF38="5",I38,0)</f>
        <v>0</v>
      </c>
      <c r="Q38" s="31">
        <f>IF(AF38="1",G38,0)</f>
        <v>0</v>
      </c>
      <c r="R38" s="31">
        <f>IF(AF38="1",H38,0)</f>
        <v>0</v>
      </c>
      <c r="S38" s="31">
        <f>IF(AF38="7",G38,0)</f>
        <v>0</v>
      </c>
      <c r="T38" s="31">
        <f>IF(AF38="7",H38,0)</f>
        <v>0</v>
      </c>
      <c r="U38" s="31">
        <f>IF(AF38="2",G38,0)</f>
        <v>0</v>
      </c>
      <c r="V38" s="31">
        <f>IF(AF38="2",H38,0)</f>
        <v>0</v>
      </c>
      <c r="W38" s="31">
        <f>IF(AF38="0",I38,0)</f>
        <v>0</v>
      </c>
      <c r="X38" s="26"/>
      <c r="Y38" s="17">
        <f>IF(AC38=0,I38,0)</f>
        <v>0</v>
      </c>
      <c r="Z38" s="17">
        <f>IF(AC38=15,I38,0)</f>
        <v>0</v>
      </c>
      <c r="AA38" s="17">
        <f>IF(AC38=21,I38,0)</f>
        <v>0</v>
      </c>
      <c r="AC38" s="31">
        <v>21</v>
      </c>
      <c r="AD38" s="31">
        <f>F38*0.56023102310231</f>
        <v>0</v>
      </c>
      <c r="AE38" s="31">
        <f>F38*(1-0.56023102310231)</f>
        <v>0</v>
      </c>
      <c r="AF38" s="27" t="s">
        <v>7</v>
      </c>
      <c r="AL38" s="31">
        <f>E38*AD38</f>
        <v>0</v>
      </c>
      <c r="AM38" s="31">
        <f>E38*AE38</f>
        <v>0</v>
      </c>
      <c r="AN38" s="32" t="s">
        <v>314</v>
      </c>
      <c r="AO38" s="32" t="s">
        <v>332</v>
      </c>
      <c r="AP38" s="26" t="s">
        <v>338</v>
      </c>
      <c r="AR38" s="31">
        <f>AL38+AM38</f>
        <v>0</v>
      </c>
      <c r="AS38" s="31">
        <f>F38/(100-AT38)*100</f>
        <v>0</v>
      </c>
      <c r="AT38" s="31">
        <v>0</v>
      </c>
      <c r="AU38" s="31">
        <f>K38</f>
        <v>3.3084935999999998</v>
      </c>
    </row>
    <row r="39" spans="1:47">
      <c r="C39" s="15" t="s">
        <v>180</v>
      </c>
    </row>
    <row r="40" spans="1:47">
      <c r="A40" s="4" t="s">
        <v>20</v>
      </c>
      <c r="B40" s="4" t="s">
        <v>85</v>
      </c>
      <c r="C40" s="4" t="s">
        <v>181</v>
      </c>
      <c r="D40" s="4" t="s">
        <v>275</v>
      </c>
      <c r="E40" s="17">
        <v>12.48</v>
      </c>
      <c r="F40" s="141">
        <v>0</v>
      </c>
      <c r="G40" s="17">
        <f>E40*AD40</f>
        <v>0</v>
      </c>
      <c r="H40" s="17">
        <f>I40-G40</f>
        <v>0</v>
      </c>
      <c r="I40" s="17">
        <f>E40*F40</f>
        <v>0</v>
      </c>
      <c r="J40" s="17">
        <v>0.11</v>
      </c>
      <c r="K40" s="17">
        <f>E40*J40</f>
        <v>1.3728</v>
      </c>
      <c r="O40" s="31">
        <f>IF(AF40="5",I40,0)</f>
        <v>0</v>
      </c>
      <c r="Q40" s="31">
        <f>IF(AF40="1",G40,0)</f>
        <v>0</v>
      </c>
      <c r="R40" s="31">
        <f>IF(AF40="1",H40,0)</f>
        <v>0</v>
      </c>
      <c r="S40" s="31">
        <f>IF(AF40="7",G40,0)</f>
        <v>0</v>
      </c>
      <c r="T40" s="31">
        <f>IF(AF40="7",H40,0)</f>
        <v>0</v>
      </c>
      <c r="U40" s="31">
        <f>IF(AF40="2",G40,0)</f>
        <v>0</v>
      </c>
      <c r="V40" s="31">
        <f>IF(AF40="2",H40,0)</f>
        <v>0</v>
      </c>
      <c r="W40" s="31">
        <f>IF(AF40="0",I40,0)</f>
        <v>0</v>
      </c>
      <c r="X40" s="26"/>
      <c r="Y40" s="17">
        <f>IF(AC40=0,I40,0)</f>
        <v>0</v>
      </c>
      <c r="Z40" s="17">
        <f>IF(AC40=15,I40,0)</f>
        <v>0</v>
      </c>
      <c r="AA40" s="17">
        <f>IF(AC40=21,I40,0)</f>
        <v>0</v>
      </c>
      <c r="AC40" s="31">
        <v>21</v>
      </c>
      <c r="AD40" s="31">
        <f>F40*0.116741479634248</f>
        <v>0</v>
      </c>
      <c r="AE40" s="31">
        <f>F40*(1-0.116741479634248)</f>
        <v>0</v>
      </c>
      <c r="AF40" s="27" t="s">
        <v>7</v>
      </c>
      <c r="AL40" s="31">
        <f>E40*AD40</f>
        <v>0</v>
      </c>
      <c r="AM40" s="31">
        <f>E40*AE40</f>
        <v>0</v>
      </c>
      <c r="AN40" s="32" t="s">
        <v>314</v>
      </c>
      <c r="AO40" s="32" t="s">
        <v>332</v>
      </c>
      <c r="AP40" s="26" t="s">
        <v>338</v>
      </c>
      <c r="AR40" s="31">
        <f>AL40+AM40</f>
        <v>0</v>
      </c>
      <c r="AS40" s="31">
        <f>F40/(100-AT40)*100</f>
        <v>0</v>
      </c>
      <c r="AT40" s="31">
        <v>0</v>
      </c>
      <c r="AU40" s="31">
        <f>K40</f>
        <v>1.3728</v>
      </c>
    </row>
    <row r="41" spans="1:47">
      <c r="C41" s="15" t="s">
        <v>182</v>
      </c>
    </row>
    <row r="42" spans="1:47">
      <c r="A42" s="6" t="s">
        <v>21</v>
      </c>
      <c r="B42" s="6" t="s">
        <v>86</v>
      </c>
      <c r="C42" s="6" t="s">
        <v>183</v>
      </c>
      <c r="D42" s="6" t="s">
        <v>275</v>
      </c>
      <c r="E42" s="18">
        <v>7.7126400000000004</v>
      </c>
      <c r="F42" s="143">
        <v>0</v>
      </c>
      <c r="G42" s="18">
        <f>E42*AD42</f>
        <v>0</v>
      </c>
      <c r="H42" s="18">
        <f>I42-G42</f>
        <v>0</v>
      </c>
      <c r="I42" s="18">
        <f>E42*F42</f>
        <v>0</v>
      </c>
      <c r="J42" s="18">
        <v>0.11799999999999999</v>
      </c>
      <c r="K42" s="18">
        <f>E42*J42</f>
        <v>0.91009152000000004</v>
      </c>
      <c r="O42" s="31">
        <f>IF(AF42="5",I42,0)</f>
        <v>0</v>
      </c>
      <c r="Q42" s="31">
        <f>IF(AF42="1",G42,0)</f>
        <v>0</v>
      </c>
      <c r="R42" s="31">
        <f>IF(AF42="1",H42,0)</f>
        <v>0</v>
      </c>
      <c r="S42" s="31">
        <f>IF(AF42="7",G42,0)</f>
        <v>0</v>
      </c>
      <c r="T42" s="31">
        <f>IF(AF42="7",H42,0)</f>
        <v>0</v>
      </c>
      <c r="U42" s="31">
        <f>IF(AF42="2",G42,0)</f>
        <v>0</v>
      </c>
      <c r="V42" s="31">
        <f>IF(AF42="2",H42,0)</f>
        <v>0</v>
      </c>
      <c r="W42" s="31">
        <f>IF(AF42="0",I42,0)</f>
        <v>0</v>
      </c>
      <c r="X42" s="26"/>
      <c r="Y42" s="18">
        <f>IF(AC42=0,I42,0)</f>
        <v>0</v>
      </c>
      <c r="Z42" s="18">
        <f>IF(AC42=15,I42,0)</f>
        <v>0</v>
      </c>
      <c r="AA42" s="18">
        <f>IF(AC42=21,I42,0)</f>
        <v>0</v>
      </c>
      <c r="AC42" s="31">
        <v>21</v>
      </c>
      <c r="AD42" s="31">
        <f>F42*1</f>
        <v>0</v>
      </c>
      <c r="AE42" s="31">
        <f>F42*(1-1)</f>
        <v>0</v>
      </c>
      <c r="AF42" s="28" t="s">
        <v>7</v>
      </c>
      <c r="AL42" s="31">
        <f>E42*AD42</f>
        <v>0</v>
      </c>
      <c r="AM42" s="31">
        <f>E42*AE42</f>
        <v>0</v>
      </c>
      <c r="AN42" s="32" t="s">
        <v>314</v>
      </c>
      <c r="AO42" s="32" t="s">
        <v>332</v>
      </c>
      <c r="AP42" s="26" t="s">
        <v>338</v>
      </c>
      <c r="AR42" s="31">
        <f>AL42+AM42</f>
        <v>0</v>
      </c>
      <c r="AS42" s="31">
        <f>F42/(100-AT42)*100</f>
        <v>0</v>
      </c>
      <c r="AT42" s="31">
        <v>0</v>
      </c>
      <c r="AU42" s="31">
        <f>K42</f>
        <v>0.91009152000000004</v>
      </c>
    </row>
    <row r="43" spans="1:47">
      <c r="A43" s="4" t="s">
        <v>22</v>
      </c>
      <c r="B43" s="4" t="s">
        <v>87</v>
      </c>
      <c r="C43" s="4" t="s">
        <v>184</v>
      </c>
      <c r="D43" s="4" t="s">
        <v>275</v>
      </c>
      <c r="E43" s="17">
        <v>31.859200000000001</v>
      </c>
      <c r="F43" s="141">
        <v>0</v>
      </c>
      <c r="G43" s="17">
        <f>E43*AD43</f>
        <v>0</v>
      </c>
      <c r="H43" s="17">
        <f>I43-G43</f>
        <v>0</v>
      </c>
      <c r="I43" s="17">
        <f>E43*F43</f>
        <v>0</v>
      </c>
      <c r="J43" s="17">
        <v>0.16847999999999999</v>
      </c>
      <c r="K43" s="17">
        <f>E43*J43</f>
        <v>5.3676380159999999</v>
      </c>
      <c r="O43" s="31">
        <f>IF(AF43="5",I43,0)</f>
        <v>0</v>
      </c>
      <c r="Q43" s="31">
        <f>IF(AF43="1",G43,0)</f>
        <v>0</v>
      </c>
      <c r="R43" s="31">
        <f>IF(AF43="1",H43,0)</f>
        <v>0</v>
      </c>
      <c r="S43" s="31">
        <f>IF(AF43="7",G43,0)</f>
        <v>0</v>
      </c>
      <c r="T43" s="31">
        <f>IF(AF43="7",H43,0)</f>
        <v>0</v>
      </c>
      <c r="U43" s="31">
        <f>IF(AF43="2",G43,0)</f>
        <v>0</v>
      </c>
      <c r="V43" s="31">
        <f>IF(AF43="2",H43,0)</f>
        <v>0</v>
      </c>
      <c r="W43" s="31">
        <f>IF(AF43="0",I43,0)</f>
        <v>0</v>
      </c>
      <c r="X43" s="26"/>
      <c r="Y43" s="17">
        <f>IF(AC43=0,I43,0)</f>
        <v>0</v>
      </c>
      <c r="Z43" s="17">
        <f>IF(AC43=15,I43,0)</f>
        <v>0</v>
      </c>
      <c r="AA43" s="17">
        <f>IF(AC43=21,I43,0)</f>
        <v>0</v>
      </c>
      <c r="AC43" s="31">
        <v>21</v>
      </c>
      <c r="AD43" s="31">
        <f>F43*0.601288995128446</f>
        <v>0</v>
      </c>
      <c r="AE43" s="31">
        <f>F43*(1-0.601288995128446)</f>
        <v>0</v>
      </c>
      <c r="AF43" s="27" t="s">
        <v>7</v>
      </c>
      <c r="AL43" s="31">
        <f>E43*AD43</f>
        <v>0</v>
      </c>
      <c r="AM43" s="31">
        <f>E43*AE43</f>
        <v>0</v>
      </c>
      <c r="AN43" s="32" t="s">
        <v>314</v>
      </c>
      <c r="AO43" s="32" t="s">
        <v>332</v>
      </c>
      <c r="AP43" s="26" t="s">
        <v>338</v>
      </c>
      <c r="AR43" s="31">
        <f>AL43+AM43</f>
        <v>0</v>
      </c>
      <c r="AS43" s="31">
        <f>F43/(100-AT43)*100</f>
        <v>0</v>
      </c>
      <c r="AT43" s="31">
        <v>0</v>
      </c>
      <c r="AU43" s="31">
        <f>K43</f>
        <v>5.3676380159999999</v>
      </c>
    </row>
    <row r="44" spans="1:47">
      <c r="C44" s="15" t="s">
        <v>185</v>
      </c>
    </row>
    <row r="45" spans="1:47">
      <c r="A45" s="6" t="s">
        <v>23</v>
      </c>
      <c r="B45" s="6" t="s">
        <v>88</v>
      </c>
      <c r="C45" s="6" t="s">
        <v>186</v>
      </c>
      <c r="D45" s="6" t="s">
        <v>275</v>
      </c>
      <c r="E45" s="18">
        <v>35.045119999999997</v>
      </c>
      <c r="F45" s="143">
        <v>0</v>
      </c>
      <c r="G45" s="18">
        <f>E45*AD45</f>
        <v>0</v>
      </c>
      <c r="H45" s="18">
        <f>I45-G45</f>
        <v>0</v>
      </c>
      <c r="I45" s="18">
        <f>E45*F45</f>
        <v>0</v>
      </c>
      <c r="J45" s="18">
        <v>0.13500000000000001</v>
      </c>
      <c r="K45" s="18">
        <f>E45*J45</f>
        <v>4.7310911999999998</v>
      </c>
      <c r="O45" s="31">
        <f>IF(AF45="5",I45,0)</f>
        <v>0</v>
      </c>
      <c r="Q45" s="31">
        <f>IF(AF45="1",G45,0)</f>
        <v>0</v>
      </c>
      <c r="R45" s="31">
        <f>IF(AF45="1",H45,0)</f>
        <v>0</v>
      </c>
      <c r="S45" s="31">
        <f>IF(AF45="7",G45,0)</f>
        <v>0</v>
      </c>
      <c r="T45" s="31">
        <f>IF(AF45="7",H45,0)</f>
        <v>0</v>
      </c>
      <c r="U45" s="31">
        <f>IF(AF45="2",G45,0)</f>
        <v>0</v>
      </c>
      <c r="V45" s="31">
        <f>IF(AF45="2",H45,0)</f>
        <v>0</v>
      </c>
      <c r="W45" s="31">
        <f>IF(AF45="0",I45,0)</f>
        <v>0</v>
      </c>
      <c r="X45" s="26"/>
      <c r="Y45" s="18">
        <f>IF(AC45=0,I45,0)</f>
        <v>0</v>
      </c>
      <c r="Z45" s="18">
        <f>IF(AC45=15,I45,0)</f>
        <v>0</v>
      </c>
      <c r="AA45" s="18">
        <f>IF(AC45=21,I45,0)</f>
        <v>0</v>
      </c>
      <c r="AC45" s="31">
        <v>21</v>
      </c>
      <c r="AD45" s="31">
        <f>F45*1</f>
        <v>0</v>
      </c>
      <c r="AE45" s="31">
        <f>F45*(1-1)</f>
        <v>0</v>
      </c>
      <c r="AF45" s="28" t="s">
        <v>7</v>
      </c>
      <c r="AL45" s="31">
        <f>E45*AD45</f>
        <v>0</v>
      </c>
      <c r="AM45" s="31">
        <f>E45*AE45</f>
        <v>0</v>
      </c>
      <c r="AN45" s="32" t="s">
        <v>314</v>
      </c>
      <c r="AO45" s="32" t="s">
        <v>332</v>
      </c>
      <c r="AP45" s="26" t="s">
        <v>338</v>
      </c>
      <c r="AR45" s="31">
        <f>AL45+AM45</f>
        <v>0</v>
      </c>
      <c r="AS45" s="31">
        <f>F45/(100-AT45)*100</f>
        <v>0</v>
      </c>
      <c r="AT45" s="31">
        <v>0</v>
      </c>
      <c r="AU45" s="31">
        <f>K45</f>
        <v>4.7310911999999998</v>
      </c>
    </row>
    <row r="46" spans="1:47">
      <c r="A46" s="5"/>
      <c r="B46" s="13" t="s">
        <v>68</v>
      </c>
      <c r="C46" s="70" t="s">
        <v>187</v>
      </c>
      <c r="D46" s="71"/>
      <c r="E46" s="71"/>
      <c r="F46" s="71"/>
      <c r="G46" s="34">
        <f>SUM(G47:G50)</f>
        <v>0</v>
      </c>
      <c r="H46" s="34">
        <f>SUM(H47:H50)</f>
        <v>0</v>
      </c>
      <c r="I46" s="34">
        <f>G46+H46</f>
        <v>0</v>
      </c>
      <c r="J46" s="26"/>
      <c r="K46" s="34">
        <f>SUM(K47:K50)</f>
        <v>2.0877617600000002</v>
      </c>
      <c r="X46" s="26"/>
      <c r="AH46" s="34">
        <f>SUM(Y47:Y50)</f>
        <v>0</v>
      </c>
      <c r="AI46" s="34">
        <f>SUM(Z47:Z50)</f>
        <v>0</v>
      </c>
      <c r="AJ46" s="34">
        <f>SUM(AA47:AA50)</f>
        <v>0</v>
      </c>
    </row>
    <row r="47" spans="1:47">
      <c r="A47" s="4" t="s">
        <v>24</v>
      </c>
      <c r="B47" s="4" t="s">
        <v>89</v>
      </c>
      <c r="C47" s="4" t="s">
        <v>474</v>
      </c>
      <c r="D47" s="4" t="s">
        <v>275</v>
      </c>
      <c r="E47" s="17">
        <v>24.878</v>
      </c>
      <c r="F47" s="141">
        <v>0</v>
      </c>
      <c r="G47" s="17">
        <f>E47*AD47</f>
        <v>0</v>
      </c>
      <c r="H47" s="17">
        <f>I47-G47</f>
        <v>0</v>
      </c>
      <c r="I47" s="17">
        <f>E47*F47</f>
        <v>0</v>
      </c>
      <c r="J47" s="17">
        <v>6.3E-3</v>
      </c>
      <c r="K47" s="17">
        <f>E47*J47</f>
        <v>0.15673139999999999</v>
      </c>
      <c r="O47" s="31">
        <f>IF(AF47="5",I47,0)</f>
        <v>0</v>
      </c>
      <c r="Q47" s="31">
        <f>IF(AF47="1",G47,0)</f>
        <v>0</v>
      </c>
      <c r="R47" s="31">
        <f>IF(AF47="1",H47,0)</f>
        <v>0</v>
      </c>
      <c r="S47" s="31">
        <f>IF(AF47="7",G47,0)</f>
        <v>0</v>
      </c>
      <c r="T47" s="31">
        <f>IF(AF47="7",H47,0)</f>
        <v>0</v>
      </c>
      <c r="U47" s="31">
        <f>IF(AF47="2",G47,0)</f>
        <v>0</v>
      </c>
      <c r="V47" s="31">
        <f>IF(AF47="2",H47,0)</f>
        <v>0</v>
      </c>
      <c r="W47" s="31">
        <f>IF(AF47="0",I47,0)</f>
        <v>0</v>
      </c>
      <c r="X47" s="26"/>
      <c r="Y47" s="17">
        <f>IF(AC47=0,I47,0)</f>
        <v>0</v>
      </c>
      <c r="Z47" s="17">
        <f>IF(AC47=15,I47,0)</f>
        <v>0</v>
      </c>
      <c r="AA47" s="17">
        <f>IF(AC47=21,I47,0)</f>
        <v>0</v>
      </c>
      <c r="AC47" s="31">
        <v>21</v>
      </c>
      <c r="AD47" s="31">
        <f>F47*0.516383091088609</f>
        <v>0</v>
      </c>
      <c r="AE47" s="31">
        <f>F47*(1-0.516383091088609)</f>
        <v>0</v>
      </c>
      <c r="AF47" s="27" t="s">
        <v>7</v>
      </c>
      <c r="AL47" s="31">
        <f>E47*AD47</f>
        <v>0</v>
      </c>
      <c r="AM47" s="31">
        <f>E47*AE47</f>
        <v>0</v>
      </c>
      <c r="AN47" s="32" t="s">
        <v>315</v>
      </c>
      <c r="AO47" s="32" t="s">
        <v>333</v>
      </c>
      <c r="AP47" s="26" t="s">
        <v>338</v>
      </c>
      <c r="AR47" s="31">
        <f>AL47+AM47</f>
        <v>0</v>
      </c>
      <c r="AS47" s="31">
        <f>F47/(100-AT47)*100</f>
        <v>0</v>
      </c>
      <c r="AT47" s="31">
        <v>0</v>
      </c>
      <c r="AU47" s="31">
        <f>K47</f>
        <v>0.15673139999999999</v>
      </c>
    </row>
    <row r="48" spans="1:47">
      <c r="A48" s="4" t="s">
        <v>25</v>
      </c>
      <c r="B48" s="4" t="s">
        <v>90</v>
      </c>
      <c r="C48" s="4" t="s">
        <v>189</v>
      </c>
      <c r="D48" s="4" t="s">
        <v>275</v>
      </c>
      <c r="E48" s="17">
        <v>24.878</v>
      </c>
      <c r="F48" s="141">
        <v>0</v>
      </c>
      <c r="G48" s="17">
        <f>E48*AD48</f>
        <v>0</v>
      </c>
      <c r="H48" s="17">
        <f>I48-G48</f>
        <v>0</v>
      </c>
      <c r="I48" s="17">
        <f>E48*F48</f>
        <v>0</v>
      </c>
      <c r="J48" s="17">
        <v>3.6700000000000001E-3</v>
      </c>
      <c r="K48" s="17">
        <f>E48*J48</f>
        <v>9.1302259999999996E-2</v>
      </c>
      <c r="O48" s="31">
        <f>IF(AF48="5",I48,0)</f>
        <v>0</v>
      </c>
      <c r="Q48" s="31">
        <f>IF(AF48="1",G48,0)</f>
        <v>0</v>
      </c>
      <c r="R48" s="31">
        <f>IF(AF48="1",H48,0)</f>
        <v>0</v>
      </c>
      <c r="S48" s="31">
        <f>IF(AF48="7",G48,0)</f>
        <v>0</v>
      </c>
      <c r="T48" s="31">
        <f>IF(AF48="7",H48,0)</f>
        <v>0</v>
      </c>
      <c r="U48" s="31">
        <f>IF(AF48="2",G48,0)</f>
        <v>0</v>
      </c>
      <c r="V48" s="31">
        <f>IF(AF48="2",H48,0)</f>
        <v>0</v>
      </c>
      <c r="W48" s="31">
        <f>IF(AF48="0",I48,0)</f>
        <v>0</v>
      </c>
      <c r="X48" s="26"/>
      <c r="Y48" s="17">
        <f>IF(AC48=0,I48,0)</f>
        <v>0</v>
      </c>
      <c r="Z48" s="17">
        <f>IF(AC48=15,I48,0)</f>
        <v>0</v>
      </c>
      <c r="AA48" s="17">
        <f>IF(AC48=21,I48,0)</f>
        <v>0</v>
      </c>
      <c r="AC48" s="31">
        <v>21</v>
      </c>
      <c r="AD48" s="31">
        <f>F48*0.277583547557841</f>
        <v>0</v>
      </c>
      <c r="AE48" s="31">
        <f>F48*(1-0.277583547557841)</f>
        <v>0</v>
      </c>
      <c r="AF48" s="27" t="s">
        <v>7</v>
      </c>
      <c r="AL48" s="31">
        <f>E48*AD48</f>
        <v>0</v>
      </c>
      <c r="AM48" s="31">
        <f>E48*AE48</f>
        <v>0</v>
      </c>
      <c r="AN48" s="32" t="s">
        <v>315</v>
      </c>
      <c r="AO48" s="32" t="s">
        <v>333</v>
      </c>
      <c r="AP48" s="26" t="s">
        <v>338</v>
      </c>
      <c r="AR48" s="31">
        <f>AL48+AM48</f>
        <v>0</v>
      </c>
      <c r="AS48" s="31">
        <f>F48/(100-AT48)*100</f>
        <v>0</v>
      </c>
      <c r="AT48" s="31">
        <v>0</v>
      </c>
      <c r="AU48" s="31">
        <f>K48</f>
        <v>9.1302259999999996E-2</v>
      </c>
    </row>
    <row r="49" spans="1:47">
      <c r="C49" s="15" t="s">
        <v>190</v>
      </c>
    </row>
    <row r="50" spans="1:47">
      <c r="A50" s="4" t="s">
        <v>26</v>
      </c>
      <c r="B50" s="4" t="s">
        <v>91</v>
      </c>
      <c r="C50" s="4" t="s">
        <v>191</v>
      </c>
      <c r="D50" s="4" t="s">
        <v>275</v>
      </c>
      <c r="E50" s="17">
        <v>24.878</v>
      </c>
      <c r="F50" s="141">
        <v>0</v>
      </c>
      <c r="G50" s="17">
        <f>E50*AD50</f>
        <v>0</v>
      </c>
      <c r="H50" s="17">
        <f>I50-G50</f>
        <v>0</v>
      </c>
      <c r="I50" s="17">
        <f>E50*F50</f>
        <v>0</v>
      </c>
      <c r="J50" s="17">
        <v>7.3950000000000002E-2</v>
      </c>
      <c r="K50" s="17">
        <f>E50*J50</f>
        <v>1.8397281000000001</v>
      </c>
      <c r="O50" s="31">
        <f>IF(AF50="5",I50,0)</f>
        <v>0</v>
      </c>
      <c r="Q50" s="31">
        <f>IF(AF50="1",G50,0)</f>
        <v>0</v>
      </c>
      <c r="R50" s="31">
        <f>IF(AF50="1",H50,0)</f>
        <v>0</v>
      </c>
      <c r="S50" s="31">
        <f>IF(AF50="7",G50,0)</f>
        <v>0</v>
      </c>
      <c r="T50" s="31">
        <f>IF(AF50="7",H50,0)</f>
        <v>0</v>
      </c>
      <c r="U50" s="31">
        <f>IF(AF50="2",G50,0)</f>
        <v>0</v>
      </c>
      <c r="V50" s="31">
        <f>IF(AF50="2",H50,0)</f>
        <v>0</v>
      </c>
      <c r="W50" s="31">
        <f>IF(AF50="0",I50,0)</f>
        <v>0</v>
      </c>
      <c r="X50" s="26"/>
      <c r="Y50" s="17">
        <f>IF(AC50=0,I50,0)</f>
        <v>0</v>
      </c>
      <c r="Z50" s="17">
        <f>IF(AC50=15,I50,0)</f>
        <v>0</v>
      </c>
      <c r="AA50" s="17">
        <f>IF(AC50=21,I50,0)</f>
        <v>0</v>
      </c>
      <c r="AC50" s="31">
        <v>21</v>
      </c>
      <c r="AD50" s="31">
        <f>F50*0.183258471795004</f>
        <v>0</v>
      </c>
      <c r="AE50" s="31">
        <f>F50*(1-0.183258471795004)</f>
        <v>0</v>
      </c>
      <c r="AF50" s="27" t="s">
        <v>7</v>
      </c>
      <c r="AL50" s="31">
        <f>E50*AD50</f>
        <v>0</v>
      </c>
      <c r="AM50" s="31">
        <f>E50*AE50</f>
        <v>0</v>
      </c>
      <c r="AN50" s="32" t="s">
        <v>315</v>
      </c>
      <c r="AO50" s="32" t="s">
        <v>333</v>
      </c>
      <c r="AP50" s="26" t="s">
        <v>338</v>
      </c>
      <c r="AR50" s="31">
        <f>AL50+AM50</f>
        <v>0</v>
      </c>
      <c r="AS50" s="31">
        <f>F50/(100-AT50)*100</f>
        <v>0</v>
      </c>
      <c r="AT50" s="31">
        <v>0</v>
      </c>
      <c r="AU50" s="31">
        <f>K50</f>
        <v>1.8397281000000001</v>
      </c>
    </row>
    <row r="51" spans="1:47">
      <c r="A51" s="5"/>
      <c r="B51" s="13" t="s">
        <v>92</v>
      </c>
      <c r="C51" s="70" t="s">
        <v>192</v>
      </c>
      <c r="D51" s="71"/>
      <c r="E51" s="71"/>
      <c r="F51" s="71"/>
      <c r="G51" s="34">
        <f>SUM(G52:G55)</f>
        <v>0</v>
      </c>
      <c r="H51" s="34">
        <f>SUM(H52:H55)</f>
        <v>0</v>
      </c>
      <c r="I51" s="34">
        <f>G51+H51</f>
        <v>0</v>
      </c>
      <c r="J51" s="26"/>
      <c r="K51" s="34">
        <f>SUM(K52:K55)</f>
        <v>1.3800000000000002E-3</v>
      </c>
      <c r="X51" s="26"/>
      <c r="AH51" s="34">
        <f>SUM(Y52:Y55)</f>
        <v>0</v>
      </c>
      <c r="AI51" s="34">
        <f>SUM(Z52:Z55)</f>
        <v>0</v>
      </c>
      <c r="AJ51" s="34">
        <f>SUM(AA52:AA55)</f>
        <v>0</v>
      </c>
    </row>
    <row r="52" spans="1:47">
      <c r="A52" s="4" t="s">
        <v>27</v>
      </c>
      <c r="B52" s="4" t="s">
        <v>93</v>
      </c>
      <c r="C52" s="4" t="s">
        <v>193</v>
      </c>
      <c r="D52" s="4" t="s">
        <v>275</v>
      </c>
      <c r="E52" s="17">
        <v>2.4</v>
      </c>
      <c r="F52" s="141">
        <v>0</v>
      </c>
      <c r="G52" s="17">
        <f>E52*AD52</f>
        <v>0</v>
      </c>
      <c r="H52" s="17">
        <f>I52-G52</f>
        <v>0</v>
      </c>
      <c r="I52" s="17">
        <f>E52*F52</f>
        <v>0</v>
      </c>
      <c r="J52" s="17">
        <v>8.0000000000000007E-5</v>
      </c>
      <c r="K52" s="17">
        <f>E52*J52</f>
        <v>1.92E-4</v>
      </c>
      <c r="O52" s="31">
        <f>IF(AF52="5",I52,0)</f>
        <v>0</v>
      </c>
      <c r="Q52" s="31">
        <f>IF(AF52="1",G52,0)</f>
        <v>0</v>
      </c>
      <c r="R52" s="31">
        <f>IF(AF52="1",H52,0)</f>
        <v>0</v>
      </c>
      <c r="S52" s="31">
        <f>IF(AF52="7",G52,0)</f>
        <v>0</v>
      </c>
      <c r="T52" s="31">
        <f>IF(AF52="7",H52,0)</f>
        <v>0</v>
      </c>
      <c r="U52" s="31">
        <f>IF(AF52="2",G52,0)</f>
        <v>0</v>
      </c>
      <c r="V52" s="31">
        <f>IF(AF52="2",H52,0)</f>
        <v>0</v>
      </c>
      <c r="W52" s="31">
        <f>IF(AF52="0",I52,0)</f>
        <v>0</v>
      </c>
      <c r="X52" s="26"/>
      <c r="Y52" s="17">
        <f>IF(AC52=0,I52,0)</f>
        <v>0</v>
      </c>
      <c r="Z52" s="17">
        <f>IF(AC52=15,I52,0)</f>
        <v>0</v>
      </c>
      <c r="AA52" s="17">
        <f>IF(AC52=21,I52,0)</f>
        <v>0</v>
      </c>
      <c r="AC52" s="31">
        <v>21</v>
      </c>
      <c r="AD52" s="31">
        <f>F52*0.376129032258065</f>
        <v>0</v>
      </c>
      <c r="AE52" s="31">
        <f>F52*(1-0.376129032258065)</f>
        <v>0</v>
      </c>
      <c r="AF52" s="27" t="s">
        <v>13</v>
      </c>
      <c r="AL52" s="31">
        <f>E52*AD52</f>
        <v>0</v>
      </c>
      <c r="AM52" s="31">
        <f>E52*AE52</f>
        <v>0</v>
      </c>
      <c r="AN52" s="32" t="s">
        <v>316</v>
      </c>
      <c r="AO52" s="32" t="s">
        <v>334</v>
      </c>
      <c r="AP52" s="26" t="s">
        <v>338</v>
      </c>
      <c r="AR52" s="31">
        <f>AL52+AM52</f>
        <v>0</v>
      </c>
      <c r="AS52" s="31">
        <f>F52/(100-AT52)*100</f>
        <v>0</v>
      </c>
      <c r="AT52" s="31">
        <v>0</v>
      </c>
      <c r="AU52" s="31">
        <f>K52</f>
        <v>1.92E-4</v>
      </c>
    </row>
    <row r="53" spans="1:47">
      <c r="C53" s="15" t="s">
        <v>194</v>
      </c>
    </row>
    <row r="54" spans="1:47">
      <c r="A54" s="6" t="s">
        <v>28</v>
      </c>
      <c r="B54" s="6" t="s">
        <v>94</v>
      </c>
      <c r="C54" s="6" t="s">
        <v>195</v>
      </c>
      <c r="D54" s="6" t="s">
        <v>275</v>
      </c>
      <c r="E54" s="18">
        <v>2.64</v>
      </c>
      <c r="F54" s="143">
        <v>0</v>
      </c>
      <c r="G54" s="18">
        <f>E54*AD54</f>
        <v>0</v>
      </c>
      <c r="H54" s="18">
        <f>I54-G54</f>
        <v>0</v>
      </c>
      <c r="I54" s="18">
        <f>E54*F54</f>
        <v>0</v>
      </c>
      <c r="J54" s="18">
        <v>4.4999999999999999E-4</v>
      </c>
      <c r="K54" s="18">
        <f>E54*J54</f>
        <v>1.188E-3</v>
      </c>
      <c r="O54" s="31">
        <f>IF(AF54="5",I54,0)</f>
        <v>0</v>
      </c>
      <c r="Q54" s="31">
        <f>IF(AF54="1",G54,0)</f>
        <v>0</v>
      </c>
      <c r="R54" s="31">
        <f>IF(AF54="1",H54,0)</f>
        <v>0</v>
      </c>
      <c r="S54" s="31">
        <f>IF(AF54="7",G54,0)</f>
        <v>0</v>
      </c>
      <c r="T54" s="31">
        <f>IF(AF54="7",H54,0)</f>
        <v>0</v>
      </c>
      <c r="U54" s="31">
        <f>IF(AF54="2",G54,0)</f>
        <v>0</v>
      </c>
      <c r="V54" s="31">
        <f>IF(AF54="2",H54,0)</f>
        <v>0</v>
      </c>
      <c r="W54" s="31">
        <f>IF(AF54="0",I54,0)</f>
        <v>0</v>
      </c>
      <c r="X54" s="26"/>
      <c r="Y54" s="18">
        <f>IF(AC54=0,I54,0)</f>
        <v>0</v>
      </c>
      <c r="Z54" s="18">
        <f>IF(AC54=15,I54,0)</f>
        <v>0</v>
      </c>
      <c r="AA54" s="18">
        <f>IF(AC54=21,I54,0)</f>
        <v>0</v>
      </c>
      <c r="AC54" s="31">
        <v>21</v>
      </c>
      <c r="AD54" s="31">
        <f>F54*1</f>
        <v>0</v>
      </c>
      <c r="AE54" s="31">
        <f>F54*(1-1)</f>
        <v>0</v>
      </c>
      <c r="AF54" s="28" t="s">
        <v>13</v>
      </c>
      <c r="AL54" s="31">
        <f>E54*AD54</f>
        <v>0</v>
      </c>
      <c r="AM54" s="31">
        <f>E54*AE54</f>
        <v>0</v>
      </c>
      <c r="AN54" s="32" t="s">
        <v>316</v>
      </c>
      <c r="AO54" s="32" t="s">
        <v>334</v>
      </c>
      <c r="AP54" s="26" t="s">
        <v>338</v>
      </c>
      <c r="AR54" s="31">
        <f>AL54+AM54</f>
        <v>0</v>
      </c>
      <c r="AS54" s="31">
        <f>F54/(100-AT54)*100</f>
        <v>0</v>
      </c>
      <c r="AT54" s="31">
        <v>0</v>
      </c>
      <c r="AU54" s="31">
        <f>K54</f>
        <v>1.188E-3</v>
      </c>
    </row>
    <row r="55" spans="1:47">
      <c r="A55" s="4" t="s">
        <v>29</v>
      </c>
      <c r="B55" s="4" t="s">
        <v>95</v>
      </c>
      <c r="C55" s="4" t="s">
        <v>196</v>
      </c>
      <c r="D55" s="4" t="s">
        <v>277</v>
      </c>
      <c r="E55" s="17">
        <v>1.3799999999999999E-3</v>
      </c>
      <c r="F55" s="141">
        <v>0</v>
      </c>
      <c r="G55" s="17">
        <f>E55*AD55</f>
        <v>0</v>
      </c>
      <c r="H55" s="17">
        <f>I55-G55</f>
        <v>0</v>
      </c>
      <c r="I55" s="17">
        <f>E55*F55</f>
        <v>0</v>
      </c>
      <c r="J55" s="17">
        <v>0</v>
      </c>
      <c r="K55" s="17">
        <f>E55*J55</f>
        <v>0</v>
      </c>
      <c r="O55" s="31">
        <f>IF(AF55="5",I55,0)</f>
        <v>0</v>
      </c>
      <c r="Q55" s="31">
        <f>IF(AF55="1",G55,0)</f>
        <v>0</v>
      </c>
      <c r="R55" s="31">
        <f>IF(AF55="1",H55,0)</f>
        <v>0</v>
      </c>
      <c r="S55" s="31">
        <f>IF(AF55="7",G55,0)</f>
        <v>0</v>
      </c>
      <c r="T55" s="31">
        <f>IF(AF55="7",H55,0)</f>
        <v>0</v>
      </c>
      <c r="U55" s="31">
        <f>IF(AF55="2",G55,0)</f>
        <v>0</v>
      </c>
      <c r="V55" s="31">
        <f>IF(AF55="2",H55,0)</f>
        <v>0</v>
      </c>
      <c r="W55" s="31">
        <f>IF(AF55="0",I55,0)</f>
        <v>0</v>
      </c>
      <c r="X55" s="26"/>
      <c r="Y55" s="17">
        <f>IF(AC55=0,I55,0)</f>
        <v>0</v>
      </c>
      <c r="Z55" s="17">
        <f>IF(AC55=15,I55,0)</f>
        <v>0</v>
      </c>
      <c r="AA55" s="17">
        <f>IF(AC55=21,I55,0)</f>
        <v>0</v>
      </c>
      <c r="AC55" s="31">
        <v>21</v>
      </c>
      <c r="AD55" s="31">
        <f>F55*0</f>
        <v>0</v>
      </c>
      <c r="AE55" s="31">
        <f>F55*(1-0)</f>
        <v>0</v>
      </c>
      <c r="AF55" s="27" t="s">
        <v>11</v>
      </c>
      <c r="AL55" s="31">
        <f>E55*AD55</f>
        <v>0</v>
      </c>
      <c r="AM55" s="31">
        <f>E55*AE55</f>
        <v>0</v>
      </c>
      <c r="AN55" s="32" t="s">
        <v>316</v>
      </c>
      <c r="AO55" s="32" t="s">
        <v>334</v>
      </c>
      <c r="AP55" s="26" t="s">
        <v>338</v>
      </c>
      <c r="AR55" s="31">
        <f>AL55+AM55</f>
        <v>0</v>
      </c>
      <c r="AS55" s="31">
        <f>F55/(100-AT55)*100</f>
        <v>0</v>
      </c>
      <c r="AT55" s="31">
        <v>0</v>
      </c>
      <c r="AU55" s="31">
        <f>K55</f>
        <v>0</v>
      </c>
    </row>
    <row r="56" spans="1:47">
      <c r="A56" s="5"/>
      <c r="B56" s="13" t="s">
        <v>96</v>
      </c>
      <c r="C56" s="70" t="s">
        <v>197</v>
      </c>
      <c r="D56" s="71"/>
      <c r="E56" s="71"/>
      <c r="F56" s="71"/>
      <c r="G56" s="34">
        <f>SUM(G57:G61)</f>
        <v>0</v>
      </c>
      <c r="H56" s="34">
        <f>SUM(H57:H61)</f>
        <v>0</v>
      </c>
      <c r="I56" s="34">
        <f>G56+H56</f>
        <v>0</v>
      </c>
      <c r="J56" s="26"/>
      <c r="K56" s="34">
        <f>SUM(K57:K61)</f>
        <v>0.11137988160000001</v>
      </c>
      <c r="X56" s="26"/>
      <c r="AH56" s="34">
        <f>SUM(Y57:Y61)</f>
        <v>0</v>
      </c>
      <c r="AI56" s="34">
        <f>SUM(Z57:Z61)</f>
        <v>0</v>
      </c>
      <c r="AJ56" s="34">
        <f>SUM(AA57:AA61)</f>
        <v>0</v>
      </c>
    </row>
    <row r="57" spans="1:47">
      <c r="A57" s="4" t="s">
        <v>30</v>
      </c>
      <c r="B57" s="4" t="s">
        <v>97</v>
      </c>
      <c r="C57" s="4" t="s">
        <v>198</v>
      </c>
      <c r="D57" s="4" t="s">
        <v>278</v>
      </c>
      <c r="E57" s="17">
        <v>64.707840000000004</v>
      </c>
      <c r="F57" s="141">
        <v>0</v>
      </c>
      <c r="G57" s="17">
        <f>E57*AD57</f>
        <v>0</v>
      </c>
      <c r="H57" s="17">
        <f>I57-G57</f>
        <v>0</v>
      </c>
      <c r="I57" s="17">
        <f>E57*F57</f>
        <v>0</v>
      </c>
      <c r="J57" s="17">
        <v>1.06E-3</v>
      </c>
      <c r="K57" s="17">
        <f>E57*J57</f>
        <v>6.8590310400000007E-2</v>
      </c>
      <c r="O57" s="31">
        <f>IF(AF57="5",I57,0)</f>
        <v>0</v>
      </c>
      <c r="Q57" s="31">
        <f>IF(AF57="1",G57,0)</f>
        <v>0</v>
      </c>
      <c r="R57" s="31">
        <f>IF(AF57="1",H57,0)</f>
        <v>0</v>
      </c>
      <c r="S57" s="31">
        <f>IF(AF57="7",G57,0)</f>
        <v>0</v>
      </c>
      <c r="T57" s="31">
        <f>IF(AF57="7",H57,0)</f>
        <v>0</v>
      </c>
      <c r="U57" s="31">
        <f>IF(AF57="2",G57,0)</f>
        <v>0</v>
      </c>
      <c r="V57" s="31">
        <f>IF(AF57="2",H57,0)</f>
        <v>0</v>
      </c>
      <c r="W57" s="31">
        <f>IF(AF57="0",I57,0)</f>
        <v>0</v>
      </c>
      <c r="X57" s="26"/>
      <c r="Y57" s="17">
        <f>IF(AC57=0,I57,0)</f>
        <v>0</v>
      </c>
      <c r="Z57" s="17">
        <f>IF(AC57=15,I57,0)</f>
        <v>0</v>
      </c>
      <c r="AA57" s="17">
        <f>IF(AC57=21,I57,0)</f>
        <v>0</v>
      </c>
      <c r="AC57" s="31">
        <v>21</v>
      </c>
      <c r="AD57" s="31">
        <f>F57*0.335718654434251</f>
        <v>0</v>
      </c>
      <c r="AE57" s="31">
        <f>F57*(1-0.335718654434251)</f>
        <v>0</v>
      </c>
      <c r="AF57" s="27" t="s">
        <v>13</v>
      </c>
      <c r="AL57" s="31">
        <f>E57*AD57</f>
        <v>0</v>
      </c>
      <c r="AM57" s="31">
        <f>E57*AE57</f>
        <v>0</v>
      </c>
      <c r="AN57" s="32" t="s">
        <v>317</v>
      </c>
      <c r="AO57" s="32" t="s">
        <v>335</v>
      </c>
      <c r="AP57" s="26" t="s">
        <v>338</v>
      </c>
      <c r="AR57" s="31">
        <f>AL57+AM57</f>
        <v>0</v>
      </c>
      <c r="AS57" s="31">
        <f>F57/(100-AT57)*100</f>
        <v>0</v>
      </c>
      <c r="AT57" s="31">
        <v>0</v>
      </c>
      <c r="AU57" s="31">
        <f>K57</f>
        <v>6.8590310400000007E-2</v>
      </c>
    </row>
    <row r="58" spans="1:47">
      <c r="C58" s="15" t="s">
        <v>199</v>
      </c>
    </row>
    <row r="59" spans="1:47">
      <c r="A59" s="4" t="s">
        <v>31</v>
      </c>
      <c r="B59" s="4" t="s">
        <v>97</v>
      </c>
      <c r="C59" s="4" t="s">
        <v>198</v>
      </c>
      <c r="D59" s="4" t="s">
        <v>278</v>
      </c>
      <c r="E59" s="17">
        <v>40.367519999999999</v>
      </c>
      <c r="F59" s="141">
        <v>0</v>
      </c>
      <c r="G59" s="17">
        <f>E59*AD59</f>
        <v>0</v>
      </c>
      <c r="H59" s="17">
        <f>I59-G59</f>
        <v>0</v>
      </c>
      <c r="I59" s="17">
        <f>E59*F59</f>
        <v>0</v>
      </c>
      <c r="J59" s="17">
        <v>1.06E-3</v>
      </c>
      <c r="K59" s="17">
        <f>E59*J59</f>
        <v>4.2789571199999994E-2</v>
      </c>
      <c r="O59" s="31">
        <f>IF(AF59="5",I59,0)</f>
        <v>0</v>
      </c>
      <c r="Q59" s="31">
        <f>IF(AF59="1",G59,0)</f>
        <v>0</v>
      </c>
      <c r="R59" s="31">
        <f>IF(AF59="1",H59,0)</f>
        <v>0</v>
      </c>
      <c r="S59" s="31">
        <f>IF(AF59="7",G59,0)</f>
        <v>0</v>
      </c>
      <c r="T59" s="31">
        <f>IF(AF59="7",H59,0)</f>
        <v>0</v>
      </c>
      <c r="U59" s="31">
        <f>IF(AF59="2",G59,0)</f>
        <v>0</v>
      </c>
      <c r="V59" s="31">
        <f>IF(AF59="2",H59,0)</f>
        <v>0</v>
      </c>
      <c r="W59" s="31">
        <f>IF(AF59="0",I59,0)</f>
        <v>0</v>
      </c>
      <c r="X59" s="26"/>
      <c r="Y59" s="17">
        <f>IF(AC59=0,I59,0)</f>
        <v>0</v>
      </c>
      <c r="Z59" s="17">
        <f>IF(AC59=15,I59,0)</f>
        <v>0</v>
      </c>
      <c r="AA59" s="17">
        <f>IF(AC59=21,I59,0)</f>
        <v>0</v>
      </c>
      <c r="AC59" s="31">
        <v>21</v>
      </c>
      <c r="AD59" s="31">
        <f>F59*0.335718654434251</f>
        <v>0</v>
      </c>
      <c r="AE59" s="31">
        <f>F59*(1-0.335718654434251)</f>
        <v>0</v>
      </c>
      <c r="AF59" s="27" t="s">
        <v>13</v>
      </c>
      <c r="AL59" s="31">
        <f>E59*AD59</f>
        <v>0</v>
      </c>
      <c r="AM59" s="31">
        <f>E59*AE59</f>
        <v>0</v>
      </c>
      <c r="AN59" s="32" t="s">
        <v>317</v>
      </c>
      <c r="AO59" s="32" t="s">
        <v>335</v>
      </c>
      <c r="AP59" s="26" t="s">
        <v>338</v>
      </c>
      <c r="AR59" s="31">
        <f>AL59+AM59</f>
        <v>0</v>
      </c>
      <c r="AS59" s="31">
        <f>F59/(100-AT59)*100</f>
        <v>0</v>
      </c>
      <c r="AT59" s="31">
        <v>0</v>
      </c>
      <c r="AU59" s="31">
        <f>K59</f>
        <v>4.2789571199999994E-2</v>
      </c>
    </row>
    <row r="60" spans="1:47">
      <c r="C60" s="15" t="s">
        <v>200</v>
      </c>
    </row>
    <row r="61" spans="1:47">
      <c r="A61" s="4" t="s">
        <v>32</v>
      </c>
      <c r="B61" s="4" t="s">
        <v>98</v>
      </c>
      <c r="C61" s="4" t="s">
        <v>201</v>
      </c>
      <c r="D61" s="4" t="s">
        <v>277</v>
      </c>
      <c r="E61" s="17">
        <v>0.11138000000000001</v>
      </c>
      <c r="F61" s="141">
        <v>0</v>
      </c>
      <c r="G61" s="17">
        <f>E61*AD61</f>
        <v>0</v>
      </c>
      <c r="H61" s="17">
        <f>I61-G61</f>
        <v>0</v>
      </c>
      <c r="I61" s="17">
        <f>E61*F61</f>
        <v>0</v>
      </c>
      <c r="J61" s="17">
        <v>0</v>
      </c>
      <c r="K61" s="17">
        <f>E61*J61</f>
        <v>0</v>
      </c>
      <c r="O61" s="31">
        <f>IF(AF61="5",I61,0)</f>
        <v>0</v>
      </c>
      <c r="Q61" s="31">
        <f>IF(AF61="1",G61,0)</f>
        <v>0</v>
      </c>
      <c r="R61" s="31">
        <f>IF(AF61="1",H61,0)</f>
        <v>0</v>
      </c>
      <c r="S61" s="31">
        <f>IF(AF61="7",G61,0)</f>
        <v>0</v>
      </c>
      <c r="T61" s="31">
        <f>IF(AF61="7",H61,0)</f>
        <v>0</v>
      </c>
      <c r="U61" s="31">
        <f>IF(AF61="2",G61,0)</f>
        <v>0</v>
      </c>
      <c r="V61" s="31">
        <f>IF(AF61="2",H61,0)</f>
        <v>0</v>
      </c>
      <c r="W61" s="31">
        <f>IF(AF61="0",I61,0)</f>
        <v>0</v>
      </c>
      <c r="X61" s="26"/>
      <c r="Y61" s="17">
        <f>IF(AC61=0,I61,0)</f>
        <v>0</v>
      </c>
      <c r="Z61" s="17">
        <f>IF(AC61=15,I61,0)</f>
        <v>0</v>
      </c>
      <c r="AA61" s="17">
        <f>IF(AC61=21,I61,0)</f>
        <v>0</v>
      </c>
      <c r="AC61" s="31">
        <v>21</v>
      </c>
      <c r="AD61" s="31">
        <f>F61*0</f>
        <v>0</v>
      </c>
      <c r="AE61" s="31">
        <f>F61*(1-0)</f>
        <v>0</v>
      </c>
      <c r="AF61" s="27" t="s">
        <v>11</v>
      </c>
      <c r="AL61" s="31">
        <f>E61*AD61</f>
        <v>0</v>
      </c>
      <c r="AM61" s="31">
        <f>E61*AE61</f>
        <v>0</v>
      </c>
      <c r="AN61" s="32" t="s">
        <v>317</v>
      </c>
      <c r="AO61" s="32" t="s">
        <v>335</v>
      </c>
      <c r="AP61" s="26" t="s">
        <v>338</v>
      </c>
      <c r="AR61" s="31">
        <f>AL61+AM61</f>
        <v>0</v>
      </c>
      <c r="AS61" s="31">
        <f>F61/(100-AT61)*100</f>
        <v>0</v>
      </c>
      <c r="AT61" s="31">
        <v>0</v>
      </c>
      <c r="AU61" s="31">
        <f>K61</f>
        <v>0</v>
      </c>
    </row>
    <row r="62" spans="1:47">
      <c r="A62" s="5"/>
      <c r="B62" s="13" t="s">
        <v>99</v>
      </c>
      <c r="C62" s="70" t="s">
        <v>202</v>
      </c>
      <c r="D62" s="71"/>
      <c r="E62" s="71"/>
      <c r="F62" s="71"/>
      <c r="G62" s="34">
        <f>SUM(G63:G65)</f>
        <v>0</v>
      </c>
      <c r="H62" s="34">
        <f>SUM(H63:H65)</f>
        <v>0</v>
      </c>
      <c r="I62" s="34">
        <f>G62+H62</f>
        <v>0</v>
      </c>
      <c r="J62" s="26"/>
      <c r="K62" s="34">
        <f>SUM(K63:K65)</f>
        <v>0.24248400000000001</v>
      </c>
      <c r="X62" s="26"/>
      <c r="AH62" s="34">
        <f>SUM(Y63:Y65)</f>
        <v>0</v>
      </c>
      <c r="AI62" s="34">
        <f>SUM(Z63:Z65)</f>
        <v>0</v>
      </c>
      <c r="AJ62" s="34">
        <f>SUM(AA63:AA65)</f>
        <v>0</v>
      </c>
    </row>
    <row r="63" spans="1:47">
      <c r="A63" s="4" t="s">
        <v>33</v>
      </c>
      <c r="B63" s="4" t="s">
        <v>100</v>
      </c>
      <c r="C63" s="4" t="s">
        <v>203</v>
      </c>
      <c r="D63" s="4" t="s">
        <v>275</v>
      </c>
      <c r="E63" s="17">
        <v>3.3</v>
      </c>
      <c r="F63" s="141">
        <v>0</v>
      </c>
      <c r="G63" s="17">
        <f>E63*AD63</f>
        <v>0</v>
      </c>
      <c r="H63" s="17">
        <f>I63-G63</f>
        <v>0</v>
      </c>
      <c r="I63" s="17">
        <f>E63*F63</f>
        <v>0</v>
      </c>
      <c r="J63" s="17">
        <v>7.3480000000000004E-2</v>
      </c>
      <c r="K63" s="17">
        <f>E63*J63</f>
        <v>0.24248400000000001</v>
      </c>
      <c r="O63" s="31">
        <f>IF(AF63="5",I63,0)</f>
        <v>0</v>
      </c>
      <c r="Q63" s="31">
        <f>IF(AF63="1",G63,0)</f>
        <v>0</v>
      </c>
      <c r="R63" s="31">
        <f>IF(AF63="1",H63,0)</f>
        <v>0</v>
      </c>
      <c r="S63" s="31">
        <f>IF(AF63="7",G63,0)</f>
        <v>0</v>
      </c>
      <c r="T63" s="31">
        <f>IF(AF63="7",H63,0)</f>
        <v>0</v>
      </c>
      <c r="U63" s="31">
        <f>IF(AF63="2",G63,0)</f>
        <v>0</v>
      </c>
      <c r="V63" s="31">
        <f>IF(AF63="2",H63,0)</f>
        <v>0</v>
      </c>
      <c r="W63" s="31">
        <f>IF(AF63="0",I63,0)</f>
        <v>0</v>
      </c>
      <c r="X63" s="26"/>
      <c r="Y63" s="17">
        <f>IF(AC63=0,I63,0)</f>
        <v>0</v>
      </c>
      <c r="Z63" s="17">
        <f>IF(AC63=15,I63,0)</f>
        <v>0</v>
      </c>
      <c r="AA63" s="17">
        <f>IF(AC63=21,I63,0)</f>
        <v>0</v>
      </c>
      <c r="AC63" s="31">
        <v>21</v>
      </c>
      <c r="AD63" s="31">
        <f>F63*0.243052917232022</f>
        <v>0</v>
      </c>
      <c r="AE63" s="31">
        <f>F63*(1-0.243052917232022)</f>
        <v>0</v>
      </c>
      <c r="AF63" s="27" t="s">
        <v>13</v>
      </c>
      <c r="AL63" s="31">
        <f>E63*AD63</f>
        <v>0</v>
      </c>
      <c r="AM63" s="31">
        <f>E63*AE63</f>
        <v>0</v>
      </c>
      <c r="AN63" s="32" t="s">
        <v>318</v>
      </c>
      <c r="AO63" s="32" t="s">
        <v>336</v>
      </c>
      <c r="AP63" s="26" t="s">
        <v>338</v>
      </c>
      <c r="AR63" s="31">
        <f>AL63+AM63</f>
        <v>0</v>
      </c>
      <c r="AS63" s="31">
        <f>F63/(100-AT63)*100</f>
        <v>0</v>
      </c>
      <c r="AT63" s="31">
        <v>0</v>
      </c>
      <c r="AU63" s="31">
        <f>K63</f>
        <v>0.24248400000000001</v>
      </c>
    </row>
    <row r="64" spans="1:47" ht="26.4">
      <c r="C64" s="15" t="s">
        <v>204</v>
      </c>
    </row>
    <row r="65" spans="1:47">
      <c r="A65" s="4" t="s">
        <v>34</v>
      </c>
      <c r="B65" s="4" t="s">
        <v>101</v>
      </c>
      <c r="C65" s="4" t="s">
        <v>205</v>
      </c>
      <c r="D65" s="4" t="s">
        <v>277</v>
      </c>
      <c r="E65" s="17">
        <v>0.24248</v>
      </c>
      <c r="F65" s="141">
        <v>0</v>
      </c>
      <c r="G65" s="17">
        <f>E65*AD65</f>
        <v>0</v>
      </c>
      <c r="H65" s="17">
        <f>I65-G65</f>
        <v>0</v>
      </c>
      <c r="I65" s="17">
        <f>E65*F65</f>
        <v>0</v>
      </c>
      <c r="J65" s="17">
        <v>0</v>
      </c>
      <c r="K65" s="17">
        <f>E65*J65</f>
        <v>0</v>
      </c>
      <c r="O65" s="31">
        <f>IF(AF65="5",I65,0)</f>
        <v>0</v>
      </c>
      <c r="Q65" s="31">
        <f>IF(AF65="1",G65,0)</f>
        <v>0</v>
      </c>
      <c r="R65" s="31">
        <f>IF(AF65="1",H65,0)</f>
        <v>0</v>
      </c>
      <c r="S65" s="31">
        <f>IF(AF65="7",G65,0)</f>
        <v>0</v>
      </c>
      <c r="T65" s="31">
        <f>IF(AF65="7",H65,0)</f>
        <v>0</v>
      </c>
      <c r="U65" s="31">
        <f>IF(AF65="2",G65,0)</f>
        <v>0</v>
      </c>
      <c r="V65" s="31">
        <f>IF(AF65="2",H65,0)</f>
        <v>0</v>
      </c>
      <c r="W65" s="31">
        <f>IF(AF65="0",I65,0)</f>
        <v>0</v>
      </c>
      <c r="X65" s="26"/>
      <c r="Y65" s="17">
        <f>IF(AC65=0,I65,0)</f>
        <v>0</v>
      </c>
      <c r="Z65" s="17">
        <f>IF(AC65=15,I65,0)</f>
        <v>0</v>
      </c>
      <c r="AA65" s="17">
        <f>IF(AC65=21,I65,0)</f>
        <v>0</v>
      </c>
      <c r="AC65" s="31">
        <v>21</v>
      </c>
      <c r="AD65" s="31">
        <f>F65*0</f>
        <v>0</v>
      </c>
      <c r="AE65" s="31">
        <f>F65*(1-0)</f>
        <v>0</v>
      </c>
      <c r="AF65" s="27" t="s">
        <v>11</v>
      </c>
      <c r="AL65" s="31">
        <f>E65*AD65</f>
        <v>0</v>
      </c>
      <c r="AM65" s="31">
        <f>E65*AE65</f>
        <v>0</v>
      </c>
      <c r="AN65" s="32" t="s">
        <v>318</v>
      </c>
      <c r="AO65" s="32" t="s">
        <v>336</v>
      </c>
      <c r="AP65" s="26" t="s">
        <v>338</v>
      </c>
      <c r="AR65" s="31">
        <f>AL65+AM65</f>
        <v>0</v>
      </c>
      <c r="AS65" s="31">
        <f>F65/(100-AT65)*100</f>
        <v>0</v>
      </c>
      <c r="AT65" s="31">
        <v>0</v>
      </c>
      <c r="AU65" s="31">
        <f>K65</f>
        <v>0</v>
      </c>
    </row>
    <row r="66" spans="1:47">
      <c r="A66" s="5"/>
      <c r="B66" s="13" t="s">
        <v>102</v>
      </c>
      <c r="C66" s="70" t="s">
        <v>206</v>
      </c>
      <c r="D66" s="71"/>
      <c r="E66" s="71"/>
      <c r="F66" s="71"/>
      <c r="G66" s="34">
        <f>SUM(G67:G67)</f>
        <v>0</v>
      </c>
      <c r="H66" s="34">
        <f>SUM(H67:H67)</f>
        <v>0</v>
      </c>
      <c r="I66" s="34">
        <f>G66+H66</f>
        <v>0</v>
      </c>
      <c r="J66" s="26"/>
      <c r="K66" s="34">
        <f>SUM(K67:K67)</f>
        <v>7.5215999999999998E-4</v>
      </c>
      <c r="X66" s="26"/>
      <c r="AH66" s="34">
        <f>SUM(Y67:Y67)</f>
        <v>0</v>
      </c>
      <c r="AI66" s="34">
        <f>SUM(Z67:Z67)</f>
        <v>0</v>
      </c>
      <c r="AJ66" s="34">
        <f>SUM(AA67:AA67)</f>
        <v>0</v>
      </c>
    </row>
    <row r="67" spans="1:47">
      <c r="A67" s="4" t="s">
        <v>35</v>
      </c>
      <c r="B67" s="4" t="s">
        <v>103</v>
      </c>
      <c r="C67" s="4" t="s">
        <v>207</v>
      </c>
      <c r="D67" s="4" t="s">
        <v>275</v>
      </c>
      <c r="E67" s="17">
        <v>2.3504999999999998</v>
      </c>
      <c r="F67" s="141">
        <v>0</v>
      </c>
      <c r="G67" s="17">
        <f>E67*AD67</f>
        <v>0</v>
      </c>
      <c r="H67" s="17">
        <f>I67-G67</f>
        <v>0</v>
      </c>
      <c r="I67" s="17">
        <f>E67*F67</f>
        <v>0</v>
      </c>
      <c r="J67" s="17">
        <v>3.2000000000000003E-4</v>
      </c>
      <c r="K67" s="17">
        <f>E67*J67</f>
        <v>7.5215999999999998E-4</v>
      </c>
      <c r="O67" s="31">
        <f>IF(AF67="5",I67,0)</f>
        <v>0</v>
      </c>
      <c r="Q67" s="31">
        <f>IF(AF67="1",G67,0)</f>
        <v>0</v>
      </c>
      <c r="R67" s="31">
        <f>IF(AF67="1",H67,0)</f>
        <v>0</v>
      </c>
      <c r="S67" s="31">
        <f>IF(AF67="7",G67,0)</f>
        <v>0</v>
      </c>
      <c r="T67" s="31">
        <f>IF(AF67="7",H67,0)</f>
        <v>0</v>
      </c>
      <c r="U67" s="31">
        <f>IF(AF67="2",G67,0)</f>
        <v>0</v>
      </c>
      <c r="V67" s="31">
        <f>IF(AF67="2",H67,0)</f>
        <v>0</v>
      </c>
      <c r="W67" s="31">
        <f>IF(AF67="0",I67,0)</f>
        <v>0</v>
      </c>
      <c r="X67" s="26"/>
      <c r="Y67" s="17">
        <f>IF(AC67=0,I67,0)</f>
        <v>0</v>
      </c>
      <c r="Z67" s="17">
        <f>IF(AC67=15,I67,0)</f>
        <v>0</v>
      </c>
      <c r="AA67" s="17">
        <f>IF(AC67=21,I67,0)</f>
        <v>0</v>
      </c>
      <c r="AC67" s="31">
        <v>21</v>
      </c>
      <c r="AD67" s="31">
        <f>F67*0.188529224680189</f>
        <v>0</v>
      </c>
      <c r="AE67" s="31">
        <f>F67*(1-0.188529224680189)</f>
        <v>0</v>
      </c>
      <c r="AF67" s="27" t="s">
        <v>13</v>
      </c>
      <c r="AL67" s="31">
        <f>E67*AD67</f>
        <v>0</v>
      </c>
      <c r="AM67" s="31">
        <f>E67*AE67</f>
        <v>0</v>
      </c>
      <c r="AN67" s="32" t="s">
        <v>319</v>
      </c>
      <c r="AO67" s="32" t="s">
        <v>336</v>
      </c>
      <c r="AP67" s="26" t="s">
        <v>338</v>
      </c>
      <c r="AR67" s="31">
        <f>AL67+AM67</f>
        <v>0</v>
      </c>
      <c r="AS67" s="31">
        <f>F67/(100-AT67)*100</f>
        <v>0</v>
      </c>
      <c r="AT67" s="31">
        <v>0</v>
      </c>
      <c r="AU67" s="31">
        <f>K67</f>
        <v>7.5215999999999998E-4</v>
      </c>
    </row>
    <row r="68" spans="1:47">
      <c r="C68" s="15" t="s">
        <v>208</v>
      </c>
    </row>
    <row r="69" spans="1:47">
      <c r="A69" s="5"/>
      <c r="B69" s="13" t="s">
        <v>104</v>
      </c>
      <c r="C69" s="70" t="s">
        <v>209</v>
      </c>
      <c r="D69" s="71"/>
      <c r="E69" s="71"/>
      <c r="F69" s="71"/>
      <c r="G69" s="34">
        <f>SUM(G70:G70)</f>
        <v>0</v>
      </c>
      <c r="H69" s="34">
        <f>SUM(H70:H70)</f>
        <v>0</v>
      </c>
      <c r="I69" s="34">
        <f>G69+H69</f>
        <v>0</v>
      </c>
      <c r="J69" s="26"/>
      <c r="K69" s="34">
        <f>SUM(K70:K70)</f>
        <v>0</v>
      </c>
      <c r="X69" s="26"/>
      <c r="AH69" s="34">
        <f>SUM(Y70:Y70)</f>
        <v>0</v>
      </c>
      <c r="AI69" s="34">
        <f>SUM(Z70:Z70)</f>
        <v>0</v>
      </c>
      <c r="AJ69" s="34">
        <f>SUM(AA70:AA70)</f>
        <v>0</v>
      </c>
    </row>
    <row r="70" spans="1:47">
      <c r="A70" s="4" t="s">
        <v>36</v>
      </c>
      <c r="B70" s="4" t="s">
        <v>105</v>
      </c>
      <c r="C70" s="4" t="s">
        <v>210</v>
      </c>
      <c r="D70" s="4" t="s">
        <v>279</v>
      </c>
      <c r="E70" s="17">
        <v>12</v>
      </c>
      <c r="F70" s="141">
        <v>0</v>
      </c>
      <c r="G70" s="17">
        <f>E70*AD70</f>
        <v>0</v>
      </c>
      <c r="H70" s="17">
        <f>I70-G70</f>
        <v>0</v>
      </c>
      <c r="I70" s="17">
        <f>E70*F70</f>
        <v>0</v>
      </c>
      <c r="J70" s="17">
        <v>0</v>
      </c>
      <c r="K70" s="17">
        <f>E70*J70</f>
        <v>0</v>
      </c>
      <c r="O70" s="31">
        <f>IF(AF70="5",I70,0)</f>
        <v>0</v>
      </c>
      <c r="Q70" s="31">
        <f>IF(AF70="1",G70,0)</f>
        <v>0</v>
      </c>
      <c r="R70" s="31">
        <f>IF(AF70="1",H70,0)</f>
        <v>0</v>
      </c>
      <c r="S70" s="31">
        <f>IF(AF70="7",G70,0)</f>
        <v>0</v>
      </c>
      <c r="T70" s="31">
        <f>IF(AF70="7",H70,0)</f>
        <v>0</v>
      </c>
      <c r="U70" s="31">
        <f>IF(AF70="2",G70,0)</f>
        <v>0</v>
      </c>
      <c r="V70" s="31">
        <f>IF(AF70="2",H70,0)</f>
        <v>0</v>
      </c>
      <c r="W70" s="31">
        <f>IF(AF70="0",I70,0)</f>
        <v>0</v>
      </c>
      <c r="X70" s="26"/>
      <c r="Y70" s="17">
        <f>IF(AC70=0,I70,0)</f>
        <v>0</v>
      </c>
      <c r="Z70" s="17">
        <f>IF(AC70=15,I70,0)</f>
        <v>0</v>
      </c>
      <c r="AA70" s="17">
        <f>IF(AC70=21,I70,0)</f>
        <v>0</v>
      </c>
      <c r="AC70" s="31">
        <v>21</v>
      </c>
      <c r="AD70" s="31">
        <f>F70*0</f>
        <v>0</v>
      </c>
      <c r="AE70" s="31">
        <f>F70*(1-0)</f>
        <v>0</v>
      </c>
      <c r="AF70" s="27" t="s">
        <v>7</v>
      </c>
      <c r="AL70" s="31">
        <f>E70*AD70</f>
        <v>0</v>
      </c>
      <c r="AM70" s="31">
        <f>E70*AE70</f>
        <v>0</v>
      </c>
      <c r="AN70" s="32" t="s">
        <v>320</v>
      </c>
      <c r="AO70" s="32" t="s">
        <v>337</v>
      </c>
      <c r="AP70" s="26" t="s">
        <v>338</v>
      </c>
      <c r="AR70" s="31">
        <f>AL70+AM70</f>
        <v>0</v>
      </c>
      <c r="AS70" s="31">
        <f>F70/(100-AT70)*100</f>
        <v>0</v>
      </c>
      <c r="AT70" s="31">
        <v>0</v>
      </c>
      <c r="AU70" s="31">
        <f>K70</f>
        <v>0</v>
      </c>
    </row>
    <row r="71" spans="1:47">
      <c r="C71" s="15" t="s">
        <v>211</v>
      </c>
    </row>
    <row r="72" spans="1:47">
      <c r="A72" s="5"/>
      <c r="B72" s="13" t="s">
        <v>106</v>
      </c>
      <c r="C72" s="70" t="s">
        <v>212</v>
      </c>
      <c r="D72" s="71"/>
      <c r="E72" s="71"/>
      <c r="F72" s="71"/>
      <c r="G72" s="34">
        <f>SUM(G73:G73)</f>
        <v>0</v>
      </c>
      <c r="H72" s="34">
        <f>SUM(H73:H73)</f>
        <v>0</v>
      </c>
      <c r="I72" s="34">
        <f>G72+H72</f>
        <v>0</v>
      </c>
      <c r="J72" s="26"/>
      <c r="K72" s="34">
        <f>SUM(K73:K73)</f>
        <v>1.1848399999999999</v>
      </c>
      <c r="X72" s="26"/>
      <c r="AH72" s="34">
        <f>SUM(Y73:Y73)</f>
        <v>0</v>
      </c>
      <c r="AI72" s="34">
        <f>SUM(Z73:Z73)</f>
        <v>0</v>
      </c>
      <c r="AJ72" s="34">
        <f>SUM(AA73:AA73)</f>
        <v>0</v>
      </c>
    </row>
    <row r="73" spans="1:47">
      <c r="A73" s="4" t="s">
        <v>37</v>
      </c>
      <c r="B73" s="4" t="s">
        <v>107</v>
      </c>
      <c r="C73" s="4" t="s">
        <v>213</v>
      </c>
      <c r="D73" s="4" t="s">
        <v>274</v>
      </c>
      <c r="E73" s="17">
        <v>9.5</v>
      </c>
      <c r="F73" s="141">
        <v>0</v>
      </c>
      <c r="G73" s="17">
        <f>E73*AD73</f>
        <v>0</v>
      </c>
      <c r="H73" s="17">
        <f>I73-G73</f>
        <v>0</v>
      </c>
      <c r="I73" s="17">
        <f>E73*F73</f>
        <v>0</v>
      </c>
      <c r="J73" s="17">
        <v>0.12472</v>
      </c>
      <c r="K73" s="17">
        <f>E73*J73</f>
        <v>1.1848399999999999</v>
      </c>
      <c r="O73" s="31">
        <f>IF(AF73="5",I73,0)</f>
        <v>0</v>
      </c>
      <c r="Q73" s="31">
        <f>IF(AF73="1",G73,0)</f>
        <v>0</v>
      </c>
      <c r="R73" s="31">
        <f>IF(AF73="1",H73,0)</f>
        <v>0</v>
      </c>
      <c r="S73" s="31">
        <f>IF(AF73="7",G73,0)</f>
        <v>0</v>
      </c>
      <c r="T73" s="31">
        <f>IF(AF73="7",H73,0)</f>
        <v>0</v>
      </c>
      <c r="U73" s="31">
        <f>IF(AF73="2",G73,0)</f>
        <v>0</v>
      </c>
      <c r="V73" s="31">
        <f>IF(AF73="2",H73,0)</f>
        <v>0</v>
      </c>
      <c r="W73" s="31">
        <f>IF(AF73="0",I73,0)</f>
        <v>0</v>
      </c>
      <c r="X73" s="26"/>
      <c r="Y73" s="17">
        <f>IF(AC73=0,I73,0)</f>
        <v>0</v>
      </c>
      <c r="Z73" s="17">
        <f>IF(AC73=15,I73,0)</f>
        <v>0</v>
      </c>
      <c r="AA73" s="17">
        <f>IF(AC73=21,I73,0)</f>
        <v>0</v>
      </c>
      <c r="AC73" s="31">
        <v>21</v>
      </c>
      <c r="AD73" s="31">
        <f>F73*0.737527114967462</f>
        <v>0</v>
      </c>
      <c r="AE73" s="31">
        <f>F73*(1-0.737527114967462)</f>
        <v>0</v>
      </c>
      <c r="AF73" s="27" t="s">
        <v>7</v>
      </c>
      <c r="AL73" s="31">
        <f>E73*AD73</f>
        <v>0</v>
      </c>
      <c r="AM73" s="31">
        <f>E73*AE73</f>
        <v>0</v>
      </c>
      <c r="AN73" s="32" t="s">
        <v>321</v>
      </c>
      <c r="AO73" s="32" t="s">
        <v>337</v>
      </c>
      <c r="AP73" s="26" t="s">
        <v>338</v>
      </c>
      <c r="AR73" s="31">
        <f>AL73+AM73</f>
        <v>0</v>
      </c>
      <c r="AS73" s="31">
        <f>F73/(100-AT73)*100</f>
        <v>0</v>
      </c>
      <c r="AT73" s="31">
        <v>0</v>
      </c>
      <c r="AU73" s="31">
        <f>K73</f>
        <v>1.1848399999999999</v>
      </c>
    </row>
    <row r="74" spans="1:47">
      <c r="C74" s="15" t="s">
        <v>214</v>
      </c>
    </row>
    <row r="75" spans="1:47">
      <c r="A75" s="5"/>
      <c r="B75" s="13" t="s">
        <v>108</v>
      </c>
      <c r="C75" s="70" t="s">
        <v>215</v>
      </c>
      <c r="D75" s="71"/>
      <c r="E75" s="71"/>
      <c r="F75" s="71"/>
      <c r="G75" s="34">
        <f>SUM(G76:G77)</f>
        <v>0</v>
      </c>
      <c r="H75" s="34">
        <f>SUM(H76:H77)</f>
        <v>0</v>
      </c>
      <c r="I75" s="34">
        <f>G75+H75</f>
        <v>0</v>
      </c>
      <c r="J75" s="26"/>
      <c r="K75" s="34">
        <f>SUM(K76:K77)</f>
        <v>2.088E-3</v>
      </c>
      <c r="X75" s="26"/>
      <c r="AH75" s="34">
        <f>SUM(Y76:Y77)</f>
        <v>0</v>
      </c>
      <c r="AI75" s="34">
        <f>SUM(Z76:Z77)</f>
        <v>0</v>
      </c>
      <c r="AJ75" s="34">
        <f>SUM(AA76:AA77)</f>
        <v>0</v>
      </c>
    </row>
    <row r="76" spans="1:47">
      <c r="A76" s="4" t="s">
        <v>38</v>
      </c>
      <c r="B76" s="4" t="s">
        <v>109</v>
      </c>
      <c r="C76" s="4" t="s">
        <v>216</v>
      </c>
      <c r="D76" s="4" t="s">
        <v>275</v>
      </c>
      <c r="E76" s="17">
        <v>81.569199999999995</v>
      </c>
      <c r="F76" s="141">
        <v>0</v>
      </c>
      <c r="G76" s="17">
        <f>E76*AD76</f>
        <v>0</v>
      </c>
      <c r="H76" s="17">
        <f>I76-G76</f>
        <v>0</v>
      </c>
      <c r="I76" s="17">
        <f>E76*F76</f>
        <v>0</v>
      </c>
      <c r="J76" s="17">
        <v>0</v>
      </c>
      <c r="K76" s="17">
        <f>E76*J76</f>
        <v>0</v>
      </c>
      <c r="O76" s="31">
        <f>IF(AF76="5",I76,0)</f>
        <v>0</v>
      </c>
      <c r="Q76" s="31">
        <f>IF(AF76="1",G76,0)</f>
        <v>0</v>
      </c>
      <c r="R76" s="31">
        <f>IF(AF76="1",H76,0)</f>
        <v>0</v>
      </c>
      <c r="S76" s="31">
        <f>IF(AF76="7",G76,0)</f>
        <v>0</v>
      </c>
      <c r="T76" s="31">
        <f>IF(AF76="7",H76,0)</f>
        <v>0</v>
      </c>
      <c r="U76" s="31">
        <f>IF(AF76="2",G76,0)</f>
        <v>0</v>
      </c>
      <c r="V76" s="31">
        <f>IF(AF76="2",H76,0)</f>
        <v>0</v>
      </c>
      <c r="W76" s="31">
        <f>IF(AF76="0",I76,0)</f>
        <v>0</v>
      </c>
      <c r="X76" s="26"/>
      <c r="Y76" s="17">
        <f>IF(AC76=0,I76,0)</f>
        <v>0</v>
      </c>
      <c r="Z76" s="17">
        <f>IF(AC76=15,I76,0)</f>
        <v>0</v>
      </c>
      <c r="AA76" s="17">
        <f>IF(AC76=21,I76,0)</f>
        <v>0</v>
      </c>
      <c r="AC76" s="31">
        <v>21</v>
      </c>
      <c r="AD76" s="31">
        <f>F76*0.354390243902439</f>
        <v>0</v>
      </c>
      <c r="AE76" s="31">
        <f>F76*(1-0.354390243902439)</f>
        <v>0</v>
      </c>
      <c r="AF76" s="27" t="s">
        <v>7</v>
      </c>
      <c r="AL76" s="31">
        <f>E76*AD76</f>
        <v>0</v>
      </c>
      <c r="AM76" s="31">
        <f>E76*AE76</f>
        <v>0</v>
      </c>
      <c r="AN76" s="32" t="s">
        <v>322</v>
      </c>
      <c r="AO76" s="32" t="s">
        <v>337</v>
      </c>
      <c r="AP76" s="26" t="s">
        <v>338</v>
      </c>
      <c r="AR76" s="31">
        <f>AL76+AM76</f>
        <v>0</v>
      </c>
      <c r="AS76" s="31">
        <f>F76/(100-AT76)*100</f>
        <v>0</v>
      </c>
      <c r="AT76" s="31">
        <v>0</v>
      </c>
      <c r="AU76" s="31">
        <f>K76</f>
        <v>0</v>
      </c>
    </row>
    <row r="77" spans="1:47">
      <c r="A77" s="4" t="s">
        <v>39</v>
      </c>
      <c r="B77" s="4" t="s">
        <v>110</v>
      </c>
      <c r="C77" s="4" t="s">
        <v>217</v>
      </c>
      <c r="D77" s="4" t="s">
        <v>275</v>
      </c>
      <c r="E77" s="17">
        <v>2.4</v>
      </c>
      <c r="F77" s="141">
        <v>0</v>
      </c>
      <c r="G77" s="17">
        <f>E77*AD77</f>
        <v>0</v>
      </c>
      <c r="H77" s="17">
        <f>I77-G77</f>
        <v>0</v>
      </c>
      <c r="I77" s="17">
        <f>E77*F77</f>
        <v>0</v>
      </c>
      <c r="J77" s="17">
        <v>8.7000000000000001E-4</v>
      </c>
      <c r="K77" s="17">
        <f>E77*J77</f>
        <v>2.088E-3</v>
      </c>
      <c r="O77" s="31">
        <f>IF(AF77="5",I77,0)</f>
        <v>0</v>
      </c>
      <c r="Q77" s="31">
        <f>IF(AF77="1",G77,0)</f>
        <v>0</v>
      </c>
      <c r="R77" s="31">
        <f>IF(AF77="1",H77,0)</f>
        <v>0</v>
      </c>
      <c r="S77" s="31">
        <f>IF(AF77="7",G77,0)</f>
        <v>0</v>
      </c>
      <c r="T77" s="31">
        <f>IF(AF77="7",H77,0)</f>
        <v>0</v>
      </c>
      <c r="U77" s="31">
        <f>IF(AF77="2",G77,0)</f>
        <v>0</v>
      </c>
      <c r="V77" s="31">
        <f>IF(AF77="2",H77,0)</f>
        <v>0</v>
      </c>
      <c r="W77" s="31">
        <f>IF(AF77="0",I77,0)</f>
        <v>0</v>
      </c>
      <c r="X77" s="26"/>
      <c r="Y77" s="17">
        <f>IF(AC77=0,I77,0)</f>
        <v>0</v>
      </c>
      <c r="Z77" s="17">
        <f>IF(AC77=15,I77,0)</f>
        <v>0</v>
      </c>
      <c r="AA77" s="17">
        <f>IF(AC77=21,I77,0)</f>
        <v>0</v>
      </c>
      <c r="AC77" s="31">
        <v>21</v>
      </c>
      <c r="AD77" s="31">
        <f>F77*0.62623019841061</f>
        <v>0</v>
      </c>
      <c r="AE77" s="31">
        <f>F77*(1-0.62623019841061)</f>
        <v>0</v>
      </c>
      <c r="AF77" s="27" t="s">
        <v>7</v>
      </c>
      <c r="AL77" s="31">
        <f>E77*AD77</f>
        <v>0</v>
      </c>
      <c r="AM77" s="31">
        <f>E77*AE77</f>
        <v>0</v>
      </c>
      <c r="AN77" s="32" t="s">
        <v>322</v>
      </c>
      <c r="AO77" s="32" t="s">
        <v>337</v>
      </c>
      <c r="AP77" s="26" t="s">
        <v>338</v>
      </c>
      <c r="AR77" s="31">
        <f>AL77+AM77</f>
        <v>0</v>
      </c>
      <c r="AS77" s="31">
        <f>F77/(100-AT77)*100</f>
        <v>0</v>
      </c>
      <c r="AT77" s="31">
        <v>0</v>
      </c>
      <c r="AU77" s="31">
        <f>K77</f>
        <v>2.088E-3</v>
      </c>
    </row>
    <row r="78" spans="1:47">
      <c r="C78" s="15" t="s">
        <v>218</v>
      </c>
    </row>
    <row r="79" spans="1:47">
      <c r="A79" s="5"/>
      <c r="B79" s="13" t="s">
        <v>111</v>
      </c>
      <c r="C79" s="70" t="s">
        <v>219</v>
      </c>
      <c r="D79" s="71"/>
      <c r="E79" s="71"/>
      <c r="F79" s="71"/>
      <c r="G79" s="34">
        <f>SUM(G80:G80)</f>
        <v>0</v>
      </c>
      <c r="H79" s="34">
        <f>SUM(H80:H80)</f>
        <v>0</v>
      </c>
      <c r="I79" s="34">
        <f>G79+H79</f>
        <v>0</v>
      </c>
      <c r="J79" s="26"/>
      <c r="K79" s="34">
        <f>SUM(K80:K80)</f>
        <v>0</v>
      </c>
      <c r="X79" s="26"/>
      <c r="AH79" s="34">
        <f>SUM(Y80:Y80)</f>
        <v>0</v>
      </c>
      <c r="AI79" s="34">
        <f>SUM(Z80:Z80)</f>
        <v>0</v>
      </c>
      <c r="AJ79" s="34">
        <f>SUM(AA80:AA80)</f>
        <v>0</v>
      </c>
    </row>
    <row r="80" spans="1:47">
      <c r="A80" s="4" t="s">
        <v>40</v>
      </c>
      <c r="B80" s="4" t="s">
        <v>112</v>
      </c>
      <c r="C80" s="4" t="s">
        <v>220</v>
      </c>
      <c r="D80" s="4" t="s">
        <v>275</v>
      </c>
      <c r="E80" s="17">
        <v>234</v>
      </c>
      <c r="F80" s="141">
        <v>0</v>
      </c>
      <c r="G80" s="17">
        <f>E80*AD80</f>
        <v>0</v>
      </c>
      <c r="H80" s="17">
        <f>I80-G80</f>
        <v>0</v>
      </c>
      <c r="I80" s="17">
        <f>E80*F80</f>
        <v>0</v>
      </c>
      <c r="J80" s="17">
        <v>0</v>
      </c>
      <c r="K80" s="17">
        <f>E80*J80</f>
        <v>0</v>
      </c>
      <c r="O80" s="31">
        <f>IF(AF80="5",I80,0)</f>
        <v>0</v>
      </c>
      <c r="Q80" s="31">
        <f>IF(AF80="1",G80,0)</f>
        <v>0</v>
      </c>
      <c r="R80" s="31">
        <f>IF(AF80="1",H80,0)</f>
        <v>0</v>
      </c>
      <c r="S80" s="31">
        <f>IF(AF80="7",G80,0)</f>
        <v>0</v>
      </c>
      <c r="T80" s="31">
        <f>IF(AF80="7",H80,0)</f>
        <v>0</v>
      </c>
      <c r="U80" s="31">
        <f>IF(AF80="2",G80,0)</f>
        <v>0</v>
      </c>
      <c r="V80" s="31">
        <f>IF(AF80="2",H80,0)</f>
        <v>0</v>
      </c>
      <c r="W80" s="31">
        <f>IF(AF80="0",I80,0)</f>
        <v>0</v>
      </c>
      <c r="X80" s="26"/>
      <c r="Y80" s="17">
        <f>IF(AC80=0,I80,0)</f>
        <v>0</v>
      </c>
      <c r="Z80" s="17">
        <f>IF(AC80=15,I80,0)</f>
        <v>0</v>
      </c>
      <c r="AA80" s="17">
        <f>IF(AC80=21,I80,0)</f>
        <v>0</v>
      </c>
      <c r="AC80" s="31">
        <v>21</v>
      </c>
      <c r="AD80" s="31">
        <f>F80*0.00203045685279188</f>
        <v>0</v>
      </c>
      <c r="AE80" s="31">
        <f>F80*(1-0.00203045685279188)</f>
        <v>0</v>
      </c>
      <c r="AF80" s="27" t="s">
        <v>7</v>
      </c>
      <c r="AL80" s="31">
        <f>E80*AD80</f>
        <v>0</v>
      </c>
      <c r="AM80" s="31">
        <f>E80*AE80</f>
        <v>0</v>
      </c>
      <c r="AN80" s="32" t="s">
        <v>323</v>
      </c>
      <c r="AO80" s="32" t="s">
        <v>337</v>
      </c>
      <c r="AP80" s="26" t="s">
        <v>338</v>
      </c>
      <c r="AR80" s="31">
        <f>AL80+AM80</f>
        <v>0</v>
      </c>
      <c r="AS80" s="31">
        <f>F80/(100-AT80)*100</f>
        <v>0</v>
      </c>
      <c r="AT80" s="31">
        <v>0</v>
      </c>
      <c r="AU80" s="31">
        <f>K80</f>
        <v>0</v>
      </c>
    </row>
    <row r="81" spans="1:47">
      <c r="A81" s="5"/>
      <c r="B81" s="13" t="s">
        <v>113</v>
      </c>
      <c r="C81" s="70" t="s">
        <v>221</v>
      </c>
      <c r="D81" s="71"/>
      <c r="E81" s="71"/>
      <c r="F81" s="71"/>
      <c r="G81" s="34">
        <f>SUM(G82:G96)</f>
        <v>0</v>
      </c>
      <c r="H81" s="34">
        <f>SUM(H82:H96)</f>
        <v>0</v>
      </c>
      <c r="I81" s="34">
        <f>G81+H81</f>
        <v>0</v>
      </c>
      <c r="J81" s="26"/>
      <c r="K81" s="34">
        <f>SUM(K82:K96)</f>
        <v>50.817900399999999</v>
      </c>
      <c r="X81" s="26"/>
      <c r="AH81" s="34">
        <f>SUM(Y82:Y96)</f>
        <v>0</v>
      </c>
      <c r="AI81" s="34">
        <f>SUM(Z82:Z96)</f>
        <v>0</v>
      </c>
      <c r="AJ81" s="34">
        <f>SUM(AA82:AA96)</f>
        <v>0</v>
      </c>
    </row>
    <row r="82" spans="1:47">
      <c r="A82" s="4" t="s">
        <v>41</v>
      </c>
      <c r="B82" s="4" t="s">
        <v>114</v>
      </c>
      <c r="C82" s="4" t="s">
        <v>222</v>
      </c>
      <c r="D82" s="4" t="s">
        <v>275</v>
      </c>
      <c r="E82" s="17">
        <v>23.536799999999999</v>
      </c>
      <c r="F82" s="141">
        <v>0</v>
      </c>
      <c r="G82" s="17">
        <f>E82*AD82</f>
        <v>0</v>
      </c>
      <c r="H82" s="17">
        <f>I82-G82</f>
        <v>0</v>
      </c>
      <c r="I82" s="17">
        <f>E82*F82</f>
        <v>0</v>
      </c>
      <c r="J82" s="17">
        <v>0.192</v>
      </c>
      <c r="K82" s="17">
        <f>E82*J82</f>
        <v>4.5190656000000002</v>
      </c>
      <c r="O82" s="31">
        <f>IF(AF82="5",I82,0)</f>
        <v>0</v>
      </c>
      <c r="Q82" s="31">
        <f>IF(AF82="1",G82,0)</f>
        <v>0</v>
      </c>
      <c r="R82" s="31">
        <f>IF(AF82="1",H82,0)</f>
        <v>0</v>
      </c>
      <c r="S82" s="31">
        <f>IF(AF82="7",G82,0)</f>
        <v>0</v>
      </c>
      <c r="T82" s="31">
        <f>IF(AF82="7",H82,0)</f>
        <v>0</v>
      </c>
      <c r="U82" s="31">
        <f>IF(AF82="2",G82,0)</f>
        <v>0</v>
      </c>
      <c r="V82" s="31">
        <f>IF(AF82="2",H82,0)</f>
        <v>0</v>
      </c>
      <c r="W82" s="31">
        <f>IF(AF82="0",I82,0)</f>
        <v>0</v>
      </c>
      <c r="X82" s="26"/>
      <c r="Y82" s="17">
        <f>IF(AC82=0,I82,0)</f>
        <v>0</v>
      </c>
      <c r="Z82" s="17">
        <f>IF(AC82=15,I82,0)</f>
        <v>0</v>
      </c>
      <c r="AA82" s="17">
        <f>IF(AC82=21,I82,0)</f>
        <v>0</v>
      </c>
      <c r="AC82" s="31">
        <v>21</v>
      </c>
      <c r="AD82" s="31">
        <f>F82*0</f>
        <v>0</v>
      </c>
      <c r="AE82" s="31">
        <f>F82*(1-0)</f>
        <v>0</v>
      </c>
      <c r="AF82" s="27" t="s">
        <v>7</v>
      </c>
      <c r="AL82" s="31">
        <f>E82*AD82</f>
        <v>0</v>
      </c>
      <c r="AM82" s="31">
        <f>E82*AE82</f>
        <v>0</v>
      </c>
      <c r="AN82" s="32" t="s">
        <v>324</v>
      </c>
      <c r="AO82" s="32" t="s">
        <v>337</v>
      </c>
      <c r="AP82" s="26" t="s">
        <v>338</v>
      </c>
      <c r="AR82" s="31">
        <f>AL82+AM82</f>
        <v>0</v>
      </c>
      <c r="AS82" s="31">
        <f>F82/(100-AT82)*100</f>
        <v>0</v>
      </c>
      <c r="AT82" s="31">
        <v>0</v>
      </c>
      <c r="AU82" s="31">
        <f>K82</f>
        <v>4.5190656000000002</v>
      </c>
    </row>
    <row r="83" spans="1:47">
      <c r="C83" s="15" t="s">
        <v>223</v>
      </c>
    </row>
    <row r="84" spans="1:47">
      <c r="A84" s="4" t="s">
        <v>42</v>
      </c>
      <c r="B84" s="4" t="s">
        <v>115</v>
      </c>
      <c r="C84" s="4" t="s">
        <v>224</v>
      </c>
      <c r="D84" s="4" t="s">
        <v>275</v>
      </c>
      <c r="E84" s="17">
        <v>48.121899999999997</v>
      </c>
      <c r="F84" s="141">
        <v>0</v>
      </c>
      <c r="G84" s="17">
        <f>E84*AD84</f>
        <v>0</v>
      </c>
      <c r="H84" s="17">
        <f>I84-G84</f>
        <v>0</v>
      </c>
      <c r="I84" s="17">
        <f>E84*F84</f>
        <v>0</v>
      </c>
      <c r="J84" s="17">
        <v>0.192</v>
      </c>
      <c r="K84" s="17">
        <f>E84*J84</f>
        <v>9.2394047999999991</v>
      </c>
      <c r="O84" s="31">
        <f>IF(AF84="5",I84,0)</f>
        <v>0</v>
      </c>
      <c r="Q84" s="31">
        <f>IF(AF84="1",G84,0)</f>
        <v>0</v>
      </c>
      <c r="R84" s="31">
        <f>IF(AF84="1",H84,0)</f>
        <v>0</v>
      </c>
      <c r="S84" s="31">
        <f>IF(AF84="7",G84,0)</f>
        <v>0</v>
      </c>
      <c r="T84" s="31">
        <f>IF(AF84="7",H84,0)</f>
        <v>0</v>
      </c>
      <c r="U84" s="31">
        <f>IF(AF84="2",G84,0)</f>
        <v>0</v>
      </c>
      <c r="V84" s="31">
        <f>IF(AF84="2",H84,0)</f>
        <v>0</v>
      </c>
      <c r="W84" s="31">
        <f>IF(AF84="0",I84,0)</f>
        <v>0</v>
      </c>
      <c r="X84" s="26"/>
      <c r="Y84" s="17">
        <f>IF(AC84=0,I84,0)</f>
        <v>0</v>
      </c>
      <c r="Z84" s="17">
        <f>IF(AC84=15,I84,0)</f>
        <v>0</v>
      </c>
      <c r="AA84" s="17">
        <f>IF(AC84=21,I84,0)</f>
        <v>0</v>
      </c>
      <c r="AC84" s="31">
        <v>21</v>
      </c>
      <c r="AD84" s="31">
        <f>F84*0</f>
        <v>0</v>
      </c>
      <c r="AE84" s="31">
        <f>F84*(1-0)</f>
        <v>0</v>
      </c>
      <c r="AF84" s="27" t="s">
        <v>7</v>
      </c>
      <c r="AL84" s="31">
        <f>E84*AD84</f>
        <v>0</v>
      </c>
      <c r="AM84" s="31">
        <f>E84*AE84</f>
        <v>0</v>
      </c>
      <c r="AN84" s="32" t="s">
        <v>324</v>
      </c>
      <c r="AO84" s="32" t="s">
        <v>337</v>
      </c>
      <c r="AP84" s="26" t="s">
        <v>338</v>
      </c>
      <c r="AR84" s="31">
        <f>AL84+AM84</f>
        <v>0</v>
      </c>
      <c r="AS84" s="31">
        <f>F84/(100-AT84)*100</f>
        <v>0</v>
      </c>
      <c r="AT84" s="31">
        <v>0</v>
      </c>
      <c r="AU84" s="31">
        <f>K84</f>
        <v>9.2394047999999991</v>
      </c>
    </row>
    <row r="85" spans="1:47">
      <c r="C85" s="15" t="s">
        <v>225</v>
      </c>
    </row>
    <row r="86" spans="1:47">
      <c r="A86" s="4" t="s">
        <v>43</v>
      </c>
      <c r="B86" s="4" t="s">
        <v>116</v>
      </c>
      <c r="C86" s="4" t="s">
        <v>226</v>
      </c>
      <c r="D86" s="4" t="s">
        <v>275</v>
      </c>
      <c r="E86" s="17">
        <v>10.476000000000001</v>
      </c>
      <c r="F86" s="141">
        <v>0</v>
      </c>
      <c r="G86" s="17">
        <f>E86*AD86</f>
        <v>0</v>
      </c>
      <c r="H86" s="17">
        <f>I86-G86</f>
        <v>0</v>
      </c>
      <c r="I86" s="17">
        <f>E86*F86</f>
        <v>0</v>
      </c>
      <c r="J86" s="17">
        <v>0.432</v>
      </c>
      <c r="K86" s="17">
        <f>E86*J86</f>
        <v>4.5256320000000008</v>
      </c>
      <c r="O86" s="31">
        <f>IF(AF86="5",I86,0)</f>
        <v>0</v>
      </c>
      <c r="Q86" s="31">
        <f>IF(AF86="1",G86,0)</f>
        <v>0</v>
      </c>
      <c r="R86" s="31">
        <f>IF(AF86="1",H86,0)</f>
        <v>0</v>
      </c>
      <c r="S86" s="31">
        <f>IF(AF86="7",G86,0)</f>
        <v>0</v>
      </c>
      <c r="T86" s="31">
        <f>IF(AF86="7",H86,0)</f>
        <v>0</v>
      </c>
      <c r="U86" s="31">
        <f>IF(AF86="2",G86,0)</f>
        <v>0</v>
      </c>
      <c r="V86" s="31">
        <f>IF(AF86="2",H86,0)</f>
        <v>0</v>
      </c>
      <c r="W86" s="31">
        <f>IF(AF86="0",I86,0)</f>
        <v>0</v>
      </c>
      <c r="X86" s="26"/>
      <c r="Y86" s="17">
        <f>IF(AC86=0,I86,0)</f>
        <v>0</v>
      </c>
      <c r="Z86" s="17">
        <f>IF(AC86=15,I86,0)</f>
        <v>0</v>
      </c>
      <c r="AA86" s="17">
        <f>IF(AC86=21,I86,0)</f>
        <v>0</v>
      </c>
      <c r="AC86" s="31">
        <v>21</v>
      </c>
      <c r="AD86" s="31">
        <f>F86*0</f>
        <v>0</v>
      </c>
      <c r="AE86" s="31">
        <f>F86*(1-0)</f>
        <v>0</v>
      </c>
      <c r="AF86" s="27" t="s">
        <v>7</v>
      </c>
      <c r="AL86" s="31">
        <f>E86*AD86</f>
        <v>0</v>
      </c>
      <c r="AM86" s="31">
        <f>E86*AE86</f>
        <v>0</v>
      </c>
      <c r="AN86" s="32" t="s">
        <v>324</v>
      </c>
      <c r="AO86" s="32" t="s">
        <v>337</v>
      </c>
      <c r="AP86" s="26" t="s">
        <v>338</v>
      </c>
      <c r="AR86" s="31">
        <f>AL86+AM86</f>
        <v>0</v>
      </c>
      <c r="AS86" s="31">
        <f>F86/(100-AT86)*100</f>
        <v>0</v>
      </c>
      <c r="AT86" s="31">
        <v>0</v>
      </c>
      <c r="AU86" s="31">
        <f>K86</f>
        <v>4.5256320000000008</v>
      </c>
    </row>
    <row r="87" spans="1:47">
      <c r="C87" s="15" t="s">
        <v>227</v>
      </c>
    </row>
    <row r="88" spans="1:47">
      <c r="A88" s="4" t="s">
        <v>44</v>
      </c>
      <c r="B88" s="4" t="s">
        <v>117</v>
      </c>
      <c r="C88" s="4" t="s">
        <v>228</v>
      </c>
      <c r="D88" s="4" t="s">
        <v>275</v>
      </c>
      <c r="E88" s="17">
        <v>10.044</v>
      </c>
      <c r="F88" s="141">
        <v>0</v>
      </c>
      <c r="G88" s="17">
        <f>E88*AD88</f>
        <v>0</v>
      </c>
      <c r="H88" s="17">
        <f>I88-G88</f>
        <v>0</v>
      </c>
      <c r="I88" s="17">
        <f>E88*F88</f>
        <v>0</v>
      </c>
      <c r="J88" s="17">
        <v>0.432</v>
      </c>
      <c r="K88" s="17">
        <f>E88*J88</f>
        <v>4.3390079999999998</v>
      </c>
      <c r="O88" s="31">
        <f>IF(AF88="5",I88,0)</f>
        <v>0</v>
      </c>
      <c r="Q88" s="31">
        <f>IF(AF88="1",G88,0)</f>
        <v>0</v>
      </c>
      <c r="R88" s="31">
        <f>IF(AF88="1",H88,0)</f>
        <v>0</v>
      </c>
      <c r="S88" s="31">
        <f>IF(AF88="7",G88,0)</f>
        <v>0</v>
      </c>
      <c r="T88" s="31">
        <f>IF(AF88="7",H88,0)</f>
        <v>0</v>
      </c>
      <c r="U88" s="31">
        <f>IF(AF88="2",G88,0)</f>
        <v>0</v>
      </c>
      <c r="V88" s="31">
        <f>IF(AF88="2",H88,0)</f>
        <v>0</v>
      </c>
      <c r="W88" s="31">
        <f>IF(AF88="0",I88,0)</f>
        <v>0</v>
      </c>
      <c r="X88" s="26"/>
      <c r="Y88" s="17">
        <f>IF(AC88=0,I88,0)</f>
        <v>0</v>
      </c>
      <c r="Z88" s="17">
        <f>IF(AC88=15,I88,0)</f>
        <v>0</v>
      </c>
      <c r="AA88" s="17">
        <f>IF(AC88=21,I88,0)</f>
        <v>0</v>
      </c>
      <c r="AC88" s="31">
        <v>21</v>
      </c>
      <c r="AD88" s="31">
        <f>F88*0</f>
        <v>0</v>
      </c>
      <c r="AE88" s="31">
        <f>F88*(1-0)</f>
        <v>0</v>
      </c>
      <c r="AF88" s="27" t="s">
        <v>7</v>
      </c>
      <c r="AL88" s="31">
        <f>E88*AD88</f>
        <v>0</v>
      </c>
      <c r="AM88" s="31">
        <f>E88*AE88</f>
        <v>0</v>
      </c>
      <c r="AN88" s="32" t="s">
        <v>324</v>
      </c>
      <c r="AO88" s="32" t="s">
        <v>337</v>
      </c>
      <c r="AP88" s="26" t="s">
        <v>338</v>
      </c>
      <c r="AR88" s="31">
        <f>AL88+AM88</f>
        <v>0</v>
      </c>
      <c r="AS88" s="31">
        <f>F88/(100-AT88)*100</f>
        <v>0</v>
      </c>
      <c r="AT88" s="31">
        <v>0</v>
      </c>
      <c r="AU88" s="31">
        <f>K88</f>
        <v>4.3390079999999998</v>
      </c>
    </row>
    <row r="89" spans="1:47">
      <c r="C89" s="15" t="s">
        <v>229</v>
      </c>
    </row>
    <row r="90" spans="1:47">
      <c r="A90" s="4" t="s">
        <v>45</v>
      </c>
      <c r="B90" s="4" t="s">
        <v>118</v>
      </c>
      <c r="C90" s="4" t="s">
        <v>230</v>
      </c>
      <c r="D90" s="4" t="s">
        <v>273</v>
      </c>
      <c r="E90" s="17">
        <v>1.8206599999999999</v>
      </c>
      <c r="F90" s="141">
        <v>0</v>
      </c>
      <c r="G90" s="17">
        <f>E90*AD90</f>
        <v>0</v>
      </c>
      <c r="H90" s="17">
        <f>I90-G90</f>
        <v>0</v>
      </c>
      <c r="I90" s="17">
        <f>E90*F90</f>
        <v>0</v>
      </c>
      <c r="J90" s="17">
        <v>2.2000000000000002</v>
      </c>
      <c r="K90" s="17">
        <f>E90*J90</f>
        <v>4.005452</v>
      </c>
      <c r="O90" s="31">
        <f>IF(AF90="5",I90,0)</f>
        <v>0</v>
      </c>
      <c r="Q90" s="31">
        <f>IF(AF90="1",G90,0)</f>
        <v>0</v>
      </c>
      <c r="R90" s="31">
        <f>IF(AF90="1",H90,0)</f>
        <v>0</v>
      </c>
      <c r="S90" s="31">
        <f>IF(AF90="7",G90,0)</f>
        <v>0</v>
      </c>
      <c r="T90" s="31">
        <f>IF(AF90="7",H90,0)</f>
        <v>0</v>
      </c>
      <c r="U90" s="31">
        <f>IF(AF90="2",G90,0)</f>
        <v>0</v>
      </c>
      <c r="V90" s="31">
        <f>IF(AF90="2",H90,0)</f>
        <v>0</v>
      </c>
      <c r="W90" s="31">
        <f>IF(AF90="0",I90,0)</f>
        <v>0</v>
      </c>
      <c r="X90" s="26"/>
      <c r="Y90" s="17">
        <f>IF(AC90=0,I90,0)</f>
        <v>0</v>
      </c>
      <c r="Z90" s="17">
        <f>IF(AC90=15,I90,0)</f>
        <v>0</v>
      </c>
      <c r="AA90" s="17">
        <f>IF(AC90=21,I90,0)</f>
        <v>0</v>
      </c>
      <c r="AC90" s="31">
        <v>21</v>
      </c>
      <c r="AD90" s="31">
        <f>F90*0</f>
        <v>0</v>
      </c>
      <c r="AE90" s="31">
        <f>F90*(1-0)</f>
        <v>0</v>
      </c>
      <c r="AF90" s="27" t="s">
        <v>7</v>
      </c>
      <c r="AL90" s="31">
        <f>E90*AD90</f>
        <v>0</v>
      </c>
      <c r="AM90" s="31">
        <f>E90*AE90</f>
        <v>0</v>
      </c>
      <c r="AN90" s="32" t="s">
        <v>324</v>
      </c>
      <c r="AO90" s="32" t="s">
        <v>337</v>
      </c>
      <c r="AP90" s="26" t="s">
        <v>338</v>
      </c>
      <c r="AR90" s="31">
        <f>AL90+AM90</f>
        <v>0</v>
      </c>
      <c r="AS90" s="31">
        <f>F90/(100-AT90)*100</f>
        <v>0</v>
      </c>
      <c r="AT90" s="31">
        <v>0</v>
      </c>
      <c r="AU90" s="31">
        <f>K90</f>
        <v>4.005452</v>
      </c>
    </row>
    <row r="91" spans="1:47" ht="26.4">
      <c r="C91" s="15" t="s">
        <v>231</v>
      </c>
    </row>
    <row r="92" spans="1:47">
      <c r="A92" s="4" t="s">
        <v>46</v>
      </c>
      <c r="B92" s="4" t="s">
        <v>119</v>
      </c>
      <c r="C92" s="4" t="s">
        <v>232</v>
      </c>
      <c r="D92" s="4" t="s">
        <v>273</v>
      </c>
      <c r="E92" s="17">
        <v>8.0351999999999997</v>
      </c>
      <c r="F92" s="141">
        <v>0</v>
      </c>
      <c r="G92" s="17">
        <f>E92*AD92</f>
        <v>0</v>
      </c>
      <c r="H92" s="17">
        <f>I92-G92</f>
        <v>0</v>
      </c>
      <c r="I92" s="17">
        <f>E92*F92</f>
        <v>0</v>
      </c>
      <c r="J92" s="17">
        <v>2.2000000000000002</v>
      </c>
      <c r="K92" s="17">
        <f>E92*J92</f>
        <v>17.677440000000001</v>
      </c>
      <c r="O92" s="31">
        <f>IF(AF92="5",I92,0)</f>
        <v>0</v>
      </c>
      <c r="Q92" s="31">
        <f>IF(AF92="1",G92,0)</f>
        <v>0</v>
      </c>
      <c r="R92" s="31">
        <f>IF(AF92="1",H92,0)</f>
        <v>0</v>
      </c>
      <c r="S92" s="31">
        <f>IF(AF92="7",G92,0)</f>
        <v>0</v>
      </c>
      <c r="T92" s="31">
        <f>IF(AF92="7",H92,0)</f>
        <v>0</v>
      </c>
      <c r="U92" s="31">
        <f>IF(AF92="2",G92,0)</f>
        <v>0</v>
      </c>
      <c r="V92" s="31">
        <f>IF(AF92="2",H92,0)</f>
        <v>0</v>
      </c>
      <c r="W92" s="31">
        <f>IF(AF92="0",I92,0)</f>
        <v>0</v>
      </c>
      <c r="X92" s="26"/>
      <c r="Y92" s="17">
        <f>IF(AC92=0,I92,0)</f>
        <v>0</v>
      </c>
      <c r="Z92" s="17">
        <f>IF(AC92=15,I92,0)</f>
        <v>0</v>
      </c>
      <c r="AA92" s="17">
        <f>IF(AC92=21,I92,0)</f>
        <v>0</v>
      </c>
      <c r="AC92" s="31">
        <v>21</v>
      </c>
      <c r="AD92" s="31">
        <f>F92*0</f>
        <v>0</v>
      </c>
      <c r="AE92" s="31">
        <f>F92*(1-0)</f>
        <v>0</v>
      </c>
      <c r="AF92" s="27" t="s">
        <v>7</v>
      </c>
      <c r="AL92" s="31">
        <f>E92*AD92</f>
        <v>0</v>
      </c>
      <c r="AM92" s="31">
        <f>E92*AE92</f>
        <v>0</v>
      </c>
      <c r="AN92" s="32" t="s">
        <v>324</v>
      </c>
      <c r="AO92" s="32" t="s">
        <v>337</v>
      </c>
      <c r="AP92" s="26" t="s">
        <v>338</v>
      </c>
      <c r="AR92" s="31">
        <f>AL92+AM92</f>
        <v>0</v>
      </c>
      <c r="AS92" s="31">
        <f>F92/(100-AT92)*100</f>
        <v>0</v>
      </c>
      <c r="AT92" s="31">
        <v>0</v>
      </c>
      <c r="AU92" s="31">
        <f>K92</f>
        <v>17.677440000000001</v>
      </c>
    </row>
    <row r="93" spans="1:47" ht="26.4">
      <c r="C93" s="15" t="s">
        <v>233</v>
      </c>
    </row>
    <row r="94" spans="1:47">
      <c r="A94" s="4" t="s">
        <v>47</v>
      </c>
      <c r="B94" s="4" t="s">
        <v>120</v>
      </c>
      <c r="C94" s="4" t="s">
        <v>234</v>
      </c>
      <c r="D94" s="4" t="s">
        <v>275</v>
      </c>
      <c r="E94" s="17">
        <v>36.413200000000003</v>
      </c>
      <c r="F94" s="141">
        <v>0</v>
      </c>
      <c r="G94" s="17">
        <f>E94*AD94</f>
        <v>0</v>
      </c>
      <c r="H94" s="17">
        <f>I94-G94</f>
        <v>0</v>
      </c>
      <c r="I94" s="17">
        <f>E94*F94</f>
        <v>0</v>
      </c>
      <c r="J94" s="17">
        <v>6.5000000000000002E-2</v>
      </c>
      <c r="K94" s="17">
        <f>E94*J94</f>
        <v>2.3668580000000001</v>
      </c>
      <c r="O94" s="31">
        <f>IF(AF94="5",I94,0)</f>
        <v>0</v>
      </c>
      <c r="Q94" s="31">
        <f>IF(AF94="1",G94,0)</f>
        <v>0</v>
      </c>
      <c r="R94" s="31">
        <f>IF(AF94="1",H94,0)</f>
        <v>0</v>
      </c>
      <c r="S94" s="31">
        <f>IF(AF94="7",G94,0)</f>
        <v>0</v>
      </c>
      <c r="T94" s="31">
        <f>IF(AF94="7",H94,0)</f>
        <v>0</v>
      </c>
      <c r="U94" s="31">
        <f>IF(AF94="2",G94,0)</f>
        <v>0</v>
      </c>
      <c r="V94" s="31">
        <f>IF(AF94="2",H94,0)</f>
        <v>0</v>
      </c>
      <c r="W94" s="31">
        <f>IF(AF94="0",I94,0)</f>
        <v>0</v>
      </c>
      <c r="X94" s="26"/>
      <c r="Y94" s="17">
        <f>IF(AC94=0,I94,0)</f>
        <v>0</v>
      </c>
      <c r="Z94" s="17">
        <f>IF(AC94=15,I94,0)</f>
        <v>0</v>
      </c>
      <c r="AA94" s="17">
        <f>IF(AC94=21,I94,0)</f>
        <v>0</v>
      </c>
      <c r="AC94" s="31">
        <v>21</v>
      </c>
      <c r="AD94" s="31">
        <f>F94*0</f>
        <v>0</v>
      </c>
      <c r="AE94" s="31">
        <f>F94*(1-0)</f>
        <v>0</v>
      </c>
      <c r="AF94" s="27" t="s">
        <v>7</v>
      </c>
      <c r="AL94" s="31">
        <f>E94*AD94</f>
        <v>0</v>
      </c>
      <c r="AM94" s="31">
        <f>E94*AE94</f>
        <v>0</v>
      </c>
      <c r="AN94" s="32" t="s">
        <v>324</v>
      </c>
      <c r="AO94" s="32" t="s">
        <v>337</v>
      </c>
      <c r="AP94" s="26" t="s">
        <v>338</v>
      </c>
      <c r="AR94" s="31">
        <f>AL94+AM94</f>
        <v>0</v>
      </c>
      <c r="AS94" s="31">
        <f>F94/(100-AT94)*100</f>
        <v>0</v>
      </c>
      <c r="AT94" s="31">
        <v>0</v>
      </c>
      <c r="AU94" s="31">
        <f>K94</f>
        <v>2.3668580000000001</v>
      </c>
    </row>
    <row r="95" spans="1:47">
      <c r="C95" s="15" t="s">
        <v>235</v>
      </c>
    </row>
    <row r="96" spans="1:47">
      <c r="A96" s="4" t="s">
        <v>48</v>
      </c>
      <c r="B96" s="4" t="s">
        <v>121</v>
      </c>
      <c r="C96" s="4" t="s">
        <v>236</v>
      </c>
      <c r="D96" s="4" t="s">
        <v>273</v>
      </c>
      <c r="E96" s="17">
        <v>1.4543999999999999</v>
      </c>
      <c r="F96" s="141">
        <v>0</v>
      </c>
      <c r="G96" s="17">
        <f>E96*AD96</f>
        <v>0</v>
      </c>
      <c r="H96" s="17">
        <f>I96-G96</f>
        <v>0</v>
      </c>
      <c r="I96" s="17">
        <f>E96*F96</f>
        <v>0</v>
      </c>
      <c r="J96" s="17">
        <v>2.85</v>
      </c>
      <c r="K96" s="17">
        <f>E96*J96</f>
        <v>4.1450399999999998</v>
      </c>
      <c r="O96" s="31">
        <f>IF(AF96="5",I96,0)</f>
        <v>0</v>
      </c>
      <c r="Q96" s="31">
        <f>IF(AF96="1",G96,0)</f>
        <v>0</v>
      </c>
      <c r="R96" s="31">
        <f>IF(AF96="1",H96,0)</f>
        <v>0</v>
      </c>
      <c r="S96" s="31">
        <f>IF(AF96="7",G96,0)</f>
        <v>0</v>
      </c>
      <c r="T96" s="31">
        <f>IF(AF96="7",H96,0)</f>
        <v>0</v>
      </c>
      <c r="U96" s="31">
        <f>IF(AF96="2",G96,0)</f>
        <v>0</v>
      </c>
      <c r="V96" s="31">
        <f>IF(AF96="2",H96,0)</f>
        <v>0</v>
      </c>
      <c r="W96" s="31">
        <f>IF(AF96="0",I96,0)</f>
        <v>0</v>
      </c>
      <c r="X96" s="26"/>
      <c r="Y96" s="17">
        <f>IF(AC96=0,I96,0)</f>
        <v>0</v>
      </c>
      <c r="Z96" s="17">
        <f>IF(AC96=15,I96,0)</f>
        <v>0</v>
      </c>
      <c r="AA96" s="17">
        <f>IF(AC96=21,I96,0)</f>
        <v>0</v>
      </c>
      <c r="AC96" s="31">
        <v>21</v>
      </c>
      <c r="AD96" s="31">
        <f>F96*0</f>
        <v>0</v>
      </c>
      <c r="AE96" s="31">
        <f>F96*(1-0)</f>
        <v>0</v>
      </c>
      <c r="AF96" s="27" t="s">
        <v>7</v>
      </c>
      <c r="AL96" s="31">
        <f>E96*AD96</f>
        <v>0</v>
      </c>
      <c r="AM96" s="31">
        <f>E96*AE96</f>
        <v>0</v>
      </c>
      <c r="AN96" s="32" t="s">
        <v>324</v>
      </c>
      <c r="AO96" s="32" t="s">
        <v>337</v>
      </c>
      <c r="AP96" s="26" t="s">
        <v>338</v>
      </c>
      <c r="AR96" s="31">
        <f>AL96+AM96</f>
        <v>0</v>
      </c>
      <c r="AS96" s="31">
        <f>F96/(100-AT96)*100</f>
        <v>0</v>
      </c>
      <c r="AT96" s="31">
        <v>0</v>
      </c>
      <c r="AU96" s="31">
        <f>K96</f>
        <v>4.1450399999999998</v>
      </c>
    </row>
    <row r="97" spans="1:47">
      <c r="C97" s="15" t="s">
        <v>237</v>
      </c>
    </row>
    <row r="98" spans="1:47">
      <c r="A98" s="5"/>
      <c r="B98" s="13" t="s">
        <v>122</v>
      </c>
      <c r="C98" s="70" t="s">
        <v>238</v>
      </c>
      <c r="D98" s="71"/>
      <c r="E98" s="71"/>
      <c r="F98" s="71"/>
      <c r="G98" s="34">
        <f>SUM(G99:G103)</f>
        <v>0</v>
      </c>
      <c r="H98" s="34">
        <f>SUM(H99:H103)</f>
        <v>0</v>
      </c>
      <c r="I98" s="34">
        <f>G98+H98</f>
        <v>0</v>
      </c>
      <c r="J98" s="26"/>
      <c r="K98" s="34">
        <f>SUM(K99:K103)</f>
        <v>1.7449520000000001</v>
      </c>
      <c r="X98" s="26"/>
      <c r="AH98" s="34">
        <f>SUM(Y99:Y103)</f>
        <v>0</v>
      </c>
      <c r="AI98" s="34">
        <f>SUM(Z99:Z103)</f>
        <v>0</v>
      </c>
      <c r="AJ98" s="34">
        <f>SUM(AA99:AA103)</f>
        <v>0</v>
      </c>
    </row>
    <row r="99" spans="1:47">
      <c r="A99" s="4" t="s">
        <v>49</v>
      </c>
      <c r="B99" s="4" t="s">
        <v>123</v>
      </c>
      <c r="C99" s="4" t="s">
        <v>239</v>
      </c>
      <c r="D99" s="4" t="s">
        <v>274</v>
      </c>
      <c r="E99" s="17">
        <v>1</v>
      </c>
      <c r="F99" s="141">
        <v>0</v>
      </c>
      <c r="G99" s="17">
        <f>E99*AD99</f>
        <v>0</v>
      </c>
      <c r="H99" s="17">
        <f>I99-G99</f>
        <v>0</v>
      </c>
      <c r="I99" s="17">
        <f>E99*F99</f>
        <v>0</v>
      </c>
      <c r="J99" s="17">
        <v>7.5000000000000002E-4</v>
      </c>
      <c r="K99" s="17">
        <f>E99*J99</f>
        <v>7.5000000000000002E-4</v>
      </c>
      <c r="O99" s="31">
        <f>IF(AF99="5",I99,0)</f>
        <v>0</v>
      </c>
      <c r="Q99" s="31">
        <f>IF(AF99="1",G99,0)</f>
        <v>0</v>
      </c>
      <c r="R99" s="31">
        <f>IF(AF99="1",H99,0)</f>
        <v>0</v>
      </c>
      <c r="S99" s="31">
        <f>IF(AF99="7",G99,0)</f>
        <v>0</v>
      </c>
      <c r="T99" s="31">
        <f>IF(AF99="7",H99,0)</f>
        <v>0</v>
      </c>
      <c r="U99" s="31">
        <f>IF(AF99="2",G99,0)</f>
        <v>0</v>
      </c>
      <c r="V99" s="31">
        <f>IF(AF99="2",H99,0)</f>
        <v>0</v>
      </c>
      <c r="W99" s="31">
        <f>IF(AF99="0",I99,0)</f>
        <v>0</v>
      </c>
      <c r="X99" s="26"/>
      <c r="Y99" s="17">
        <f>IF(AC99=0,I99,0)</f>
        <v>0</v>
      </c>
      <c r="Z99" s="17">
        <f>IF(AC99=15,I99,0)</f>
        <v>0</v>
      </c>
      <c r="AA99" s="17">
        <f>IF(AC99=21,I99,0)</f>
        <v>0</v>
      </c>
      <c r="AC99" s="31">
        <v>21</v>
      </c>
      <c r="AD99" s="31">
        <f>F99*0.347331571994716</f>
        <v>0</v>
      </c>
      <c r="AE99" s="31">
        <f>F99*(1-0.347331571994716)</f>
        <v>0</v>
      </c>
      <c r="AF99" s="27" t="s">
        <v>7</v>
      </c>
      <c r="AL99" s="31">
        <f>E99*AD99</f>
        <v>0</v>
      </c>
      <c r="AM99" s="31">
        <f>E99*AE99</f>
        <v>0</v>
      </c>
      <c r="AN99" s="32" t="s">
        <v>325</v>
      </c>
      <c r="AO99" s="32" t="s">
        <v>337</v>
      </c>
      <c r="AP99" s="26" t="s">
        <v>338</v>
      </c>
      <c r="AR99" s="31">
        <f>AL99+AM99</f>
        <v>0</v>
      </c>
      <c r="AS99" s="31">
        <f>F99/(100-AT99)*100</f>
        <v>0</v>
      </c>
      <c r="AT99" s="31">
        <v>0</v>
      </c>
      <c r="AU99" s="31">
        <f>K99</f>
        <v>7.5000000000000002E-4</v>
      </c>
    </row>
    <row r="100" spans="1:47">
      <c r="A100" s="4" t="s">
        <v>50</v>
      </c>
      <c r="B100" s="4" t="s">
        <v>124</v>
      </c>
      <c r="C100" s="4" t="s">
        <v>240</v>
      </c>
      <c r="D100" s="4" t="s">
        <v>274</v>
      </c>
      <c r="E100" s="17">
        <v>11.2</v>
      </c>
      <c r="F100" s="141">
        <v>0</v>
      </c>
      <c r="G100" s="17">
        <f>E100*AD100</f>
        <v>0</v>
      </c>
      <c r="H100" s="17">
        <f>I100-G100</f>
        <v>0</v>
      </c>
      <c r="I100" s="17">
        <f>E100*F100</f>
        <v>0</v>
      </c>
      <c r="J100" s="17">
        <v>4.6000000000000001E-4</v>
      </c>
      <c r="K100" s="17">
        <f>E100*J100</f>
        <v>5.1519999999999995E-3</v>
      </c>
      <c r="O100" s="31">
        <f>IF(AF100="5",I100,0)</f>
        <v>0</v>
      </c>
      <c r="Q100" s="31">
        <f>IF(AF100="1",G100,0)</f>
        <v>0</v>
      </c>
      <c r="R100" s="31">
        <f>IF(AF100="1",H100,0)</f>
        <v>0</v>
      </c>
      <c r="S100" s="31">
        <f>IF(AF100="7",G100,0)</f>
        <v>0</v>
      </c>
      <c r="T100" s="31">
        <f>IF(AF100="7",H100,0)</f>
        <v>0</v>
      </c>
      <c r="U100" s="31">
        <f>IF(AF100="2",G100,0)</f>
        <v>0</v>
      </c>
      <c r="V100" s="31">
        <f>IF(AF100="2",H100,0)</f>
        <v>0</v>
      </c>
      <c r="W100" s="31">
        <f>IF(AF100="0",I100,0)</f>
        <v>0</v>
      </c>
      <c r="X100" s="26"/>
      <c r="Y100" s="17">
        <f>IF(AC100=0,I100,0)</f>
        <v>0</v>
      </c>
      <c r="Z100" s="17">
        <f>IF(AC100=15,I100,0)</f>
        <v>0</v>
      </c>
      <c r="AA100" s="17">
        <f>IF(AC100=21,I100,0)</f>
        <v>0</v>
      </c>
      <c r="AC100" s="31">
        <v>21</v>
      </c>
      <c r="AD100" s="31">
        <f>F100*0.186414285714286</f>
        <v>0</v>
      </c>
      <c r="AE100" s="31">
        <f>F100*(1-0.186414285714286)</f>
        <v>0</v>
      </c>
      <c r="AF100" s="27" t="s">
        <v>7</v>
      </c>
      <c r="AL100" s="31">
        <f>E100*AD100</f>
        <v>0</v>
      </c>
      <c r="AM100" s="31">
        <f>E100*AE100</f>
        <v>0</v>
      </c>
      <c r="AN100" s="32" t="s">
        <v>325</v>
      </c>
      <c r="AO100" s="32" t="s">
        <v>337</v>
      </c>
      <c r="AP100" s="26" t="s">
        <v>338</v>
      </c>
      <c r="AR100" s="31">
        <f>AL100+AM100</f>
        <v>0</v>
      </c>
      <c r="AS100" s="31">
        <f>F100/(100-AT100)*100</f>
        <v>0</v>
      </c>
      <c r="AT100" s="31">
        <v>0</v>
      </c>
      <c r="AU100" s="31">
        <f>K100</f>
        <v>5.1519999999999995E-3</v>
      </c>
    </row>
    <row r="101" spans="1:47">
      <c r="A101" s="4" t="s">
        <v>51</v>
      </c>
      <c r="B101" s="4" t="s">
        <v>125</v>
      </c>
      <c r="C101" s="4" t="s">
        <v>241</v>
      </c>
      <c r="D101" s="4" t="s">
        <v>276</v>
      </c>
      <c r="E101" s="17">
        <v>8</v>
      </c>
      <c r="F101" s="141">
        <v>0</v>
      </c>
      <c r="G101" s="17">
        <f>E101*AD101</f>
        <v>0</v>
      </c>
      <c r="H101" s="17">
        <f>I101-G101</f>
        <v>0</v>
      </c>
      <c r="I101" s="17">
        <f>E101*F101</f>
        <v>0</v>
      </c>
      <c r="J101" s="17">
        <v>3.7490000000000002E-2</v>
      </c>
      <c r="K101" s="17">
        <f>E101*J101</f>
        <v>0.29992000000000002</v>
      </c>
      <c r="O101" s="31">
        <f>IF(AF101="5",I101,0)</f>
        <v>0</v>
      </c>
      <c r="Q101" s="31">
        <f>IF(AF101="1",G101,0)</f>
        <v>0</v>
      </c>
      <c r="R101" s="31">
        <f>IF(AF101="1",H101,0)</f>
        <v>0</v>
      </c>
      <c r="S101" s="31">
        <f>IF(AF101="7",G101,0)</f>
        <v>0</v>
      </c>
      <c r="T101" s="31">
        <f>IF(AF101="7",H101,0)</f>
        <v>0</v>
      </c>
      <c r="U101" s="31">
        <f>IF(AF101="2",G101,0)</f>
        <v>0</v>
      </c>
      <c r="V101" s="31">
        <f>IF(AF101="2",H101,0)</f>
        <v>0</v>
      </c>
      <c r="W101" s="31">
        <f>IF(AF101="0",I101,0)</f>
        <v>0</v>
      </c>
      <c r="X101" s="26"/>
      <c r="Y101" s="17">
        <f>IF(AC101=0,I101,0)</f>
        <v>0</v>
      </c>
      <c r="Z101" s="17">
        <f>IF(AC101=15,I101,0)</f>
        <v>0</v>
      </c>
      <c r="AA101" s="17">
        <f>IF(AC101=21,I101,0)</f>
        <v>0</v>
      </c>
      <c r="AC101" s="31">
        <v>21</v>
      </c>
      <c r="AD101" s="31">
        <f>F101*0.0303006535947712</f>
        <v>0</v>
      </c>
      <c r="AE101" s="31">
        <f>F101*(1-0.0303006535947712)</f>
        <v>0</v>
      </c>
      <c r="AF101" s="27" t="s">
        <v>7</v>
      </c>
      <c r="AL101" s="31">
        <f>E101*AD101</f>
        <v>0</v>
      </c>
      <c r="AM101" s="31">
        <f>E101*AE101</f>
        <v>0</v>
      </c>
      <c r="AN101" s="32" t="s">
        <v>325</v>
      </c>
      <c r="AO101" s="32" t="s">
        <v>337</v>
      </c>
      <c r="AP101" s="26" t="s">
        <v>338</v>
      </c>
      <c r="AR101" s="31">
        <f>AL101+AM101</f>
        <v>0</v>
      </c>
      <c r="AS101" s="31">
        <f>F101/(100-AT101)*100</f>
        <v>0</v>
      </c>
      <c r="AT101" s="31">
        <v>0</v>
      </c>
      <c r="AU101" s="31">
        <f>K101</f>
        <v>0.29992000000000002</v>
      </c>
    </row>
    <row r="102" spans="1:47">
      <c r="C102" s="15" t="s">
        <v>242</v>
      </c>
    </row>
    <row r="103" spans="1:47">
      <c r="A103" s="4" t="s">
        <v>52</v>
      </c>
      <c r="B103" s="4" t="s">
        <v>126</v>
      </c>
      <c r="C103" s="4" t="s">
        <v>243</v>
      </c>
      <c r="D103" s="4" t="s">
        <v>275</v>
      </c>
      <c r="E103" s="17">
        <v>16.170000000000002</v>
      </c>
      <c r="F103" s="141">
        <v>0</v>
      </c>
      <c r="G103" s="17">
        <f>E103*AD103</f>
        <v>0</v>
      </c>
      <c r="H103" s="17">
        <f>I103-G103</f>
        <v>0</v>
      </c>
      <c r="I103" s="17">
        <f>E103*F103</f>
        <v>0</v>
      </c>
      <c r="J103" s="17">
        <v>8.8999999999999996E-2</v>
      </c>
      <c r="K103" s="17">
        <f>E103*J103</f>
        <v>1.43913</v>
      </c>
      <c r="O103" s="31">
        <f>IF(AF103="5",I103,0)</f>
        <v>0</v>
      </c>
      <c r="Q103" s="31">
        <f>IF(AF103="1",G103,0)</f>
        <v>0</v>
      </c>
      <c r="R103" s="31">
        <f>IF(AF103="1",H103,0)</f>
        <v>0</v>
      </c>
      <c r="S103" s="31">
        <f>IF(AF103="7",G103,0)</f>
        <v>0</v>
      </c>
      <c r="T103" s="31">
        <f>IF(AF103="7",H103,0)</f>
        <v>0</v>
      </c>
      <c r="U103" s="31">
        <f>IF(AF103="2",G103,0)</f>
        <v>0</v>
      </c>
      <c r="V103" s="31">
        <f>IF(AF103="2",H103,0)</f>
        <v>0</v>
      </c>
      <c r="W103" s="31">
        <f>IF(AF103="0",I103,0)</f>
        <v>0</v>
      </c>
      <c r="X103" s="26"/>
      <c r="Y103" s="17">
        <f>IF(AC103=0,I103,0)</f>
        <v>0</v>
      </c>
      <c r="Z103" s="17">
        <f>IF(AC103=15,I103,0)</f>
        <v>0</v>
      </c>
      <c r="AA103" s="17">
        <f>IF(AC103=21,I103,0)</f>
        <v>0</v>
      </c>
      <c r="AC103" s="31">
        <v>21</v>
      </c>
      <c r="AD103" s="31">
        <f>F103*0</f>
        <v>0</v>
      </c>
      <c r="AE103" s="31">
        <f>F103*(1-0)</f>
        <v>0</v>
      </c>
      <c r="AF103" s="27" t="s">
        <v>7</v>
      </c>
      <c r="AL103" s="31">
        <f>E103*AD103</f>
        <v>0</v>
      </c>
      <c r="AM103" s="31">
        <f>E103*AE103</f>
        <v>0</v>
      </c>
      <c r="AN103" s="32" t="s">
        <v>325</v>
      </c>
      <c r="AO103" s="32" t="s">
        <v>337</v>
      </c>
      <c r="AP103" s="26" t="s">
        <v>338</v>
      </c>
      <c r="AR103" s="31">
        <f>AL103+AM103</f>
        <v>0</v>
      </c>
      <c r="AS103" s="31">
        <f>F103/(100-AT103)*100</f>
        <v>0</v>
      </c>
      <c r="AT103" s="31">
        <v>0</v>
      </c>
      <c r="AU103" s="31">
        <f>K103</f>
        <v>1.43913</v>
      </c>
    </row>
    <row r="104" spans="1:47">
      <c r="A104" s="5"/>
      <c r="B104" s="13" t="s">
        <v>127</v>
      </c>
      <c r="C104" s="70" t="s">
        <v>244</v>
      </c>
      <c r="D104" s="71"/>
      <c r="E104" s="71"/>
      <c r="F104" s="71"/>
      <c r="G104" s="34">
        <f>SUM(G105:G105)</f>
        <v>0</v>
      </c>
      <c r="H104" s="34">
        <f>SUM(H105:H105)</f>
        <v>0</v>
      </c>
      <c r="I104" s="34">
        <f>G104+H104</f>
        <v>0</v>
      </c>
      <c r="J104" s="26"/>
      <c r="K104" s="34">
        <f>SUM(K105:K105)</f>
        <v>0</v>
      </c>
      <c r="X104" s="26"/>
      <c r="AH104" s="34">
        <f>SUM(Y105:Y105)</f>
        <v>0</v>
      </c>
      <c r="AI104" s="34">
        <f>SUM(Z105:Z105)</f>
        <v>0</v>
      </c>
      <c r="AJ104" s="34">
        <f>SUM(AA105:AA105)</f>
        <v>0</v>
      </c>
    </row>
    <row r="105" spans="1:47">
      <c r="A105" s="4" t="s">
        <v>53</v>
      </c>
      <c r="B105" s="4" t="s">
        <v>128</v>
      </c>
      <c r="C105" s="4" t="s">
        <v>245</v>
      </c>
      <c r="D105" s="4" t="s">
        <v>277</v>
      </c>
      <c r="E105" s="17">
        <v>61.95731</v>
      </c>
      <c r="F105" s="141">
        <v>0</v>
      </c>
      <c r="G105" s="17">
        <f>E105*AD105</f>
        <v>0</v>
      </c>
      <c r="H105" s="17">
        <f>I105-G105</f>
        <v>0</v>
      </c>
      <c r="I105" s="17">
        <f>E105*F105</f>
        <v>0</v>
      </c>
      <c r="J105" s="17">
        <v>0</v>
      </c>
      <c r="K105" s="17">
        <f>E105*J105</f>
        <v>0</v>
      </c>
      <c r="O105" s="31">
        <f>IF(AF105="5",I105,0)</f>
        <v>0</v>
      </c>
      <c r="Q105" s="31">
        <f>IF(AF105="1",G105,0)</f>
        <v>0</v>
      </c>
      <c r="R105" s="31">
        <f>IF(AF105="1",H105,0)</f>
        <v>0</v>
      </c>
      <c r="S105" s="31">
        <f>IF(AF105="7",G105,0)</f>
        <v>0</v>
      </c>
      <c r="T105" s="31">
        <f>IF(AF105="7",H105,0)</f>
        <v>0</v>
      </c>
      <c r="U105" s="31">
        <f>IF(AF105="2",G105,0)</f>
        <v>0</v>
      </c>
      <c r="V105" s="31">
        <f>IF(AF105="2",H105,0)</f>
        <v>0</v>
      </c>
      <c r="W105" s="31">
        <f>IF(AF105="0",I105,0)</f>
        <v>0</v>
      </c>
      <c r="X105" s="26"/>
      <c r="Y105" s="17">
        <f>IF(AC105=0,I105,0)</f>
        <v>0</v>
      </c>
      <c r="Z105" s="17">
        <f>IF(AC105=15,I105,0)</f>
        <v>0</v>
      </c>
      <c r="AA105" s="17">
        <f>IF(AC105=21,I105,0)</f>
        <v>0</v>
      </c>
      <c r="AC105" s="31">
        <v>21</v>
      </c>
      <c r="AD105" s="31">
        <f>F105*0</f>
        <v>0</v>
      </c>
      <c r="AE105" s="31">
        <f>F105*(1-0)</f>
        <v>0</v>
      </c>
      <c r="AF105" s="27" t="s">
        <v>11</v>
      </c>
      <c r="AL105" s="31">
        <f>E105*AD105</f>
        <v>0</v>
      </c>
      <c r="AM105" s="31">
        <f>E105*AE105</f>
        <v>0</v>
      </c>
      <c r="AN105" s="32" t="s">
        <v>326</v>
      </c>
      <c r="AO105" s="32" t="s">
        <v>337</v>
      </c>
      <c r="AP105" s="26" t="s">
        <v>338</v>
      </c>
      <c r="AR105" s="31">
        <f>AL105+AM105</f>
        <v>0</v>
      </c>
      <c r="AS105" s="31">
        <f>F105/(100-AT105)*100</f>
        <v>0</v>
      </c>
      <c r="AT105" s="31">
        <v>0</v>
      </c>
      <c r="AU105" s="31">
        <f>K105</f>
        <v>0</v>
      </c>
    </row>
    <row r="106" spans="1:47">
      <c r="A106" s="5"/>
      <c r="B106" s="13" t="s">
        <v>129</v>
      </c>
      <c r="C106" s="70" t="s">
        <v>246</v>
      </c>
      <c r="D106" s="71"/>
      <c r="E106" s="71"/>
      <c r="F106" s="71"/>
      <c r="G106" s="34">
        <f>SUM(G107:G117)</f>
        <v>0</v>
      </c>
      <c r="H106" s="34">
        <f>SUM(H107:H117)</f>
        <v>0</v>
      </c>
      <c r="I106" s="34">
        <f>G106+H106</f>
        <v>0</v>
      </c>
      <c r="J106" s="26"/>
      <c r="K106" s="34">
        <f>SUM(K107:K117)</f>
        <v>16.730399999999999</v>
      </c>
      <c r="X106" s="26"/>
      <c r="AH106" s="34">
        <f>SUM(Y107:Y117)</f>
        <v>0</v>
      </c>
      <c r="AI106" s="34">
        <f>SUM(Z107:Z117)</f>
        <v>0</v>
      </c>
      <c r="AJ106" s="34">
        <f>SUM(AA107:AA117)</f>
        <v>0</v>
      </c>
    </row>
    <row r="107" spans="1:47">
      <c r="A107" s="4" t="s">
        <v>54</v>
      </c>
      <c r="B107" s="4" t="s">
        <v>130</v>
      </c>
      <c r="C107" s="4" t="s">
        <v>247</v>
      </c>
      <c r="D107" s="4" t="s">
        <v>276</v>
      </c>
      <c r="E107" s="17">
        <v>5</v>
      </c>
      <c r="F107" s="141">
        <v>0</v>
      </c>
      <c r="G107" s="17">
        <f>E107*AD107</f>
        <v>0</v>
      </c>
      <c r="H107" s="17">
        <f>I107-G107</f>
        <v>0</v>
      </c>
      <c r="I107" s="17">
        <f>E107*F107</f>
        <v>0</v>
      </c>
      <c r="J107" s="17">
        <v>0</v>
      </c>
      <c r="K107" s="17">
        <f>E107*J107</f>
        <v>0</v>
      </c>
      <c r="O107" s="31">
        <f>IF(AF107="5",I107,0)</f>
        <v>0</v>
      </c>
      <c r="Q107" s="31">
        <f>IF(AF107="1",G107,0)</f>
        <v>0</v>
      </c>
      <c r="R107" s="31">
        <f>IF(AF107="1",H107,0)</f>
        <v>0</v>
      </c>
      <c r="S107" s="31">
        <f>IF(AF107="7",G107,0)</f>
        <v>0</v>
      </c>
      <c r="T107" s="31">
        <f>IF(AF107="7",H107,0)</f>
        <v>0</v>
      </c>
      <c r="U107" s="31">
        <f>IF(AF107="2",G107,0)</f>
        <v>0</v>
      </c>
      <c r="V107" s="31">
        <f>IF(AF107="2",H107,0)</f>
        <v>0</v>
      </c>
      <c r="W107" s="31">
        <f>IF(AF107="0",I107,0)</f>
        <v>0</v>
      </c>
      <c r="X107" s="26"/>
      <c r="Y107" s="17">
        <f>IF(AC107=0,I107,0)</f>
        <v>0</v>
      </c>
      <c r="Z107" s="17">
        <f>IF(AC107=15,I107,0)</f>
        <v>0</v>
      </c>
      <c r="AA107" s="17">
        <f>IF(AC107=21,I107,0)</f>
        <v>0</v>
      </c>
      <c r="AC107" s="31">
        <v>21</v>
      </c>
      <c r="AD107" s="31">
        <f>F107*0</f>
        <v>0</v>
      </c>
      <c r="AE107" s="31">
        <f>F107*(1-0)</f>
        <v>0</v>
      </c>
      <c r="AF107" s="27" t="s">
        <v>8</v>
      </c>
      <c r="AL107" s="31">
        <f>E107*AD107</f>
        <v>0</v>
      </c>
      <c r="AM107" s="31">
        <f>E107*AE107</f>
        <v>0</v>
      </c>
      <c r="AN107" s="32" t="s">
        <v>327</v>
      </c>
      <c r="AO107" s="32" t="s">
        <v>337</v>
      </c>
      <c r="AP107" s="26" t="s">
        <v>338</v>
      </c>
      <c r="AR107" s="31">
        <f>AL107+AM107</f>
        <v>0</v>
      </c>
      <c r="AS107" s="31">
        <f>F107/(100-AT107)*100</f>
        <v>0</v>
      </c>
      <c r="AT107" s="31">
        <v>0</v>
      </c>
      <c r="AU107" s="31">
        <f>K107</f>
        <v>0</v>
      </c>
    </row>
    <row r="108" spans="1:47">
      <c r="A108" s="4" t="s">
        <v>55</v>
      </c>
      <c r="B108" s="4" t="s">
        <v>131</v>
      </c>
      <c r="C108" s="4" t="s">
        <v>248</v>
      </c>
      <c r="D108" s="4" t="s">
        <v>276</v>
      </c>
      <c r="E108" s="17">
        <v>8</v>
      </c>
      <c r="F108" s="141">
        <v>0</v>
      </c>
      <c r="G108" s="17">
        <f>E108*AD108</f>
        <v>0</v>
      </c>
      <c r="H108" s="17">
        <f>I108-G108</f>
        <v>0</v>
      </c>
      <c r="I108" s="17">
        <f>E108*F108</f>
        <v>0</v>
      </c>
      <c r="J108" s="17">
        <v>0</v>
      </c>
      <c r="K108" s="17">
        <f>E108*J108</f>
        <v>0</v>
      </c>
      <c r="O108" s="31">
        <f>IF(AF108="5",I108,0)</f>
        <v>0</v>
      </c>
      <c r="Q108" s="31">
        <f>IF(AF108="1",G108,0)</f>
        <v>0</v>
      </c>
      <c r="R108" s="31">
        <f>IF(AF108="1",H108,0)</f>
        <v>0</v>
      </c>
      <c r="S108" s="31">
        <f>IF(AF108="7",G108,0)</f>
        <v>0</v>
      </c>
      <c r="T108" s="31">
        <f>IF(AF108="7",H108,0)</f>
        <v>0</v>
      </c>
      <c r="U108" s="31">
        <f>IF(AF108="2",G108,0)</f>
        <v>0</v>
      </c>
      <c r="V108" s="31">
        <f>IF(AF108="2",H108,0)</f>
        <v>0</v>
      </c>
      <c r="W108" s="31">
        <f>IF(AF108="0",I108,0)</f>
        <v>0</v>
      </c>
      <c r="X108" s="26"/>
      <c r="Y108" s="17">
        <f>IF(AC108=0,I108,0)</f>
        <v>0</v>
      </c>
      <c r="Z108" s="17">
        <f>IF(AC108=15,I108,0)</f>
        <v>0</v>
      </c>
      <c r="AA108" s="17">
        <f>IF(AC108=21,I108,0)</f>
        <v>0</v>
      </c>
      <c r="AC108" s="31">
        <v>21</v>
      </c>
      <c r="AD108" s="31">
        <f>F108*0</f>
        <v>0</v>
      </c>
      <c r="AE108" s="31">
        <f>F108*(1-0)</f>
        <v>0</v>
      </c>
      <c r="AF108" s="27" t="s">
        <v>8</v>
      </c>
      <c r="AL108" s="31">
        <f>E108*AD108</f>
        <v>0</v>
      </c>
      <c r="AM108" s="31">
        <f>E108*AE108</f>
        <v>0</v>
      </c>
      <c r="AN108" s="32" t="s">
        <v>327</v>
      </c>
      <c r="AO108" s="32" t="s">
        <v>337</v>
      </c>
      <c r="AP108" s="26" t="s">
        <v>338</v>
      </c>
      <c r="AR108" s="31">
        <f>AL108+AM108</f>
        <v>0</v>
      </c>
      <c r="AS108" s="31">
        <f>F108/(100-AT108)*100</f>
        <v>0</v>
      </c>
      <c r="AT108" s="31">
        <v>0</v>
      </c>
      <c r="AU108" s="31">
        <f>K108</f>
        <v>0</v>
      </c>
    </row>
    <row r="109" spans="1:47">
      <c r="A109" s="6" t="s">
        <v>56</v>
      </c>
      <c r="B109" s="6" t="s">
        <v>132</v>
      </c>
      <c r="C109" s="6" t="s">
        <v>249</v>
      </c>
      <c r="D109" s="6" t="s">
        <v>276</v>
      </c>
      <c r="E109" s="18">
        <v>5</v>
      </c>
      <c r="F109" s="143">
        <v>0</v>
      </c>
      <c r="G109" s="18">
        <f>E109*AD109</f>
        <v>0</v>
      </c>
      <c r="H109" s="18">
        <f>I109-G109</f>
        <v>0</v>
      </c>
      <c r="I109" s="18">
        <f>E109*F109</f>
        <v>0</v>
      </c>
      <c r="J109" s="18">
        <v>7.4000000000000003E-3</v>
      </c>
      <c r="K109" s="18">
        <f>E109*J109</f>
        <v>3.7000000000000005E-2</v>
      </c>
      <c r="O109" s="31">
        <f>IF(AF109="5",I109,0)</f>
        <v>0</v>
      </c>
      <c r="Q109" s="31">
        <f>IF(AF109="1",G109,0)</f>
        <v>0</v>
      </c>
      <c r="R109" s="31">
        <f>IF(AF109="1",H109,0)</f>
        <v>0</v>
      </c>
      <c r="S109" s="31">
        <f>IF(AF109="7",G109,0)</f>
        <v>0</v>
      </c>
      <c r="T109" s="31">
        <f>IF(AF109="7",H109,0)</f>
        <v>0</v>
      </c>
      <c r="U109" s="31">
        <f>IF(AF109="2",G109,0)</f>
        <v>0</v>
      </c>
      <c r="V109" s="31">
        <f>IF(AF109="2",H109,0)</f>
        <v>0</v>
      </c>
      <c r="W109" s="31">
        <f>IF(AF109="0",I109,0)</f>
        <v>0</v>
      </c>
      <c r="X109" s="26"/>
      <c r="Y109" s="18">
        <f>IF(AC109=0,I109,0)</f>
        <v>0</v>
      </c>
      <c r="Z109" s="18">
        <f>IF(AC109=15,I109,0)</f>
        <v>0</v>
      </c>
      <c r="AA109" s="18">
        <f>IF(AC109=21,I109,0)</f>
        <v>0</v>
      </c>
      <c r="AC109" s="31">
        <v>21</v>
      </c>
      <c r="AD109" s="31">
        <f>F109*1</f>
        <v>0</v>
      </c>
      <c r="AE109" s="31">
        <f>F109*(1-1)</f>
        <v>0</v>
      </c>
      <c r="AF109" s="28" t="s">
        <v>7</v>
      </c>
      <c r="AL109" s="31">
        <f>E109*AD109</f>
        <v>0</v>
      </c>
      <c r="AM109" s="31">
        <f>E109*AE109</f>
        <v>0</v>
      </c>
      <c r="AN109" s="32" t="s">
        <v>327</v>
      </c>
      <c r="AO109" s="32" t="s">
        <v>337</v>
      </c>
      <c r="AP109" s="26" t="s">
        <v>338</v>
      </c>
      <c r="AR109" s="31">
        <f>AL109+AM109</f>
        <v>0</v>
      </c>
      <c r="AS109" s="31">
        <f>F109/(100-AT109)*100</f>
        <v>0</v>
      </c>
      <c r="AT109" s="31">
        <v>0</v>
      </c>
      <c r="AU109" s="31">
        <f>K109</f>
        <v>3.7000000000000005E-2</v>
      </c>
    </row>
    <row r="110" spans="1:47">
      <c r="A110" s="6" t="s">
        <v>57</v>
      </c>
      <c r="B110" s="6" t="s">
        <v>133</v>
      </c>
      <c r="C110" s="6" t="s">
        <v>250</v>
      </c>
      <c r="D110" s="6" t="s">
        <v>276</v>
      </c>
      <c r="E110" s="18">
        <v>8</v>
      </c>
      <c r="F110" s="143">
        <v>0</v>
      </c>
      <c r="G110" s="18">
        <f>E110*AD110</f>
        <v>0</v>
      </c>
      <c r="H110" s="18">
        <f>I110-G110</f>
        <v>0</v>
      </c>
      <c r="I110" s="18">
        <f>E110*F110</f>
        <v>0</v>
      </c>
      <c r="J110" s="18">
        <v>4.5999999999999999E-3</v>
      </c>
      <c r="K110" s="18">
        <f>E110*J110</f>
        <v>3.6799999999999999E-2</v>
      </c>
      <c r="O110" s="31">
        <f>IF(AF110="5",I110,0)</f>
        <v>0</v>
      </c>
      <c r="Q110" s="31">
        <f>IF(AF110="1",G110,0)</f>
        <v>0</v>
      </c>
      <c r="R110" s="31">
        <f>IF(AF110="1",H110,0)</f>
        <v>0</v>
      </c>
      <c r="S110" s="31">
        <f>IF(AF110="7",G110,0)</f>
        <v>0</v>
      </c>
      <c r="T110" s="31">
        <f>IF(AF110="7",H110,0)</f>
        <v>0</v>
      </c>
      <c r="U110" s="31">
        <f>IF(AF110="2",G110,0)</f>
        <v>0</v>
      </c>
      <c r="V110" s="31">
        <f>IF(AF110="2",H110,0)</f>
        <v>0</v>
      </c>
      <c r="W110" s="31">
        <f>IF(AF110="0",I110,0)</f>
        <v>0</v>
      </c>
      <c r="X110" s="26"/>
      <c r="Y110" s="18">
        <f>IF(AC110=0,I110,0)</f>
        <v>0</v>
      </c>
      <c r="Z110" s="18">
        <f>IF(AC110=15,I110,0)</f>
        <v>0</v>
      </c>
      <c r="AA110" s="18">
        <f>IF(AC110=21,I110,0)</f>
        <v>0</v>
      </c>
      <c r="AC110" s="31">
        <v>21</v>
      </c>
      <c r="AD110" s="31">
        <f>F110*1</f>
        <v>0</v>
      </c>
      <c r="AE110" s="31">
        <f>F110*(1-1)</f>
        <v>0</v>
      </c>
      <c r="AF110" s="28" t="s">
        <v>7</v>
      </c>
      <c r="AL110" s="31">
        <f>E110*AD110</f>
        <v>0</v>
      </c>
      <c r="AM110" s="31">
        <f>E110*AE110</f>
        <v>0</v>
      </c>
      <c r="AN110" s="32" t="s">
        <v>327</v>
      </c>
      <c r="AO110" s="32" t="s">
        <v>337</v>
      </c>
      <c r="AP110" s="26" t="s">
        <v>338</v>
      </c>
      <c r="AR110" s="31">
        <f>AL110+AM110</f>
        <v>0</v>
      </c>
      <c r="AS110" s="31">
        <f>F110/(100-AT110)*100</f>
        <v>0</v>
      </c>
      <c r="AT110" s="31">
        <v>0</v>
      </c>
      <c r="AU110" s="31">
        <f>K110</f>
        <v>3.6799999999999999E-2</v>
      </c>
    </row>
    <row r="111" spans="1:47">
      <c r="A111" s="4" t="s">
        <v>58</v>
      </c>
      <c r="B111" s="4" t="s">
        <v>134</v>
      </c>
      <c r="C111" s="4" t="s">
        <v>251</v>
      </c>
      <c r="D111" s="4" t="s">
        <v>274</v>
      </c>
      <c r="E111" s="17">
        <v>60</v>
      </c>
      <c r="F111" s="141">
        <v>0</v>
      </c>
      <c r="G111" s="17">
        <f>E111*AD111</f>
        <v>0</v>
      </c>
      <c r="H111" s="17">
        <f>I111-G111</f>
        <v>0</v>
      </c>
      <c r="I111" s="17">
        <f>E111*F111</f>
        <v>0</v>
      </c>
      <c r="J111" s="17">
        <v>0.27731</v>
      </c>
      <c r="K111" s="17">
        <f>E111*J111</f>
        <v>16.6386</v>
      </c>
      <c r="O111" s="31">
        <f>IF(AF111="5",I111,0)</f>
        <v>0</v>
      </c>
      <c r="Q111" s="31">
        <f>IF(AF111="1",G111,0)</f>
        <v>0</v>
      </c>
      <c r="R111" s="31">
        <f>IF(AF111="1",H111,0)</f>
        <v>0</v>
      </c>
      <c r="S111" s="31">
        <f>IF(AF111="7",G111,0)</f>
        <v>0</v>
      </c>
      <c r="T111" s="31">
        <f>IF(AF111="7",H111,0)</f>
        <v>0</v>
      </c>
      <c r="U111" s="31">
        <f>IF(AF111="2",G111,0)</f>
        <v>0</v>
      </c>
      <c r="V111" s="31">
        <f>IF(AF111="2",H111,0)</f>
        <v>0</v>
      </c>
      <c r="W111" s="31">
        <f>IF(AF111="0",I111,0)</f>
        <v>0</v>
      </c>
      <c r="X111" s="26"/>
      <c r="Y111" s="17">
        <f>IF(AC111=0,I111,0)</f>
        <v>0</v>
      </c>
      <c r="Z111" s="17">
        <f>IF(AC111=15,I111,0)</f>
        <v>0</v>
      </c>
      <c r="AA111" s="17">
        <f>IF(AC111=21,I111,0)</f>
        <v>0</v>
      </c>
      <c r="AC111" s="31">
        <v>21</v>
      </c>
      <c r="AD111" s="31">
        <f>F111*0.605296825140068</f>
        <v>0</v>
      </c>
      <c r="AE111" s="31">
        <f>F111*(1-0.605296825140068)</f>
        <v>0</v>
      </c>
      <c r="AF111" s="27" t="s">
        <v>8</v>
      </c>
      <c r="AL111" s="31">
        <f>E111*AD111</f>
        <v>0</v>
      </c>
      <c r="AM111" s="31">
        <f>E111*AE111</f>
        <v>0</v>
      </c>
      <c r="AN111" s="32" t="s">
        <v>327</v>
      </c>
      <c r="AO111" s="32" t="s">
        <v>337</v>
      </c>
      <c r="AP111" s="26" t="s">
        <v>338</v>
      </c>
      <c r="AR111" s="31">
        <f>AL111+AM111</f>
        <v>0</v>
      </c>
      <c r="AS111" s="31">
        <f>F111/(100-AT111)*100</f>
        <v>0</v>
      </c>
      <c r="AT111" s="31">
        <v>0</v>
      </c>
      <c r="AU111" s="31">
        <f>K111</f>
        <v>16.6386</v>
      </c>
    </row>
    <row r="112" spans="1:47">
      <c r="C112" s="15" t="s">
        <v>252</v>
      </c>
    </row>
    <row r="113" spans="1:47">
      <c r="A113" s="4" t="s">
        <v>59</v>
      </c>
      <c r="B113" s="4" t="s">
        <v>135</v>
      </c>
      <c r="C113" s="4" t="s">
        <v>253</v>
      </c>
      <c r="D113" s="4" t="s">
        <v>280</v>
      </c>
      <c r="E113" s="17">
        <v>1</v>
      </c>
      <c r="F113" s="141">
        <v>0</v>
      </c>
      <c r="G113" s="17">
        <f>E113*AD113</f>
        <v>0</v>
      </c>
      <c r="H113" s="17">
        <f>I113-G113</f>
        <v>0</v>
      </c>
      <c r="I113" s="17">
        <f>E113*F113</f>
        <v>0</v>
      </c>
      <c r="J113" s="17">
        <v>0</v>
      </c>
      <c r="K113" s="17">
        <f>E113*J113</f>
        <v>0</v>
      </c>
      <c r="O113" s="31">
        <f>IF(AF113="5",I113,0)</f>
        <v>0</v>
      </c>
      <c r="Q113" s="31">
        <f>IF(AF113="1",G113,0)</f>
        <v>0</v>
      </c>
      <c r="R113" s="31">
        <f>IF(AF113="1",H113,0)</f>
        <v>0</v>
      </c>
      <c r="S113" s="31">
        <f>IF(AF113="7",G113,0)</f>
        <v>0</v>
      </c>
      <c r="T113" s="31">
        <f>IF(AF113="7",H113,0)</f>
        <v>0</v>
      </c>
      <c r="U113" s="31">
        <f>IF(AF113="2",G113,0)</f>
        <v>0</v>
      </c>
      <c r="V113" s="31">
        <f>IF(AF113="2",H113,0)</f>
        <v>0</v>
      </c>
      <c r="W113" s="31">
        <f>IF(AF113="0",I113,0)</f>
        <v>0</v>
      </c>
      <c r="X113" s="26"/>
      <c r="Y113" s="17">
        <f>IF(AC113=0,I113,0)</f>
        <v>0</v>
      </c>
      <c r="Z113" s="17">
        <f>IF(AC113=15,I113,0)</f>
        <v>0</v>
      </c>
      <c r="AA113" s="17">
        <f>IF(AC113=21,I113,0)</f>
        <v>0</v>
      </c>
      <c r="AC113" s="31">
        <v>21</v>
      </c>
      <c r="AD113" s="31">
        <f>F113*0</f>
        <v>0</v>
      </c>
      <c r="AE113" s="31">
        <f>F113*(1-0)</f>
        <v>0</v>
      </c>
      <c r="AF113" s="27" t="s">
        <v>8</v>
      </c>
      <c r="AL113" s="31">
        <f>E113*AD113</f>
        <v>0</v>
      </c>
      <c r="AM113" s="31">
        <f>E113*AE113</f>
        <v>0</v>
      </c>
      <c r="AN113" s="32" t="s">
        <v>327</v>
      </c>
      <c r="AO113" s="32" t="s">
        <v>337</v>
      </c>
      <c r="AP113" s="26" t="s">
        <v>338</v>
      </c>
      <c r="AR113" s="31">
        <f>AL113+AM113</f>
        <v>0</v>
      </c>
      <c r="AS113" s="31">
        <f>F113/(100-AT113)*100</f>
        <v>0</v>
      </c>
      <c r="AT113" s="31">
        <v>0</v>
      </c>
      <c r="AU113" s="31">
        <f>K113</f>
        <v>0</v>
      </c>
    </row>
    <row r="114" spans="1:47">
      <c r="C114" s="15" t="s">
        <v>254</v>
      </c>
    </row>
    <row r="115" spans="1:47">
      <c r="A115" s="4" t="s">
        <v>60</v>
      </c>
      <c r="B115" s="4" t="s">
        <v>136</v>
      </c>
      <c r="C115" s="4" t="s">
        <v>255</v>
      </c>
      <c r="D115" s="4" t="s">
        <v>276</v>
      </c>
      <c r="E115" s="17">
        <v>3</v>
      </c>
      <c r="F115" s="141">
        <v>0</v>
      </c>
      <c r="G115" s="17">
        <f>E115*AD115</f>
        <v>0</v>
      </c>
      <c r="H115" s="17">
        <f>I115-G115</f>
        <v>0</v>
      </c>
      <c r="I115" s="17">
        <f>E115*F115</f>
        <v>0</v>
      </c>
      <c r="J115" s="17">
        <v>0</v>
      </c>
      <c r="K115" s="17">
        <f>E115*J115</f>
        <v>0</v>
      </c>
      <c r="O115" s="31">
        <f>IF(AF115="5",I115,0)</f>
        <v>0</v>
      </c>
      <c r="Q115" s="31">
        <f>IF(AF115="1",G115,0)</f>
        <v>0</v>
      </c>
      <c r="R115" s="31">
        <f>IF(AF115="1",H115,0)</f>
        <v>0</v>
      </c>
      <c r="S115" s="31">
        <f>IF(AF115="7",G115,0)</f>
        <v>0</v>
      </c>
      <c r="T115" s="31">
        <f>IF(AF115="7",H115,0)</f>
        <v>0</v>
      </c>
      <c r="U115" s="31">
        <f>IF(AF115="2",G115,0)</f>
        <v>0</v>
      </c>
      <c r="V115" s="31">
        <f>IF(AF115="2",H115,0)</f>
        <v>0</v>
      </c>
      <c r="W115" s="31">
        <f>IF(AF115="0",I115,0)</f>
        <v>0</v>
      </c>
      <c r="X115" s="26"/>
      <c r="Y115" s="17">
        <f>IF(AC115=0,I115,0)</f>
        <v>0</v>
      </c>
      <c r="Z115" s="17">
        <f>IF(AC115=15,I115,0)</f>
        <v>0</v>
      </c>
      <c r="AA115" s="17">
        <f>IF(AC115=21,I115,0)</f>
        <v>0</v>
      </c>
      <c r="AC115" s="31">
        <v>21</v>
      </c>
      <c r="AD115" s="31">
        <f>F115*0</f>
        <v>0</v>
      </c>
      <c r="AE115" s="31">
        <f>F115*(1-0)</f>
        <v>0</v>
      </c>
      <c r="AF115" s="27" t="s">
        <v>8</v>
      </c>
      <c r="AL115" s="31">
        <f>E115*AD115</f>
        <v>0</v>
      </c>
      <c r="AM115" s="31">
        <f>E115*AE115</f>
        <v>0</v>
      </c>
      <c r="AN115" s="32" t="s">
        <v>327</v>
      </c>
      <c r="AO115" s="32" t="s">
        <v>337</v>
      </c>
      <c r="AP115" s="26" t="s">
        <v>338</v>
      </c>
      <c r="AR115" s="31">
        <f>AL115+AM115</f>
        <v>0</v>
      </c>
      <c r="AS115" s="31">
        <f>F115/(100-AT115)*100</f>
        <v>0</v>
      </c>
      <c r="AT115" s="31">
        <v>0</v>
      </c>
      <c r="AU115" s="31">
        <f>K115</f>
        <v>0</v>
      </c>
    </row>
    <row r="116" spans="1:47">
      <c r="C116" s="15" t="s">
        <v>256</v>
      </c>
    </row>
    <row r="117" spans="1:47">
      <c r="A117" s="6" t="s">
        <v>61</v>
      </c>
      <c r="B117" s="6" t="s">
        <v>137</v>
      </c>
      <c r="C117" s="6" t="s">
        <v>257</v>
      </c>
      <c r="D117" s="6" t="s">
        <v>276</v>
      </c>
      <c r="E117" s="18">
        <v>3</v>
      </c>
      <c r="F117" s="143">
        <v>0</v>
      </c>
      <c r="G117" s="18">
        <f>E117*AD117</f>
        <v>0</v>
      </c>
      <c r="H117" s="18">
        <f>I117-G117</f>
        <v>0</v>
      </c>
      <c r="I117" s="18">
        <f>E117*F117</f>
        <v>0</v>
      </c>
      <c r="J117" s="18">
        <v>6.0000000000000001E-3</v>
      </c>
      <c r="K117" s="18">
        <f>E117*J117</f>
        <v>1.8000000000000002E-2</v>
      </c>
      <c r="O117" s="31">
        <f>IF(AF117="5",I117,0)</f>
        <v>0</v>
      </c>
      <c r="Q117" s="31">
        <f>IF(AF117="1",G117,0)</f>
        <v>0</v>
      </c>
      <c r="R117" s="31">
        <f>IF(AF117="1",H117,0)</f>
        <v>0</v>
      </c>
      <c r="S117" s="31">
        <f>IF(AF117="7",G117,0)</f>
        <v>0</v>
      </c>
      <c r="T117" s="31">
        <f>IF(AF117="7",H117,0)</f>
        <v>0</v>
      </c>
      <c r="U117" s="31">
        <f>IF(AF117="2",G117,0)</f>
        <v>0</v>
      </c>
      <c r="V117" s="31">
        <f>IF(AF117="2",H117,0)</f>
        <v>0</v>
      </c>
      <c r="W117" s="31">
        <f>IF(AF117="0",I117,0)</f>
        <v>0</v>
      </c>
      <c r="X117" s="26"/>
      <c r="Y117" s="18">
        <f>IF(AC117=0,I117,0)</f>
        <v>0</v>
      </c>
      <c r="Z117" s="18">
        <f>IF(AC117=15,I117,0)</f>
        <v>0</v>
      </c>
      <c r="AA117" s="18">
        <f>IF(AC117=21,I117,0)</f>
        <v>0</v>
      </c>
      <c r="AC117" s="31">
        <v>21</v>
      </c>
      <c r="AD117" s="31">
        <f>F117*1</f>
        <v>0</v>
      </c>
      <c r="AE117" s="31">
        <f>F117*(1-1)</f>
        <v>0</v>
      </c>
      <c r="AF117" s="28" t="s">
        <v>7</v>
      </c>
      <c r="AL117" s="31">
        <f>E117*AD117</f>
        <v>0</v>
      </c>
      <c r="AM117" s="31">
        <f>E117*AE117</f>
        <v>0</v>
      </c>
      <c r="AN117" s="32" t="s">
        <v>327</v>
      </c>
      <c r="AO117" s="32" t="s">
        <v>337</v>
      </c>
      <c r="AP117" s="26" t="s">
        <v>338</v>
      </c>
      <c r="AR117" s="31">
        <f>AL117+AM117</f>
        <v>0</v>
      </c>
      <c r="AS117" s="31">
        <f>F117/(100-AT117)*100</f>
        <v>0</v>
      </c>
      <c r="AT117" s="31">
        <v>0</v>
      </c>
      <c r="AU117" s="31">
        <f>K117</f>
        <v>1.8000000000000002E-2</v>
      </c>
    </row>
    <row r="118" spans="1:47">
      <c r="A118" s="5"/>
      <c r="B118" s="13" t="s">
        <v>138</v>
      </c>
      <c r="C118" s="70" t="s">
        <v>258</v>
      </c>
      <c r="D118" s="71"/>
      <c r="E118" s="71"/>
      <c r="F118" s="71"/>
      <c r="G118" s="34">
        <f>SUM(G119:G127)</f>
        <v>0</v>
      </c>
      <c r="H118" s="34">
        <f>SUM(H119:H127)</f>
        <v>0</v>
      </c>
      <c r="I118" s="34">
        <f>G118+H118</f>
        <v>0</v>
      </c>
      <c r="J118" s="26"/>
      <c r="K118" s="34">
        <f>SUM(K119:K127)</f>
        <v>0</v>
      </c>
      <c r="X118" s="26"/>
      <c r="AH118" s="34">
        <f>SUM(Y119:Y127)</f>
        <v>0</v>
      </c>
      <c r="AI118" s="34">
        <f>SUM(Z119:Z127)</f>
        <v>0</v>
      </c>
      <c r="AJ118" s="34">
        <f>SUM(AA119:AA127)</f>
        <v>0</v>
      </c>
    </row>
    <row r="119" spans="1:47">
      <c r="A119" s="4" t="s">
        <v>62</v>
      </c>
      <c r="B119" s="4" t="s">
        <v>139</v>
      </c>
      <c r="C119" s="4" t="s">
        <v>259</v>
      </c>
      <c r="D119" s="4" t="s">
        <v>277</v>
      </c>
      <c r="E119" s="17">
        <v>54.57</v>
      </c>
      <c r="F119" s="141">
        <v>0</v>
      </c>
      <c r="G119" s="17">
        <f t="shared" ref="G119:G127" si="0">E119*AD119</f>
        <v>0</v>
      </c>
      <c r="H119" s="17">
        <f t="shared" ref="H119:H127" si="1">I119-G119</f>
        <v>0</v>
      </c>
      <c r="I119" s="17">
        <f t="shared" ref="I119:I127" si="2">E119*F119</f>
        <v>0</v>
      </c>
      <c r="J119" s="17">
        <v>0</v>
      </c>
      <c r="K119" s="17">
        <f t="shared" ref="K119:K127" si="3">E119*J119</f>
        <v>0</v>
      </c>
      <c r="O119" s="31">
        <f t="shared" ref="O119:O127" si="4">IF(AF119="5",I119,0)</f>
        <v>0</v>
      </c>
      <c r="Q119" s="31">
        <f t="shared" ref="Q119:Q127" si="5">IF(AF119="1",G119,0)</f>
        <v>0</v>
      </c>
      <c r="R119" s="31">
        <f t="shared" ref="R119:R127" si="6">IF(AF119="1",H119,0)</f>
        <v>0</v>
      </c>
      <c r="S119" s="31">
        <f t="shared" ref="S119:S127" si="7">IF(AF119="7",G119,0)</f>
        <v>0</v>
      </c>
      <c r="T119" s="31">
        <f t="shared" ref="T119:T127" si="8">IF(AF119="7",H119,0)</f>
        <v>0</v>
      </c>
      <c r="U119" s="31">
        <f t="shared" ref="U119:U127" si="9">IF(AF119="2",G119,0)</f>
        <v>0</v>
      </c>
      <c r="V119" s="31">
        <f t="shared" ref="V119:V127" si="10">IF(AF119="2",H119,0)</f>
        <v>0</v>
      </c>
      <c r="W119" s="31">
        <f t="shared" ref="W119:W127" si="11">IF(AF119="0",I119,0)</f>
        <v>0</v>
      </c>
      <c r="X119" s="26"/>
      <c r="Y119" s="17">
        <f t="shared" ref="Y119:Y127" si="12">IF(AC119=0,I119,0)</f>
        <v>0</v>
      </c>
      <c r="Z119" s="17">
        <f t="shared" ref="Z119:Z127" si="13">IF(AC119=15,I119,0)</f>
        <v>0</v>
      </c>
      <c r="AA119" s="17">
        <f t="shared" ref="AA119:AA127" si="14">IF(AC119=21,I119,0)</f>
        <v>0</v>
      </c>
      <c r="AC119" s="31">
        <v>21</v>
      </c>
      <c r="AD119" s="31">
        <f>F119*0</f>
        <v>0</v>
      </c>
      <c r="AE119" s="31">
        <f>F119*(1-0)</f>
        <v>0</v>
      </c>
      <c r="AF119" s="27" t="s">
        <v>11</v>
      </c>
      <c r="AL119" s="31">
        <f t="shared" ref="AL119:AL127" si="15">E119*AD119</f>
        <v>0</v>
      </c>
      <c r="AM119" s="31">
        <f t="shared" ref="AM119:AM127" si="16">E119*AE119</f>
        <v>0</v>
      </c>
      <c r="AN119" s="32" t="s">
        <v>328</v>
      </c>
      <c r="AO119" s="32" t="s">
        <v>337</v>
      </c>
      <c r="AP119" s="26" t="s">
        <v>338</v>
      </c>
      <c r="AR119" s="31">
        <f t="shared" ref="AR119:AR127" si="17">AL119+AM119</f>
        <v>0</v>
      </c>
      <c r="AS119" s="31">
        <f t="shared" ref="AS119:AS127" si="18">F119/(100-AT119)*100</f>
        <v>0</v>
      </c>
      <c r="AT119" s="31">
        <v>0</v>
      </c>
      <c r="AU119" s="31">
        <f t="shared" ref="AU119:AU127" si="19">K119</f>
        <v>0</v>
      </c>
    </row>
    <row r="120" spans="1:47">
      <c r="A120" s="4" t="s">
        <v>63</v>
      </c>
      <c r="B120" s="4" t="s">
        <v>140</v>
      </c>
      <c r="C120" s="4" t="s">
        <v>260</v>
      </c>
      <c r="D120" s="4" t="s">
        <v>277</v>
      </c>
      <c r="E120" s="17">
        <v>109.14</v>
      </c>
      <c r="F120" s="141">
        <v>0</v>
      </c>
      <c r="G120" s="17">
        <f t="shared" si="0"/>
        <v>0</v>
      </c>
      <c r="H120" s="17">
        <f t="shared" si="1"/>
        <v>0</v>
      </c>
      <c r="I120" s="17">
        <f t="shared" si="2"/>
        <v>0</v>
      </c>
      <c r="J120" s="17">
        <v>0</v>
      </c>
      <c r="K120" s="17">
        <f t="shared" si="3"/>
        <v>0</v>
      </c>
      <c r="O120" s="31">
        <f t="shared" si="4"/>
        <v>0</v>
      </c>
      <c r="Q120" s="31">
        <f t="shared" si="5"/>
        <v>0</v>
      </c>
      <c r="R120" s="31">
        <f t="shared" si="6"/>
        <v>0</v>
      </c>
      <c r="S120" s="31">
        <f t="shared" si="7"/>
        <v>0</v>
      </c>
      <c r="T120" s="31">
        <f t="shared" si="8"/>
        <v>0</v>
      </c>
      <c r="U120" s="31">
        <f t="shared" si="9"/>
        <v>0</v>
      </c>
      <c r="V120" s="31">
        <f t="shared" si="10"/>
        <v>0</v>
      </c>
      <c r="W120" s="31">
        <f t="shared" si="11"/>
        <v>0</v>
      </c>
      <c r="X120" s="26"/>
      <c r="Y120" s="17">
        <f t="shared" si="12"/>
        <v>0</v>
      </c>
      <c r="Z120" s="17">
        <f t="shared" si="13"/>
        <v>0</v>
      </c>
      <c r="AA120" s="17">
        <f t="shared" si="14"/>
        <v>0</v>
      </c>
      <c r="AC120" s="31">
        <v>21</v>
      </c>
      <c r="AD120" s="31">
        <f>F120*0</f>
        <v>0</v>
      </c>
      <c r="AE120" s="31">
        <f>F120*(1-0)</f>
        <v>0</v>
      </c>
      <c r="AF120" s="27" t="s">
        <v>11</v>
      </c>
      <c r="AL120" s="31">
        <f t="shared" si="15"/>
        <v>0</v>
      </c>
      <c r="AM120" s="31">
        <f t="shared" si="16"/>
        <v>0</v>
      </c>
      <c r="AN120" s="32" t="s">
        <v>328</v>
      </c>
      <c r="AO120" s="32" t="s">
        <v>337</v>
      </c>
      <c r="AP120" s="26" t="s">
        <v>338</v>
      </c>
      <c r="AR120" s="31">
        <f t="shared" si="17"/>
        <v>0</v>
      </c>
      <c r="AS120" s="31">
        <f t="shared" si="18"/>
        <v>0</v>
      </c>
      <c r="AT120" s="31">
        <v>0</v>
      </c>
      <c r="AU120" s="31">
        <f t="shared" si="19"/>
        <v>0</v>
      </c>
    </row>
    <row r="121" spans="1:47">
      <c r="A121" s="4" t="s">
        <v>64</v>
      </c>
      <c r="B121" s="4" t="s">
        <v>141</v>
      </c>
      <c r="C121" s="4" t="s">
        <v>261</v>
      </c>
      <c r="D121" s="4" t="s">
        <v>277</v>
      </c>
      <c r="E121" s="17">
        <v>54.57</v>
      </c>
      <c r="F121" s="141">
        <v>0</v>
      </c>
      <c r="G121" s="17">
        <f t="shared" si="0"/>
        <v>0</v>
      </c>
      <c r="H121" s="17">
        <f t="shared" si="1"/>
        <v>0</v>
      </c>
      <c r="I121" s="17">
        <f t="shared" si="2"/>
        <v>0</v>
      </c>
      <c r="J121" s="17">
        <v>0</v>
      </c>
      <c r="K121" s="17">
        <f t="shared" si="3"/>
        <v>0</v>
      </c>
      <c r="O121" s="31">
        <f t="shared" si="4"/>
        <v>0</v>
      </c>
      <c r="Q121" s="31">
        <f t="shared" si="5"/>
        <v>0</v>
      </c>
      <c r="R121" s="31">
        <f t="shared" si="6"/>
        <v>0</v>
      </c>
      <c r="S121" s="31">
        <f t="shared" si="7"/>
        <v>0</v>
      </c>
      <c r="T121" s="31">
        <f t="shared" si="8"/>
        <v>0</v>
      </c>
      <c r="U121" s="31">
        <f t="shared" si="9"/>
        <v>0</v>
      </c>
      <c r="V121" s="31">
        <f t="shared" si="10"/>
        <v>0</v>
      </c>
      <c r="W121" s="31">
        <f t="shared" si="11"/>
        <v>0</v>
      </c>
      <c r="X121" s="26"/>
      <c r="Y121" s="17">
        <f t="shared" si="12"/>
        <v>0</v>
      </c>
      <c r="Z121" s="17">
        <f t="shared" si="13"/>
        <v>0</v>
      </c>
      <c r="AA121" s="17">
        <f t="shared" si="14"/>
        <v>0</v>
      </c>
      <c r="AC121" s="31">
        <v>21</v>
      </c>
      <c r="AD121" s="31">
        <f>F121*0.00936537667862472</f>
        <v>0</v>
      </c>
      <c r="AE121" s="31">
        <f>F121*(1-0.00936537667862472)</f>
        <v>0</v>
      </c>
      <c r="AF121" s="27" t="s">
        <v>11</v>
      </c>
      <c r="AL121" s="31">
        <f t="shared" si="15"/>
        <v>0</v>
      </c>
      <c r="AM121" s="31">
        <f t="shared" si="16"/>
        <v>0</v>
      </c>
      <c r="AN121" s="32" t="s">
        <v>328</v>
      </c>
      <c r="AO121" s="32" t="s">
        <v>337</v>
      </c>
      <c r="AP121" s="26" t="s">
        <v>338</v>
      </c>
      <c r="AR121" s="31">
        <f t="shared" si="17"/>
        <v>0</v>
      </c>
      <c r="AS121" s="31">
        <f t="shared" si="18"/>
        <v>0</v>
      </c>
      <c r="AT121" s="31">
        <v>0</v>
      </c>
      <c r="AU121" s="31">
        <f t="shared" si="19"/>
        <v>0</v>
      </c>
    </row>
    <row r="122" spans="1:47">
      <c r="A122" s="4" t="s">
        <v>65</v>
      </c>
      <c r="B122" s="4" t="s">
        <v>142</v>
      </c>
      <c r="C122" s="4" t="s">
        <v>262</v>
      </c>
      <c r="D122" s="4" t="s">
        <v>277</v>
      </c>
      <c r="E122" s="17">
        <v>491.13</v>
      </c>
      <c r="F122" s="141">
        <v>0</v>
      </c>
      <c r="G122" s="17">
        <f t="shared" si="0"/>
        <v>0</v>
      </c>
      <c r="H122" s="17">
        <f t="shared" si="1"/>
        <v>0</v>
      </c>
      <c r="I122" s="17">
        <f t="shared" si="2"/>
        <v>0</v>
      </c>
      <c r="J122" s="17">
        <v>0</v>
      </c>
      <c r="K122" s="17">
        <f t="shared" si="3"/>
        <v>0</v>
      </c>
      <c r="O122" s="31">
        <f t="shared" si="4"/>
        <v>0</v>
      </c>
      <c r="Q122" s="31">
        <f t="shared" si="5"/>
        <v>0</v>
      </c>
      <c r="R122" s="31">
        <f t="shared" si="6"/>
        <v>0</v>
      </c>
      <c r="S122" s="31">
        <f t="shared" si="7"/>
        <v>0</v>
      </c>
      <c r="T122" s="31">
        <f t="shared" si="8"/>
        <v>0</v>
      </c>
      <c r="U122" s="31">
        <f t="shared" si="9"/>
        <v>0</v>
      </c>
      <c r="V122" s="31">
        <f t="shared" si="10"/>
        <v>0</v>
      </c>
      <c r="W122" s="31">
        <f t="shared" si="11"/>
        <v>0</v>
      </c>
      <c r="X122" s="26"/>
      <c r="Y122" s="17">
        <f t="shared" si="12"/>
        <v>0</v>
      </c>
      <c r="Z122" s="17">
        <f t="shared" si="13"/>
        <v>0</v>
      </c>
      <c r="AA122" s="17">
        <f t="shared" si="14"/>
        <v>0</v>
      </c>
      <c r="AC122" s="31">
        <v>21</v>
      </c>
      <c r="AD122" s="31">
        <f t="shared" ref="AD122:AD127" si="20">F122*0</f>
        <v>0</v>
      </c>
      <c r="AE122" s="31">
        <f t="shared" ref="AE122:AE127" si="21">F122*(1-0)</f>
        <v>0</v>
      </c>
      <c r="AF122" s="27" t="s">
        <v>11</v>
      </c>
      <c r="AL122" s="31">
        <f t="shared" si="15"/>
        <v>0</v>
      </c>
      <c r="AM122" s="31">
        <f t="shared" si="16"/>
        <v>0</v>
      </c>
      <c r="AN122" s="32" t="s">
        <v>328</v>
      </c>
      <c r="AO122" s="32" t="s">
        <v>337</v>
      </c>
      <c r="AP122" s="26" t="s">
        <v>338</v>
      </c>
      <c r="AR122" s="31">
        <f t="shared" si="17"/>
        <v>0</v>
      </c>
      <c r="AS122" s="31">
        <f t="shared" si="18"/>
        <v>0</v>
      </c>
      <c r="AT122" s="31">
        <v>0</v>
      </c>
      <c r="AU122" s="31">
        <f t="shared" si="19"/>
        <v>0</v>
      </c>
    </row>
    <row r="123" spans="1:47">
      <c r="A123" s="4" t="s">
        <v>66</v>
      </c>
      <c r="B123" s="4" t="s">
        <v>143</v>
      </c>
      <c r="C123" s="4" t="s">
        <v>263</v>
      </c>
      <c r="D123" s="4" t="s">
        <v>277</v>
      </c>
      <c r="E123" s="17">
        <v>54.57</v>
      </c>
      <c r="F123" s="141">
        <v>0</v>
      </c>
      <c r="G123" s="17">
        <f t="shared" si="0"/>
        <v>0</v>
      </c>
      <c r="H123" s="17">
        <f t="shared" si="1"/>
        <v>0</v>
      </c>
      <c r="I123" s="17">
        <f t="shared" si="2"/>
        <v>0</v>
      </c>
      <c r="J123" s="17">
        <v>0</v>
      </c>
      <c r="K123" s="17">
        <f t="shared" si="3"/>
        <v>0</v>
      </c>
      <c r="O123" s="31">
        <f t="shared" si="4"/>
        <v>0</v>
      </c>
      <c r="Q123" s="31">
        <f t="shared" si="5"/>
        <v>0</v>
      </c>
      <c r="R123" s="31">
        <f t="shared" si="6"/>
        <v>0</v>
      </c>
      <c r="S123" s="31">
        <f t="shared" si="7"/>
        <v>0</v>
      </c>
      <c r="T123" s="31">
        <f t="shared" si="8"/>
        <v>0</v>
      </c>
      <c r="U123" s="31">
        <f t="shared" si="9"/>
        <v>0</v>
      </c>
      <c r="V123" s="31">
        <f t="shared" si="10"/>
        <v>0</v>
      </c>
      <c r="W123" s="31">
        <f t="shared" si="11"/>
        <v>0</v>
      </c>
      <c r="X123" s="26"/>
      <c r="Y123" s="17">
        <f t="shared" si="12"/>
        <v>0</v>
      </c>
      <c r="Z123" s="17">
        <f t="shared" si="13"/>
        <v>0</v>
      </c>
      <c r="AA123" s="17">
        <f t="shared" si="14"/>
        <v>0</v>
      </c>
      <c r="AC123" s="31">
        <v>21</v>
      </c>
      <c r="AD123" s="31">
        <f t="shared" si="20"/>
        <v>0</v>
      </c>
      <c r="AE123" s="31">
        <f t="shared" si="21"/>
        <v>0</v>
      </c>
      <c r="AF123" s="27" t="s">
        <v>11</v>
      </c>
      <c r="AL123" s="31">
        <f t="shared" si="15"/>
        <v>0</v>
      </c>
      <c r="AM123" s="31">
        <f t="shared" si="16"/>
        <v>0</v>
      </c>
      <c r="AN123" s="32" t="s">
        <v>328</v>
      </c>
      <c r="AO123" s="32" t="s">
        <v>337</v>
      </c>
      <c r="AP123" s="26" t="s">
        <v>338</v>
      </c>
      <c r="AR123" s="31">
        <f t="shared" si="17"/>
        <v>0</v>
      </c>
      <c r="AS123" s="31">
        <f t="shared" si="18"/>
        <v>0</v>
      </c>
      <c r="AT123" s="31">
        <v>0</v>
      </c>
      <c r="AU123" s="31">
        <f t="shared" si="19"/>
        <v>0</v>
      </c>
    </row>
    <row r="124" spans="1:47">
      <c r="A124" s="4" t="s">
        <v>67</v>
      </c>
      <c r="B124" s="4" t="s">
        <v>144</v>
      </c>
      <c r="C124" s="4" t="s">
        <v>264</v>
      </c>
      <c r="D124" s="4" t="s">
        <v>277</v>
      </c>
      <c r="E124" s="17">
        <v>54.57</v>
      </c>
      <c r="F124" s="141">
        <v>0</v>
      </c>
      <c r="G124" s="17">
        <f t="shared" si="0"/>
        <v>0</v>
      </c>
      <c r="H124" s="17">
        <f t="shared" si="1"/>
        <v>0</v>
      </c>
      <c r="I124" s="17">
        <f t="shared" si="2"/>
        <v>0</v>
      </c>
      <c r="J124" s="17">
        <v>0</v>
      </c>
      <c r="K124" s="17">
        <f t="shared" si="3"/>
        <v>0</v>
      </c>
      <c r="O124" s="31">
        <f t="shared" si="4"/>
        <v>0</v>
      </c>
      <c r="Q124" s="31">
        <f t="shared" si="5"/>
        <v>0</v>
      </c>
      <c r="R124" s="31">
        <f t="shared" si="6"/>
        <v>0</v>
      </c>
      <c r="S124" s="31">
        <f t="shared" si="7"/>
        <v>0</v>
      </c>
      <c r="T124" s="31">
        <f t="shared" si="8"/>
        <v>0</v>
      </c>
      <c r="U124" s="31">
        <f t="shared" si="9"/>
        <v>0</v>
      </c>
      <c r="V124" s="31">
        <f t="shared" si="10"/>
        <v>0</v>
      </c>
      <c r="W124" s="31">
        <f t="shared" si="11"/>
        <v>0</v>
      </c>
      <c r="X124" s="26"/>
      <c r="Y124" s="17">
        <f t="shared" si="12"/>
        <v>0</v>
      </c>
      <c r="Z124" s="17">
        <f t="shared" si="13"/>
        <v>0</v>
      </c>
      <c r="AA124" s="17">
        <f t="shared" si="14"/>
        <v>0</v>
      </c>
      <c r="AC124" s="31">
        <v>21</v>
      </c>
      <c r="AD124" s="31">
        <f t="shared" si="20"/>
        <v>0</v>
      </c>
      <c r="AE124" s="31">
        <f t="shared" si="21"/>
        <v>0</v>
      </c>
      <c r="AF124" s="27" t="s">
        <v>11</v>
      </c>
      <c r="AL124" s="31">
        <f t="shared" si="15"/>
        <v>0</v>
      </c>
      <c r="AM124" s="31">
        <f t="shared" si="16"/>
        <v>0</v>
      </c>
      <c r="AN124" s="32" t="s">
        <v>328</v>
      </c>
      <c r="AO124" s="32" t="s">
        <v>337</v>
      </c>
      <c r="AP124" s="26" t="s">
        <v>338</v>
      </c>
      <c r="AR124" s="31">
        <f t="shared" si="17"/>
        <v>0</v>
      </c>
      <c r="AS124" s="31">
        <f t="shared" si="18"/>
        <v>0</v>
      </c>
      <c r="AT124" s="31">
        <v>0</v>
      </c>
      <c r="AU124" s="31">
        <f t="shared" si="19"/>
        <v>0</v>
      </c>
    </row>
    <row r="125" spans="1:47">
      <c r="A125" s="4" t="s">
        <v>68</v>
      </c>
      <c r="B125" s="4" t="s">
        <v>145</v>
      </c>
      <c r="C125" s="4" t="s">
        <v>265</v>
      </c>
      <c r="D125" s="4" t="s">
        <v>277</v>
      </c>
      <c r="E125" s="17">
        <v>54.34</v>
      </c>
      <c r="F125" s="141">
        <v>0</v>
      </c>
      <c r="G125" s="17">
        <f t="shared" si="0"/>
        <v>0</v>
      </c>
      <c r="H125" s="17">
        <f t="shared" si="1"/>
        <v>0</v>
      </c>
      <c r="I125" s="17">
        <f t="shared" si="2"/>
        <v>0</v>
      </c>
      <c r="J125" s="17">
        <v>0</v>
      </c>
      <c r="K125" s="17">
        <f t="shared" si="3"/>
        <v>0</v>
      </c>
      <c r="O125" s="31">
        <f t="shared" si="4"/>
        <v>0</v>
      </c>
      <c r="Q125" s="31">
        <f t="shared" si="5"/>
        <v>0</v>
      </c>
      <c r="R125" s="31">
        <f t="shared" si="6"/>
        <v>0</v>
      </c>
      <c r="S125" s="31">
        <f t="shared" si="7"/>
        <v>0</v>
      </c>
      <c r="T125" s="31">
        <f t="shared" si="8"/>
        <v>0</v>
      </c>
      <c r="U125" s="31">
        <f t="shared" si="9"/>
        <v>0</v>
      </c>
      <c r="V125" s="31">
        <f t="shared" si="10"/>
        <v>0</v>
      </c>
      <c r="W125" s="31">
        <f t="shared" si="11"/>
        <v>0</v>
      </c>
      <c r="X125" s="26"/>
      <c r="Y125" s="17">
        <f t="shared" si="12"/>
        <v>0</v>
      </c>
      <c r="Z125" s="17">
        <f t="shared" si="13"/>
        <v>0</v>
      </c>
      <c r="AA125" s="17">
        <f t="shared" si="14"/>
        <v>0</v>
      </c>
      <c r="AC125" s="31">
        <v>21</v>
      </c>
      <c r="AD125" s="31">
        <f t="shared" si="20"/>
        <v>0</v>
      </c>
      <c r="AE125" s="31">
        <f t="shared" si="21"/>
        <v>0</v>
      </c>
      <c r="AF125" s="27" t="s">
        <v>11</v>
      </c>
      <c r="AL125" s="31">
        <f t="shared" si="15"/>
        <v>0</v>
      </c>
      <c r="AM125" s="31">
        <f t="shared" si="16"/>
        <v>0</v>
      </c>
      <c r="AN125" s="32" t="s">
        <v>328</v>
      </c>
      <c r="AO125" s="32" t="s">
        <v>337</v>
      </c>
      <c r="AP125" s="26" t="s">
        <v>338</v>
      </c>
      <c r="AR125" s="31">
        <f t="shared" si="17"/>
        <v>0</v>
      </c>
      <c r="AS125" s="31">
        <f t="shared" si="18"/>
        <v>0</v>
      </c>
      <c r="AT125" s="31">
        <v>0</v>
      </c>
      <c r="AU125" s="31">
        <f t="shared" si="19"/>
        <v>0</v>
      </c>
    </row>
    <row r="126" spans="1:47">
      <c r="A126" s="4" t="s">
        <v>69</v>
      </c>
      <c r="B126" s="4" t="s">
        <v>146</v>
      </c>
      <c r="C126" s="4" t="s">
        <v>266</v>
      </c>
      <c r="D126" s="4" t="s">
        <v>277</v>
      </c>
      <c r="E126" s="17">
        <v>54.34</v>
      </c>
      <c r="F126" s="141">
        <v>0</v>
      </c>
      <c r="G126" s="17">
        <f t="shared" si="0"/>
        <v>0</v>
      </c>
      <c r="H126" s="17">
        <f t="shared" si="1"/>
        <v>0</v>
      </c>
      <c r="I126" s="17">
        <f t="shared" si="2"/>
        <v>0</v>
      </c>
      <c r="J126" s="17">
        <v>0</v>
      </c>
      <c r="K126" s="17">
        <f t="shared" si="3"/>
        <v>0</v>
      </c>
      <c r="O126" s="31">
        <f t="shared" si="4"/>
        <v>0</v>
      </c>
      <c r="Q126" s="31">
        <f t="shared" si="5"/>
        <v>0</v>
      </c>
      <c r="R126" s="31">
        <f t="shared" si="6"/>
        <v>0</v>
      </c>
      <c r="S126" s="31">
        <f t="shared" si="7"/>
        <v>0</v>
      </c>
      <c r="T126" s="31">
        <f t="shared" si="8"/>
        <v>0</v>
      </c>
      <c r="U126" s="31">
        <f t="shared" si="9"/>
        <v>0</v>
      </c>
      <c r="V126" s="31">
        <f t="shared" si="10"/>
        <v>0</v>
      </c>
      <c r="W126" s="31">
        <f t="shared" si="11"/>
        <v>0</v>
      </c>
      <c r="X126" s="26"/>
      <c r="Y126" s="17">
        <f t="shared" si="12"/>
        <v>0</v>
      </c>
      <c r="Z126" s="17">
        <f t="shared" si="13"/>
        <v>0</v>
      </c>
      <c r="AA126" s="17">
        <f t="shared" si="14"/>
        <v>0</v>
      </c>
      <c r="AC126" s="31">
        <v>21</v>
      </c>
      <c r="AD126" s="31">
        <f t="shared" si="20"/>
        <v>0</v>
      </c>
      <c r="AE126" s="31">
        <f t="shared" si="21"/>
        <v>0</v>
      </c>
      <c r="AF126" s="27" t="s">
        <v>11</v>
      </c>
      <c r="AL126" s="31">
        <f t="shared" si="15"/>
        <v>0</v>
      </c>
      <c r="AM126" s="31">
        <f t="shared" si="16"/>
        <v>0</v>
      </c>
      <c r="AN126" s="32" t="s">
        <v>328</v>
      </c>
      <c r="AO126" s="32" t="s">
        <v>337</v>
      </c>
      <c r="AP126" s="26" t="s">
        <v>338</v>
      </c>
      <c r="AR126" s="31">
        <f t="shared" si="17"/>
        <v>0</v>
      </c>
      <c r="AS126" s="31">
        <f t="shared" si="18"/>
        <v>0</v>
      </c>
      <c r="AT126" s="31">
        <v>0</v>
      </c>
      <c r="AU126" s="31">
        <f t="shared" si="19"/>
        <v>0</v>
      </c>
    </row>
    <row r="127" spans="1:47">
      <c r="A127" s="7" t="s">
        <v>70</v>
      </c>
      <c r="B127" s="7" t="s">
        <v>147</v>
      </c>
      <c r="C127" s="7" t="s">
        <v>267</v>
      </c>
      <c r="D127" s="7" t="s">
        <v>277</v>
      </c>
      <c r="E127" s="19">
        <v>54.34</v>
      </c>
      <c r="F127" s="142">
        <v>0</v>
      </c>
      <c r="G127" s="19">
        <f t="shared" si="0"/>
        <v>0</v>
      </c>
      <c r="H127" s="19">
        <f t="shared" si="1"/>
        <v>0</v>
      </c>
      <c r="I127" s="19">
        <f t="shared" si="2"/>
        <v>0</v>
      </c>
      <c r="J127" s="19">
        <v>0</v>
      </c>
      <c r="K127" s="19">
        <f t="shared" si="3"/>
        <v>0</v>
      </c>
      <c r="O127" s="31">
        <f t="shared" si="4"/>
        <v>0</v>
      </c>
      <c r="Q127" s="31">
        <f t="shared" si="5"/>
        <v>0</v>
      </c>
      <c r="R127" s="31">
        <f t="shared" si="6"/>
        <v>0</v>
      </c>
      <c r="S127" s="31">
        <f t="shared" si="7"/>
        <v>0</v>
      </c>
      <c r="T127" s="31">
        <f t="shared" si="8"/>
        <v>0</v>
      </c>
      <c r="U127" s="31">
        <f t="shared" si="9"/>
        <v>0</v>
      </c>
      <c r="V127" s="31">
        <f t="shared" si="10"/>
        <v>0</v>
      </c>
      <c r="W127" s="31">
        <f t="shared" si="11"/>
        <v>0</v>
      </c>
      <c r="X127" s="26"/>
      <c r="Y127" s="17">
        <f t="shared" si="12"/>
        <v>0</v>
      </c>
      <c r="Z127" s="17">
        <f t="shared" si="13"/>
        <v>0</v>
      </c>
      <c r="AA127" s="17">
        <f t="shared" si="14"/>
        <v>0</v>
      </c>
      <c r="AC127" s="31">
        <v>21</v>
      </c>
      <c r="AD127" s="31">
        <f t="shared" si="20"/>
        <v>0</v>
      </c>
      <c r="AE127" s="31">
        <f t="shared" si="21"/>
        <v>0</v>
      </c>
      <c r="AF127" s="27" t="s">
        <v>11</v>
      </c>
      <c r="AL127" s="31">
        <f t="shared" si="15"/>
        <v>0</v>
      </c>
      <c r="AM127" s="31">
        <f t="shared" si="16"/>
        <v>0</v>
      </c>
      <c r="AN127" s="32" t="s">
        <v>328</v>
      </c>
      <c r="AO127" s="32" t="s">
        <v>337</v>
      </c>
      <c r="AP127" s="26" t="s">
        <v>338</v>
      </c>
      <c r="AR127" s="31">
        <f t="shared" si="17"/>
        <v>0</v>
      </c>
      <c r="AS127" s="31">
        <f t="shared" si="18"/>
        <v>0</v>
      </c>
      <c r="AT127" s="31">
        <v>0</v>
      </c>
      <c r="AU127" s="31">
        <f t="shared" si="19"/>
        <v>0</v>
      </c>
    </row>
    <row r="128" spans="1:47">
      <c r="A128" s="8"/>
      <c r="B128" s="8"/>
      <c r="C128" s="8"/>
      <c r="D128" s="8"/>
      <c r="E128" s="8"/>
      <c r="F128" s="8"/>
      <c r="G128" s="72" t="s">
        <v>287</v>
      </c>
      <c r="H128" s="73"/>
      <c r="I128" s="35">
        <f>I12+I15+I17+I20+I23+I32+I37+I46+I51+I56+I62+I66+I69+I72+I75+I79+I81+I98+I104+I106+I118</f>
        <v>0</v>
      </c>
      <c r="J128" s="8"/>
      <c r="K128" s="8"/>
    </row>
    <row r="129" spans="1:13" ht="11.25" customHeight="1">
      <c r="A129" s="9" t="s">
        <v>71</v>
      </c>
    </row>
    <row r="130" spans="1:13">
      <c r="A130" s="68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</row>
    <row r="131" spans="1:13">
      <c r="B131" s="146"/>
      <c r="C131" t="s">
        <v>475</v>
      </c>
    </row>
  </sheetData>
  <mergeCells count="50">
    <mergeCell ref="I6:K7"/>
    <mergeCell ref="I4:K5"/>
    <mergeCell ref="A1:K1"/>
    <mergeCell ref="A2:B3"/>
    <mergeCell ref="C2:C3"/>
    <mergeCell ref="D2:E3"/>
    <mergeCell ref="F2:G3"/>
    <mergeCell ref="H2:H3"/>
    <mergeCell ref="I2:K3"/>
    <mergeCell ref="A4:B5"/>
    <mergeCell ref="C4:C5"/>
    <mergeCell ref="D4:E5"/>
    <mergeCell ref="F4:G5"/>
    <mergeCell ref="H4:H5"/>
    <mergeCell ref="A6:B7"/>
    <mergeCell ref="C6:C7"/>
    <mergeCell ref="D6:E7"/>
    <mergeCell ref="F6:G7"/>
    <mergeCell ref="H6:H7"/>
    <mergeCell ref="C20:F20"/>
    <mergeCell ref="A8:B9"/>
    <mergeCell ref="C8:C9"/>
    <mergeCell ref="D8:E9"/>
    <mergeCell ref="F8:G9"/>
    <mergeCell ref="G10:I10"/>
    <mergeCell ref="H8:H9"/>
    <mergeCell ref="I8:K9"/>
    <mergeCell ref="J10:K10"/>
    <mergeCell ref="C12:F12"/>
    <mergeCell ref="C15:F15"/>
    <mergeCell ref="C17:F17"/>
    <mergeCell ref="C79:F79"/>
    <mergeCell ref="C23:F23"/>
    <mergeCell ref="C32:F32"/>
    <mergeCell ref="C37:F37"/>
    <mergeCell ref="C46:F46"/>
    <mergeCell ref="C51:F51"/>
    <mergeCell ref="C56:F56"/>
    <mergeCell ref="C62:F62"/>
    <mergeCell ref="C66:F66"/>
    <mergeCell ref="C69:F69"/>
    <mergeCell ref="C72:F72"/>
    <mergeCell ref="C75:F75"/>
    <mergeCell ref="A130:M130"/>
    <mergeCell ref="C81:F81"/>
    <mergeCell ref="C98:F98"/>
    <mergeCell ref="C104:F104"/>
    <mergeCell ref="C106:F106"/>
    <mergeCell ref="C118:F118"/>
    <mergeCell ref="G128:H128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45"/>
  <sheetViews>
    <sheetView topLeftCell="C1" workbookViewId="0">
      <selection activeCell="G10" sqref="G10"/>
    </sheetView>
  </sheetViews>
  <sheetFormatPr defaultColWidth="11.5546875" defaultRowHeight="13.2"/>
  <cols>
    <col min="1" max="1" width="17.88671875" customWidth="1"/>
    <col min="2" max="2" width="17.33203125" customWidth="1"/>
    <col min="3" max="3" width="58" customWidth="1"/>
    <col min="4" max="4" width="14.5546875" customWidth="1"/>
    <col min="5" max="5" width="24.109375" customWidth="1"/>
    <col min="6" max="6" width="20.44140625" customWidth="1"/>
  </cols>
  <sheetData>
    <row r="1" spans="1:7" ht="73.05" customHeight="1">
      <c r="A1" s="85" t="s">
        <v>339</v>
      </c>
      <c r="B1" s="86"/>
      <c r="C1" s="86"/>
      <c r="D1" s="86"/>
      <c r="E1" s="86"/>
      <c r="F1" s="86"/>
    </row>
    <row r="2" spans="1:7">
      <c r="A2" s="87" t="s">
        <v>1</v>
      </c>
      <c r="B2" s="89" t="s">
        <v>148</v>
      </c>
      <c r="C2" s="73"/>
      <c r="D2" s="92" t="s">
        <v>288</v>
      </c>
      <c r="E2" s="92" t="s">
        <v>293</v>
      </c>
      <c r="F2" s="88"/>
      <c r="G2" s="29"/>
    </row>
    <row r="3" spans="1:7">
      <c r="A3" s="84"/>
      <c r="B3" s="90"/>
      <c r="C3" s="90"/>
      <c r="D3" s="69"/>
      <c r="E3" s="69"/>
      <c r="F3" s="69"/>
      <c r="G3" s="29"/>
    </row>
    <row r="4" spans="1:7">
      <c r="A4" s="78" t="s">
        <v>2</v>
      </c>
      <c r="B4" s="68" t="s">
        <v>149</v>
      </c>
      <c r="C4" s="69"/>
      <c r="D4" s="68" t="s">
        <v>289</v>
      </c>
      <c r="E4" s="68" t="s">
        <v>294</v>
      </c>
      <c r="F4" s="69"/>
      <c r="G4" s="29"/>
    </row>
    <row r="5" spans="1:7">
      <c r="A5" s="84"/>
      <c r="B5" s="69"/>
      <c r="C5" s="69"/>
      <c r="D5" s="69"/>
      <c r="E5" s="69"/>
      <c r="F5" s="69"/>
      <c r="G5" s="29"/>
    </row>
    <row r="6" spans="1:7">
      <c r="A6" s="78" t="s">
        <v>3</v>
      </c>
      <c r="B6" s="68" t="s">
        <v>150</v>
      </c>
      <c r="C6" s="69"/>
      <c r="D6" s="68" t="s">
        <v>290</v>
      </c>
      <c r="E6" s="68" t="s">
        <v>295</v>
      </c>
      <c r="F6" s="69"/>
      <c r="G6" s="29"/>
    </row>
    <row r="7" spans="1:7">
      <c r="A7" s="84"/>
      <c r="B7" s="69"/>
      <c r="C7" s="69"/>
      <c r="D7" s="69"/>
      <c r="E7" s="69"/>
      <c r="F7" s="69"/>
      <c r="G7" s="29"/>
    </row>
    <row r="8" spans="1:7">
      <c r="A8" s="78" t="s">
        <v>291</v>
      </c>
      <c r="B8" s="68" t="s">
        <v>296</v>
      </c>
      <c r="C8" s="69"/>
      <c r="D8" s="81" t="s">
        <v>271</v>
      </c>
      <c r="E8" s="82">
        <v>43382</v>
      </c>
      <c r="F8" s="69"/>
      <c r="G8" s="29"/>
    </row>
    <row r="9" spans="1:7">
      <c r="A9" s="79"/>
      <c r="B9" s="80"/>
      <c r="C9" s="80"/>
      <c r="D9" s="80"/>
      <c r="E9" s="80"/>
      <c r="F9" s="80"/>
      <c r="G9" s="29"/>
    </row>
    <row r="10" spans="1:7">
      <c r="A10" s="36" t="s">
        <v>5</v>
      </c>
      <c r="B10" s="38" t="s">
        <v>72</v>
      </c>
      <c r="C10" s="38" t="s">
        <v>151</v>
      </c>
      <c r="D10" s="38" t="s">
        <v>272</v>
      </c>
      <c r="E10" s="38" t="s">
        <v>152</v>
      </c>
      <c r="F10" s="40" t="s">
        <v>281</v>
      </c>
      <c r="G10" s="30"/>
    </row>
    <row r="11" spans="1:7">
      <c r="A11" s="37" t="s">
        <v>7</v>
      </c>
      <c r="B11" s="37" t="s">
        <v>73</v>
      </c>
      <c r="C11" s="37" t="s">
        <v>154</v>
      </c>
      <c r="D11" s="37" t="s">
        <v>273</v>
      </c>
      <c r="E11" s="39"/>
      <c r="F11" s="41">
        <v>1.2250000000000001</v>
      </c>
    </row>
    <row r="12" spans="1:7">
      <c r="C12" s="15" t="s">
        <v>155</v>
      </c>
      <c r="E12" s="4" t="s">
        <v>340</v>
      </c>
      <c r="F12" s="17">
        <v>1</v>
      </c>
    </row>
    <row r="13" spans="1:7">
      <c r="A13" s="4"/>
      <c r="B13" s="4"/>
      <c r="C13" s="4"/>
      <c r="D13" s="4"/>
      <c r="E13" s="4" t="s">
        <v>341</v>
      </c>
      <c r="F13" s="17">
        <v>0.22500000000000001</v>
      </c>
    </row>
    <row r="14" spans="1:7">
      <c r="A14" s="4" t="s">
        <v>8</v>
      </c>
      <c r="B14" s="4" t="s">
        <v>74</v>
      </c>
      <c r="C14" s="4" t="s">
        <v>157</v>
      </c>
      <c r="D14" s="4" t="s">
        <v>273</v>
      </c>
      <c r="E14" s="4" t="s">
        <v>342</v>
      </c>
      <c r="F14" s="17">
        <v>1.2250000000000001</v>
      </c>
    </row>
    <row r="15" spans="1:7">
      <c r="A15" s="4" t="s">
        <v>9</v>
      </c>
      <c r="B15" s="4" t="s">
        <v>75</v>
      </c>
      <c r="C15" s="4" t="s">
        <v>159</v>
      </c>
      <c r="D15" s="4" t="s">
        <v>273</v>
      </c>
      <c r="F15" s="17">
        <v>1.2250000000000001</v>
      </c>
    </row>
    <row r="16" spans="1:7">
      <c r="C16" s="15" t="s">
        <v>160</v>
      </c>
      <c r="E16" s="4" t="s">
        <v>343</v>
      </c>
      <c r="F16" s="17">
        <v>1.2250000000000001</v>
      </c>
    </row>
    <row r="17" spans="1:6">
      <c r="A17" s="4" t="s">
        <v>10</v>
      </c>
      <c r="B17" s="4" t="s">
        <v>76</v>
      </c>
      <c r="C17" s="4" t="s">
        <v>162</v>
      </c>
      <c r="D17" s="4" t="s">
        <v>273</v>
      </c>
      <c r="F17" s="17">
        <v>1.2250000000000001</v>
      </c>
    </row>
    <row r="18" spans="1:6">
      <c r="C18" s="15" t="s">
        <v>163</v>
      </c>
      <c r="E18" s="4" t="s">
        <v>342</v>
      </c>
      <c r="F18" s="17">
        <v>1.2250000000000001</v>
      </c>
    </row>
    <row r="19" spans="1:6">
      <c r="A19" s="4" t="s">
        <v>11</v>
      </c>
      <c r="B19" s="4" t="s">
        <v>77</v>
      </c>
      <c r="C19" s="4" t="s">
        <v>165</v>
      </c>
      <c r="D19" s="4" t="s">
        <v>274</v>
      </c>
      <c r="F19" s="17">
        <v>144.27000000000001</v>
      </c>
    </row>
    <row r="20" spans="1:6">
      <c r="C20" s="15" t="s">
        <v>166</v>
      </c>
      <c r="E20" s="4" t="s">
        <v>344</v>
      </c>
      <c r="F20" s="17">
        <v>144.27000000000001</v>
      </c>
    </row>
    <row r="21" spans="1:6">
      <c r="A21" s="4" t="s">
        <v>12</v>
      </c>
      <c r="B21" s="4" t="s">
        <v>78</v>
      </c>
      <c r="C21" s="4" t="s">
        <v>167</v>
      </c>
      <c r="D21" s="4" t="s">
        <v>275</v>
      </c>
      <c r="F21" s="17">
        <v>21.0472</v>
      </c>
    </row>
    <row r="22" spans="1:6">
      <c r="E22" s="4" t="s">
        <v>345</v>
      </c>
      <c r="F22" s="17">
        <v>8.7232000000000003</v>
      </c>
    </row>
    <row r="23" spans="1:6">
      <c r="A23" s="4"/>
      <c r="B23" s="4"/>
      <c r="C23" s="4"/>
      <c r="D23" s="4"/>
      <c r="E23" s="4" t="s">
        <v>346</v>
      </c>
      <c r="F23" s="17">
        <v>12.324</v>
      </c>
    </row>
    <row r="24" spans="1:6">
      <c r="A24" s="4" t="s">
        <v>13</v>
      </c>
      <c r="B24" s="4" t="s">
        <v>79</v>
      </c>
      <c r="C24" s="4" t="s">
        <v>168</v>
      </c>
      <c r="D24" s="4" t="s">
        <v>275</v>
      </c>
      <c r="E24" s="4" t="s">
        <v>347</v>
      </c>
      <c r="F24" s="17">
        <v>21.0472</v>
      </c>
    </row>
    <row r="25" spans="1:6">
      <c r="A25" s="4" t="s">
        <v>14</v>
      </c>
      <c r="B25" s="4" t="s">
        <v>80</v>
      </c>
      <c r="C25" s="4" t="s">
        <v>169</v>
      </c>
      <c r="D25" s="4" t="s">
        <v>274</v>
      </c>
      <c r="F25" s="17">
        <v>133.91999999999999</v>
      </c>
    </row>
    <row r="26" spans="1:6">
      <c r="C26" s="15" t="s">
        <v>170</v>
      </c>
      <c r="E26" s="4" t="s">
        <v>348</v>
      </c>
      <c r="F26" s="17">
        <v>54.52</v>
      </c>
    </row>
    <row r="27" spans="1:6">
      <c r="A27" s="4"/>
      <c r="B27" s="4"/>
      <c r="C27" s="4"/>
      <c r="D27" s="4"/>
      <c r="E27" s="4" t="s">
        <v>349</v>
      </c>
      <c r="F27" s="17">
        <v>79.400000000000006</v>
      </c>
    </row>
    <row r="28" spans="1:6">
      <c r="A28" s="6" t="s">
        <v>15</v>
      </c>
      <c r="B28" s="6" t="s">
        <v>81</v>
      </c>
      <c r="C28" s="6" t="s">
        <v>171</v>
      </c>
      <c r="D28" s="6" t="s">
        <v>276</v>
      </c>
      <c r="F28" s="18">
        <v>92.4</v>
      </c>
    </row>
    <row r="29" spans="1:6">
      <c r="E29" s="6" t="s">
        <v>350</v>
      </c>
      <c r="F29" s="18">
        <v>32</v>
      </c>
    </row>
    <row r="30" spans="1:6">
      <c r="A30" s="6"/>
      <c r="B30" s="6"/>
      <c r="C30" s="6"/>
      <c r="D30" s="6"/>
      <c r="E30" s="6" t="s">
        <v>351</v>
      </c>
      <c r="F30" s="18">
        <v>52</v>
      </c>
    </row>
    <row r="31" spans="1:6">
      <c r="A31" s="6"/>
      <c r="B31" s="6"/>
      <c r="C31" s="6"/>
      <c r="D31" s="6"/>
      <c r="E31" s="6" t="s">
        <v>352</v>
      </c>
      <c r="F31" s="18">
        <v>8.4</v>
      </c>
    </row>
    <row r="32" spans="1:6">
      <c r="A32" s="6" t="s">
        <v>16</v>
      </c>
      <c r="B32" s="6" t="s">
        <v>81</v>
      </c>
      <c r="C32" s="6" t="s">
        <v>172</v>
      </c>
      <c r="D32" s="6" t="s">
        <v>276</v>
      </c>
      <c r="F32" s="18">
        <v>4.4000000000000004</v>
      </c>
    </row>
    <row r="33" spans="1:6">
      <c r="E33" s="6" t="s">
        <v>10</v>
      </c>
      <c r="F33" s="18">
        <v>4</v>
      </c>
    </row>
    <row r="34" spans="1:6">
      <c r="A34" s="6"/>
      <c r="B34" s="6"/>
      <c r="C34" s="6"/>
      <c r="D34" s="6"/>
      <c r="E34" s="6" t="s">
        <v>353</v>
      </c>
      <c r="F34" s="18">
        <v>0.4</v>
      </c>
    </row>
    <row r="35" spans="1:6">
      <c r="A35" s="4" t="s">
        <v>17</v>
      </c>
      <c r="B35" s="4" t="s">
        <v>82</v>
      </c>
      <c r="C35" s="4" t="s">
        <v>174</v>
      </c>
      <c r="D35" s="4" t="s">
        <v>275</v>
      </c>
      <c r="F35" s="17">
        <v>12.48</v>
      </c>
    </row>
    <row r="36" spans="1:6">
      <c r="C36" s="15" t="s">
        <v>175</v>
      </c>
      <c r="E36" s="4" t="s">
        <v>354</v>
      </c>
      <c r="F36" s="17">
        <v>12.48</v>
      </c>
    </row>
    <row r="37" spans="1:6">
      <c r="A37" s="4" t="s">
        <v>18</v>
      </c>
      <c r="B37" s="4" t="s">
        <v>83</v>
      </c>
      <c r="C37" s="4" t="s">
        <v>176</v>
      </c>
      <c r="D37" s="4" t="s">
        <v>275</v>
      </c>
      <c r="F37" s="17">
        <v>6.7392000000000003</v>
      </c>
    </row>
    <row r="38" spans="1:6">
      <c r="C38" s="15" t="s">
        <v>177</v>
      </c>
      <c r="E38" s="4" t="s">
        <v>355</v>
      </c>
      <c r="F38" s="17">
        <v>6.7392000000000003</v>
      </c>
    </row>
    <row r="39" spans="1:6">
      <c r="A39" s="4" t="s">
        <v>19</v>
      </c>
      <c r="B39" s="4" t="s">
        <v>84</v>
      </c>
      <c r="C39" s="4" t="s">
        <v>179</v>
      </c>
      <c r="D39" s="4" t="s">
        <v>275</v>
      </c>
      <c r="F39" s="17">
        <v>10.98</v>
      </c>
    </row>
    <row r="40" spans="1:6">
      <c r="C40" s="15" t="s">
        <v>180</v>
      </c>
      <c r="E40" s="4" t="s">
        <v>356</v>
      </c>
      <c r="F40" s="17">
        <v>10.98</v>
      </c>
    </row>
    <row r="41" spans="1:6">
      <c r="A41" s="4" t="s">
        <v>20</v>
      </c>
      <c r="B41" s="4" t="s">
        <v>85</v>
      </c>
      <c r="C41" s="4" t="s">
        <v>181</v>
      </c>
      <c r="D41" s="4" t="s">
        <v>275</v>
      </c>
      <c r="F41" s="17">
        <v>12.48</v>
      </c>
    </row>
    <row r="42" spans="1:6">
      <c r="C42" s="15" t="s">
        <v>182</v>
      </c>
      <c r="E42" s="4" t="s">
        <v>357</v>
      </c>
      <c r="F42" s="17">
        <v>12.48</v>
      </c>
    </row>
    <row r="43" spans="1:6">
      <c r="A43" s="6" t="s">
        <v>21</v>
      </c>
      <c r="B43" s="6" t="s">
        <v>86</v>
      </c>
      <c r="C43" s="6" t="s">
        <v>183</v>
      </c>
      <c r="D43" s="6" t="s">
        <v>275</v>
      </c>
      <c r="F43" s="18">
        <v>7.7126400000000004</v>
      </c>
    </row>
    <row r="44" spans="1:6">
      <c r="E44" s="6" t="s">
        <v>358</v>
      </c>
      <c r="F44" s="18">
        <v>7.4880000000000004</v>
      </c>
    </row>
    <row r="45" spans="1:6">
      <c r="A45" s="6"/>
      <c r="B45" s="6"/>
      <c r="C45" s="6"/>
      <c r="D45" s="6"/>
      <c r="E45" s="6" t="s">
        <v>359</v>
      </c>
      <c r="F45" s="18">
        <v>0.22464000000000001</v>
      </c>
    </row>
    <row r="46" spans="1:6">
      <c r="A46" s="4" t="s">
        <v>22</v>
      </c>
      <c r="B46" s="4" t="s">
        <v>87</v>
      </c>
      <c r="C46" s="4" t="s">
        <v>184</v>
      </c>
      <c r="D46" s="4" t="s">
        <v>275</v>
      </c>
      <c r="F46" s="17">
        <v>31.859200000000001</v>
      </c>
    </row>
    <row r="47" spans="1:6">
      <c r="C47" s="15" t="s">
        <v>185</v>
      </c>
      <c r="E47" s="4" t="s">
        <v>360</v>
      </c>
      <c r="F47" s="17">
        <v>27.719200000000001</v>
      </c>
    </row>
    <row r="48" spans="1:6">
      <c r="A48" s="4"/>
      <c r="B48" s="4"/>
      <c r="C48" s="4"/>
      <c r="D48" s="4"/>
      <c r="E48" s="4" t="s">
        <v>361</v>
      </c>
      <c r="F48" s="17">
        <v>4.1399999999999997</v>
      </c>
    </row>
    <row r="49" spans="1:6">
      <c r="A49" s="6" t="s">
        <v>23</v>
      </c>
      <c r="B49" s="6" t="s">
        <v>88</v>
      </c>
      <c r="C49" s="6" t="s">
        <v>186</v>
      </c>
      <c r="D49" s="6" t="s">
        <v>275</v>
      </c>
      <c r="F49" s="18">
        <v>35.045119999999997</v>
      </c>
    </row>
    <row r="50" spans="1:6">
      <c r="E50" s="6" t="s">
        <v>362</v>
      </c>
      <c r="F50" s="18">
        <v>31.859200000000001</v>
      </c>
    </row>
    <row r="51" spans="1:6">
      <c r="A51" s="6"/>
      <c r="B51" s="6"/>
      <c r="C51" s="6"/>
      <c r="D51" s="6"/>
      <c r="E51" s="6" t="s">
        <v>363</v>
      </c>
      <c r="F51" s="18">
        <v>3.1859199999999999</v>
      </c>
    </row>
    <row r="52" spans="1:6">
      <c r="A52" s="4" t="s">
        <v>24</v>
      </c>
      <c r="B52" s="4" t="s">
        <v>89</v>
      </c>
      <c r="C52" s="4" t="s">
        <v>188</v>
      </c>
      <c r="D52" s="4" t="s">
        <v>275</v>
      </c>
      <c r="F52" s="17">
        <v>24.878</v>
      </c>
    </row>
    <row r="53" spans="1:6">
      <c r="E53" s="4" t="s">
        <v>364</v>
      </c>
      <c r="F53" s="17">
        <v>11.94</v>
      </c>
    </row>
    <row r="54" spans="1:6">
      <c r="A54" s="4"/>
      <c r="B54" s="4"/>
      <c r="C54" s="4"/>
      <c r="D54" s="4"/>
      <c r="E54" s="4" t="s">
        <v>365</v>
      </c>
      <c r="F54" s="17">
        <v>2.14</v>
      </c>
    </row>
    <row r="55" spans="1:6">
      <c r="A55" s="4"/>
      <c r="B55" s="4"/>
      <c r="C55" s="4"/>
      <c r="D55" s="4"/>
      <c r="E55" s="4" t="s">
        <v>366</v>
      </c>
      <c r="F55" s="17">
        <v>5.798</v>
      </c>
    </row>
    <row r="56" spans="1:6">
      <c r="A56" s="4"/>
      <c r="B56" s="4"/>
      <c r="C56" s="4"/>
      <c r="D56" s="4"/>
      <c r="E56" s="4" t="s">
        <v>367</v>
      </c>
      <c r="F56" s="17">
        <v>5</v>
      </c>
    </row>
    <row r="57" spans="1:6">
      <c r="A57" s="4" t="s">
        <v>25</v>
      </c>
      <c r="B57" s="4" t="s">
        <v>90</v>
      </c>
      <c r="C57" s="4" t="s">
        <v>189</v>
      </c>
      <c r="D57" s="4" t="s">
        <v>275</v>
      </c>
      <c r="F57" s="17">
        <v>24.878</v>
      </c>
    </row>
    <row r="58" spans="1:6">
      <c r="C58" s="15" t="s">
        <v>190</v>
      </c>
      <c r="E58" s="4" t="s">
        <v>368</v>
      </c>
      <c r="F58" s="17">
        <v>24.878</v>
      </c>
    </row>
    <row r="59" spans="1:6">
      <c r="A59" s="4" t="s">
        <v>26</v>
      </c>
      <c r="B59" s="4" t="s">
        <v>91</v>
      </c>
      <c r="C59" s="4" t="s">
        <v>191</v>
      </c>
      <c r="D59" s="4" t="s">
        <v>275</v>
      </c>
      <c r="E59" s="4" t="s">
        <v>368</v>
      </c>
      <c r="F59" s="17">
        <v>24.878</v>
      </c>
    </row>
    <row r="60" spans="1:6">
      <c r="A60" s="4" t="s">
        <v>27</v>
      </c>
      <c r="B60" s="4" t="s">
        <v>93</v>
      </c>
      <c r="C60" s="4" t="s">
        <v>193</v>
      </c>
      <c r="D60" s="4" t="s">
        <v>275</v>
      </c>
      <c r="F60" s="17">
        <v>2.4</v>
      </c>
    </row>
    <row r="61" spans="1:6">
      <c r="C61" s="15" t="s">
        <v>194</v>
      </c>
      <c r="E61" s="4" t="s">
        <v>369</v>
      </c>
      <c r="F61" s="17">
        <v>2.4</v>
      </c>
    </row>
    <row r="62" spans="1:6">
      <c r="A62" s="6" t="s">
        <v>28</v>
      </c>
      <c r="B62" s="6" t="s">
        <v>94</v>
      </c>
      <c r="C62" s="6" t="s">
        <v>195</v>
      </c>
      <c r="D62" s="6" t="s">
        <v>275</v>
      </c>
      <c r="F62" s="18">
        <v>2.64</v>
      </c>
    </row>
    <row r="63" spans="1:6">
      <c r="E63" s="6" t="s">
        <v>370</v>
      </c>
      <c r="F63" s="18">
        <v>2.4</v>
      </c>
    </row>
    <row r="64" spans="1:6">
      <c r="A64" s="6"/>
      <c r="B64" s="6"/>
      <c r="C64" s="6"/>
      <c r="D64" s="6"/>
      <c r="E64" s="6" t="s">
        <v>371</v>
      </c>
      <c r="F64" s="18">
        <v>0.24</v>
      </c>
    </row>
    <row r="65" spans="1:6">
      <c r="A65" s="4" t="s">
        <v>29</v>
      </c>
      <c r="B65" s="4" t="s">
        <v>95</v>
      </c>
      <c r="C65" s="4" t="s">
        <v>196</v>
      </c>
      <c r="D65" s="4" t="s">
        <v>277</v>
      </c>
      <c r="F65" s="17">
        <v>1.3799999999999999E-3</v>
      </c>
    </row>
    <row r="66" spans="1:6">
      <c r="A66" s="4" t="s">
        <v>30</v>
      </c>
      <c r="B66" s="4" t="s">
        <v>97</v>
      </c>
      <c r="C66" s="4" t="s">
        <v>198</v>
      </c>
      <c r="D66" s="4" t="s">
        <v>278</v>
      </c>
      <c r="F66" s="17">
        <v>64.707840000000004</v>
      </c>
    </row>
    <row r="67" spans="1:6">
      <c r="C67" s="15" t="s">
        <v>199</v>
      </c>
      <c r="E67" s="4" t="s">
        <v>372</v>
      </c>
      <c r="F67" s="17">
        <v>46.707839999999997</v>
      </c>
    </row>
    <row r="68" spans="1:6">
      <c r="A68" s="4"/>
      <c r="B68" s="4"/>
      <c r="C68" s="4"/>
      <c r="D68" s="4"/>
      <c r="E68" s="4" t="s">
        <v>373</v>
      </c>
      <c r="F68" s="17">
        <v>18</v>
      </c>
    </row>
    <row r="69" spans="1:6">
      <c r="A69" s="4" t="s">
        <v>31</v>
      </c>
      <c r="B69" s="4" t="s">
        <v>97</v>
      </c>
      <c r="C69" s="4" t="s">
        <v>198</v>
      </c>
      <c r="D69" s="4" t="s">
        <v>278</v>
      </c>
      <c r="F69" s="17">
        <v>40.367519999999999</v>
      </c>
    </row>
    <row r="70" spans="1:6">
      <c r="C70" s="15" t="s">
        <v>200</v>
      </c>
      <c r="E70" s="4" t="s">
        <v>374</v>
      </c>
      <c r="F70" s="17">
        <v>31.367519999999999</v>
      </c>
    </row>
    <row r="71" spans="1:6">
      <c r="A71" s="4"/>
      <c r="B71" s="4"/>
      <c r="C71" s="4"/>
      <c r="D71" s="4"/>
      <c r="E71" s="4" t="s">
        <v>375</v>
      </c>
      <c r="F71" s="17">
        <v>9</v>
      </c>
    </row>
    <row r="72" spans="1:6">
      <c r="A72" s="4" t="s">
        <v>32</v>
      </c>
      <c r="B72" s="4" t="s">
        <v>98</v>
      </c>
      <c r="C72" s="4" t="s">
        <v>201</v>
      </c>
      <c r="D72" s="4" t="s">
        <v>277</v>
      </c>
      <c r="F72" s="17">
        <v>0.11138000000000001</v>
      </c>
    </row>
    <row r="73" spans="1:6">
      <c r="A73" s="4" t="s">
        <v>33</v>
      </c>
      <c r="B73" s="4" t="s">
        <v>100</v>
      </c>
      <c r="C73" s="4" t="s">
        <v>203</v>
      </c>
      <c r="D73" s="4" t="s">
        <v>275</v>
      </c>
      <c r="F73" s="17">
        <v>3.3</v>
      </c>
    </row>
    <row r="74" spans="1:6" ht="26.4">
      <c r="C74" s="15" t="s">
        <v>204</v>
      </c>
      <c r="E74" s="4" t="s">
        <v>376</v>
      </c>
      <c r="F74" s="17">
        <v>0.9</v>
      </c>
    </row>
    <row r="75" spans="1:6">
      <c r="A75" s="4"/>
      <c r="B75" s="4"/>
      <c r="C75" s="4"/>
      <c r="D75" s="4"/>
      <c r="E75" s="4" t="s">
        <v>377</v>
      </c>
      <c r="F75" s="17">
        <v>2.4</v>
      </c>
    </row>
    <row r="76" spans="1:6">
      <c r="A76" s="4" t="s">
        <v>34</v>
      </c>
      <c r="B76" s="4" t="s">
        <v>101</v>
      </c>
      <c r="C76" s="4" t="s">
        <v>205</v>
      </c>
      <c r="D76" s="4" t="s">
        <v>277</v>
      </c>
      <c r="F76" s="17">
        <v>0.24248</v>
      </c>
    </row>
    <row r="77" spans="1:6">
      <c r="A77" s="4" t="s">
        <v>35</v>
      </c>
      <c r="B77" s="4" t="s">
        <v>103</v>
      </c>
      <c r="C77" s="4" t="s">
        <v>207</v>
      </c>
      <c r="D77" s="4" t="s">
        <v>275</v>
      </c>
      <c r="F77" s="17">
        <v>2.3504999999999998</v>
      </c>
    </row>
    <row r="78" spans="1:6">
      <c r="C78" s="15" t="s">
        <v>208</v>
      </c>
      <c r="E78" s="4" t="s">
        <v>378</v>
      </c>
      <c r="F78" s="17">
        <v>1.1100000000000001</v>
      </c>
    </row>
    <row r="79" spans="1:6">
      <c r="A79" s="4"/>
      <c r="B79" s="4"/>
      <c r="C79" s="4"/>
      <c r="D79" s="4"/>
      <c r="E79" s="4" t="s">
        <v>379</v>
      </c>
      <c r="F79" s="17">
        <v>1.2404999999999999</v>
      </c>
    </row>
    <row r="80" spans="1:6">
      <c r="A80" s="4" t="s">
        <v>36</v>
      </c>
      <c r="B80" s="4" t="s">
        <v>105</v>
      </c>
      <c r="C80" s="4" t="s">
        <v>210</v>
      </c>
      <c r="D80" s="4" t="s">
        <v>279</v>
      </c>
      <c r="F80" s="17">
        <v>12</v>
      </c>
    </row>
    <row r="81" spans="1:6">
      <c r="C81" s="15" t="s">
        <v>211</v>
      </c>
      <c r="E81" s="4" t="s">
        <v>18</v>
      </c>
      <c r="F81" s="17">
        <v>12</v>
      </c>
    </row>
    <row r="82" spans="1:6">
      <c r="A82" s="4" t="s">
        <v>37</v>
      </c>
      <c r="B82" s="4" t="s">
        <v>107</v>
      </c>
      <c r="C82" s="4" t="s">
        <v>213</v>
      </c>
      <c r="D82" s="4" t="s">
        <v>274</v>
      </c>
      <c r="F82" s="17">
        <v>9.5</v>
      </c>
    </row>
    <row r="83" spans="1:6">
      <c r="C83" s="15" t="s">
        <v>214</v>
      </c>
      <c r="E83" s="4" t="s">
        <v>380</v>
      </c>
      <c r="F83" s="17">
        <v>9.5</v>
      </c>
    </row>
    <row r="84" spans="1:6">
      <c r="A84" s="4" t="s">
        <v>38</v>
      </c>
      <c r="B84" s="4" t="s">
        <v>109</v>
      </c>
      <c r="C84" s="4" t="s">
        <v>216</v>
      </c>
      <c r="D84" s="4" t="s">
        <v>275</v>
      </c>
      <c r="F84" s="17">
        <v>81.569199999999995</v>
      </c>
    </row>
    <row r="85" spans="1:6">
      <c r="E85" s="4" t="s">
        <v>381</v>
      </c>
      <c r="F85" s="17">
        <v>36.413200000000003</v>
      </c>
    </row>
    <row r="86" spans="1:6">
      <c r="A86" s="4"/>
      <c r="B86" s="4"/>
      <c r="C86" s="4"/>
      <c r="D86" s="4"/>
      <c r="E86" s="4" t="s">
        <v>382</v>
      </c>
      <c r="F86" s="17">
        <v>40.164000000000001</v>
      </c>
    </row>
    <row r="87" spans="1:6">
      <c r="A87" s="4"/>
      <c r="B87" s="4"/>
      <c r="C87" s="4"/>
      <c r="D87" s="4"/>
      <c r="E87" s="4" t="s">
        <v>383</v>
      </c>
      <c r="F87" s="17">
        <v>4.992</v>
      </c>
    </row>
    <row r="88" spans="1:6">
      <c r="A88" s="4" t="s">
        <v>39</v>
      </c>
      <c r="B88" s="4" t="s">
        <v>110</v>
      </c>
      <c r="C88" s="4" t="s">
        <v>217</v>
      </c>
      <c r="D88" s="4" t="s">
        <v>275</v>
      </c>
      <c r="F88" s="17">
        <v>2.4</v>
      </c>
    </row>
    <row r="89" spans="1:6">
      <c r="C89" s="15" t="s">
        <v>218</v>
      </c>
      <c r="E89" s="4" t="s">
        <v>384</v>
      </c>
      <c r="F89" s="17">
        <v>2.4</v>
      </c>
    </row>
    <row r="90" spans="1:6">
      <c r="A90" s="4" t="s">
        <v>40</v>
      </c>
      <c r="B90" s="4" t="s">
        <v>112</v>
      </c>
      <c r="C90" s="4" t="s">
        <v>220</v>
      </c>
      <c r="D90" s="4" t="s">
        <v>275</v>
      </c>
      <c r="E90" s="4" t="s">
        <v>385</v>
      </c>
      <c r="F90" s="17">
        <v>234</v>
      </c>
    </row>
    <row r="91" spans="1:6">
      <c r="A91" s="4" t="s">
        <v>41</v>
      </c>
      <c r="B91" s="4" t="s">
        <v>114</v>
      </c>
      <c r="C91" s="4" t="s">
        <v>222</v>
      </c>
      <c r="D91" s="4" t="s">
        <v>275</v>
      </c>
      <c r="F91" s="17">
        <v>23.536799999999999</v>
      </c>
    </row>
    <row r="92" spans="1:6">
      <c r="C92" s="15" t="s">
        <v>223</v>
      </c>
      <c r="E92" s="4" t="s">
        <v>386</v>
      </c>
      <c r="F92" s="17">
        <v>2.496</v>
      </c>
    </row>
    <row r="93" spans="1:6">
      <c r="A93" s="4"/>
      <c r="B93" s="4"/>
      <c r="C93" s="4"/>
      <c r="D93" s="4"/>
      <c r="E93" s="4" t="s">
        <v>387</v>
      </c>
      <c r="F93" s="17">
        <v>8.7167999999999992</v>
      </c>
    </row>
    <row r="94" spans="1:6">
      <c r="A94" s="4"/>
      <c r="B94" s="4"/>
      <c r="C94" s="4"/>
      <c r="D94" s="4"/>
      <c r="E94" s="4" t="s">
        <v>388</v>
      </c>
      <c r="F94" s="17">
        <v>12.324</v>
      </c>
    </row>
    <row r="95" spans="1:6">
      <c r="A95" s="4" t="s">
        <v>42</v>
      </c>
      <c r="B95" s="4" t="s">
        <v>115</v>
      </c>
      <c r="C95" s="4" t="s">
        <v>224</v>
      </c>
      <c r="D95" s="4" t="s">
        <v>275</v>
      </c>
      <c r="F95" s="17">
        <v>48.121899999999997</v>
      </c>
    </row>
    <row r="96" spans="1:6">
      <c r="C96" s="15" t="s">
        <v>225</v>
      </c>
      <c r="E96" s="4" t="s">
        <v>389</v>
      </c>
      <c r="F96" s="17">
        <v>4.8360000000000003</v>
      </c>
    </row>
    <row r="97" spans="1:6">
      <c r="A97" s="4"/>
      <c r="B97" s="4"/>
      <c r="C97" s="4"/>
      <c r="D97" s="4"/>
      <c r="E97" s="4" t="s">
        <v>390</v>
      </c>
      <c r="F97" s="17">
        <v>12.666600000000001</v>
      </c>
    </row>
    <row r="98" spans="1:6">
      <c r="A98" s="4"/>
      <c r="B98" s="4"/>
      <c r="C98" s="4"/>
      <c r="D98" s="4"/>
      <c r="E98" s="4" t="s">
        <v>391</v>
      </c>
      <c r="F98" s="17">
        <v>30.619299999999999</v>
      </c>
    </row>
    <row r="99" spans="1:6">
      <c r="A99" s="4" t="s">
        <v>43</v>
      </c>
      <c r="B99" s="4" t="s">
        <v>116</v>
      </c>
      <c r="C99" s="4" t="s">
        <v>226</v>
      </c>
      <c r="D99" s="4" t="s">
        <v>275</v>
      </c>
      <c r="F99" s="17">
        <v>10.476000000000001</v>
      </c>
    </row>
    <row r="100" spans="1:6">
      <c r="C100" s="15" t="s">
        <v>227</v>
      </c>
      <c r="E100" s="4" t="s">
        <v>392</v>
      </c>
      <c r="F100" s="17">
        <v>10.295999999999999</v>
      </c>
    </row>
    <row r="101" spans="1:6">
      <c r="A101" s="4"/>
      <c r="B101" s="4"/>
      <c r="C101" s="4"/>
      <c r="D101" s="4"/>
      <c r="E101" s="4" t="s">
        <v>393</v>
      </c>
      <c r="F101" s="17">
        <v>0.18</v>
      </c>
    </row>
    <row r="102" spans="1:6">
      <c r="A102" s="4" t="s">
        <v>44</v>
      </c>
      <c r="B102" s="4" t="s">
        <v>117</v>
      </c>
      <c r="C102" s="4" t="s">
        <v>228</v>
      </c>
      <c r="D102" s="4" t="s">
        <v>275</v>
      </c>
      <c r="F102" s="17">
        <v>10.044</v>
      </c>
    </row>
    <row r="103" spans="1:6">
      <c r="C103" s="15" t="s">
        <v>229</v>
      </c>
      <c r="E103" s="4" t="s">
        <v>394</v>
      </c>
      <c r="F103" s="17">
        <v>4.0890000000000004</v>
      </c>
    </row>
    <row r="104" spans="1:6">
      <c r="A104" s="4"/>
      <c r="B104" s="4"/>
      <c r="C104" s="4"/>
      <c r="D104" s="4"/>
      <c r="E104" s="4" t="s">
        <v>395</v>
      </c>
      <c r="F104" s="17">
        <v>5.9550000000000001</v>
      </c>
    </row>
    <row r="105" spans="1:6">
      <c r="A105" s="4" t="s">
        <v>45</v>
      </c>
      <c r="B105" s="4" t="s">
        <v>118</v>
      </c>
      <c r="C105" s="4" t="s">
        <v>230</v>
      </c>
      <c r="D105" s="4" t="s">
        <v>273</v>
      </c>
      <c r="F105" s="17">
        <v>1.8206599999999999</v>
      </c>
    </row>
    <row r="106" spans="1:6" ht="26.4">
      <c r="C106" s="15" t="s">
        <v>231</v>
      </c>
      <c r="E106" s="4" t="s">
        <v>396</v>
      </c>
      <c r="F106" s="17">
        <v>1.8206599999999999</v>
      </c>
    </row>
    <row r="107" spans="1:6">
      <c r="A107" s="4" t="s">
        <v>46</v>
      </c>
      <c r="B107" s="4" t="s">
        <v>119</v>
      </c>
      <c r="C107" s="4" t="s">
        <v>232</v>
      </c>
      <c r="D107" s="4" t="s">
        <v>273</v>
      </c>
      <c r="F107" s="17">
        <v>8.0351999999999997</v>
      </c>
    </row>
    <row r="108" spans="1:6" ht="26.4">
      <c r="C108" s="15" t="s">
        <v>233</v>
      </c>
      <c r="E108" s="4" t="s">
        <v>397</v>
      </c>
      <c r="F108" s="17">
        <v>3.2711999999999999</v>
      </c>
    </row>
    <row r="109" spans="1:6">
      <c r="A109" s="4"/>
      <c r="B109" s="4"/>
      <c r="C109" s="4"/>
      <c r="D109" s="4"/>
      <c r="E109" s="4" t="s">
        <v>398</v>
      </c>
      <c r="F109" s="17">
        <v>4.7640000000000002</v>
      </c>
    </row>
    <row r="110" spans="1:6">
      <c r="A110" s="4" t="s">
        <v>47</v>
      </c>
      <c r="B110" s="4" t="s">
        <v>120</v>
      </c>
      <c r="C110" s="4" t="s">
        <v>234</v>
      </c>
      <c r="D110" s="4" t="s">
        <v>275</v>
      </c>
      <c r="F110" s="17">
        <v>36.413200000000003</v>
      </c>
    </row>
    <row r="111" spans="1:6">
      <c r="C111" s="15" t="s">
        <v>235</v>
      </c>
      <c r="E111" s="4" t="s">
        <v>381</v>
      </c>
      <c r="F111" s="17">
        <v>36.413200000000003</v>
      </c>
    </row>
    <row r="112" spans="1:6">
      <c r="A112" s="4" t="s">
        <v>48</v>
      </c>
      <c r="B112" s="4" t="s">
        <v>121</v>
      </c>
      <c r="C112" s="4" t="s">
        <v>236</v>
      </c>
      <c r="D112" s="4" t="s">
        <v>273</v>
      </c>
      <c r="F112" s="17">
        <v>1.4543999999999999</v>
      </c>
    </row>
    <row r="113" spans="1:6">
      <c r="C113" s="15" t="s">
        <v>237</v>
      </c>
      <c r="E113" s="4" t="s">
        <v>399</v>
      </c>
      <c r="F113" s="17">
        <v>1.4543999999999999</v>
      </c>
    </row>
    <row r="114" spans="1:6">
      <c r="A114" s="4" t="s">
        <v>49</v>
      </c>
      <c r="B114" s="4" t="s">
        <v>123</v>
      </c>
      <c r="C114" s="4" t="s">
        <v>239</v>
      </c>
      <c r="D114" s="4" t="s">
        <v>274</v>
      </c>
      <c r="E114" s="4" t="s">
        <v>400</v>
      </c>
      <c r="F114" s="17">
        <v>1</v>
      </c>
    </row>
    <row r="115" spans="1:6">
      <c r="A115" s="4" t="s">
        <v>50</v>
      </c>
      <c r="B115" s="4" t="s">
        <v>124</v>
      </c>
      <c r="C115" s="4" t="s">
        <v>240</v>
      </c>
      <c r="D115" s="4" t="s">
        <v>274</v>
      </c>
      <c r="E115" s="4" t="s">
        <v>401</v>
      </c>
      <c r="F115" s="17">
        <v>11.2</v>
      </c>
    </row>
    <row r="116" spans="1:6">
      <c r="A116" s="4" t="s">
        <v>51</v>
      </c>
      <c r="B116" s="4" t="s">
        <v>125</v>
      </c>
      <c r="C116" s="4" t="s">
        <v>241</v>
      </c>
      <c r="D116" s="4" t="s">
        <v>276</v>
      </c>
      <c r="F116" s="17">
        <v>8</v>
      </c>
    </row>
    <row r="117" spans="1:6">
      <c r="C117" s="15" t="s">
        <v>242</v>
      </c>
      <c r="E117" s="4" t="s">
        <v>14</v>
      </c>
      <c r="F117" s="17">
        <v>8</v>
      </c>
    </row>
    <row r="118" spans="1:6">
      <c r="A118" s="4" t="s">
        <v>52</v>
      </c>
      <c r="B118" s="4" t="s">
        <v>126</v>
      </c>
      <c r="C118" s="4" t="s">
        <v>243</v>
      </c>
      <c r="D118" s="4" t="s">
        <v>275</v>
      </c>
      <c r="F118" s="17">
        <v>16.170000000000002</v>
      </c>
    </row>
    <row r="119" spans="1:6">
      <c r="E119" s="4" t="s">
        <v>402</v>
      </c>
      <c r="F119" s="17">
        <v>12.58</v>
      </c>
    </row>
    <row r="120" spans="1:6">
      <c r="A120" s="4"/>
      <c r="B120" s="4"/>
      <c r="C120" s="4"/>
      <c r="D120" s="4"/>
      <c r="E120" s="4" t="s">
        <v>365</v>
      </c>
      <c r="F120" s="17">
        <v>2.14</v>
      </c>
    </row>
    <row r="121" spans="1:6">
      <c r="A121" s="4"/>
      <c r="B121" s="4"/>
      <c r="C121" s="4"/>
      <c r="D121" s="4"/>
      <c r="E121" s="4" t="s">
        <v>403</v>
      </c>
      <c r="F121" s="17">
        <v>1.45</v>
      </c>
    </row>
    <row r="122" spans="1:6">
      <c r="A122" s="4" t="s">
        <v>53</v>
      </c>
      <c r="B122" s="4" t="s">
        <v>128</v>
      </c>
      <c r="C122" s="4" t="s">
        <v>245</v>
      </c>
      <c r="D122" s="4" t="s">
        <v>277</v>
      </c>
      <c r="F122" s="17">
        <v>61.95731</v>
      </c>
    </row>
    <row r="123" spans="1:6">
      <c r="A123" s="4" t="s">
        <v>54</v>
      </c>
      <c r="B123" s="4" t="s">
        <v>130</v>
      </c>
      <c r="C123" s="4" t="s">
        <v>247</v>
      </c>
      <c r="D123" s="4" t="s">
        <v>276</v>
      </c>
      <c r="E123" s="4" t="s">
        <v>11</v>
      </c>
      <c r="F123" s="17">
        <v>5</v>
      </c>
    </row>
    <row r="124" spans="1:6">
      <c r="A124" s="4" t="s">
        <v>55</v>
      </c>
      <c r="B124" s="4" t="s">
        <v>131</v>
      </c>
      <c r="C124" s="4" t="s">
        <v>248</v>
      </c>
      <c r="D124" s="4" t="s">
        <v>276</v>
      </c>
      <c r="E124" s="4" t="s">
        <v>14</v>
      </c>
      <c r="F124" s="17">
        <v>8</v>
      </c>
    </row>
    <row r="125" spans="1:6">
      <c r="A125" s="6" t="s">
        <v>56</v>
      </c>
      <c r="B125" s="6" t="s">
        <v>132</v>
      </c>
      <c r="C125" s="6" t="s">
        <v>249</v>
      </c>
      <c r="D125" s="6" t="s">
        <v>276</v>
      </c>
      <c r="E125" s="6" t="s">
        <v>11</v>
      </c>
      <c r="F125" s="18">
        <v>5</v>
      </c>
    </row>
    <row r="126" spans="1:6">
      <c r="A126" s="6" t="s">
        <v>57</v>
      </c>
      <c r="B126" s="6" t="s">
        <v>133</v>
      </c>
      <c r="C126" s="6" t="s">
        <v>250</v>
      </c>
      <c r="D126" s="6" t="s">
        <v>276</v>
      </c>
      <c r="E126" s="6" t="s">
        <v>14</v>
      </c>
      <c r="F126" s="18">
        <v>8</v>
      </c>
    </row>
    <row r="127" spans="1:6">
      <c r="A127" s="4" t="s">
        <v>58</v>
      </c>
      <c r="B127" s="4" t="s">
        <v>134</v>
      </c>
      <c r="C127" s="4" t="s">
        <v>251</v>
      </c>
      <c r="D127" s="4" t="s">
        <v>274</v>
      </c>
      <c r="F127" s="17">
        <v>60</v>
      </c>
    </row>
    <row r="128" spans="1:6">
      <c r="C128" s="15" t="s">
        <v>252</v>
      </c>
      <c r="E128" s="4" t="s">
        <v>404</v>
      </c>
      <c r="F128" s="17">
        <v>60</v>
      </c>
    </row>
    <row r="129" spans="1:6">
      <c r="A129" s="4" t="s">
        <v>59</v>
      </c>
      <c r="B129" s="4" t="s">
        <v>135</v>
      </c>
      <c r="C129" s="4" t="s">
        <v>253</v>
      </c>
      <c r="D129" s="4" t="s">
        <v>280</v>
      </c>
      <c r="F129" s="17">
        <v>1</v>
      </c>
    </row>
    <row r="130" spans="1:6">
      <c r="C130" s="15" t="s">
        <v>254</v>
      </c>
      <c r="E130" s="4" t="s">
        <v>7</v>
      </c>
      <c r="F130" s="17">
        <v>1</v>
      </c>
    </row>
    <row r="131" spans="1:6">
      <c r="A131" s="4" t="s">
        <v>60</v>
      </c>
      <c r="B131" s="4" t="s">
        <v>136</v>
      </c>
      <c r="C131" s="4" t="s">
        <v>255</v>
      </c>
      <c r="D131" s="4" t="s">
        <v>276</v>
      </c>
      <c r="F131" s="17">
        <v>3</v>
      </c>
    </row>
    <row r="132" spans="1:6">
      <c r="C132" s="15" t="s">
        <v>256</v>
      </c>
      <c r="E132" s="4" t="s">
        <v>9</v>
      </c>
      <c r="F132" s="17">
        <v>3</v>
      </c>
    </row>
    <row r="133" spans="1:6">
      <c r="A133" s="6" t="s">
        <v>61</v>
      </c>
      <c r="B133" s="6" t="s">
        <v>137</v>
      </c>
      <c r="C133" s="6" t="s">
        <v>257</v>
      </c>
      <c r="D133" s="6" t="s">
        <v>276</v>
      </c>
      <c r="E133" s="6" t="s">
        <v>9</v>
      </c>
      <c r="F133" s="18">
        <v>3</v>
      </c>
    </row>
    <row r="134" spans="1:6">
      <c r="A134" s="4" t="s">
        <v>62</v>
      </c>
      <c r="B134" s="4" t="s">
        <v>139</v>
      </c>
      <c r="C134" s="4" t="s">
        <v>259</v>
      </c>
      <c r="D134" s="4" t="s">
        <v>277</v>
      </c>
      <c r="E134" s="4" t="s">
        <v>405</v>
      </c>
      <c r="F134" s="17">
        <v>54.57</v>
      </c>
    </row>
    <row r="135" spans="1:6">
      <c r="A135" s="4" t="s">
        <v>63</v>
      </c>
      <c r="B135" s="4" t="s">
        <v>140</v>
      </c>
      <c r="C135" s="4" t="s">
        <v>260</v>
      </c>
      <c r="D135" s="4" t="s">
        <v>277</v>
      </c>
      <c r="E135" s="4" t="s">
        <v>406</v>
      </c>
      <c r="F135" s="17">
        <v>109.14</v>
      </c>
    </row>
    <row r="136" spans="1:6">
      <c r="A136" s="4" t="s">
        <v>64</v>
      </c>
      <c r="B136" s="4" t="s">
        <v>141</v>
      </c>
      <c r="C136" s="4" t="s">
        <v>261</v>
      </c>
      <c r="D136" s="4" t="s">
        <v>277</v>
      </c>
      <c r="E136" s="4" t="s">
        <v>407</v>
      </c>
      <c r="F136" s="17">
        <v>54.57</v>
      </c>
    </row>
    <row r="137" spans="1:6">
      <c r="A137" s="4" t="s">
        <v>65</v>
      </c>
      <c r="B137" s="4" t="s">
        <v>142</v>
      </c>
      <c r="C137" s="4" t="s">
        <v>262</v>
      </c>
      <c r="D137" s="4" t="s">
        <v>277</v>
      </c>
      <c r="E137" s="4" t="s">
        <v>408</v>
      </c>
      <c r="F137" s="17">
        <v>491.13</v>
      </c>
    </row>
    <row r="138" spans="1:6">
      <c r="A138" s="4" t="s">
        <v>66</v>
      </c>
      <c r="B138" s="4" t="s">
        <v>143</v>
      </c>
      <c r="C138" s="4" t="s">
        <v>263</v>
      </c>
      <c r="D138" s="4" t="s">
        <v>277</v>
      </c>
      <c r="E138" s="4" t="s">
        <v>407</v>
      </c>
      <c r="F138" s="17">
        <v>54.57</v>
      </c>
    </row>
    <row r="139" spans="1:6">
      <c r="A139" s="4" t="s">
        <v>67</v>
      </c>
      <c r="B139" s="4" t="s">
        <v>144</v>
      </c>
      <c r="C139" s="4" t="s">
        <v>264</v>
      </c>
      <c r="D139" s="4" t="s">
        <v>277</v>
      </c>
      <c r="E139" s="4" t="s">
        <v>407</v>
      </c>
      <c r="F139" s="17">
        <v>54.57</v>
      </c>
    </row>
    <row r="140" spans="1:6">
      <c r="A140" s="4" t="s">
        <v>68</v>
      </c>
      <c r="B140" s="4" t="s">
        <v>145</v>
      </c>
      <c r="C140" s="4" t="s">
        <v>265</v>
      </c>
      <c r="D140" s="4" t="s">
        <v>277</v>
      </c>
      <c r="E140" s="4" t="s">
        <v>409</v>
      </c>
      <c r="F140" s="17">
        <v>54.34</v>
      </c>
    </row>
    <row r="141" spans="1:6">
      <c r="A141" s="4" t="s">
        <v>69</v>
      </c>
      <c r="B141" s="4" t="s">
        <v>146</v>
      </c>
      <c r="C141" s="4" t="s">
        <v>266</v>
      </c>
      <c r="D141" s="4" t="s">
        <v>277</v>
      </c>
      <c r="E141" s="4" t="s">
        <v>409</v>
      </c>
      <c r="F141" s="17">
        <v>54.34</v>
      </c>
    </row>
    <row r="142" spans="1:6">
      <c r="A142" s="4" t="s">
        <v>70</v>
      </c>
      <c r="B142" s="4" t="s">
        <v>147</v>
      </c>
      <c r="C142" s="4" t="s">
        <v>267</v>
      </c>
      <c r="D142" s="4" t="s">
        <v>277</v>
      </c>
      <c r="E142" s="4" t="s">
        <v>409</v>
      </c>
      <c r="F142" s="17">
        <v>54.34</v>
      </c>
    </row>
    <row r="144" spans="1:6" ht="11.25" customHeight="1">
      <c r="A144" s="9" t="s">
        <v>71</v>
      </c>
    </row>
    <row r="145" spans="1:7">
      <c r="A145" s="68"/>
      <c r="B145" s="69"/>
      <c r="C145" s="69"/>
      <c r="D145" s="69"/>
      <c r="E145" s="69"/>
      <c r="F145" s="69"/>
      <c r="G145" s="69"/>
    </row>
  </sheetData>
  <mergeCells count="18">
    <mergeCell ref="A4:A5"/>
    <mergeCell ref="B4:C5"/>
    <mergeCell ref="D4:D5"/>
    <mergeCell ref="E4:F5"/>
    <mergeCell ref="A1:F1"/>
    <mergeCell ref="A2:A3"/>
    <mergeCell ref="B2:C3"/>
    <mergeCell ref="D2:D3"/>
    <mergeCell ref="E2:F3"/>
    <mergeCell ref="A145:G145"/>
    <mergeCell ref="A6:A7"/>
    <mergeCell ref="B6:C7"/>
    <mergeCell ref="D6:D7"/>
    <mergeCell ref="E6:F7"/>
    <mergeCell ref="A8:A9"/>
    <mergeCell ref="B8:C9"/>
    <mergeCell ref="D8:D9"/>
    <mergeCell ref="E8:F9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7"/>
  <sheetViews>
    <sheetView topLeftCell="A7" workbookViewId="0"/>
  </sheetViews>
  <sheetFormatPr defaultColWidth="11.5546875" defaultRowHeight="13.2"/>
  <cols>
    <col min="1" max="1" width="9.109375" customWidth="1"/>
    <col min="2" max="2" width="12.88671875" customWidth="1"/>
    <col min="3" max="3" width="22.88671875" customWidth="1"/>
    <col min="4" max="4" width="10" customWidth="1"/>
    <col min="5" max="5" width="14" customWidth="1"/>
    <col min="6" max="6" width="22.88671875" customWidth="1"/>
    <col min="7" max="7" width="9.109375" customWidth="1"/>
    <col min="8" max="8" width="12.88671875" customWidth="1"/>
    <col min="9" max="9" width="22.88671875" customWidth="1"/>
  </cols>
  <sheetData>
    <row r="1" spans="1:10" ht="73.05" customHeight="1">
      <c r="A1" s="67"/>
      <c r="B1" s="42"/>
      <c r="C1" s="118" t="s">
        <v>425</v>
      </c>
      <c r="D1" s="119"/>
      <c r="E1" s="119"/>
      <c r="F1" s="119"/>
      <c r="G1" s="119"/>
      <c r="H1" s="119"/>
      <c r="I1" s="119"/>
    </row>
    <row r="2" spans="1:10">
      <c r="A2" s="87" t="s">
        <v>1</v>
      </c>
      <c r="B2" s="88"/>
      <c r="C2" s="89" t="s">
        <v>148</v>
      </c>
      <c r="D2" s="73"/>
      <c r="E2" s="92" t="s">
        <v>288</v>
      </c>
      <c r="F2" s="92" t="s">
        <v>293</v>
      </c>
      <c r="G2" s="88"/>
      <c r="H2" s="92" t="s">
        <v>450</v>
      </c>
      <c r="I2" s="120"/>
      <c r="J2" s="29"/>
    </row>
    <row r="3" spans="1:10">
      <c r="A3" s="84"/>
      <c r="B3" s="69"/>
      <c r="C3" s="90"/>
      <c r="D3" s="90"/>
      <c r="E3" s="69"/>
      <c r="F3" s="69"/>
      <c r="G3" s="69"/>
      <c r="H3" s="69"/>
      <c r="I3" s="115"/>
      <c r="J3" s="29"/>
    </row>
    <row r="4" spans="1:10">
      <c r="A4" s="78" t="s">
        <v>2</v>
      </c>
      <c r="B4" s="69"/>
      <c r="C4" s="68" t="s">
        <v>149</v>
      </c>
      <c r="D4" s="69"/>
      <c r="E4" s="68" t="s">
        <v>289</v>
      </c>
      <c r="F4" s="68" t="s">
        <v>294</v>
      </c>
      <c r="G4" s="69"/>
      <c r="H4" s="68" t="s">
        <v>450</v>
      </c>
      <c r="I4" s="114"/>
      <c r="J4" s="29"/>
    </row>
    <row r="5" spans="1:10">
      <c r="A5" s="84"/>
      <c r="B5" s="69"/>
      <c r="C5" s="69"/>
      <c r="D5" s="69"/>
      <c r="E5" s="69"/>
      <c r="F5" s="69"/>
      <c r="G5" s="69"/>
      <c r="H5" s="69"/>
      <c r="I5" s="115"/>
      <c r="J5" s="29"/>
    </row>
    <row r="6" spans="1:10">
      <c r="A6" s="78" t="s">
        <v>3</v>
      </c>
      <c r="B6" s="69"/>
      <c r="C6" s="68" t="s">
        <v>150</v>
      </c>
      <c r="D6" s="69"/>
      <c r="E6" s="68" t="s">
        <v>290</v>
      </c>
      <c r="F6" s="68" t="s">
        <v>295</v>
      </c>
      <c r="G6" s="69"/>
      <c r="H6" s="68" t="s">
        <v>450</v>
      </c>
      <c r="I6" s="114"/>
      <c r="J6" s="29"/>
    </row>
    <row r="7" spans="1:10">
      <c r="A7" s="84"/>
      <c r="B7" s="69"/>
      <c r="C7" s="69"/>
      <c r="D7" s="69"/>
      <c r="E7" s="69"/>
      <c r="F7" s="69"/>
      <c r="G7" s="69"/>
      <c r="H7" s="69"/>
      <c r="I7" s="115"/>
      <c r="J7" s="29"/>
    </row>
    <row r="8" spans="1:10">
      <c r="A8" s="78" t="s">
        <v>269</v>
      </c>
      <c r="B8" s="69"/>
      <c r="C8" s="82">
        <v>43413</v>
      </c>
      <c r="D8" s="69"/>
      <c r="E8" s="68" t="s">
        <v>270</v>
      </c>
      <c r="F8" s="82">
        <v>43455</v>
      </c>
      <c r="G8" s="69"/>
      <c r="H8" s="81" t="s">
        <v>451</v>
      </c>
      <c r="I8" s="114" t="s">
        <v>70</v>
      </c>
      <c r="J8" s="29"/>
    </row>
    <row r="9" spans="1:10">
      <c r="A9" s="84"/>
      <c r="B9" s="69"/>
      <c r="C9" s="69"/>
      <c r="D9" s="69"/>
      <c r="E9" s="69"/>
      <c r="F9" s="69"/>
      <c r="G9" s="69"/>
      <c r="H9" s="69"/>
      <c r="I9" s="115"/>
      <c r="J9" s="29"/>
    </row>
    <row r="10" spans="1:10">
      <c r="A10" s="78" t="s">
        <v>4</v>
      </c>
      <c r="B10" s="69"/>
      <c r="C10" s="68">
        <v>8225233</v>
      </c>
      <c r="D10" s="69"/>
      <c r="E10" s="68" t="s">
        <v>291</v>
      </c>
      <c r="F10" s="68" t="s">
        <v>296</v>
      </c>
      <c r="G10" s="69"/>
      <c r="H10" s="81" t="s">
        <v>452</v>
      </c>
      <c r="I10" s="112">
        <v>43382</v>
      </c>
      <c r="J10" s="29"/>
    </row>
    <row r="11" spans="1:10">
      <c r="A11" s="116"/>
      <c r="B11" s="117"/>
      <c r="C11" s="117"/>
      <c r="D11" s="117"/>
      <c r="E11" s="117"/>
      <c r="F11" s="117"/>
      <c r="G11" s="117"/>
      <c r="H11" s="117"/>
      <c r="I11" s="113"/>
      <c r="J11" s="29"/>
    </row>
    <row r="12" spans="1:10" ht="23.4" customHeight="1">
      <c r="A12" s="108" t="s">
        <v>410</v>
      </c>
      <c r="B12" s="109"/>
      <c r="C12" s="109"/>
      <c r="D12" s="109"/>
      <c r="E12" s="109"/>
      <c r="F12" s="109"/>
      <c r="G12" s="109"/>
      <c r="H12" s="109"/>
      <c r="I12" s="109"/>
    </row>
    <row r="13" spans="1:10" ht="26.4" customHeight="1">
      <c r="A13" s="43" t="s">
        <v>411</v>
      </c>
      <c r="B13" s="110" t="s">
        <v>423</v>
      </c>
      <c r="C13" s="111"/>
      <c r="D13" s="43" t="s">
        <v>426</v>
      </c>
      <c r="E13" s="110" t="s">
        <v>435</v>
      </c>
      <c r="F13" s="111"/>
      <c r="G13" s="43" t="s">
        <v>436</v>
      </c>
      <c r="H13" s="110" t="s">
        <v>453</v>
      </c>
      <c r="I13" s="111"/>
      <c r="J13" s="29"/>
    </row>
    <row r="14" spans="1:10" ht="15.15" customHeight="1">
      <c r="A14" s="44" t="s">
        <v>412</v>
      </c>
      <c r="B14" s="48" t="s">
        <v>424</v>
      </c>
      <c r="C14" s="51">
        <f>SUM('Stavební rozpočet'!Q12:Q127)</f>
        <v>0</v>
      </c>
      <c r="D14" s="106" t="s">
        <v>427</v>
      </c>
      <c r="E14" s="107"/>
      <c r="F14" s="51">
        <f>VORN!I15</f>
        <v>0</v>
      </c>
      <c r="G14" s="106" t="s">
        <v>437</v>
      </c>
      <c r="H14" s="107"/>
      <c r="I14" s="51">
        <f>VORN!I21</f>
        <v>0</v>
      </c>
      <c r="J14" s="29"/>
    </row>
    <row r="15" spans="1:10" ht="15.15" customHeight="1">
      <c r="A15" s="45"/>
      <c r="B15" s="48" t="s">
        <v>292</v>
      </c>
      <c r="C15" s="51">
        <f>SUM('Stavební rozpočet'!R12:R127)</f>
        <v>0</v>
      </c>
      <c r="D15" s="106" t="s">
        <v>428</v>
      </c>
      <c r="E15" s="107"/>
      <c r="F15" s="51">
        <f>VORN!I16</f>
        <v>0</v>
      </c>
      <c r="G15" s="106" t="s">
        <v>438</v>
      </c>
      <c r="H15" s="107"/>
      <c r="I15" s="51">
        <f>VORN!I22</f>
        <v>0</v>
      </c>
      <c r="J15" s="29"/>
    </row>
    <row r="16" spans="1:10" ht="15.15" customHeight="1">
      <c r="A16" s="44" t="s">
        <v>413</v>
      </c>
      <c r="B16" s="48" t="s">
        <v>424</v>
      </c>
      <c r="C16" s="51">
        <f>SUM('Stavební rozpočet'!S12:S127)</f>
        <v>0</v>
      </c>
      <c r="D16" s="106" t="s">
        <v>429</v>
      </c>
      <c r="E16" s="107"/>
      <c r="F16" s="51">
        <f>VORN!I17</f>
        <v>0</v>
      </c>
      <c r="G16" s="106" t="s">
        <v>439</v>
      </c>
      <c r="H16" s="107"/>
      <c r="I16" s="51">
        <f>VORN!I23</f>
        <v>0</v>
      </c>
      <c r="J16" s="29"/>
    </row>
    <row r="17" spans="1:10" ht="15.15" customHeight="1">
      <c r="A17" s="45"/>
      <c r="B17" s="48" t="s">
        <v>292</v>
      </c>
      <c r="C17" s="51">
        <f>SUM('Stavební rozpočet'!T12:T127)</f>
        <v>0</v>
      </c>
      <c r="D17" s="106"/>
      <c r="E17" s="107"/>
      <c r="F17" s="52"/>
      <c r="G17" s="106" t="s">
        <v>440</v>
      </c>
      <c r="H17" s="107"/>
      <c r="I17" s="51">
        <f>VORN!I24</f>
        <v>0</v>
      </c>
      <c r="J17" s="29"/>
    </row>
    <row r="18" spans="1:10" ht="15.15" customHeight="1">
      <c r="A18" s="44" t="s">
        <v>414</v>
      </c>
      <c r="B18" s="48" t="s">
        <v>424</v>
      </c>
      <c r="C18" s="51">
        <f>SUM('Stavební rozpočet'!U12:U127)</f>
        <v>0</v>
      </c>
      <c r="D18" s="106"/>
      <c r="E18" s="107"/>
      <c r="F18" s="52"/>
      <c r="G18" s="106" t="s">
        <v>441</v>
      </c>
      <c r="H18" s="107"/>
      <c r="I18" s="51">
        <f>VORN!I25</f>
        <v>0</v>
      </c>
      <c r="J18" s="29"/>
    </row>
    <row r="19" spans="1:10" ht="15.15" customHeight="1">
      <c r="A19" s="45"/>
      <c r="B19" s="48" t="s">
        <v>292</v>
      </c>
      <c r="C19" s="51">
        <f>SUM('Stavební rozpočet'!V12:V127)</f>
        <v>0</v>
      </c>
      <c r="D19" s="106"/>
      <c r="E19" s="107"/>
      <c r="F19" s="52"/>
      <c r="G19" s="106" t="s">
        <v>442</v>
      </c>
      <c r="H19" s="107"/>
      <c r="I19" s="51">
        <f>VORN!I26</f>
        <v>0</v>
      </c>
      <c r="J19" s="29"/>
    </row>
    <row r="20" spans="1:10" ht="15.15" customHeight="1">
      <c r="A20" s="104" t="s">
        <v>415</v>
      </c>
      <c r="B20" s="105"/>
      <c r="C20" s="51">
        <f>SUM('Stavební rozpočet'!W12:W127)</f>
        <v>0</v>
      </c>
      <c r="D20" s="106"/>
      <c r="E20" s="107"/>
      <c r="F20" s="52"/>
      <c r="G20" s="106"/>
      <c r="H20" s="107"/>
      <c r="I20" s="52"/>
      <c r="J20" s="29"/>
    </row>
    <row r="21" spans="1:10" ht="15.15" customHeight="1">
      <c r="A21" s="104" t="s">
        <v>416</v>
      </c>
      <c r="B21" s="105"/>
      <c r="C21" s="51">
        <f>SUM('Stavební rozpočet'!O12:O127)</f>
        <v>0</v>
      </c>
      <c r="D21" s="106"/>
      <c r="E21" s="107"/>
      <c r="F21" s="52"/>
      <c r="G21" s="106"/>
      <c r="H21" s="107"/>
      <c r="I21" s="52"/>
      <c r="J21" s="29"/>
    </row>
    <row r="22" spans="1:10" ht="16.649999999999999" customHeight="1">
      <c r="A22" s="104" t="s">
        <v>417</v>
      </c>
      <c r="B22" s="105"/>
      <c r="C22" s="51">
        <f>SUM(C14:C21)</f>
        <v>0</v>
      </c>
      <c r="D22" s="104" t="s">
        <v>430</v>
      </c>
      <c r="E22" s="105"/>
      <c r="F22" s="51">
        <f>SUM(F14:F21)</f>
        <v>0</v>
      </c>
      <c r="G22" s="104" t="s">
        <v>443</v>
      </c>
      <c r="H22" s="105"/>
      <c r="I22" s="51">
        <f>SUM(I14:I21)</f>
        <v>0</v>
      </c>
      <c r="J22" s="29"/>
    </row>
    <row r="23" spans="1:10" ht="15.15" customHeight="1">
      <c r="A23" s="8"/>
      <c r="B23" s="8"/>
      <c r="C23" s="49"/>
      <c r="D23" s="104" t="s">
        <v>431</v>
      </c>
      <c r="E23" s="105"/>
      <c r="F23" s="53">
        <v>0</v>
      </c>
      <c r="G23" s="104" t="s">
        <v>444</v>
      </c>
      <c r="H23" s="105"/>
      <c r="I23" s="51">
        <v>0</v>
      </c>
      <c r="J23" s="29"/>
    </row>
    <row r="24" spans="1:10" ht="15.15" customHeight="1">
      <c r="D24" s="8"/>
      <c r="E24" s="8"/>
      <c r="F24" s="54"/>
      <c r="G24" s="104" t="s">
        <v>445</v>
      </c>
      <c r="H24" s="105"/>
      <c r="I24" s="51">
        <f>vorn_sum</f>
        <v>0</v>
      </c>
      <c r="J24" s="29"/>
    </row>
    <row r="25" spans="1:10" ht="15.15" customHeight="1">
      <c r="F25" s="55"/>
      <c r="G25" s="104" t="s">
        <v>446</v>
      </c>
      <c r="H25" s="105"/>
      <c r="I25" s="51">
        <v>0</v>
      </c>
      <c r="J25" s="29"/>
    </row>
    <row r="26" spans="1:10">
      <c r="A26" s="42"/>
      <c r="B26" s="42"/>
      <c r="C26" s="42"/>
      <c r="G26" s="8"/>
      <c r="H26" s="8"/>
      <c r="I26" s="8"/>
    </row>
    <row r="27" spans="1:10" ht="15.15" customHeight="1">
      <c r="A27" s="99" t="s">
        <v>418</v>
      </c>
      <c r="B27" s="100"/>
      <c r="C27" s="56">
        <f>SUM('Stavební rozpočet'!Y12:Y127)</f>
        <v>0</v>
      </c>
      <c r="D27" s="50"/>
      <c r="E27" s="42"/>
      <c r="F27" s="42"/>
      <c r="G27" s="42"/>
      <c r="H27" s="42"/>
      <c r="I27" s="42"/>
    </row>
    <row r="28" spans="1:10" ht="15.15" customHeight="1">
      <c r="A28" s="99" t="s">
        <v>419</v>
      </c>
      <c r="B28" s="100"/>
      <c r="C28" s="56">
        <f>SUM('Stavební rozpočet'!Z12:Z127)</f>
        <v>0</v>
      </c>
      <c r="D28" s="99" t="s">
        <v>432</v>
      </c>
      <c r="E28" s="100"/>
      <c r="F28" s="56">
        <f>ROUND(C28*(15/100),2)</f>
        <v>0</v>
      </c>
      <c r="G28" s="99" t="s">
        <v>447</v>
      </c>
      <c r="H28" s="100"/>
      <c r="I28" s="56">
        <f>SUM(C27:C29)</f>
        <v>0</v>
      </c>
      <c r="J28" s="29"/>
    </row>
    <row r="29" spans="1:10" ht="15.15" customHeight="1">
      <c r="A29" s="99" t="s">
        <v>420</v>
      </c>
      <c r="B29" s="100"/>
      <c r="C29" s="56">
        <f>SUM('Stavební rozpočet'!AA12:AA127)+(F22+I22+F23+I23+I24+I25)</f>
        <v>0</v>
      </c>
      <c r="D29" s="99" t="s">
        <v>433</v>
      </c>
      <c r="E29" s="100"/>
      <c r="F29" s="56">
        <f>ROUND(C29*(21/100),2)</f>
        <v>0</v>
      </c>
      <c r="G29" s="99" t="s">
        <v>448</v>
      </c>
      <c r="H29" s="100"/>
      <c r="I29" s="56">
        <f>SUM(F28:F29)+I28</f>
        <v>0</v>
      </c>
      <c r="J29" s="29"/>
    </row>
    <row r="30" spans="1:10">
      <c r="A30" s="46"/>
      <c r="B30" s="46"/>
      <c r="C30" s="46"/>
      <c r="D30" s="46"/>
      <c r="E30" s="46"/>
      <c r="F30" s="46"/>
      <c r="G30" s="46"/>
      <c r="H30" s="46"/>
      <c r="I30" s="46"/>
    </row>
    <row r="31" spans="1:10" ht="14.4" customHeight="1">
      <c r="A31" s="101" t="s">
        <v>421</v>
      </c>
      <c r="B31" s="102"/>
      <c r="C31" s="103"/>
      <c r="D31" s="101" t="s">
        <v>434</v>
      </c>
      <c r="E31" s="102"/>
      <c r="F31" s="103"/>
      <c r="G31" s="101" t="s">
        <v>449</v>
      </c>
      <c r="H31" s="102"/>
      <c r="I31" s="103"/>
      <c r="J31" s="30"/>
    </row>
    <row r="32" spans="1:10" ht="14.4" customHeight="1">
      <c r="A32" s="93"/>
      <c r="B32" s="94"/>
      <c r="C32" s="95"/>
      <c r="D32" s="93"/>
      <c r="E32" s="94"/>
      <c r="F32" s="95"/>
      <c r="G32" s="93"/>
      <c r="H32" s="94"/>
      <c r="I32" s="95"/>
      <c r="J32" s="30"/>
    </row>
    <row r="33" spans="1:10" ht="14.4" customHeight="1">
      <c r="A33" s="93"/>
      <c r="B33" s="94"/>
      <c r="C33" s="95"/>
      <c r="D33" s="93"/>
      <c r="E33" s="94"/>
      <c r="F33" s="95"/>
      <c r="G33" s="93"/>
      <c r="H33" s="94"/>
      <c r="I33" s="95"/>
      <c r="J33" s="30"/>
    </row>
    <row r="34" spans="1:10" ht="14.4" customHeight="1">
      <c r="A34" s="93"/>
      <c r="B34" s="94"/>
      <c r="C34" s="95"/>
      <c r="D34" s="93"/>
      <c r="E34" s="94"/>
      <c r="F34" s="95"/>
      <c r="G34" s="93"/>
      <c r="H34" s="94"/>
      <c r="I34" s="95"/>
      <c r="J34" s="30"/>
    </row>
    <row r="35" spans="1:10" ht="14.4" customHeight="1">
      <c r="A35" s="96" t="s">
        <v>422</v>
      </c>
      <c r="B35" s="97"/>
      <c r="C35" s="98"/>
      <c r="D35" s="96" t="s">
        <v>422</v>
      </c>
      <c r="E35" s="97"/>
      <c r="F35" s="98"/>
      <c r="G35" s="96" t="s">
        <v>422</v>
      </c>
      <c r="H35" s="97"/>
      <c r="I35" s="98"/>
      <c r="J35" s="30"/>
    </row>
    <row r="36" spans="1:10" ht="11.25" customHeight="1">
      <c r="A36" s="47" t="s">
        <v>71</v>
      </c>
      <c r="B36" s="39"/>
      <c r="C36" s="39"/>
      <c r="D36" s="39"/>
      <c r="E36" s="39"/>
      <c r="F36" s="39"/>
      <c r="G36" s="39"/>
      <c r="H36" s="39"/>
      <c r="I36" s="39"/>
    </row>
    <row r="37" spans="1:10">
      <c r="A37" s="68"/>
      <c r="B37" s="69"/>
      <c r="C37" s="69"/>
      <c r="D37" s="69"/>
      <c r="E37" s="69"/>
      <c r="F37" s="69"/>
      <c r="G37" s="69"/>
      <c r="H37" s="69"/>
      <c r="I37" s="69"/>
    </row>
  </sheetData>
  <mergeCells count="83">
    <mergeCell ref="C1:I1"/>
    <mergeCell ref="A2:B3"/>
    <mergeCell ref="C2:D3"/>
    <mergeCell ref="E2:E3"/>
    <mergeCell ref="F2:G3"/>
    <mergeCell ref="H2:H3"/>
    <mergeCell ref="I2:I3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A29:B29"/>
    <mergeCell ref="D29:E29"/>
    <mergeCell ref="G29:H29"/>
    <mergeCell ref="A31:C31"/>
    <mergeCell ref="D31:F31"/>
    <mergeCell ref="G31:I31"/>
    <mergeCell ref="A32:C32"/>
    <mergeCell ref="D32:F32"/>
    <mergeCell ref="G32:I32"/>
    <mergeCell ref="A33:C33"/>
    <mergeCell ref="D33:F33"/>
    <mergeCell ref="G33:I33"/>
    <mergeCell ref="A37:I37"/>
    <mergeCell ref="A34:C34"/>
    <mergeCell ref="D34:F34"/>
    <mergeCell ref="G34:I34"/>
    <mergeCell ref="A35:C35"/>
    <mergeCell ref="D35:F35"/>
    <mergeCell ref="G35:I35"/>
  </mergeCells>
  <pageMargins left="0.39400000000000002" right="0.39400000000000002" top="0.59099999999999997" bottom="0.59099999999999997" header="0.5" footer="0.5"/>
  <pageSetup paperSize="0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6"/>
  <sheetViews>
    <sheetView topLeftCell="A28" workbookViewId="0">
      <selection activeCell="B50" sqref="B50"/>
    </sheetView>
  </sheetViews>
  <sheetFormatPr defaultColWidth="11.5546875" defaultRowHeight="13.2"/>
  <cols>
    <col min="1" max="1" width="9.109375" customWidth="1"/>
    <col min="2" max="2" width="12.88671875" customWidth="1"/>
    <col min="3" max="3" width="22.88671875" customWidth="1"/>
    <col min="4" max="4" width="10" customWidth="1"/>
    <col min="5" max="5" width="14" customWidth="1"/>
    <col min="6" max="6" width="22.88671875" customWidth="1"/>
    <col min="7" max="7" width="9.109375" customWidth="1"/>
    <col min="8" max="8" width="17.109375" customWidth="1"/>
    <col min="9" max="9" width="22.88671875" customWidth="1"/>
  </cols>
  <sheetData>
    <row r="1" spans="1:10" ht="73.05" customHeight="1">
      <c r="A1" s="67"/>
      <c r="B1" s="42"/>
      <c r="C1" s="118" t="s">
        <v>470</v>
      </c>
      <c r="D1" s="119"/>
      <c r="E1" s="119"/>
      <c r="F1" s="119"/>
      <c r="G1" s="119"/>
      <c r="H1" s="119"/>
      <c r="I1" s="119"/>
    </row>
    <row r="2" spans="1:10">
      <c r="A2" s="87" t="s">
        <v>1</v>
      </c>
      <c r="B2" s="88"/>
      <c r="C2" s="89" t="s">
        <v>148</v>
      </c>
      <c r="D2" s="73"/>
      <c r="E2" s="92" t="s">
        <v>288</v>
      </c>
      <c r="F2" s="92" t="s">
        <v>293</v>
      </c>
      <c r="G2" s="88"/>
      <c r="H2" s="92" t="s">
        <v>450</v>
      </c>
      <c r="I2" s="120"/>
      <c r="J2" s="29"/>
    </row>
    <row r="3" spans="1:10">
      <c r="A3" s="84"/>
      <c r="B3" s="69"/>
      <c r="C3" s="90"/>
      <c r="D3" s="90"/>
      <c r="E3" s="69"/>
      <c r="F3" s="69"/>
      <c r="G3" s="69"/>
      <c r="H3" s="69"/>
      <c r="I3" s="115"/>
      <c r="J3" s="29"/>
    </row>
    <row r="4" spans="1:10">
      <c r="A4" s="78" t="s">
        <v>2</v>
      </c>
      <c r="B4" s="69"/>
      <c r="C4" s="68" t="s">
        <v>149</v>
      </c>
      <c r="D4" s="69"/>
      <c r="E4" s="68" t="s">
        <v>289</v>
      </c>
      <c r="F4" s="68" t="s">
        <v>294</v>
      </c>
      <c r="G4" s="69"/>
      <c r="H4" s="68" t="s">
        <v>450</v>
      </c>
      <c r="I4" s="114"/>
      <c r="J4" s="29"/>
    </row>
    <row r="5" spans="1:10">
      <c r="A5" s="84"/>
      <c r="B5" s="69"/>
      <c r="C5" s="69"/>
      <c r="D5" s="69"/>
      <c r="E5" s="69"/>
      <c r="F5" s="69"/>
      <c r="G5" s="69"/>
      <c r="H5" s="69"/>
      <c r="I5" s="115"/>
      <c r="J5" s="29"/>
    </row>
    <row r="6" spans="1:10">
      <c r="A6" s="78" t="s">
        <v>3</v>
      </c>
      <c r="B6" s="69"/>
      <c r="C6" s="68" t="s">
        <v>150</v>
      </c>
      <c r="D6" s="69"/>
      <c r="E6" s="68" t="s">
        <v>290</v>
      </c>
      <c r="F6" s="68" t="s">
        <v>295</v>
      </c>
      <c r="G6" s="69"/>
      <c r="H6" s="68" t="s">
        <v>450</v>
      </c>
      <c r="I6" s="114"/>
      <c r="J6" s="29"/>
    </row>
    <row r="7" spans="1:10">
      <c r="A7" s="84"/>
      <c r="B7" s="69"/>
      <c r="C7" s="69"/>
      <c r="D7" s="69"/>
      <c r="E7" s="69"/>
      <c r="F7" s="69"/>
      <c r="G7" s="69"/>
      <c r="H7" s="69"/>
      <c r="I7" s="115"/>
      <c r="J7" s="29"/>
    </row>
    <row r="8" spans="1:10">
      <c r="A8" s="78" t="s">
        <v>269</v>
      </c>
      <c r="B8" s="69"/>
      <c r="C8" s="82">
        <v>43413</v>
      </c>
      <c r="D8" s="69"/>
      <c r="E8" s="68" t="s">
        <v>270</v>
      </c>
      <c r="F8" s="82">
        <v>43455</v>
      </c>
      <c r="G8" s="69"/>
      <c r="H8" s="81" t="s">
        <v>451</v>
      </c>
      <c r="I8" s="114" t="s">
        <v>70</v>
      </c>
      <c r="J8" s="29"/>
    </row>
    <row r="9" spans="1:10">
      <c r="A9" s="84"/>
      <c r="B9" s="69"/>
      <c r="C9" s="69"/>
      <c r="D9" s="69"/>
      <c r="E9" s="69"/>
      <c r="F9" s="69"/>
      <c r="G9" s="69"/>
      <c r="H9" s="69"/>
      <c r="I9" s="115"/>
      <c r="J9" s="29"/>
    </row>
    <row r="10" spans="1:10">
      <c r="A10" s="78" t="s">
        <v>4</v>
      </c>
      <c r="B10" s="69"/>
      <c r="C10" s="68">
        <v>8225233</v>
      </c>
      <c r="D10" s="69"/>
      <c r="E10" s="68" t="s">
        <v>291</v>
      </c>
      <c r="F10" s="68" t="s">
        <v>296</v>
      </c>
      <c r="G10" s="69"/>
      <c r="H10" s="81" t="s">
        <v>452</v>
      </c>
      <c r="I10" s="112">
        <v>43382</v>
      </c>
      <c r="J10" s="29"/>
    </row>
    <row r="11" spans="1:10">
      <c r="A11" s="116"/>
      <c r="B11" s="117"/>
      <c r="C11" s="117"/>
      <c r="D11" s="117"/>
      <c r="E11" s="117"/>
      <c r="F11" s="117"/>
      <c r="G11" s="117"/>
      <c r="H11" s="117"/>
      <c r="I11" s="113"/>
      <c r="J11" s="29"/>
    </row>
    <row r="12" spans="1:10">
      <c r="A12" s="8"/>
      <c r="B12" s="8"/>
      <c r="C12" s="8"/>
      <c r="D12" s="8"/>
      <c r="E12" s="8"/>
      <c r="F12" s="8"/>
      <c r="G12" s="8"/>
      <c r="H12" s="8"/>
      <c r="I12" s="8"/>
    </row>
    <row r="13" spans="1:10" ht="15.15" customHeight="1">
      <c r="A13" s="130" t="s">
        <v>454</v>
      </c>
      <c r="B13" s="131"/>
      <c r="C13" s="131"/>
      <c r="D13" s="131"/>
      <c r="E13" s="131"/>
      <c r="F13" s="58"/>
      <c r="G13" s="58"/>
      <c r="H13" s="58"/>
      <c r="I13" s="58"/>
    </row>
    <row r="14" spans="1:10">
      <c r="A14" s="135" t="s">
        <v>455</v>
      </c>
      <c r="B14" s="136"/>
      <c r="C14" s="136"/>
      <c r="D14" s="136"/>
      <c r="E14" s="137"/>
      <c r="F14" s="59" t="s">
        <v>471</v>
      </c>
      <c r="G14" s="59" t="s">
        <v>472</v>
      </c>
      <c r="H14" s="59" t="s">
        <v>473</v>
      </c>
      <c r="I14" s="59" t="s">
        <v>471</v>
      </c>
      <c r="J14" s="30"/>
    </row>
    <row r="15" spans="1:10">
      <c r="A15" s="124" t="s">
        <v>427</v>
      </c>
      <c r="B15" s="125"/>
      <c r="C15" s="125"/>
      <c r="D15" s="125"/>
      <c r="E15" s="126"/>
      <c r="F15" s="60">
        <v>0</v>
      </c>
      <c r="G15" s="63"/>
      <c r="H15" s="63"/>
      <c r="I15" s="60">
        <f>F15</f>
        <v>0</v>
      </c>
      <c r="J15" s="29"/>
    </row>
    <row r="16" spans="1:10">
      <c r="A16" s="124" t="s">
        <v>428</v>
      </c>
      <c r="B16" s="125"/>
      <c r="C16" s="125"/>
      <c r="D16" s="125"/>
      <c r="E16" s="126"/>
      <c r="F16" s="60">
        <v>0</v>
      </c>
      <c r="G16" s="63"/>
      <c r="H16" s="63"/>
      <c r="I16" s="60">
        <f>F16</f>
        <v>0</v>
      </c>
      <c r="J16" s="29"/>
    </row>
    <row r="17" spans="1:10">
      <c r="A17" s="132" t="s">
        <v>429</v>
      </c>
      <c r="B17" s="133"/>
      <c r="C17" s="133"/>
      <c r="D17" s="133"/>
      <c r="E17" s="134"/>
      <c r="F17" s="61">
        <v>0</v>
      </c>
      <c r="G17" s="64"/>
      <c r="H17" s="64"/>
      <c r="I17" s="61">
        <f>F17</f>
        <v>0</v>
      </c>
      <c r="J17" s="29"/>
    </row>
    <row r="18" spans="1:10">
      <c r="A18" s="121" t="s">
        <v>456</v>
      </c>
      <c r="B18" s="122"/>
      <c r="C18" s="122"/>
      <c r="D18" s="122"/>
      <c r="E18" s="123"/>
      <c r="F18" s="62"/>
      <c r="G18" s="65"/>
      <c r="H18" s="65"/>
      <c r="I18" s="66">
        <f>SUM(I15:I17)</f>
        <v>0</v>
      </c>
      <c r="J18" s="30"/>
    </row>
    <row r="19" spans="1:10">
      <c r="A19" s="57"/>
      <c r="B19" s="57"/>
      <c r="C19" s="57"/>
      <c r="D19" s="57"/>
      <c r="E19" s="57"/>
      <c r="F19" s="57"/>
      <c r="G19" s="57"/>
      <c r="H19" s="57"/>
      <c r="I19" s="57"/>
    </row>
    <row r="20" spans="1:10">
      <c r="A20" s="135" t="s">
        <v>453</v>
      </c>
      <c r="B20" s="136"/>
      <c r="C20" s="136"/>
      <c r="D20" s="136"/>
      <c r="E20" s="137"/>
      <c r="F20" s="59" t="s">
        <v>471</v>
      </c>
      <c r="G20" s="59" t="s">
        <v>472</v>
      </c>
      <c r="H20" s="59" t="s">
        <v>473</v>
      </c>
      <c r="I20" s="59" t="s">
        <v>471</v>
      </c>
      <c r="J20" s="30"/>
    </row>
    <row r="21" spans="1:10">
      <c r="A21" s="124" t="s">
        <v>437</v>
      </c>
      <c r="B21" s="125"/>
      <c r="C21" s="125"/>
      <c r="D21" s="125"/>
      <c r="E21" s="126"/>
      <c r="F21" s="60">
        <v>0</v>
      </c>
      <c r="G21" s="63"/>
      <c r="H21" s="63"/>
      <c r="I21" s="60">
        <f t="shared" ref="I21:I26" si="0">F21</f>
        <v>0</v>
      </c>
      <c r="J21" s="29"/>
    </row>
    <row r="22" spans="1:10">
      <c r="A22" s="124" t="s">
        <v>438</v>
      </c>
      <c r="B22" s="125"/>
      <c r="C22" s="125"/>
      <c r="D22" s="125"/>
      <c r="E22" s="126"/>
      <c r="F22" s="60">
        <v>0</v>
      </c>
      <c r="G22" s="63"/>
      <c r="H22" s="63"/>
      <c r="I22" s="60">
        <f t="shared" si="0"/>
        <v>0</v>
      </c>
      <c r="J22" s="29"/>
    </row>
    <row r="23" spans="1:10">
      <c r="A23" s="124" t="s">
        <v>439</v>
      </c>
      <c r="B23" s="125"/>
      <c r="C23" s="125"/>
      <c r="D23" s="125"/>
      <c r="E23" s="126"/>
      <c r="F23" s="60">
        <v>0</v>
      </c>
      <c r="G23" s="63"/>
      <c r="H23" s="63"/>
      <c r="I23" s="60">
        <f t="shared" si="0"/>
        <v>0</v>
      </c>
      <c r="J23" s="29"/>
    </row>
    <row r="24" spans="1:10">
      <c r="A24" s="124" t="s">
        <v>440</v>
      </c>
      <c r="B24" s="125"/>
      <c r="C24" s="125"/>
      <c r="D24" s="125"/>
      <c r="E24" s="126"/>
      <c r="F24" s="60">
        <v>0</v>
      </c>
      <c r="G24" s="63"/>
      <c r="H24" s="63"/>
      <c r="I24" s="60">
        <f t="shared" si="0"/>
        <v>0</v>
      </c>
      <c r="J24" s="29"/>
    </row>
    <row r="25" spans="1:10">
      <c r="A25" s="124" t="s">
        <v>441</v>
      </c>
      <c r="B25" s="125"/>
      <c r="C25" s="125"/>
      <c r="D25" s="125"/>
      <c r="E25" s="126"/>
      <c r="F25" s="60">
        <v>0</v>
      </c>
      <c r="G25" s="63"/>
      <c r="H25" s="63"/>
      <c r="I25" s="60">
        <f t="shared" si="0"/>
        <v>0</v>
      </c>
      <c r="J25" s="29"/>
    </row>
    <row r="26" spans="1:10">
      <c r="A26" s="132" t="s">
        <v>442</v>
      </c>
      <c r="B26" s="133"/>
      <c r="C26" s="133"/>
      <c r="D26" s="133"/>
      <c r="E26" s="134"/>
      <c r="F26" s="61">
        <v>0</v>
      </c>
      <c r="G26" s="64"/>
      <c r="H26" s="64"/>
      <c r="I26" s="61">
        <f t="shared" si="0"/>
        <v>0</v>
      </c>
      <c r="J26" s="29"/>
    </row>
    <row r="27" spans="1:10">
      <c r="A27" s="121" t="s">
        <v>457</v>
      </c>
      <c r="B27" s="122"/>
      <c r="C27" s="122"/>
      <c r="D27" s="122"/>
      <c r="E27" s="123"/>
      <c r="F27" s="62"/>
      <c r="G27" s="65"/>
      <c r="H27" s="65"/>
      <c r="I27" s="66">
        <f>SUM(I21:I26)</f>
        <v>0</v>
      </c>
      <c r="J27" s="30"/>
    </row>
    <row r="28" spans="1:10">
      <c r="A28" s="57"/>
      <c r="B28" s="57"/>
      <c r="C28" s="57"/>
      <c r="D28" s="57"/>
      <c r="E28" s="57"/>
      <c r="F28" s="57"/>
      <c r="G28" s="57"/>
      <c r="H28" s="57"/>
      <c r="I28" s="57"/>
    </row>
    <row r="29" spans="1:10" ht="15.15" customHeight="1">
      <c r="A29" s="138" t="s">
        <v>458</v>
      </c>
      <c r="B29" s="139"/>
      <c r="C29" s="139"/>
      <c r="D29" s="139"/>
      <c r="E29" s="140"/>
      <c r="F29" s="127">
        <f>I18+I27</f>
        <v>0</v>
      </c>
      <c r="G29" s="128"/>
      <c r="H29" s="128"/>
      <c r="I29" s="129"/>
      <c r="J29" s="30"/>
    </row>
    <row r="30" spans="1:10">
      <c r="A30" s="39"/>
      <c r="B30" s="39"/>
      <c r="C30" s="39"/>
      <c r="D30" s="39"/>
      <c r="E30" s="39"/>
      <c r="F30" s="39"/>
      <c r="G30" s="39"/>
      <c r="H30" s="39"/>
      <c r="I30" s="39"/>
    </row>
    <row r="33" spans="1:10" ht="15.15" customHeight="1">
      <c r="A33" s="130" t="s">
        <v>459</v>
      </c>
      <c r="B33" s="131"/>
      <c r="C33" s="131"/>
      <c r="D33" s="131"/>
      <c r="E33" s="131"/>
      <c r="F33" s="58"/>
      <c r="G33" s="58"/>
      <c r="H33" s="58"/>
      <c r="I33" s="58"/>
    </row>
    <row r="34" spans="1:10">
      <c r="A34" s="135" t="s">
        <v>460</v>
      </c>
      <c r="B34" s="136"/>
      <c r="C34" s="136"/>
      <c r="D34" s="136"/>
      <c r="E34" s="137"/>
      <c r="F34" s="59" t="s">
        <v>471</v>
      </c>
      <c r="G34" s="59" t="s">
        <v>472</v>
      </c>
      <c r="H34" s="59" t="s">
        <v>473</v>
      </c>
      <c r="I34" s="59" t="s">
        <v>471</v>
      </c>
      <c r="J34" s="30"/>
    </row>
    <row r="35" spans="1:10">
      <c r="A35" s="124" t="s">
        <v>461</v>
      </c>
      <c r="B35" s="125"/>
      <c r="C35" s="125"/>
      <c r="D35" s="125"/>
      <c r="E35" s="126"/>
      <c r="F35" s="144">
        <v>0</v>
      </c>
      <c r="G35" s="63"/>
      <c r="H35" s="63"/>
      <c r="I35" s="60">
        <f>F35</f>
        <v>0</v>
      </c>
      <c r="J35" s="29"/>
    </row>
    <row r="36" spans="1:10">
      <c r="A36" s="124" t="s">
        <v>462</v>
      </c>
      <c r="B36" s="125"/>
      <c r="C36" s="125"/>
      <c r="D36" s="125"/>
      <c r="E36" s="126"/>
      <c r="F36" s="63"/>
      <c r="G36" s="144">
        <v>0.8</v>
      </c>
      <c r="H36" s="60">
        <f>'Krycí list rozpočtu'!C22</f>
        <v>0</v>
      </c>
      <c r="I36" s="60">
        <f>(G36/100)*H36</f>
        <v>0</v>
      </c>
      <c r="J36" s="29"/>
    </row>
    <row r="37" spans="1:10">
      <c r="A37" s="124" t="s">
        <v>463</v>
      </c>
      <c r="B37" s="125"/>
      <c r="C37" s="125"/>
      <c r="D37" s="125"/>
      <c r="E37" s="126"/>
      <c r="F37" s="63"/>
      <c r="G37" s="144">
        <v>0.6</v>
      </c>
      <c r="H37" s="60">
        <f>'Krycí list rozpočtu'!C22</f>
        <v>0</v>
      </c>
      <c r="I37" s="60">
        <f>(G37/100)*H37</f>
        <v>0</v>
      </c>
      <c r="J37" s="29"/>
    </row>
    <row r="38" spans="1:10">
      <c r="A38" s="124" t="s">
        <v>464</v>
      </c>
      <c r="B38" s="125"/>
      <c r="C38" s="125"/>
      <c r="D38" s="125"/>
      <c r="E38" s="126"/>
      <c r="F38" s="63"/>
      <c r="G38" s="144">
        <v>0.3</v>
      </c>
      <c r="H38" s="60">
        <f>'Krycí list rozpočtu'!C22</f>
        <v>0</v>
      </c>
      <c r="I38" s="60">
        <f>(G38/100)*H38</f>
        <v>0</v>
      </c>
      <c r="J38" s="29"/>
    </row>
    <row r="39" spans="1:10">
      <c r="A39" s="124" t="s">
        <v>465</v>
      </c>
      <c r="B39" s="125"/>
      <c r="C39" s="125"/>
      <c r="D39" s="125"/>
      <c r="E39" s="126"/>
      <c r="F39" s="144">
        <v>0</v>
      </c>
      <c r="G39" s="63"/>
      <c r="H39" s="63"/>
      <c r="I39" s="60">
        <f>F39</f>
        <v>0</v>
      </c>
      <c r="J39" s="29"/>
    </row>
    <row r="40" spans="1:10">
      <c r="A40" s="124" t="s">
        <v>466</v>
      </c>
      <c r="B40" s="125"/>
      <c r="C40" s="125"/>
      <c r="D40" s="125"/>
      <c r="E40" s="126"/>
      <c r="F40" s="144">
        <v>0</v>
      </c>
      <c r="G40" s="63"/>
      <c r="H40" s="63"/>
      <c r="I40" s="60">
        <f>F40</f>
        <v>0</v>
      </c>
      <c r="J40" s="29"/>
    </row>
    <row r="41" spans="1:10">
      <c r="A41" s="124" t="s">
        <v>467</v>
      </c>
      <c r="B41" s="125"/>
      <c r="C41" s="125"/>
      <c r="D41" s="125"/>
      <c r="E41" s="126"/>
      <c r="F41" s="144">
        <v>0</v>
      </c>
      <c r="G41" s="63"/>
      <c r="H41" s="63"/>
      <c r="I41" s="60">
        <f>F41</f>
        <v>0</v>
      </c>
      <c r="J41" s="29"/>
    </row>
    <row r="42" spans="1:10">
      <c r="A42" s="124" t="s">
        <v>468</v>
      </c>
      <c r="B42" s="125"/>
      <c r="C42" s="125"/>
      <c r="D42" s="125"/>
      <c r="E42" s="126"/>
      <c r="F42" s="144">
        <v>0</v>
      </c>
      <c r="G42" s="63"/>
      <c r="H42" s="63"/>
      <c r="I42" s="60">
        <f>F42</f>
        <v>0</v>
      </c>
      <c r="J42" s="29"/>
    </row>
    <row r="43" spans="1:10">
      <c r="A43" s="132" t="s">
        <v>440</v>
      </c>
      <c r="B43" s="133"/>
      <c r="C43" s="133"/>
      <c r="D43" s="133"/>
      <c r="E43" s="134"/>
      <c r="F43" s="64"/>
      <c r="G43" s="145">
        <v>0.5</v>
      </c>
      <c r="H43" s="61">
        <f>'Krycí list rozpočtu'!C22</f>
        <v>0</v>
      </c>
      <c r="I43" s="61">
        <f>(G43/100)*H43</f>
        <v>0</v>
      </c>
      <c r="J43" s="29"/>
    </row>
    <row r="44" spans="1:10">
      <c r="A44" s="121" t="s">
        <v>469</v>
      </c>
      <c r="B44" s="122"/>
      <c r="C44" s="122"/>
      <c r="D44" s="122"/>
      <c r="E44" s="123"/>
      <c r="F44" s="62"/>
      <c r="G44" s="65"/>
      <c r="H44" s="65"/>
      <c r="I44" s="66">
        <f>SUM(I35:I43)</f>
        <v>0</v>
      </c>
      <c r="J44" s="30"/>
    </row>
    <row r="45" spans="1:10">
      <c r="A45" s="39"/>
      <c r="B45" s="39"/>
      <c r="C45" s="39"/>
      <c r="D45" s="39"/>
      <c r="E45" s="39"/>
      <c r="F45" s="39"/>
      <c r="G45" s="39"/>
      <c r="H45" s="39"/>
      <c r="I45" s="39"/>
    </row>
    <row r="46" spans="1:10">
      <c r="A46" s="146"/>
      <c r="B46" t="s">
        <v>475</v>
      </c>
    </row>
  </sheetData>
  <mergeCells count="59">
    <mergeCell ref="C1:I1"/>
    <mergeCell ref="A2:B3"/>
    <mergeCell ref="C2:D3"/>
    <mergeCell ref="E2:E3"/>
    <mergeCell ref="F2:G3"/>
    <mergeCell ref="H2:H3"/>
    <mergeCell ref="I2:I3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4:E14"/>
    <mergeCell ref="A15:E15"/>
    <mergeCell ref="A16:E16"/>
    <mergeCell ref="A17:E17"/>
    <mergeCell ref="H10:H11"/>
    <mergeCell ref="A10:B11"/>
    <mergeCell ref="C10:D11"/>
    <mergeCell ref="E10:E11"/>
    <mergeCell ref="F10:G11"/>
    <mergeCell ref="A13:E13"/>
    <mergeCell ref="A25:E25"/>
    <mergeCell ref="A26:E26"/>
    <mergeCell ref="A27:E27"/>
    <mergeCell ref="A29:E29"/>
    <mergeCell ref="A18:E18"/>
    <mergeCell ref="A20:E20"/>
    <mergeCell ref="A21:E21"/>
    <mergeCell ref="A22:E22"/>
    <mergeCell ref="A23:E23"/>
    <mergeCell ref="A24:E24"/>
    <mergeCell ref="F29:I29"/>
    <mergeCell ref="A33:E33"/>
    <mergeCell ref="A41:E41"/>
    <mergeCell ref="A42:E42"/>
    <mergeCell ref="A43:E43"/>
    <mergeCell ref="A34:E34"/>
    <mergeCell ref="A44:E44"/>
    <mergeCell ref="A35:E35"/>
    <mergeCell ref="A36:E36"/>
    <mergeCell ref="A37:E37"/>
    <mergeCell ref="A38:E38"/>
    <mergeCell ref="A39:E39"/>
    <mergeCell ref="A40:E40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Stavební rozpočet</vt:lpstr>
      <vt:lpstr>Výkaz výměr</vt:lpstr>
      <vt:lpstr>Krycí list rozpočtu</vt:lpstr>
      <vt:lpstr>VORN</vt:lpstr>
      <vt:lpstr>vorn_sum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alois</dc:creator>
  <cp:lastModifiedBy>alois</cp:lastModifiedBy>
  <dcterms:created xsi:type="dcterms:W3CDTF">2018-10-10T12:23:49Z</dcterms:created>
  <dcterms:modified xsi:type="dcterms:W3CDTF">2018-10-10T12:33:13Z</dcterms:modified>
</cp:coreProperties>
</file>