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https://pkvcz-my.sharepoint.com/personal/kudyn_pkv_cz/Documents/Aleš Kastl - VŘ/Projektová dokumentace/Doplněno 20.12/"/>
    </mc:Choice>
  </mc:AlternateContent>
  <xr:revisionPtr revIDLastSave="32" documentId="13_ncr:1_{44C2483A-B131-4F82-973E-7EEFD81F7439}" xr6:coauthVersionLast="47" xr6:coauthVersionMax="47" xr10:uidLastSave="{CCB84DC6-1148-2844-A4D0-78AA229936AF}"/>
  <bookViews>
    <workbookView xWindow="0" yWindow="760" windowWidth="30240" windowHeight="1730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C21" i="2" s="1"/>
  <c r="J15" i="1"/>
  <c r="J16" i="1"/>
  <c r="J17" i="1"/>
  <c r="J19" i="1"/>
  <c r="AL19" i="1" s="1"/>
  <c r="AU18" i="1" s="1"/>
  <c r="J21" i="1"/>
  <c r="J22" i="1"/>
  <c r="J23" i="1"/>
  <c r="AL23" i="1" s="1"/>
  <c r="J24" i="1"/>
  <c r="J25" i="1"/>
  <c r="J26" i="1"/>
  <c r="J27" i="1"/>
  <c r="J28" i="1"/>
  <c r="J29" i="1"/>
  <c r="J30" i="1"/>
  <c r="AL30" i="1" s="1"/>
  <c r="J31" i="1"/>
  <c r="J33" i="1"/>
  <c r="AL33" i="1" s="1"/>
  <c r="J34" i="1"/>
  <c r="J36" i="1"/>
  <c r="J37" i="1"/>
  <c r="J40" i="1"/>
  <c r="J41" i="1"/>
  <c r="J42" i="1"/>
  <c r="AL42" i="1" s="1"/>
  <c r="J43" i="1"/>
  <c r="AL43" i="1" s="1"/>
  <c r="J45" i="1"/>
  <c r="J46" i="1"/>
  <c r="J48" i="1"/>
  <c r="J50" i="1"/>
  <c r="J52" i="1"/>
  <c r="AL52" i="1" s="1"/>
  <c r="AU51" i="1" s="1"/>
  <c r="J54" i="1"/>
  <c r="J55" i="1"/>
  <c r="J56" i="1"/>
  <c r="J57" i="1"/>
  <c r="J58" i="1"/>
  <c r="J59" i="1"/>
  <c r="J60" i="1"/>
  <c r="J61" i="1"/>
  <c r="J62" i="1"/>
  <c r="J64" i="1"/>
  <c r="J65" i="1"/>
  <c r="J67" i="1"/>
  <c r="AL67" i="1" s="1"/>
  <c r="AU66" i="1" s="1"/>
  <c r="J68" i="1"/>
  <c r="J70" i="1"/>
  <c r="J71" i="1"/>
  <c r="J72" i="1"/>
  <c r="J75" i="1"/>
  <c r="AL75" i="1" s="1"/>
  <c r="J76" i="1"/>
  <c r="J77" i="1"/>
  <c r="AL77" i="1" s="1"/>
  <c r="J78" i="1"/>
  <c r="AL78" i="1" s="1"/>
  <c r="J80" i="1"/>
  <c r="J82" i="1"/>
  <c r="J84" i="1"/>
  <c r="J85" i="1"/>
  <c r="AL85" i="1" s="1"/>
  <c r="J86" i="1"/>
  <c r="AL86" i="1" s="1"/>
  <c r="J87" i="1"/>
  <c r="J88" i="1"/>
  <c r="J89" i="1"/>
  <c r="J90" i="1"/>
  <c r="J91" i="1"/>
  <c r="AL91" i="1" s="1"/>
  <c r="J92" i="1"/>
  <c r="J93" i="1"/>
  <c r="J94" i="1"/>
  <c r="J95" i="1"/>
  <c r="J96" i="1"/>
  <c r="AL96" i="1" s="1"/>
  <c r="J97" i="1"/>
  <c r="AL97" i="1" s="1"/>
  <c r="J99" i="1"/>
  <c r="J100" i="1"/>
  <c r="J102" i="1"/>
  <c r="J103" i="1"/>
  <c r="J104" i="1"/>
  <c r="J105" i="1"/>
  <c r="J107" i="1"/>
  <c r="J109" i="1"/>
  <c r="AL109" i="1" s="1"/>
  <c r="J110" i="1"/>
  <c r="AL110" i="1" s="1"/>
  <c r="J14" i="1"/>
  <c r="I35" i="3"/>
  <c r="I36" i="3" s="1"/>
  <c r="I24" i="2" s="1"/>
  <c r="I26" i="3"/>
  <c r="I25" i="3"/>
  <c r="I24" i="3"/>
  <c r="I23" i="3"/>
  <c r="I27" i="3" s="1"/>
  <c r="I22" i="3"/>
  <c r="I21" i="3"/>
  <c r="I17" i="3"/>
  <c r="I18" i="3" s="1"/>
  <c r="F29" i="3" s="1"/>
  <c r="I16" i="3"/>
  <c r="I15" i="3"/>
  <c r="I10" i="3"/>
  <c r="F10" i="3"/>
  <c r="C10" i="3"/>
  <c r="F8" i="3"/>
  <c r="C8" i="3"/>
  <c r="F6" i="3"/>
  <c r="C6" i="3"/>
  <c r="F4" i="3"/>
  <c r="C4" i="3"/>
  <c r="F2" i="3"/>
  <c r="C2" i="3"/>
  <c r="F22" i="2"/>
  <c r="I19" i="2"/>
  <c r="I18" i="2"/>
  <c r="I17" i="2"/>
  <c r="I16" i="2"/>
  <c r="F16" i="2"/>
  <c r="I15" i="2"/>
  <c r="F15" i="2"/>
  <c r="I14" i="2"/>
  <c r="I22" i="2" s="1"/>
  <c r="F14" i="2"/>
  <c r="I10" i="2"/>
  <c r="F10" i="2"/>
  <c r="C10" i="2"/>
  <c r="F8" i="2"/>
  <c r="C8" i="2"/>
  <c r="F6" i="2"/>
  <c r="C6" i="2"/>
  <c r="F4" i="2"/>
  <c r="C4" i="2"/>
  <c r="F2" i="2"/>
  <c r="C2" i="2"/>
  <c r="BJ110" i="1"/>
  <c r="BF110" i="1"/>
  <c r="BD110" i="1"/>
  <c r="AP110" i="1"/>
  <c r="AO110" i="1"/>
  <c r="BH110" i="1" s="1"/>
  <c r="AD110" i="1" s="1"/>
  <c r="AK110" i="1"/>
  <c r="AJ110" i="1"/>
  <c r="AH110" i="1"/>
  <c r="AG110" i="1"/>
  <c r="AF110" i="1"/>
  <c r="AC110" i="1"/>
  <c r="AB110" i="1"/>
  <c r="Z110" i="1"/>
  <c r="BJ109" i="1"/>
  <c r="BF109" i="1"/>
  <c r="BD109" i="1"/>
  <c r="AP109" i="1"/>
  <c r="AX109" i="1" s="1"/>
  <c r="AO109" i="1"/>
  <c r="BH109" i="1" s="1"/>
  <c r="AD109" i="1" s="1"/>
  <c r="AK109" i="1"/>
  <c r="AT108" i="1" s="1"/>
  <c r="AJ109" i="1"/>
  <c r="AS108" i="1" s="1"/>
  <c r="AH109" i="1"/>
  <c r="AG109" i="1"/>
  <c r="AF109" i="1"/>
  <c r="AC109" i="1"/>
  <c r="AB109" i="1"/>
  <c r="Z109" i="1"/>
  <c r="BJ107" i="1"/>
  <c r="BF107" i="1"/>
  <c r="BD107" i="1"/>
  <c r="AX107" i="1"/>
  <c r="AP107" i="1"/>
  <c r="AO107" i="1"/>
  <c r="AW107" i="1" s="1"/>
  <c r="AK107" i="1"/>
  <c r="AT106" i="1" s="1"/>
  <c r="AJ107" i="1"/>
  <c r="AS106" i="1" s="1"/>
  <c r="AH107" i="1"/>
  <c r="AG107" i="1"/>
  <c r="AF107" i="1"/>
  <c r="AC107" i="1"/>
  <c r="AB107" i="1"/>
  <c r="Z107" i="1"/>
  <c r="AL107" i="1"/>
  <c r="AU106" i="1" s="1"/>
  <c r="BJ105" i="1"/>
  <c r="BF105" i="1"/>
  <c r="BD105" i="1"/>
  <c r="AW105" i="1"/>
  <c r="AP105" i="1"/>
  <c r="BI105" i="1" s="1"/>
  <c r="AE105" i="1" s="1"/>
  <c r="AO105" i="1"/>
  <c r="BH105" i="1" s="1"/>
  <c r="AD105" i="1" s="1"/>
  <c r="AK105" i="1"/>
  <c r="AJ105" i="1"/>
  <c r="AH105" i="1"/>
  <c r="AG105" i="1"/>
  <c r="AF105" i="1"/>
  <c r="AC105" i="1"/>
  <c r="AB105" i="1"/>
  <c r="Z105" i="1"/>
  <c r="AL105" i="1"/>
  <c r="BJ104" i="1"/>
  <c r="BF104" i="1"/>
  <c r="BD104" i="1"/>
  <c r="AX104" i="1"/>
  <c r="AP104" i="1"/>
  <c r="BI104" i="1" s="1"/>
  <c r="AE104" i="1" s="1"/>
  <c r="AO104" i="1"/>
  <c r="AW104" i="1" s="1"/>
  <c r="AK104" i="1"/>
  <c r="AJ104" i="1"/>
  <c r="AH104" i="1"/>
  <c r="AG104" i="1"/>
  <c r="AF104" i="1"/>
  <c r="AC104" i="1"/>
  <c r="AB104" i="1"/>
  <c r="Z104" i="1"/>
  <c r="AL104" i="1"/>
  <c r="BJ103" i="1"/>
  <c r="BF103" i="1"/>
  <c r="BD103" i="1"/>
  <c r="AW103" i="1"/>
  <c r="AP103" i="1"/>
  <c r="AX103" i="1" s="1"/>
  <c r="AO103" i="1"/>
  <c r="BH103" i="1" s="1"/>
  <c r="AD103" i="1" s="1"/>
  <c r="AL103" i="1"/>
  <c r="AK103" i="1"/>
  <c r="AJ103" i="1"/>
  <c r="AH103" i="1"/>
  <c r="AG103" i="1"/>
  <c r="AF103" i="1"/>
  <c r="AC103" i="1"/>
  <c r="AB103" i="1"/>
  <c r="Z103" i="1"/>
  <c r="BJ102" i="1"/>
  <c r="BF102" i="1"/>
  <c r="BD102" i="1"/>
  <c r="AX102" i="1"/>
  <c r="AP102" i="1"/>
  <c r="BI102" i="1" s="1"/>
  <c r="AE102" i="1" s="1"/>
  <c r="AO102" i="1"/>
  <c r="BH102" i="1" s="1"/>
  <c r="AD102" i="1" s="1"/>
  <c r="AK102" i="1"/>
  <c r="AJ102" i="1"/>
  <c r="AH102" i="1"/>
  <c r="AG102" i="1"/>
  <c r="AF102" i="1"/>
  <c r="AC102" i="1"/>
  <c r="AB102" i="1"/>
  <c r="Z102" i="1"/>
  <c r="BJ100" i="1"/>
  <c r="BF100" i="1"/>
  <c r="BD100" i="1"/>
  <c r="AW100" i="1"/>
  <c r="AP100" i="1"/>
  <c r="AX100" i="1" s="1"/>
  <c r="AO100" i="1"/>
  <c r="BH100" i="1" s="1"/>
  <c r="AD100" i="1" s="1"/>
  <c r="AL100" i="1"/>
  <c r="AK100" i="1"/>
  <c r="AT98" i="1" s="1"/>
  <c r="AJ100" i="1"/>
  <c r="AS98" i="1" s="1"/>
  <c r="AH100" i="1"/>
  <c r="AG100" i="1"/>
  <c r="AF100" i="1"/>
  <c r="AC100" i="1"/>
  <c r="AB100" i="1"/>
  <c r="Z100" i="1"/>
  <c r="BJ99" i="1"/>
  <c r="BF99" i="1"/>
  <c r="BD99" i="1"/>
  <c r="AP99" i="1"/>
  <c r="BI99" i="1" s="1"/>
  <c r="AE99" i="1" s="1"/>
  <c r="AO99" i="1"/>
  <c r="AK99" i="1"/>
  <c r="AJ99" i="1"/>
  <c r="AH99" i="1"/>
  <c r="AG99" i="1"/>
  <c r="AF99" i="1"/>
  <c r="AC99" i="1"/>
  <c r="AB99" i="1"/>
  <c r="Z99" i="1"/>
  <c r="BJ97" i="1"/>
  <c r="BF97" i="1"/>
  <c r="BD97" i="1"/>
  <c r="AP97" i="1"/>
  <c r="AX97" i="1" s="1"/>
  <c r="AO97" i="1"/>
  <c r="BH97" i="1" s="1"/>
  <c r="AB97" i="1" s="1"/>
  <c r="AK97" i="1"/>
  <c r="AJ97" i="1"/>
  <c r="AH97" i="1"/>
  <c r="AG97" i="1"/>
  <c r="AF97" i="1"/>
  <c r="AE97" i="1"/>
  <c r="AD97" i="1"/>
  <c r="Z97" i="1"/>
  <c r="BJ96" i="1"/>
  <c r="BF96" i="1"/>
  <c r="BD96" i="1"/>
  <c r="AP96" i="1"/>
  <c r="BI96" i="1" s="1"/>
  <c r="AC96" i="1" s="1"/>
  <c r="AO96" i="1"/>
  <c r="AK96" i="1"/>
  <c r="AJ96" i="1"/>
  <c r="AH96" i="1"/>
  <c r="AG96" i="1"/>
  <c r="AF96" i="1"/>
  <c r="AE96" i="1"/>
  <c r="AD96" i="1"/>
  <c r="Z96" i="1"/>
  <c r="BJ95" i="1"/>
  <c r="BF95" i="1"/>
  <c r="BD95" i="1"/>
  <c r="AP95" i="1"/>
  <c r="AO95" i="1"/>
  <c r="BH95" i="1" s="1"/>
  <c r="AB95" i="1" s="1"/>
  <c r="AK95" i="1"/>
  <c r="AJ95" i="1"/>
  <c r="AH95" i="1"/>
  <c r="AG95" i="1"/>
  <c r="AF95" i="1"/>
  <c r="AE95" i="1"/>
  <c r="AD95" i="1"/>
  <c r="Z95" i="1"/>
  <c r="AL95" i="1"/>
  <c r="BJ94" i="1"/>
  <c r="BF94" i="1"/>
  <c r="BD94" i="1"/>
  <c r="AW94" i="1"/>
  <c r="AP94" i="1"/>
  <c r="BI94" i="1" s="1"/>
  <c r="AC94" i="1" s="1"/>
  <c r="AO94" i="1"/>
  <c r="BH94" i="1" s="1"/>
  <c r="AL94" i="1"/>
  <c r="AK94" i="1"/>
  <c r="AJ94" i="1"/>
  <c r="AH94" i="1"/>
  <c r="AG94" i="1"/>
  <c r="AF94" i="1"/>
  <c r="AE94" i="1"/>
  <c r="AD94" i="1"/>
  <c r="AB94" i="1"/>
  <c r="Z94" i="1"/>
  <c r="BJ93" i="1"/>
  <c r="BF93" i="1"/>
  <c r="BD93" i="1"/>
  <c r="AX93" i="1"/>
  <c r="AP93" i="1"/>
  <c r="BI93" i="1" s="1"/>
  <c r="AO93" i="1"/>
  <c r="AL93" i="1"/>
  <c r="AK93" i="1"/>
  <c r="AJ93" i="1"/>
  <c r="AH93" i="1"/>
  <c r="AG93" i="1"/>
  <c r="AF93" i="1"/>
  <c r="AE93" i="1"/>
  <c r="AD93" i="1"/>
  <c r="AC93" i="1"/>
  <c r="Z93" i="1"/>
  <c r="BJ92" i="1"/>
  <c r="BF92" i="1"/>
  <c r="BD92" i="1"/>
  <c r="AP92" i="1"/>
  <c r="AO92" i="1"/>
  <c r="AK92" i="1"/>
  <c r="AJ92" i="1"/>
  <c r="AH92" i="1"/>
  <c r="AG92" i="1"/>
  <c r="AF92" i="1"/>
  <c r="AE92" i="1"/>
  <c r="AD92" i="1"/>
  <c r="Z92" i="1"/>
  <c r="AL92" i="1"/>
  <c r="BJ91" i="1"/>
  <c r="BF91" i="1"/>
  <c r="BD91" i="1"/>
  <c r="AW91" i="1"/>
  <c r="AP91" i="1"/>
  <c r="BI91" i="1" s="1"/>
  <c r="AC91" i="1" s="1"/>
  <c r="AO91" i="1"/>
  <c r="BH91" i="1" s="1"/>
  <c r="AB91" i="1" s="1"/>
  <c r="AK91" i="1"/>
  <c r="AJ91" i="1"/>
  <c r="AH91" i="1"/>
  <c r="AG91" i="1"/>
  <c r="AF91" i="1"/>
  <c r="AE91" i="1"/>
  <c r="AD91" i="1"/>
  <c r="Z91" i="1"/>
  <c r="BJ90" i="1"/>
  <c r="BF90" i="1"/>
  <c r="BD90" i="1"/>
  <c r="AX90" i="1"/>
  <c r="AW90" i="1"/>
  <c r="BC90" i="1" s="1"/>
  <c r="AP90" i="1"/>
  <c r="BI90" i="1" s="1"/>
  <c r="AO90" i="1"/>
  <c r="BH90" i="1" s="1"/>
  <c r="AB90" i="1" s="1"/>
  <c r="AL90" i="1"/>
  <c r="AK90" i="1"/>
  <c r="AJ90" i="1"/>
  <c r="AH90" i="1"/>
  <c r="AG90" i="1"/>
  <c r="AF90" i="1"/>
  <c r="AE90" i="1"/>
  <c r="AD90" i="1"/>
  <c r="AC90" i="1"/>
  <c r="Z90" i="1"/>
  <c r="BJ89" i="1"/>
  <c r="BF89" i="1"/>
  <c r="BD89" i="1"/>
  <c r="AP89" i="1"/>
  <c r="BI89" i="1" s="1"/>
  <c r="AC89" i="1" s="1"/>
  <c r="AO89" i="1"/>
  <c r="AK89" i="1"/>
  <c r="AJ89" i="1"/>
  <c r="AH89" i="1"/>
  <c r="AG89" i="1"/>
  <c r="AF89" i="1"/>
  <c r="AE89" i="1"/>
  <c r="AD89" i="1"/>
  <c r="Z89" i="1"/>
  <c r="AL89" i="1"/>
  <c r="BJ88" i="1"/>
  <c r="BF88" i="1"/>
  <c r="BD88" i="1"/>
  <c r="AP88" i="1"/>
  <c r="AO88" i="1"/>
  <c r="BH88" i="1" s="1"/>
  <c r="AB88" i="1" s="1"/>
  <c r="AK88" i="1"/>
  <c r="AJ88" i="1"/>
  <c r="AH88" i="1"/>
  <c r="AG88" i="1"/>
  <c r="AF88" i="1"/>
  <c r="AE88" i="1"/>
  <c r="AD88" i="1"/>
  <c r="Z88" i="1"/>
  <c r="AL88" i="1"/>
  <c r="BJ87" i="1"/>
  <c r="BF87" i="1"/>
  <c r="BD87" i="1"/>
  <c r="AP87" i="1"/>
  <c r="BI87" i="1" s="1"/>
  <c r="AC87" i="1" s="1"/>
  <c r="AO87" i="1"/>
  <c r="BH87" i="1" s="1"/>
  <c r="AL87" i="1"/>
  <c r="AK87" i="1"/>
  <c r="AJ87" i="1"/>
  <c r="AH87" i="1"/>
  <c r="AG87" i="1"/>
  <c r="AF87" i="1"/>
  <c r="AE87" i="1"/>
  <c r="AD87" i="1"/>
  <c r="AB87" i="1"/>
  <c r="Z87" i="1"/>
  <c r="BJ86" i="1"/>
  <c r="BF86" i="1"/>
  <c r="BD86" i="1"/>
  <c r="AP86" i="1"/>
  <c r="BI86" i="1" s="1"/>
  <c r="AC86" i="1" s="1"/>
  <c r="AO86" i="1"/>
  <c r="BH86" i="1" s="1"/>
  <c r="AB86" i="1" s="1"/>
  <c r="AK86" i="1"/>
  <c r="AJ86" i="1"/>
  <c r="AH86" i="1"/>
  <c r="AG86" i="1"/>
  <c r="AF86" i="1"/>
  <c r="AE86" i="1"/>
  <c r="AD86" i="1"/>
  <c r="Z86" i="1"/>
  <c r="BJ85" i="1"/>
  <c r="BH85" i="1"/>
  <c r="AB85" i="1" s="1"/>
  <c r="BF85" i="1"/>
  <c r="BD85" i="1"/>
  <c r="AX85" i="1"/>
  <c r="AW85" i="1"/>
  <c r="AP85" i="1"/>
  <c r="BI85" i="1" s="1"/>
  <c r="AC85" i="1" s="1"/>
  <c r="AO85" i="1"/>
  <c r="AK85" i="1"/>
  <c r="AJ85" i="1"/>
  <c r="AH85" i="1"/>
  <c r="AG85" i="1"/>
  <c r="AF85" i="1"/>
  <c r="AE85" i="1"/>
  <c r="AD85" i="1"/>
  <c r="Z85" i="1"/>
  <c r="BJ84" i="1"/>
  <c r="BI84" i="1"/>
  <c r="AC84" i="1" s="1"/>
  <c r="BF84" i="1"/>
  <c r="BD84" i="1"/>
  <c r="AX84" i="1"/>
  <c r="AP84" i="1"/>
  <c r="AO84" i="1"/>
  <c r="BH84" i="1" s="1"/>
  <c r="AB84" i="1" s="1"/>
  <c r="AK84" i="1"/>
  <c r="AJ84" i="1"/>
  <c r="AH84" i="1"/>
  <c r="AG84" i="1"/>
  <c r="AF84" i="1"/>
  <c r="AE84" i="1"/>
  <c r="AD84" i="1"/>
  <c r="Z84" i="1"/>
  <c r="BJ82" i="1"/>
  <c r="BF82" i="1"/>
  <c r="BD82" i="1"/>
  <c r="AP82" i="1"/>
  <c r="BI82" i="1" s="1"/>
  <c r="AG82" i="1" s="1"/>
  <c r="AO82" i="1"/>
  <c r="AL82" i="1"/>
  <c r="AU81" i="1" s="1"/>
  <c r="AK82" i="1"/>
  <c r="AJ82" i="1"/>
  <c r="AS81" i="1" s="1"/>
  <c r="AH82" i="1"/>
  <c r="AE82" i="1"/>
  <c r="AD82" i="1"/>
  <c r="AC82" i="1"/>
  <c r="AB82" i="1"/>
  <c r="Z82" i="1"/>
  <c r="AT81" i="1"/>
  <c r="BJ80" i="1"/>
  <c r="Z80" i="1" s="1"/>
  <c r="BF80" i="1"/>
  <c r="BD80" i="1"/>
  <c r="AP80" i="1"/>
  <c r="BI80" i="1" s="1"/>
  <c r="AO80" i="1"/>
  <c r="BH80" i="1" s="1"/>
  <c r="AL80" i="1"/>
  <c r="AU79" i="1" s="1"/>
  <c r="AK80" i="1"/>
  <c r="AT79" i="1" s="1"/>
  <c r="AJ80" i="1"/>
  <c r="AS79" i="1" s="1"/>
  <c r="AH80" i="1"/>
  <c r="AG80" i="1"/>
  <c r="AF80" i="1"/>
  <c r="AE80" i="1"/>
  <c r="AD80" i="1"/>
  <c r="AC80" i="1"/>
  <c r="AB80" i="1"/>
  <c r="BJ78" i="1"/>
  <c r="BF78" i="1"/>
  <c r="BD78" i="1"/>
  <c r="AP78" i="1"/>
  <c r="BI78" i="1" s="1"/>
  <c r="AC78" i="1" s="1"/>
  <c r="AO78" i="1"/>
  <c r="BH78" i="1" s="1"/>
  <c r="AK78" i="1"/>
  <c r="AJ78" i="1"/>
  <c r="AH78" i="1"/>
  <c r="AG78" i="1"/>
  <c r="AF78" i="1"/>
  <c r="AE78" i="1"/>
  <c r="AD78" i="1"/>
  <c r="AB78" i="1"/>
  <c r="Z78" i="1"/>
  <c r="BJ77" i="1"/>
  <c r="BF77" i="1"/>
  <c r="BD77" i="1"/>
  <c r="AP77" i="1"/>
  <c r="BI77" i="1" s="1"/>
  <c r="AC77" i="1" s="1"/>
  <c r="AO77" i="1"/>
  <c r="BH77" i="1" s="1"/>
  <c r="AK77" i="1"/>
  <c r="AJ77" i="1"/>
  <c r="AH77" i="1"/>
  <c r="AG77" i="1"/>
  <c r="AF77" i="1"/>
  <c r="AE77" i="1"/>
  <c r="AD77" i="1"/>
  <c r="AB77" i="1"/>
  <c r="Z77" i="1"/>
  <c r="BJ76" i="1"/>
  <c r="BF76" i="1"/>
  <c r="BD76" i="1"/>
  <c r="AW76" i="1"/>
  <c r="AP76" i="1"/>
  <c r="AO76" i="1"/>
  <c r="AK76" i="1"/>
  <c r="AJ76" i="1"/>
  <c r="AH76" i="1"/>
  <c r="AG76" i="1"/>
  <c r="AF76" i="1"/>
  <c r="AE76" i="1"/>
  <c r="AD76" i="1"/>
  <c r="Z76" i="1"/>
  <c r="AL76" i="1"/>
  <c r="BJ75" i="1"/>
  <c r="BI75" i="1"/>
  <c r="AC75" i="1" s="1"/>
  <c r="BF75" i="1"/>
  <c r="BD75" i="1"/>
  <c r="BC75" i="1"/>
  <c r="AX75" i="1"/>
  <c r="AP75" i="1"/>
  <c r="AO75" i="1"/>
  <c r="AW75" i="1" s="1"/>
  <c r="AV75" i="1" s="1"/>
  <c r="AK75" i="1"/>
  <c r="AJ75" i="1"/>
  <c r="AH75" i="1"/>
  <c r="AG75" i="1"/>
  <c r="AF75" i="1"/>
  <c r="AE75" i="1"/>
  <c r="AD75" i="1"/>
  <c r="Z75" i="1"/>
  <c r="BJ72" i="1"/>
  <c r="BF72" i="1"/>
  <c r="BD72" i="1"/>
  <c r="AX72" i="1"/>
  <c r="AP72" i="1"/>
  <c r="BI72" i="1" s="1"/>
  <c r="AO72" i="1"/>
  <c r="AK72" i="1"/>
  <c r="AJ72" i="1"/>
  <c r="AH72" i="1"/>
  <c r="AG72" i="1"/>
  <c r="AF72" i="1"/>
  <c r="AE72" i="1"/>
  <c r="AD72" i="1"/>
  <c r="AC72" i="1"/>
  <c r="AB72" i="1"/>
  <c r="Z72" i="1"/>
  <c r="AL72" i="1"/>
  <c r="BJ71" i="1"/>
  <c r="AH71" i="1" s="1"/>
  <c r="BI71" i="1"/>
  <c r="BH71" i="1"/>
  <c r="BF71" i="1"/>
  <c r="BD71" i="1"/>
  <c r="AX71" i="1"/>
  <c r="AP71" i="1"/>
  <c r="AO71" i="1"/>
  <c r="AK71" i="1"/>
  <c r="AJ71" i="1"/>
  <c r="AG71" i="1"/>
  <c r="AF71" i="1"/>
  <c r="AE71" i="1"/>
  <c r="AD71" i="1"/>
  <c r="AC71" i="1"/>
  <c r="AB71" i="1"/>
  <c r="Z71" i="1"/>
  <c r="AL71" i="1"/>
  <c r="BJ70" i="1"/>
  <c r="AH70" i="1" s="1"/>
  <c r="BF70" i="1"/>
  <c r="BD70" i="1"/>
  <c r="AP70" i="1"/>
  <c r="AO70" i="1"/>
  <c r="BH70" i="1" s="1"/>
  <c r="AK70" i="1"/>
  <c r="AJ70" i="1"/>
  <c r="AG70" i="1"/>
  <c r="AF70" i="1"/>
  <c r="AE70" i="1"/>
  <c r="AD70" i="1"/>
  <c r="AC70" i="1"/>
  <c r="AB70" i="1"/>
  <c r="Z70" i="1"/>
  <c r="AL70" i="1"/>
  <c r="BJ68" i="1"/>
  <c r="BF68" i="1"/>
  <c r="BD68" i="1"/>
  <c r="AP68" i="1"/>
  <c r="AO68" i="1"/>
  <c r="AK68" i="1"/>
  <c r="AJ68" i="1"/>
  <c r="AH68" i="1"/>
  <c r="AG68" i="1"/>
  <c r="AF68" i="1"/>
  <c r="AC68" i="1"/>
  <c r="AB68" i="1"/>
  <c r="Z68" i="1"/>
  <c r="AL68" i="1"/>
  <c r="BJ67" i="1"/>
  <c r="BF67" i="1"/>
  <c r="BD67" i="1"/>
  <c r="AP67" i="1"/>
  <c r="AO67" i="1"/>
  <c r="BH67" i="1" s="1"/>
  <c r="AD67" i="1" s="1"/>
  <c r="AK67" i="1"/>
  <c r="AT66" i="1" s="1"/>
  <c r="AJ67" i="1"/>
  <c r="AH67" i="1"/>
  <c r="AG67" i="1"/>
  <c r="AF67" i="1"/>
  <c r="AC67" i="1"/>
  <c r="AB67" i="1"/>
  <c r="Z67" i="1"/>
  <c r="BJ65" i="1"/>
  <c r="BH65" i="1"/>
  <c r="AD65" i="1" s="1"/>
  <c r="BF65" i="1"/>
  <c r="BD65" i="1"/>
  <c r="AP65" i="1"/>
  <c r="AX65" i="1" s="1"/>
  <c r="AO65" i="1"/>
  <c r="AK65" i="1"/>
  <c r="AJ65" i="1"/>
  <c r="AH65" i="1"/>
  <c r="AG65" i="1"/>
  <c r="AF65" i="1"/>
  <c r="AC65" i="1"/>
  <c r="AB65" i="1"/>
  <c r="Z65" i="1"/>
  <c r="AL65" i="1"/>
  <c r="BJ64" i="1"/>
  <c r="BF64" i="1"/>
  <c r="BD64" i="1"/>
  <c r="AP64" i="1"/>
  <c r="AO64" i="1"/>
  <c r="BH64" i="1" s="1"/>
  <c r="AD64" i="1" s="1"/>
  <c r="AK64" i="1"/>
  <c r="AJ64" i="1"/>
  <c r="AH64" i="1"/>
  <c r="AG64" i="1"/>
  <c r="AF64" i="1"/>
  <c r="AC64" i="1"/>
  <c r="AB64" i="1"/>
  <c r="Z64" i="1"/>
  <c r="AL64" i="1"/>
  <c r="BJ62" i="1"/>
  <c r="BF62" i="1"/>
  <c r="BD62" i="1"/>
  <c r="AX62" i="1"/>
  <c r="AP62" i="1"/>
  <c r="AO62" i="1"/>
  <c r="AK62" i="1"/>
  <c r="AJ62" i="1"/>
  <c r="AH62" i="1"/>
  <c r="AG62" i="1"/>
  <c r="AF62" i="1"/>
  <c r="AE62" i="1"/>
  <c r="AD62" i="1"/>
  <c r="Z62" i="1"/>
  <c r="AL62" i="1"/>
  <c r="BJ61" i="1"/>
  <c r="BF61" i="1"/>
  <c r="BD61" i="1"/>
  <c r="AP61" i="1"/>
  <c r="AO61" i="1"/>
  <c r="BH61" i="1" s="1"/>
  <c r="AK61" i="1"/>
  <c r="AJ61" i="1"/>
  <c r="AH61" i="1"/>
  <c r="AG61" i="1"/>
  <c r="AF61" i="1"/>
  <c r="AE61" i="1"/>
  <c r="AD61" i="1"/>
  <c r="AB61" i="1"/>
  <c r="Z61" i="1"/>
  <c r="AL61" i="1"/>
  <c r="BJ60" i="1"/>
  <c r="BF60" i="1"/>
  <c r="BD60" i="1"/>
  <c r="AX60" i="1"/>
  <c r="AW60" i="1"/>
  <c r="BC60" i="1" s="1"/>
  <c r="AP60" i="1"/>
  <c r="BI60" i="1" s="1"/>
  <c r="AC60" i="1" s="1"/>
  <c r="AO60" i="1"/>
  <c r="BH60" i="1" s="1"/>
  <c r="AB60" i="1" s="1"/>
  <c r="AL60" i="1"/>
  <c r="AK60" i="1"/>
  <c r="AJ60" i="1"/>
  <c r="AH60" i="1"/>
  <c r="AG60" i="1"/>
  <c r="AF60" i="1"/>
  <c r="AE60" i="1"/>
  <c r="AD60" i="1"/>
  <c r="Z60" i="1"/>
  <c r="BJ59" i="1"/>
  <c r="BF59" i="1"/>
  <c r="BD59" i="1"/>
  <c r="AP59" i="1"/>
  <c r="BI59" i="1" s="1"/>
  <c r="AC59" i="1" s="1"/>
  <c r="AO59" i="1"/>
  <c r="BH59" i="1" s="1"/>
  <c r="AB59" i="1" s="1"/>
  <c r="AL59" i="1"/>
  <c r="AK59" i="1"/>
  <c r="AJ59" i="1"/>
  <c r="AH59" i="1"/>
  <c r="AG59" i="1"/>
  <c r="AF59" i="1"/>
  <c r="AE59" i="1"/>
  <c r="AD59" i="1"/>
  <c r="Z59" i="1"/>
  <c r="BJ58" i="1"/>
  <c r="BI58" i="1"/>
  <c r="AC58" i="1" s="1"/>
  <c r="BF58" i="1"/>
  <c r="BD58" i="1"/>
  <c r="AP58" i="1"/>
  <c r="AO58" i="1"/>
  <c r="AK58" i="1"/>
  <c r="AJ58" i="1"/>
  <c r="AH58" i="1"/>
  <c r="AG58" i="1"/>
  <c r="AF58" i="1"/>
  <c r="AE58" i="1"/>
  <c r="AD58" i="1"/>
  <c r="Z58" i="1"/>
  <c r="AL58" i="1"/>
  <c r="BJ57" i="1"/>
  <c r="BF57" i="1"/>
  <c r="BD57" i="1"/>
  <c r="AP57" i="1"/>
  <c r="AO57" i="1"/>
  <c r="BH57" i="1" s="1"/>
  <c r="AL57" i="1"/>
  <c r="AK57" i="1"/>
  <c r="AJ57" i="1"/>
  <c r="AH57" i="1"/>
  <c r="AG57" i="1"/>
  <c r="AF57" i="1"/>
  <c r="AE57" i="1"/>
  <c r="AD57" i="1"/>
  <c r="AB57" i="1"/>
  <c r="Z57" i="1"/>
  <c r="BJ56" i="1"/>
  <c r="BF56" i="1"/>
  <c r="BD56" i="1"/>
  <c r="AP56" i="1"/>
  <c r="BI56" i="1" s="1"/>
  <c r="AC56" i="1" s="1"/>
  <c r="AO56" i="1"/>
  <c r="BH56" i="1" s="1"/>
  <c r="AB56" i="1" s="1"/>
  <c r="AL56" i="1"/>
  <c r="AK56" i="1"/>
  <c r="AJ56" i="1"/>
  <c r="AH56" i="1"/>
  <c r="AG56" i="1"/>
  <c r="AF56" i="1"/>
  <c r="AE56" i="1"/>
  <c r="AD56" i="1"/>
  <c r="Z56" i="1"/>
  <c r="BJ55" i="1"/>
  <c r="BF55" i="1"/>
  <c r="BD55" i="1"/>
  <c r="AP55" i="1"/>
  <c r="BI55" i="1" s="1"/>
  <c r="AC55" i="1" s="1"/>
  <c r="AO55" i="1"/>
  <c r="AL55" i="1"/>
  <c r="AK55" i="1"/>
  <c r="AJ55" i="1"/>
  <c r="AH55" i="1"/>
  <c r="AG55" i="1"/>
  <c r="AF55" i="1"/>
  <c r="AE55" i="1"/>
  <c r="AD55" i="1"/>
  <c r="Z55" i="1"/>
  <c r="BJ54" i="1"/>
  <c r="BF54" i="1"/>
  <c r="BD54" i="1"/>
  <c r="AP54" i="1"/>
  <c r="AX54" i="1" s="1"/>
  <c r="AO54" i="1"/>
  <c r="AK54" i="1"/>
  <c r="AJ54" i="1"/>
  <c r="AH54" i="1"/>
  <c r="AG54" i="1"/>
  <c r="AF54" i="1"/>
  <c r="AE54" i="1"/>
  <c r="AD54" i="1"/>
  <c r="Z54" i="1"/>
  <c r="BJ52" i="1"/>
  <c r="BF52" i="1"/>
  <c r="BD52" i="1"/>
  <c r="AP52" i="1"/>
  <c r="BI52" i="1" s="1"/>
  <c r="AO52" i="1"/>
  <c r="BH52" i="1" s="1"/>
  <c r="AK52" i="1"/>
  <c r="AJ52" i="1"/>
  <c r="AS51" i="1" s="1"/>
  <c r="AH52" i="1"/>
  <c r="AG52" i="1"/>
  <c r="AF52" i="1"/>
  <c r="AE52" i="1"/>
  <c r="AD52" i="1"/>
  <c r="AC52" i="1"/>
  <c r="AB52" i="1"/>
  <c r="Z52" i="1"/>
  <c r="AT51" i="1"/>
  <c r="BJ50" i="1"/>
  <c r="Z50" i="1" s="1"/>
  <c r="BF50" i="1"/>
  <c r="BD50" i="1"/>
  <c r="AX50" i="1"/>
  <c r="AP50" i="1"/>
  <c r="BI50" i="1" s="1"/>
  <c r="AO50" i="1"/>
  <c r="BH50" i="1" s="1"/>
  <c r="AK50" i="1"/>
  <c r="AT49" i="1" s="1"/>
  <c r="AJ50" i="1"/>
  <c r="AH50" i="1"/>
  <c r="AG50" i="1"/>
  <c r="AF50" i="1"/>
  <c r="AE50" i="1"/>
  <c r="AD50" i="1"/>
  <c r="AC50" i="1"/>
  <c r="AB50" i="1"/>
  <c r="AL50" i="1"/>
  <c r="AU49" i="1" s="1"/>
  <c r="AS49" i="1"/>
  <c r="BJ48" i="1"/>
  <c r="BF48" i="1"/>
  <c r="BD48" i="1"/>
  <c r="AP48" i="1"/>
  <c r="AX48" i="1" s="1"/>
  <c r="AO48" i="1"/>
  <c r="BH48" i="1" s="1"/>
  <c r="AB48" i="1" s="1"/>
  <c r="AK48" i="1"/>
  <c r="AT47" i="1" s="1"/>
  <c r="AJ48" i="1"/>
  <c r="AS47" i="1" s="1"/>
  <c r="AH48" i="1"/>
  <c r="AG48" i="1"/>
  <c r="AF48" i="1"/>
  <c r="AE48" i="1"/>
  <c r="AD48" i="1"/>
  <c r="Z48" i="1"/>
  <c r="AL48" i="1"/>
  <c r="AU47" i="1" s="1"/>
  <c r="BJ46" i="1"/>
  <c r="BF46" i="1"/>
  <c r="BD46" i="1"/>
  <c r="AP46" i="1"/>
  <c r="AX46" i="1" s="1"/>
  <c r="AO46" i="1"/>
  <c r="BH46" i="1" s="1"/>
  <c r="AB46" i="1" s="1"/>
  <c r="AL46" i="1"/>
  <c r="AK46" i="1"/>
  <c r="AJ46" i="1"/>
  <c r="AH46" i="1"/>
  <c r="AG46" i="1"/>
  <c r="AF46" i="1"/>
  <c r="AE46" i="1"/>
  <c r="AD46" i="1"/>
  <c r="Z46" i="1"/>
  <c r="BJ45" i="1"/>
  <c r="BF45" i="1"/>
  <c r="BD45" i="1"/>
  <c r="AX45" i="1"/>
  <c r="AP45" i="1"/>
  <c r="BI45" i="1" s="1"/>
  <c r="AC45" i="1" s="1"/>
  <c r="AO45" i="1"/>
  <c r="BH45" i="1" s="1"/>
  <c r="AB45" i="1" s="1"/>
  <c r="AK45" i="1"/>
  <c r="AJ45" i="1"/>
  <c r="AH45" i="1"/>
  <c r="AG45" i="1"/>
  <c r="AF45" i="1"/>
  <c r="AE45" i="1"/>
  <c r="AD45" i="1"/>
  <c r="Z45" i="1"/>
  <c r="AL45" i="1"/>
  <c r="BJ43" i="1"/>
  <c r="BF43" i="1"/>
  <c r="BD43" i="1"/>
  <c r="AW43" i="1"/>
  <c r="AP43" i="1"/>
  <c r="AX43" i="1" s="1"/>
  <c r="BC43" i="1" s="1"/>
  <c r="AO43" i="1"/>
  <c r="BH43" i="1" s="1"/>
  <c r="AB43" i="1" s="1"/>
  <c r="AK43" i="1"/>
  <c r="AJ43" i="1"/>
  <c r="AH43" i="1"/>
  <c r="AG43" i="1"/>
  <c r="AF43" i="1"/>
  <c r="AE43" i="1"/>
  <c r="AD43" i="1"/>
  <c r="Z43" i="1"/>
  <c r="BJ42" i="1"/>
  <c r="BF42" i="1"/>
  <c r="BD42" i="1"/>
  <c r="AP42" i="1"/>
  <c r="BI42" i="1" s="1"/>
  <c r="AC42" i="1" s="1"/>
  <c r="AO42" i="1"/>
  <c r="BH42" i="1" s="1"/>
  <c r="AB42" i="1" s="1"/>
  <c r="AK42" i="1"/>
  <c r="AT39" i="1" s="1"/>
  <c r="AJ42" i="1"/>
  <c r="AH42" i="1"/>
  <c r="AG42" i="1"/>
  <c r="AF42" i="1"/>
  <c r="AE42" i="1"/>
  <c r="AD42" i="1"/>
  <c r="Z42" i="1"/>
  <c r="BJ41" i="1"/>
  <c r="BF41" i="1"/>
  <c r="BD41" i="1"/>
  <c r="AP41" i="1"/>
  <c r="BI41" i="1" s="1"/>
  <c r="AC41" i="1" s="1"/>
  <c r="AO41" i="1"/>
  <c r="BH41" i="1" s="1"/>
  <c r="AB41" i="1" s="1"/>
  <c r="AL41" i="1"/>
  <c r="AK41" i="1"/>
  <c r="AJ41" i="1"/>
  <c r="AH41" i="1"/>
  <c r="AG41" i="1"/>
  <c r="AF41" i="1"/>
  <c r="AE41" i="1"/>
  <c r="AD41" i="1"/>
  <c r="Z41" i="1"/>
  <c r="BJ40" i="1"/>
  <c r="BF40" i="1"/>
  <c r="BD40" i="1"/>
  <c r="AX40" i="1"/>
  <c r="AP40" i="1"/>
  <c r="BI40" i="1" s="1"/>
  <c r="AC40" i="1" s="1"/>
  <c r="AO40" i="1"/>
  <c r="AW40" i="1" s="1"/>
  <c r="AK40" i="1"/>
  <c r="AJ40" i="1"/>
  <c r="AH40" i="1"/>
  <c r="AG40" i="1"/>
  <c r="AF40" i="1"/>
  <c r="AE40" i="1"/>
  <c r="AD40" i="1"/>
  <c r="Z40" i="1"/>
  <c r="AL40" i="1"/>
  <c r="BJ37" i="1"/>
  <c r="BF37" i="1"/>
  <c r="BD37" i="1"/>
  <c r="AX37" i="1"/>
  <c r="AP37" i="1"/>
  <c r="BI37" i="1" s="1"/>
  <c r="AE37" i="1" s="1"/>
  <c r="AO37" i="1"/>
  <c r="BH37" i="1" s="1"/>
  <c r="AD37" i="1" s="1"/>
  <c r="AK37" i="1"/>
  <c r="AT35" i="1" s="1"/>
  <c r="AJ37" i="1"/>
  <c r="AH37" i="1"/>
  <c r="AG37" i="1"/>
  <c r="AF37" i="1"/>
  <c r="AC37" i="1"/>
  <c r="AB37" i="1"/>
  <c r="Z37" i="1"/>
  <c r="BJ36" i="1"/>
  <c r="BF36" i="1"/>
  <c r="BD36" i="1"/>
  <c r="AP36" i="1"/>
  <c r="BI36" i="1" s="1"/>
  <c r="AE36" i="1" s="1"/>
  <c r="AO36" i="1"/>
  <c r="BH36" i="1" s="1"/>
  <c r="AD36" i="1" s="1"/>
  <c r="AL36" i="1"/>
  <c r="AK36" i="1"/>
  <c r="AJ36" i="1"/>
  <c r="AH36" i="1"/>
  <c r="AG36" i="1"/>
  <c r="AF36" i="1"/>
  <c r="AC36" i="1"/>
  <c r="AB36" i="1"/>
  <c r="Z36" i="1"/>
  <c r="BJ34" i="1"/>
  <c r="BF34" i="1"/>
  <c r="BD34" i="1"/>
  <c r="AP34" i="1"/>
  <c r="BI34" i="1" s="1"/>
  <c r="AE34" i="1" s="1"/>
  <c r="AO34" i="1"/>
  <c r="BH34" i="1" s="1"/>
  <c r="AD34" i="1" s="1"/>
  <c r="AK34" i="1"/>
  <c r="AJ34" i="1"/>
  <c r="AH34" i="1"/>
  <c r="AG34" i="1"/>
  <c r="AF34" i="1"/>
  <c r="AC34" i="1"/>
  <c r="AB34" i="1"/>
  <c r="Z34" i="1"/>
  <c r="BJ33" i="1"/>
  <c r="BF33" i="1"/>
  <c r="BD33" i="1"/>
  <c r="AW33" i="1"/>
  <c r="AP33" i="1"/>
  <c r="BI33" i="1" s="1"/>
  <c r="AE33" i="1" s="1"/>
  <c r="AO33" i="1"/>
  <c r="BH33" i="1" s="1"/>
  <c r="AD33" i="1" s="1"/>
  <c r="AK33" i="1"/>
  <c r="AJ33" i="1"/>
  <c r="AS32" i="1" s="1"/>
  <c r="AH33" i="1"/>
  <c r="AG33" i="1"/>
  <c r="AF33" i="1"/>
  <c r="AC33" i="1"/>
  <c r="AB33" i="1"/>
  <c r="Z33" i="1"/>
  <c r="BJ31" i="1"/>
  <c r="BF31" i="1"/>
  <c r="BD31" i="1"/>
  <c r="AX31" i="1"/>
  <c r="AP31" i="1"/>
  <c r="BI31" i="1" s="1"/>
  <c r="AC31" i="1" s="1"/>
  <c r="AO31" i="1"/>
  <c r="BH31" i="1" s="1"/>
  <c r="AB31" i="1" s="1"/>
  <c r="AK31" i="1"/>
  <c r="AJ31" i="1"/>
  <c r="AH31" i="1"/>
  <c r="AG31" i="1"/>
  <c r="AF31" i="1"/>
  <c r="AE31" i="1"/>
  <c r="AD31" i="1"/>
  <c r="Z31" i="1"/>
  <c r="AL31" i="1"/>
  <c r="BJ30" i="1"/>
  <c r="BF30" i="1"/>
  <c r="BD30" i="1"/>
  <c r="AW30" i="1"/>
  <c r="AP30" i="1"/>
  <c r="BI30" i="1" s="1"/>
  <c r="AC30" i="1" s="1"/>
  <c r="AO30" i="1"/>
  <c r="BH30" i="1" s="1"/>
  <c r="AB30" i="1" s="1"/>
  <c r="AK30" i="1"/>
  <c r="AJ30" i="1"/>
  <c r="AH30" i="1"/>
  <c r="AG30" i="1"/>
  <c r="AF30" i="1"/>
  <c r="AE30" i="1"/>
  <c r="AD30" i="1"/>
  <c r="Z30" i="1"/>
  <c r="BJ29" i="1"/>
  <c r="BF29" i="1"/>
  <c r="BD29" i="1"/>
  <c r="AP29" i="1"/>
  <c r="BI29" i="1" s="1"/>
  <c r="AC29" i="1" s="1"/>
  <c r="AO29" i="1"/>
  <c r="AW29" i="1" s="1"/>
  <c r="AK29" i="1"/>
  <c r="AJ29" i="1"/>
  <c r="AH29" i="1"/>
  <c r="AG29" i="1"/>
  <c r="AF29" i="1"/>
  <c r="AE29" i="1"/>
  <c r="AD29" i="1"/>
  <c r="Z29" i="1"/>
  <c r="AL29" i="1"/>
  <c r="BJ28" i="1"/>
  <c r="BF28" i="1"/>
  <c r="BD28" i="1"/>
  <c r="AP28" i="1"/>
  <c r="AX28" i="1" s="1"/>
  <c r="AO28" i="1"/>
  <c r="BH28" i="1" s="1"/>
  <c r="AB28" i="1" s="1"/>
  <c r="AL28" i="1"/>
  <c r="AK28" i="1"/>
  <c r="AJ28" i="1"/>
  <c r="AH28" i="1"/>
  <c r="AG28" i="1"/>
  <c r="AF28" i="1"/>
  <c r="AE28" i="1"/>
  <c r="AD28" i="1"/>
  <c r="Z28" i="1"/>
  <c r="BJ27" i="1"/>
  <c r="BF27" i="1"/>
  <c r="BD27" i="1"/>
  <c r="AX27" i="1"/>
  <c r="AP27" i="1"/>
  <c r="BI27" i="1" s="1"/>
  <c r="AC27" i="1" s="1"/>
  <c r="AO27" i="1"/>
  <c r="BH27" i="1" s="1"/>
  <c r="AB27" i="1" s="1"/>
  <c r="AK27" i="1"/>
  <c r="AJ27" i="1"/>
  <c r="AH27" i="1"/>
  <c r="AG27" i="1"/>
  <c r="AF27" i="1"/>
  <c r="AE27" i="1"/>
  <c r="AD27" i="1"/>
  <c r="Z27" i="1"/>
  <c r="AL27" i="1"/>
  <c r="BJ26" i="1"/>
  <c r="BF26" i="1"/>
  <c r="BD26" i="1"/>
  <c r="AW26" i="1"/>
  <c r="AP26" i="1"/>
  <c r="BI26" i="1" s="1"/>
  <c r="AC26" i="1" s="1"/>
  <c r="AO26" i="1"/>
  <c r="BH26" i="1" s="1"/>
  <c r="AB26" i="1" s="1"/>
  <c r="AL26" i="1"/>
  <c r="AK26" i="1"/>
  <c r="AJ26" i="1"/>
  <c r="AH26" i="1"/>
  <c r="AG26" i="1"/>
  <c r="AF26" i="1"/>
  <c r="AE26" i="1"/>
  <c r="AD26" i="1"/>
  <c r="Z26" i="1"/>
  <c r="BJ25" i="1"/>
  <c r="BF25" i="1"/>
  <c r="BD25" i="1"/>
  <c r="AP25" i="1"/>
  <c r="BI25" i="1" s="1"/>
  <c r="AC25" i="1" s="1"/>
  <c r="AO25" i="1"/>
  <c r="AW25" i="1" s="1"/>
  <c r="AK25" i="1"/>
  <c r="AJ25" i="1"/>
  <c r="AH25" i="1"/>
  <c r="AG25" i="1"/>
  <c r="AF25" i="1"/>
  <c r="AE25" i="1"/>
  <c r="AD25" i="1"/>
  <c r="Z25" i="1"/>
  <c r="AL25" i="1"/>
  <c r="BJ24" i="1"/>
  <c r="BF24" i="1"/>
  <c r="BD24" i="1"/>
  <c r="AP24" i="1"/>
  <c r="AX24" i="1" s="1"/>
  <c r="AO24" i="1"/>
  <c r="BH24" i="1" s="1"/>
  <c r="AB24" i="1" s="1"/>
  <c r="AL24" i="1"/>
  <c r="AK24" i="1"/>
  <c r="AJ24" i="1"/>
  <c r="AH24" i="1"/>
  <c r="AG24" i="1"/>
  <c r="AF24" i="1"/>
  <c r="AE24" i="1"/>
  <c r="AD24" i="1"/>
  <c r="Z24" i="1"/>
  <c r="BJ23" i="1"/>
  <c r="BF23" i="1"/>
  <c r="BD23" i="1"/>
  <c r="AX23" i="1"/>
  <c r="AP23" i="1"/>
  <c r="BI23" i="1" s="1"/>
  <c r="AC23" i="1" s="1"/>
  <c r="AO23" i="1"/>
  <c r="BH23" i="1" s="1"/>
  <c r="AB23" i="1" s="1"/>
  <c r="AK23" i="1"/>
  <c r="AJ23" i="1"/>
  <c r="AH23" i="1"/>
  <c r="AG23" i="1"/>
  <c r="AF23" i="1"/>
  <c r="AE23" i="1"/>
  <c r="AD23" i="1"/>
  <c r="Z23" i="1"/>
  <c r="BJ22" i="1"/>
  <c r="BF22" i="1"/>
  <c r="BD22" i="1"/>
  <c r="AW22" i="1"/>
  <c r="AP22" i="1"/>
  <c r="BI22" i="1" s="1"/>
  <c r="AC22" i="1" s="1"/>
  <c r="AO22" i="1"/>
  <c r="BH22" i="1" s="1"/>
  <c r="AB22" i="1" s="1"/>
  <c r="AL22" i="1"/>
  <c r="AK22" i="1"/>
  <c r="AJ22" i="1"/>
  <c r="AH22" i="1"/>
  <c r="AG22" i="1"/>
  <c r="AF22" i="1"/>
  <c r="AE22" i="1"/>
  <c r="AD22" i="1"/>
  <c r="Z22" i="1"/>
  <c r="BJ21" i="1"/>
  <c r="BF21" i="1"/>
  <c r="BD21" i="1"/>
  <c r="AP21" i="1"/>
  <c r="BI21" i="1" s="1"/>
  <c r="AC21" i="1" s="1"/>
  <c r="AO21" i="1"/>
  <c r="AW21" i="1" s="1"/>
  <c r="AK21" i="1"/>
  <c r="AJ21" i="1"/>
  <c r="AH21" i="1"/>
  <c r="AG21" i="1"/>
  <c r="AF21" i="1"/>
  <c r="AE21" i="1"/>
  <c r="AD21" i="1"/>
  <c r="Z21" i="1"/>
  <c r="AL21" i="1"/>
  <c r="BJ19" i="1"/>
  <c r="BF19" i="1"/>
  <c r="BD19" i="1"/>
  <c r="AP19" i="1"/>
  <c r="BI19" i="1" s="1"/>
  <c r="AO19" i="1"/>
  <c r="BH19" i="1" s="1"/>
  <c r="AK19" i="1"/>
  <c r="AT18" i="1" s="1"/>
  <c r="AJ19" i="1"/>
  <c r="AS18" i="1" s="1"/>
  <c r="AH19" i="1"/>
  <c r="AG19" i="1"/>
  <c r="AF19" i="1"/>
  <c r="AE19" i="1"/>
  <c r="AD19" i="1"/>
  <c r="AC19" i="1"/>
  <c r="AB19" i="1"/>
  <c r="Z19" i="1"/>
  <c r="BJ17" i="1"/>
  <c r="BF17" i="1"/>
  <c r="BD17" i="1"/>
  <c r="AX17" i="1"/>
  <c r="AP17" i="1"/>
  <c r="BI17" i="1" s="1"/>
  <c r="AC17" i="1" s="1"/>
  <c r="AO17" i="1"/>
  <c r="BH17" i="1" s="1"/>
  <c r="AB17" i="1" s="1"/>
  <c r="AK17" i="1"/>
  <c r="AJ17" i="1"/>
  <c r="AH17" i="1"/>
  <c r="AG17" i="1"/>
  <c r="AF17" i="1"/>
  <c r="AE17" i="1"/>
  <c r="AD17" i="1"/>
  <c r="Z17" i="1"/>
  <c r="AL17" i="1"/>
  <c r="BJ16" i="1"/>
  <c r="BF16" i="1"/>
  <c r="BD16" i="1"/>
  <c r="AW16" i="1"/>
  <c r="AP16" i="1"/>
  <c r="BI16" i="1" s="1"/>
  <c r="AC16" i="1" s="1"/>
  <c r="AO16" i="1"/>
  <c r="BH16" i="1" s="1"/>
  <c r="AB16" i="1" s="1"/>
  <c r="AL16" i="1"/>
  <c r="AK16" i="1"/>
  <c r="AJ16" i="1"/>
  <c r="AH16" i="1"/>
  <c r="AG16" i="1"/>
  <c r="AF16" i="1"/>
  <c r="AE16" i="1"/>
  <c r="AD16" i="1"/>
  <c r="Z16" i="1"/>
  <c r="BJ15" i="1"/>
  <c r="BF15" i="1"/>
  <c r="BD15" i="1"/>
  <c r="AP15" i="1"/>
  <c r="BI15" i="1" s="1"/>
  <c r="AC15" i="1" s="1"/>
  <c r="AO15" i="1"/>
  <c r="AW15" i="1" s="1"/>
  <c r="AK15" i="1"/>
  <c r="AJ15" i="1"/>
  <c r="AH15" i="1"/>
  <c r="AG15" i="1"/>
  <c r="AF15" i="1"/>
  <c r="AE15" i="1"/>
  <c r="AD15" i="1"/>
  <c r="Z15" i="1"/>
  <c r="AL15" i="1"/>
  <c r="BJ14" i="1"/>
  <c r="BF14" i="1"/>
  <c r="BD14" i="1"/>
  <c r="AP14" i="1"/>
  <c r="AX14" i="1" s="1"/>
  <c r="AO14" i="1"/>
  <c r="BH14" i="1" s="1"/>
  <c r="AB14" i="1" s="1"/>
  <c r="AL14" i="1"/>
  <c r="AK14" i="1"/>
  <c r="AJ14" i="1"/>
  <c r="AH14" i="1"/>
  <c r="AG14" i="1"/>
  <c r="AF14" i="1"/>
  <c r="AE14" i="1"/>
  <c r="AD14" i="1"/>
  <c r="AU1" i="1"/>
  <c r="AT1" i="1"/>
  <c r="AS1" i="1"/>
  <c r="AU108" i="1" l="1"/>
  <c r="AU74" i="1"/>
  <c r="AS35" i="1"/>
  <c r="AT63" i="1"/>
  <c r="AS20" i="1"/>
  <c r="AT44" i="1"/>
  <c r="AT20" i="1"/>
  <c r="AT74" i="1"/>
  <c r="AT101" i="1"/>
  <c r="AU44" i="1"/>
  <c r="AX82" i="1"/>
  <c r="BC94" i="1"/>
  <c r="AU39" i="1"/>
  <c r="BI65" i="1"/>
  <c r="AE65" i="1" s="1"/>
  <c r="AT69" i="1"/>
  <c r="C27" i="2"/>
  <c r="AX15" i="1"/>
  <c r="BC15" i="1" s="1"/>
  <c r="AW19" i="1"/>
  <c r="AX21" i="1"/>
  <c r="BC24" i="1"/>
  <c r="AX25" i="1"/>
  <c r="AV25" i="1" s="1"/>
  <c r="AX29" i="1"/>
  <c r="BC29" i="1" s="1"/>
  <c r="AX34" i="1"/>
  <c r="AW36" i="1"/>
  <c r="AV36" i="1" s="1"/>
  <c r="AS39" i="1"/>
  <c r="AX42" i="1"/>
  <c r="AS44" i="1"/>
  <c r="BC46" i="1"/>
  <c r="AW52" i="1"/>
  <c r="BC52" i="1" s="1"/>
  <c r="AX55" i="1"/>
  <c r="AW56" i="1"/>
  <c r="BC56" i="1" s="1"/>
  <c r="AW59" i="1"/>
  <c r="AV59" i="1" s="1"/>
  <c r="AW77" i="1"/>
  <c r="AW80" i="1"/>
  <c r="AW86" i="1"/>
  <c r="AV86" i="1" s="1"/>
  <c r="AX89" i="1"/>
  <c r="AX94" i="1"/>
  <c r="AV94" i="1" s="1"/>
  <c r="AW97" i="1"/>
  <c r="AX99" i="1"/>
  <c r="AW110" i="1"/>
  <c r="AS101" i="1"/>
  <c r="BC104" i="1"/>
  <c r="AW14" i="1"/>
  <c r="AV14" i="1" s="1"/>
  <c r="AU13" i="1"/>
  <c r="AT13" i="1"/>
  <c r="AW24" i="1"/>
  <c r="AV24" i="1" s="1"/>
  <c r="AW28" i="1"/>
  <c r="AV28" i="1" s="1"/>
  <c r="AT32" i="1"/>
  <c r="AW41" i="1"/>
  <c r="AW46" i="1"/>
  <c r="BI48" i="1"/>
  <c r="AC48" i="1" s="1"/>
  <c r="AX52" i="1"/>
  <c r="AX56" i="1"/>
  <c r="AW57" i="1"/>
  <c r="AX59" i="1"/>
  <c r="AT53" i="1"/>
  <c r="AV60" i="1"/>
  <c r="AU63" i="1"/>
  <c r="AX77" i="1"/>
  <c r="AW78" i="1"/>
  <c r="AX80" i="1"/>
  <c r="AS83" i="1"/>
  <c r="AX86" i="1"/>
  <c r="AW87" i="1"/>
  <c r="AT83" i="1"/>
  <c r="AV90" i="1"/>
  <c r="AX96" i="1"/>
  <c r="AV104" i="1"/>
  <c r="AU20" i="1"/>
  <c r="AV46" i="1"/>
  <c r="AV15" i="1"/>
  <c r="BC25" i="1"/>
  <c r="AV29" i="1"/>
  <c r="AV40" i="1"/>
  <c r="BC40" i="1"/>
  <c r="AV21" i="1"/>
  <c r="BC21" i="1"/>
  <c r="AV43" i="1"/>
  <c r="AU69" i="1"/>
  <c r="BH15" i="1"/>
  <c r="AB15" i="1" s="1"/>
  <c r="BI24" i="1"/>
  <c r="AC24" i="1" s="1"/>
  <c r="BH25" i="1"/>
  <c r="AB25" i="1" s="1"/>
  <c r="BH40" i="1"/>
  <c r="AB40" i="1" s="1"/>
  <c r="BI46" i="1"/>
  <c r="AC46" i="1" s="1"/>
  <c r="AW54" i="1"/>
  <c r="AX57" i="1"/>
  <c r="AX61" i="1"/>
  <c r="AW62" i="1"/>
  <c r="AX64" i="1"/>
  <c r="AW68" i="1"/>
  <c r="AX70" i="1"/>
  <c r="BI76" i="1"/>
  <c r="AC76" i="1" s="1"/>
  <c r="AX76" i="1"/>
  <c r="AV76" i="1" s="1"/>
  <c r="C28" i="2"/>
  <c r="F28" i="2" s="1"/>
  <c r="AX16" i="1"/>
  <c r="AV16" i="1" s="1"/>
  <c r="AW17" i="1"/>
  <c r="AX19" i="1"/>
  <c r="BC19" i="1" s="1"/>
  <c r="AX22" i="1"/>
  <c r="AV22" i="1" s="1"/>
  <c r="AW23" i="1"/>
  <c r="AX26" i="1"/>
  <c r="BC26" i="1" s="1"/>
  <c r="AW27" i="1"/>
  <c r="AX30" i="1"/>
  <c r="AV30" i="1" s="1"/>
  <c r="AW31" i="1"/>
  <c r="AX33" i="1"/>
  <c r="AV33" i="1" s="1"/>
  <c r="AL34" i="1"/>
  <c r="AU32" i="1" s="1"/>
  <c r="AW34" i="1"/>
  <c r="AX36" i="1"/>
  <c r="AL37" i="1"/>
  <c r="AU35" i="1" s="1"/>
  <c r="AW37" i="1"/>
  <c r="AX41" i="1"/>
  <c r="AV41" i="1" s="1"/>
  <c r="AW42" i="1"/>
  <c r="AW45" i="1"/>
  <c r="AW48" i="1"/>
  <c r="AW58" i="1"/>
  <c r="BI61" i="1"/>
  <c r="AC61" i="1" s="1"/>
  <c r="AS63" i="1"/>
  <c r="BI64" i="1"/>
  <c r="AE64" i="1" s="1"/>
  <c r="AS69" i="1"/>
  <c r="BI70" i="1"/>
  <c r="BC76" i="1"/>
  <c r="BC86" i="1"/>
  <c r="AV103" i="1"/>
  <c r="BC103" i="1"/>
  <c r="BC107" i="1"/>
  <c r="AV107" i="1"/>
  <c r="BH21" i="1"/>
  <c r="AB21" i="1" s="1"/>
  <c r="BI28" i="1"/>
  <c r="AC28" i="1" s="1"/>
  <c r="C19" i="2"/>
  <c r="AS53" i="1"/>
  <c r="BI57" i="1"/>
  <c r="AC57" i="1" s="1"/>
  <c r="BH62" i="1"/>
  <c r="AB62" i="1" s="1"/>
  <c r="AW65" i="1"/>
  <c r="AX67" i="1"/>
  <c r="AX68" i="1"/>
  <c r="BH68" i="1"/>
  <c r="AD68" i="1" s="1"/>
  <c r="AW71" i="1"/>
  <c r="AW72" i="1"/>
  <c r="BH72" i="1"/>
  <c r="BH89" i="1"/>
  <c r="AB89" i="1" s="1"/>
  <c r="AW89" i="1"/>
  <c r="BI14" i="1"/>
  <c r="AC14" i="1" s="1"/>
  <c r="BH29" i="1"/>
  <c r="AB29" i="1" s="1"/>
  <c r="BI43" i="1"/>
  <c r="AC43" i="1" s="1"/>
  <c r="AS13" i="1"/>
  <c r="BC22" i="1"/>
  <c r="BC30" i="1"/>
  <c r="BC36" i="1"/>
  <c r="BH54" i="1"/>
  <c r="AB54" i="1" s="1"/>
  <c r="C20" i="2"/>
  <c r="AW50" i="1"/>
  <c r="AL54" i="1"/>
  <c r="AU53" i="1" s="1"/>
  <c r="BI54" i="1"/>
  <c r="AC54" i="1" s="1"/>
  <c r="AW55" i="1"/>
  <c r="BH55" i="1"/>
  <c r="AB55" i="1" s="1"/>
  <c r="AX58" i="1"/>
  <c r="BH58" i="1"/>
  <c r="AB58" i="1" s="1"/>
  <c r="BI62" i="1"/>
  <c r="AC62" i="1" s="1"/>
  <c r="AS66" i="1"/>
  <c r="BI67" i="1"/>
  <c r="AE67" i="1" s="1"/>
  <c r="BI68" i="1"/>
  <c r="AE68" i="1" s="1"/>
  <c r="AS74" i="1"/>
  <c r="BH75" i="1"/>
  <c r="AB75" i="1" s="1"/>
  <c r="BI88" i="1"/>
  <c r="AC88" i="1" s="1"/>
  <c r="AX88" i="1"/>
  <c r="AW92" i="1"/>
  <c r="BH92" i="1"/>
  <c r="AB92" i="1" s="1"/>
  <c r="AL84" i="1"/>
  <c r="AU83" i="1" s="1"/>
  <c r="AV85" i="1"/>
  <c r="BC85" i="1"/>
  <c r="AX95" i="1"/>
  <c r="BI95" i="1"/>
  <c r="AC95" i="1" s="1"/>
  <c r="AW96" i="1"/>
  <c r="AW99" i="1"/>
  <c r="AL102" i="1"/>
  <c r="AU101" i="1" s="1"/>
  <c r="AW61" i="1"/>
  <c r="AW64" i="1"/>
  <c r="AW67" i="1"/>
  <c r="AW70" i="1"/>
  <c r="BH76" i="1"/>
  <c r="AB76" i="1" s="1"/>
  <c r="AW84" i="1"/>
  <c r="AX87" i="1"/>
  <c r="AX92" i="1"/>
  <c r="BH96" i="1"/>
  <c r="AB96" i="1" s="1"/>
  <c r="BH99" i="1"/>
  <c r="AD99" i="1" s="1"/>
  <c r="AV100" i="1"/>
  <c r="BC100" i="1"/>
  <c r="AX105" i="1"/>
  <c r="BC105" i="1" s="1"/>
  <c r="AX78" i="1"/>
  <c r="AW82" i="1"/>
  <c r="BH82" i="1"/>
  <c r="AF82" i="1" s="1"/>
  <c r="C18" i="2" s="1"/>
  <c r="AW88" i="1"/>
  <c r="AX91" i="1"/>
  <c r="BI92" i="1"/>
  <c r="AC92" i="1" s="1"/>
  <c r="AW93" i="1"/>
  <c r="BH93" i="1"/>
  <c r="AB93" i="1" s="1"/>
  <c r="AV97" i="1"/>
  <c r="BC97" i="1"/>
  <c r="AL99" i="1"/>
  <c r="AU98" i="1" s="1"/>
  <c r="AW102" i="1"/>
  <c r="AW95" i="1"/>
  <c r="BI97" i="1"/>
  <c r="AC97" i="1" s="1"/>
  <c r="BI100" i="1"/>
  <c r="AE100" i="1" s="1"/>
  <c r="BI103" i="1"/>
  <c r="AE103" i="1" s="1"/>
  <c r="BH104" i="1"/>
  <c r="AD104" i="1" s="1"/>
  <c r="BH107" i="1"/>
  <c r="AD107" i="1" s="1"/>
  <c r="BI109" i="1"/>
  <c r="AE109" i="1" s="1"/>
  <c r="AX110" i="1"/>
  <c r="BC110" i="1" s="1"/>
  <c r="BI107" i="1"/>
  <c r="AE107" i="1" s="1"/>
  <c r="BI110" i="1"/>
  <c r="AE110" i="1" s="1"/>
  <c r="AW109" i="1"/>
  <c r="AV52" i="1" l="1"/>
  <c r="AV110" i="1"/>
  <c r="BC59" i="1"/>
  <c r="BC80" i="1"/>
  <c r="AV80" i="1"/>
  <c r="BC14" i="1"/>
  <c r="C16" i="2"/>
  <c r="C14" i="2"/>
  <c r="BC41" i="1"/>
  <c r="BC16" i="1"/>
  <c r="BC77" i="1"/>
  <c r="AV77" i="1"/>
  <c r="BC28" i="1"/>
  <c r="C17" i="2"/>
  <c r="AV56" i="1"/>
  <c r="AV88" i="1"/>
  <c r="BC88" i="1"/>
  <c r="BC70" i="1"/>
  <c r="AV70" i="1"/>
  <c r="AV58" i="1"/>
  <c r="BC58" i="1"/>
  <c r="BC37" i="1"/>
  <c r="AV37" i="1"/>
  <c r="BC27" i="1"/>
  <c r="AV27" i="1"/>
  <c r="AV62" i="1"/>
  <c r="BC62" i="1"/>
  <c r="AV54" i="1"/>
  <c r="BC54" i="1"/>
  <c r="BC102" i="1"/>
  <c r="AV102" i="1"/>
  <c r="C29" i="2"/>
  <c r="F29" i="2" s="1"/>
  <c r="AV67" i="1"/>
  <c r="BC67" i="1"/>
  <c r="BC96" i="1"/>
  <c r="AV96" i="1"/>
  <c r="AV55" i="1"/>
  <c r="BC55" i="1"/>
  <c r="BC50" i="1"/>
  <c r="AV50" i="1"/>
  <c r="C15" i="2"/>
  <c r="BC45" i="1"/>
  <c r="AV45" i="1"/>
  <c r="AV26" i="1"/>
  <c r="AV84" i="1"/>
  <c r="BC84" i="1"/>
  <c r="BC33" i="1"/>
  <c r="AV71" i="1"/>
  <c r="BC71" i="1"/>
  <c r="AV65" i="1"/>
  <c r="BC65" i="1"/>
  <c r="BC42" i="1"/>
  <c r="AV42" i="1"/>
  <c r="BC31" i="1"/>
  <c r="AV31" i="1"/>
  <c r="BC57" i="1"/>
  <c r="AV57" i="1"/>
  <c r="AV19" i="1"/>
  <c r="AV109" i="1"/>
  <c r="BC109" i="1"/>
  <c r="BC78" i="1"/>
  <c r="AV78" i="1"/>
  <c r="AV87" i="1"/>
  <c r="BC87" i="1"/>
  <c r="AV89" i="1"/>
  <c r="BC89" i="1"/>
  <c r="AV72" i="1"/>
  <c r="BC72" i="1"/>
  <c r="BC48" i="1"/>
  <c r="AV48" i="1"/>
  <c r="AV95" i="1"/>
  <c r="BC95" i="1"/>
  <c r="BC91" i="1"/>
  <c r="AV91" i="1"/>
  <c r="AV82" i="1"/>
  <c r="BC82" i="1"/>
  <c r="BC64" i="1"/>
  <c r="AV64" i="1"/>
  <c r="AV105" i="1"/>
  <c r="AV93" i="1"/>
  <c r="BC93" i="1"/>
  <c r="BC61" i="1"/>
  <c r="AV61" i="1"/>
  <c r="BC99" i="1"/>
  <c r="AV99" i="1"/>
  <c r="AV92" i="1"/>
  <c r="BC92" i="1"/>
  <c r="BC34" i="1"/>
  <c r="AV34" i="1"/>
  <c r="BC23" i="1"/>
  <c r="AV23" i="1"/>
  <c r="BC17" i="1"/>
  <c r="AV17" i="1"/>
  <c r="AV68" i="1"/>
  <c r="BC68" i="1"/>
  <c r="C22" i="2" l="1"/>
  <c r="I28" i="2"/>
  <c r="I29" i="2" s="1"/>
</calcChain>
</file>

<file path=xl/sharedStrings.xml><?xml version="1.0" encoding="utf-8"?>
<sst xmlns="http://schemas.openxmlformats.org/spreadsheetml/2006/main" count="1119" uniqueCount="334">
  <si>
    <t>Slepý stavební rozpočet</t>
  </si>
  <si>
    <t>Název stavby:</t>
  </si>
  <si>
    <t>Snížení energetické náročnosti výrobního objektu</t>
  </si>
  <si>
    <t>Doba výstavby:</t>
  </si>
  <si>
    <t xml:space="preserve"> </t>
  </si>
  <si>
    <t>Objednatel:</t>
  </si>
  <si>
    <t>Aleš Kastl, dřevovýroba</t>
  </si>
  <si>
    <t>Druh stavby:</t>
  </si>
  <si>
    <t>Zateplení objektů firmy Kastl</t>
  </si>
  <si>
    <t>Začátek výstavby:</t>
  </si>
  <si>
    <t>Projektant:</t>
  </si>
  <si>
    <t>Voldan s.r.o.</t>
  </si>
  <si>
    <t>Lokalita:</t>
  </si>
  <si>
    <t>Nový Kostel</t>
  </si>
  <si>
    <t>Konec výstavby:</t>
  </si>
  <si>
    <t>Zhotovitel:</t>
  </si>
  <si>
    <t>bude vybrán ve výběrovém řízen</t>
  </si>
  <si>
    <t>JKSO:</t>
  </si>
  <si>
    <t>801</t>
  </si>
  <si>
    <t>Zpracováno dne:</t>
  </si>
  <si>
    <t>Zpracoval:</t>
  </si>
  <si>
    <t> 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</si>
  <si>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</si>
  <si>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</si>
  <si>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</si>
  <si>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</si>
  <si>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</si>
  <si>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</si>
  <si>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</si>
  <si>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</si>
  <si>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</si>
  <si>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</si>
  <si>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</si>
  <si>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</si>
  <si>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</si>
  <si>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</si>
  <si>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</si>
  <si>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</si>
  <si>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</si>
  <si>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</si>
  <si>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</si>
  <si>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</si>
  <si>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</si>
  <si>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</si>
  <si>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</si>
  <si>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</si>
  <si>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</si>
  <si>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</si>
  <si>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</si>
  <si>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</si>
  <si>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</si>
  <si>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</si>
  <si>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objekt na p.č. 261 - doprava</t>
  </si>
  <si>
    <t>94</t>
  </si>
  <si>
    <t>Lešení a stavební výtahy</t>
  </si>
  <si>
    <t>01</t>
  </si>
  <si>
    <t>1</t>
  </si>
  <si>
    <t>941941851R00</t>
  </si>
  <si>
    <t>Demontáž lešení leh.řad.s podlahami,š.1,5 m,H 10 m</t>
  </si>
  <si>
    <t>m2</t>
  </si>
  <si>
    <t>94_</t>
  </si>
  <si>
    <t>01_9_</t>
  </si>
  <si>
    <t>01_</t>
  </si>
  <si>
    <t>2</t>
  </si>
  <si>
    <t>941941191RT3</t>
  </si>
  <si>
    <t>Příplatek za každý měsíc použití lešení k pol.1031 (2 měsíce)</t>
  </si>
  <si>
    <t>3</t>
  </si>
  <si>
    <t>941941051R00</t>
  </si>
  <si>
    <t>Montáž lešení leh.řad.s podlahami,š.1,5 m, H 10 m</t>
  </si>
  <si>
    <t>4</t>
  </si>
  <si>
    <t>941941500R00</t>
  </si>
  <si>
    <t>Dovoz a odvoz 500 - 1000 m2 pro pronajatá lešení</t>
  </si>
  <si>
    <t>km</t>
  </si>
  <si>
    <t>H01</t>
  </si>
  <si>
    <t>Budovy občanské výstavby</t>
  </si>
  <si>
    <t>5</t>
  </si>
  <si>
    <t>998011002R00</t>
  </si>
  <si>
    <t>Přesun hmot pro budovy zděné výšky do 12 m</t>
  </si>
  <si>
    <t>t</t>
  </si>
  <si>
    <t>H01_</t>
  </si>
  <si>
    <t>62</t>
  </si>
  <si>
    <t>Úprava povrchů vnější</t>
  </si>
  <si>
    <t>6</t>
  </si>
  <si>
    <t>622904112R00</t>
  </si>
  <si>
    <t>Očištění fasád tlakovou vodou složitost 1 - 2</t>
  </si>
  <si>
    <t>62_</t>
  </si>
  <si>
    <t>01_6_</t>
  </si>
  <si>
    <t>7</t>
  </si>
  <si>
    <t>620991121R00</t>
  </si>
  <si>
    <t>Zakrývání výplní vnějších otvorů z lešení</t>
  </si>
  <si>
    <t>8</t>
  </si>
  <si>
    <t>622421494R00</t>
  </si>
  <si>
    <t>Doplňky zatepl. systémů, podparapetní lišta s tkaninou</t>
  </si>
  <si>
    <t>m</t>
  </si>
  <si>
    <t>9</t>
  </si>
  <si>
    <t>622311023R00</t>
  </si>
  <si>
    <t>Soklová lišta plast tl. 120 mm</t>
  </si>
  <si>
    <t>10</t>
  </si>
  <si>
    <t>622421492R00</t>
  </si>
  <si>
    <t>Doplňky zatepl. systémů, okenní lišta s tkaninou</t>
  </si>
  <si>
    <t>11</t>
  </si>
  <si>
    <t>622311135RT5</t>
  </si>
  <si>
    <t>Zateplovací systém, fasáda, EPS F tl.160 mm</t>
  </si>
  <si>
    <t>12</t>
  </si>
  <si>
    <t>622312124RU1</t>
  </si>
  <si>
    <t>Zateplovací systém, sokl, EPS P tl. 140 mm</t>
  </si>
  <si>
    <t>13</t>
  </si>
  <si>
    <t>622319015R00</t>
  </si>
  <si>
    <t>Soklová lišta hliník tl. 160 mm</t>
  </si>
  <si>
    <t>14</t>
  </si>
  <si>
    <t>622311132RT6</t>
  </si>
  <si>
    <t>Zateplovací systém, vnitřní stěna, EPS F tl.100 mm</t>
  </si>
  <si>
    <t>15</t>
  </si>
  <si>
    <t>342172110R00</t>
  </si>
  <si>
    <t>Montáž PUR panelů k oc.prof.,zateplení vrat.,TF/TC,tl.40 mm</t>
  </si>
  <si>
    <t>16</t>
  </si>
  <si>
    <t>283769652</t>
  </si>
  <si>
    <t>Deska izolační PIR, Puren FAL tl. 40 mm</t>
  </si>
  <si>
    <t>713</t>
  </si>
  <si>
    <t>Izolace tepelné</t>
  </si>
  <si>
    <t>17</t>
  </si>
  <si>
    <t>765901119R00</t>
  </si>
  <si>
    <t>Fólie paropropustné folie,krokve</t>
  </si>
  <si>
    <t>713_</t>
  </si>
  <si>
    <t>01_71_</t>
  </si>
  <si>
    <t>18</t>
  </si>
  <si>
    <t>713111130RV8</t>
  </si>
  <si>
    <t>Izolace tepelné stropů, vložená mezi krokve</t>
  </si>
  <si>
    <t>764</t>
  </si>
  <si>
    <t>Konstrukce klempířské</t>
  </si>
  <si>
    <t>19</t>
  </si>
  <si>
    <t>764908304R00</t>
  </si>
  <si>
    <t>poplast. hliník, oplechování parapetů, rš 400 mm</t>
  </si>
  <si>
    <t>764_</t>
  </si>
  <si>
    <t>01_76_</t>
  </si>
  <si>
    <t>20</t>
  </si>
  <si>
    <t>764900050RAA</t>
  </si>
  <si>
    <t>Demontáž oplechování parapetů</t>
  </si>
  <si>
    <t>objekt na p.č. 192/3 - vrátnice</t>
  </si>
  <si>
    <t>02</t>
  </si>
  <si>
    <t>21</t>
  </si>
  <si>
    <t>02_9_</t>
  </si>
  <si>
    <t>02_</t>
  </si>
  <si>
    <t>22</t>
  </si>
  <si>
    <t>23</t>
  </si>
  <si>
    <t>24</t>
  </si>
  <si>
    <t>96</t>
  </si>
  <si>
    <t>Bourání konstrukcí</t>
  </si>
  <si>
    <t>25</t>
  </si>
  <si>
    <t>968072559R00</t>
  </si>
  <si>
    <t>Vybourání kovových vrat plochy nad 5 m2</t>
  </si>
  <si>
    <t>96_</t>
  </si>
  <si>
    <t>26</t>
  </si>
  <si>
    <t>962200041RAB</t>
  </si>
  <si>
    <t>Bourání okna ze sklobetonu</t>
  </si>
  <si>
    <t>97</t>
  </si>
  <si>
    <t>Prorážení otvorů a ostatní bourací práce</t>
  </si>
  <si>
    <t>27</t>
  </si>
  <si>
    <t>979100011RA0</t>
  </si>
  <si>
    <t>Odvoz suti a vyb.hmot do 10 km, vnitrost. 15 m</t>
  </si>
  <si>
    <t>97_</t>
  </si>
  <si>
    <t>28</t>
  </si>
  <si>
    <t>S</t>
  </si>
  <si>
    <t>Přesuny sutí</t>
  </si>
  <si>
    <t>29</t>
  </si>
  <si>
    <t>979990109R00</t>
  </si>
  <si>
    <t>Poplatek za skládku suti - skleněné tvárnice</t>
  </si>
  <si>
    <t>S_</t>
  </si>
  <si>
    <t>30</t>
  </si>
  <si>
    <t>02_6_</t>
  </si>
  <si>
    <t>31</t>
  </si>
  <si>
    <t>32</t>
  </si>
  <si>
    <t>33</t>
  </si>
  <si>
    <t>34</t>
  </si>
  <si>
    <t>35</t>
  </si>
  <si>
    <t>36</t>
  </si>
  <si>
    <t>37</t>
  </si>
  <si>
    <t>38</t>
  </si>
  <si>
    <t>766670012RAA</t>
  </si>
  <si>
    <t>Okno plastové jednokřídlové typové plochy 2,7 m2</t>
  </si>
  <si>
    <t>kus</t>
  </si>
  <si>
    <t>39</t>
  </si>
  <si>
    <t>Fólie paropropust.,krokve</t>
  </si>
  <si>
    <t>02_71_</t>
  </si>
  <si>
    <t>40</t>
  </si>
  <si>
    <t>41</t>
  </si>
  <si>
    <t xml:space="preserve"> oplechování parapetů, rš 400 mm</t>
  </si>
  <si>
    <t>02_76_</t>
  </si>
  <si>
    <t>42</t>
  </si>
  <si>
    <t>M</t>
  </si>
  <si>
    <t>Ostatní materiál</t>
  </si>
  <si>
    <t>43</t>
  </si>
  <si>
    <t>611563</t>
  </si>
  <si>
    <t>Sekční vrata  - 2550*2600, el.pohon, hnědá RAL 8014</t>
  </si>
  <si>
    <t>0</t>
  </si>
  <si>
    <t>Z99999_</t>
  </si>
  <si>
    <t>02_Z_</t>
  </si>
  <si>
    <t>44</t>
  </si>
  <si>
    <t>611562</t>
  </si>
  <si>
    <t>Sekční vrata  5000*2320, elektropohon, barva hnědá RAL 8014</t>
  </si>
  <si>
    <t>45</t>
  </si>
  <si>
    <t>611561</t>
  </si>
  <si>
    <t>Sekční vrata  - 4050*2600, elektropohon, hnědá RAL 8014</t>
  </si>
  <si>
    <t>objekt na p.č. 192/1 - správní budova</t>
  </si>
  <si>
    <t>03</t>
  </si>
  <si>
    <t>46</t>
  </si>
  <si>
    <t>03_9_</t>
  </si>
  <si>
    <t>03_</t>
  </si>
  <si>
    <t>47</t>
  </si>
  <si>
    <t>48</t>
  </si>
  <si>
    <t>49</t>
  </si>
  <si>
    <t>50</t>
  </si>
  <si>
    <t>M21</t>
  </si>
  <si>
    <t>Elektromontáže</t>
  </si>
  <si>
    <t>51</t>
  </si>
  <si>
    <t>210200020RA0</t>
  </si>
  <si>
    <t>Hromosvod - demontáž a zpětná montáž fasádních svodů</t>
  </si>
  <si>
    <t>kompl</t>
  </si>
  <si>
    <t>M21_</t>
  </si>
  <si>
    <t>52</t>
  </si>
  <si>
    <t>03_6_</t>
  </si>
  <si>
    <t>53</t>
  </si>
  <si>
    <t>54</t>
  </si>
  <si>
    <t>55</t>
  </si>
  <si>
    <t>56</t>
  </si>
  <si>
    <t>57</t>
  </si>
  <si>
    <t>Zateplovací systém fasáda, EPS F tl.160 mm</t>
  </si>
  <si>
    <t>58</t>
  </si>
  <si>
    <t>59</t>
  </si>
  <si>
    <t>Montáž Pur panelů k oc.prof.,zateplení vrat.,TF/TC,tl.40 mm</t>
  </si>
  <si>
    <t>60</t>
  </si>
  <si>
    <t>622451132R00</t>
  </si>
  <si>
    <t>Omítka vnější stěn, MC, hladká, složitost 3 - sokl</t>
  </si>
  <si>
    <t>61</t>
  </si>
  <si>
    <t>622326135RV1</t>
  </si>
  <si>
    <t>Zatepl. systém soklu, tl.160 mm</t>
  </si>
  <si>
    <t>622432111R00</t>
  </si>
  <si>
    <t>Omítka stěn weber-pas marmolit jemnozrnná</t>
  </si>
  <si>
    <t>63</t>
  </si>
  <si>
    <t>Soklová lišta tl. 160 mm</t>
  </si>
  <si>
    <t>64</t>
  </si>
  <si>
    <t>622319554RV1</t>
  </si>
  <si>
    <t>Zatepl.systém, ostění, XPS 40 mm</t>
  </si>
  <si>
    <t>65</t>
  </si>
  <si>
    <t>283765981</t>
  </si>
  <si>
    <t>Deska izolační PIR 40 mm</t>
  </si>
  <si>
    <t>66</t>
  </si>
  <si>
    <t>03_71_</t>
  </si>
  <si>
    <t>67</t>
  </si>
  <si>
    <t>713111111RV9</t>
  </si>
  <si>
    <t>Montáž tepelné izolace stropů vrchem kladené, volně</t>
  </si>
  <si>
    <t>68</t>
  </si>
  <si>
    <t>oplechování parapetů, rš 400 mm</t>
  </si>
  <si>
    <t>03_76_</t>
  </si>
  <si>
    <t>69</t>
  </si>
  <si>
    <t>70</t>
  </si>
  <si>
    <t>764454803R00</t>
  </si>
  <si>
    <t>Demontáž odpadních trub kruhových,D 150 mm</t>
  </si>
  <si>
    <t>71</t>
  </si>
  <si>
    <t>764454291R00</t>
  </si>
  <si>
    <t>Montáž trub Pz odpadních kruhových</t>
  </si>
  <si>
    <t>781</t>
  </si>
  <si>
    <t>Obklady (keramické)</t>
  </si>
  <si>
    <t>72</t>
  </si>
  <si>
    <t>781900020RA0</t>
  </si>
  <si>
    <t>Odsekání obkladů vnějších - sokl</t>
  </si>
  <si>
    <t>781_</t>
  </si>
  <si>
    <t>03_78_</t>
  </si>
  <si>
    <t>784</t>
  </si>
  <si>
    <t>Malby</t>
  </si>
  <si>
    <t>73</t>
  </si>
  <si>
    <t>784241101R00</t>
  </si>
  <si>
    <t>Penetrace podkladu - sokl</t>
  </si>
  <si>
    <t>784_</t>
  </si>
  <si>
    <t>74</t>
  </si>
  <si>
    <t>Penetrace podkladu - fasáda</t>
  </si>
  <si>
    <t>Celkem: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</si>
  <si>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</si>
  <si>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</si>
  <si>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</si>
  <si>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</si>
  <si>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</si>
  <si>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</si>
  <si>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</si>
  <si>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</si>
  <si>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</si>
  <si>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</si>
  <si>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</si>
  <si>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</si>
  <si>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</si>
  <si>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</si>
  <si>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</si>
  <si>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</si>
  <si>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</si>
  <si>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</si>
  <si>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</si>
  <si>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</si>
  <si>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</si>
  <si>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</si>
  <si>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</si>
  <si>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</si>
  <si>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</si>
  <si>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</si>
  <si>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</si>
  <si>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</si>
  <si>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</si>
  <si>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</si>
  <si>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</si>
  <si>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</si>
  <si>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</si>
  <si>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</si>
  <si>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</si>
  <si>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</si>
  <si>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</si>
  <si>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</si>
  <si>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</si>
  <si>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</si>
  <si>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</si>
  <si>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</si>
  <si>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</si>
  <si>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</si>
  <si>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Rozpočet obsahuje kompletní dodávku a montáž zateplovacího kontaktního fasádního systému pro budovu občanské výstavby do 12 m výšky, s použitím lehkého řadového lešení (dovoz, montáž a demontáž, odvoz lešení). Jako izolační materiál jsou použity desky z EPS 70F tl. 160 mm, jako povrchová úprava pak silikonová barevná omítka- viz komentář RTS. Pro názornost jsou uvedeny jako doplňky zateplovacího systému i klempířské prvky, které se instalují v rámci zateplování fasády. V případě zateplování fasády stávajícího objektu (kdy se nejedná o novostavbu), je nutno zrozpočtovat rovněž demontáž (výměnu) klempířských prvků podle specifikace v PD. Zateplení a povrchová úprava soklu stavebního objektu cca do výšky 0,5 m se provádí jinými materiály (extrudovaný PST popř. perimetr+marmolitová stěrka, popř. keramický obklad) a není předmětem tohoto rozpočtu.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</si>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</sst>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0000"/>
        <bgColor rgb="FFC0C0C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4" fontId="8" fillId="2" borderId="12" xfId="0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4" fontId="2" fillId="3" borderId="33" xfId="0" applyNumberFormat="1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4" fontId="2" fillId="2" borderId="33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3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4" fontId="8" fillId="0" borderId="32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13"/>
  <sheetViews>
    <sheetView tabSelected="1" workbookViewId="0">
      <pane ySplit="11" topLeftCell="A74" activePane="bottomLeft" state="frozen"/>
      <selection pane="bottomLeft" activeCell="H24" sqref="H24"/>
    </sheetView>
  </sheetViews>
  <sheetFormatPr baseColWidth="10" defaultColWidth="12.1640625" defaultRowHeight="15" customHeight="1" x14ac:dyDescent="0.2"/>
  <cols>
    <col min="1" max="1" width="4" customWidth="1"/>
    <col min="2" max="2" width="17.83203125" customWidth="1"/>
    <col min="3" max="3" width="28.5" customWidth="1"/>
    <col min="4" max="4" width="23.6640625" customWidth="1"/>
    <col min="5" max="5" width="5.83203125" customWidth="1"/>
    <col min="6" max="6" width="12.83203125" customWidth="1"/>
    <col min="7" max="7" width="12" customWidth="1"/>
    <col min="8" max="10" width="15.6640625" customWidth="1"/>
    <col min="11" max="11" width="13.5" customWidth="1"/>
    <col min="26" max="75" width="0" hidden="1" customWidth="1"/>
    <col min="76" max="76" width="52.33203125" hidden="1" customWidth="1"/>
  </cols>
  <sheetData>
    <row r="1" spans="1:76" ht="54.7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">
      <c r="A2" s="67" t="s">
        <v>1</v>
      </c>
      <c r="B2" s="68"/>
      <c r="C2" s="73" t="s">
        <v>2</v>
      </c>
      <c r="D2" s="74"/>
      <c r="E2" s="68" t="s">
        <v>3</v>
      </c>
      <c r="F2" s="68"/>
      <c r="G2" s="68" t="s">
        <v>4</v>
      </c>
      <c r="H2" s="72" t="s">
        <v>5</v>
      </c>
      <c r="I2" s="72" t="s">
        <v>6</v>
      </c>
      <c r="J2" s="68"/>
      <c r="K2" s="76"/>
    </row>
    <row r="3" spans="1:76" x14ac:dyDescent="0.2">
      <c r="A3" s="69"/>
      <c r="B3" s="55"/>
      <c r="C3" s="75"/>
      <c r="D3" s="75"/>
      <c r="E3" s="55"/>
      <c r="F3" s="55"/>
      <c r="G3" s="55"/>
      <c r="H3" s="55"/>
      <c r="I3" s="55"/>
      <c r="J3" s="55"/>
      <c r="K3" s="77"/>
    </row>
    <row r="4" spans="1:76" x14ac:dyDescent="0.2">
      <c r="A4" s="70" t="s">
        <v>7</v>
      </c>
      <c r="B4" s="55"/>
      <c r="C4" s="54" t="s">
        <v>8</v>
      </c>
      <c r="D4" s="55"/>
      <c r="E4" s="55" t="s">
        <v>9</v>
      </c>
      <c r="F4" s="55"/>
      <c r="G4" s="55" t="s">
        <v>4</v>
      </c>
      <c r="H4" s="54" t="s">
        <v>10</v>
      </c>
      <c r="I4" s="54" t="s">
        <v>11</v>
      </c>
      <c r="J4" s="55"/>
      <c r="K4" s="77"/>
    </row>
    <row r="5" spans="1:76" x14ac:dyDescent="0.2">
      <c r="A5" s="69"/>
      <c r="B5" s="55"/>
      <c r="C5" s="55"/>
      <c r="D5" s="55"/>
      <c r="E5" s="55"/>
      <c r="F5" s="55"/>
      <c r="G5" s="55"/>
      <c r="H5" s="55"/>
      <c r="I5" s="55"/>
      <c r="J5" s="55"/>
      <c r="K5" s="77"/>
    </row>
    <row r="6" spans="1:76" x14ac:dyDescent="0.2">
      <c r="A6" s="70" t="s">
        <v>12</v>
      </c>
      <c r="B6" s="55"/>
      <c r="C6" s="54" t="s">
        <v>13</v>
      </c>
      <c r="D6" s="55"/>
      <c r="E6" s="55" t="s">
        <v>14</v>
      </c>
      <c r="F6" s="55"/>
      <c r="G6" s="55" t="s">
        <v>4</v>
      </c>
      <c r="H6" s="54" t="s">
        <v>15</v>
      </c>
      <c r="I6" s="54" t="s">
        <v>16</v>
      </c>
      <c r="J6" s="55"/>
      <c r="K6" s="77"/>
    </row>
    <row r="7" spans="1:76" x14ac:dyDescent="0.2">
      <c r="A7" s="69"/>
      <c r="B7" s="55"/>
      <c r="C7" s="55"/>
      <c r="D7" s="55"/>
      <c r="E7" s="55"/>
      <c r="F7" s="55"/>
      <c r="G7" s="55"/>
      <c r="H7" s="55"/>
      <c r="I7" s="55"/>
      <c r="J7" s="55"/>
      <c r="K7" s="77"/>
    </row>
    <row r="8" spans="1:76" x14ac:dyDescent="0.2">
      <c r="A8" s="70" t="s">
        <v>17</v>
      </c>
      <c r="B8" s="55"/>
      <c r="C8" s="54" t="s">
        <v>18</v>
      </c>
      <c r="D8" s="55"/>
      <c r="E8" s="55" t="s">
        <v>19</v>
      </c>
      <c r="F8" s="55"/>
      <c r="G8" s="55" t="s">
        <v>4</v>
      </c>
      <c r="H8" s="54" t="s">
        <v>20</v>
      </c>
      <c r="I8" s="55" t="s">
        <v>21</v>
      </c>
      <c r="J8" s="55"/>
      <c r="K8" s="77"/>
    </row>
    <row r="9" spans="1:76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7"/>
    </row>
    <row r="10" spans="1:76" x14ac:dyDescent="0.2">
      <c r="A10" s="3" t="s">
        <v>22</v>
      </c>
      <c r="B10" s="41" t="s">
        <v>23</v>
      </c>
      <c r="C10" s="64" t="s">
        <v>24</v>
      </c>
      <c r="D10" s="65"/>
      <c r="E10" s="41" t="s">
        <v>25</v>
      </c>
      <c r="F10" s="4" t="s">
        <v>26</v>
      </c>
      <c r="G10" s="42" t="s">
        <v>27</v>
      </c>
      <c r="H10" s="61" t="s">
        <v>28</v>
      </c>
      <c r="I10" s="62"/>
      <c r="J10" s="63"/>
      <c r="K10" s="4" t="s">
        <v>29</v>
      </c>
      <c r="BK10" s="5" t="s">
        <v>30</v>
      </c>
      <c r="BL10" s="6" t="s">
        <v>31</v>
      </c>
      <c r="BW10" s="6" t="s">
        <v>32</v>
      </c>
    </row>
    <row r="11" spans="1:76" x14ac:dyDescent="0.2">
      <c r="A11" s="23" t="s">
        <v>4</v>
      </c>
      <c r="B11" s="19" t="s">
        <v>4</v>
      </c>
      <c r="C11" s="53" t="s">
        <v>33</v>
      </c>
      <c r="D11" s="60"/>
      <c r="E11" s="19" t="s">
        <v>4</v>
      </c>
      <c r="F11" s="19" t="s">
        <v>4</v>
      </c>
      <c r="G11" s="24" t="s">
        <v>34</v>
      </c>
      <c r="H11" s="25" t="s">
        <v>35</v>
      </c>
      <c r="I11" s="26" t="s">
        <v>36</v>
      </c>
      <c r="J11" s="27" t="s">
        <v>37</v>
      </c>
      <c r="K11" s="26" t="s">
        <v>38</v>
      </c>
      <c r="Z11" s="5" t="s">
        <v>39</v>
      </c>
      <c r="AA11" s="5" t="s">
        <v>40</v>
      </c>
      <c r="AB11" s="5" t="s">
        <v>41</v>
      </c>
      <c r="AC11" s="5" t="s">
        <v>42</v>
      </c>
      <c r="AD11" s="5" t="s">
        <v>43</v>
      </c>
      <c r="AE11" s="5" t="s">
        <v>44</v>
      </c>
      <c r="AF11" s="5" t="s">
        <v>45</v>
      </c>
      <c r="AG11" s="5" t="s">
        <v>46</v>
      </c>
      <c r="AH11" s="5" t="s">
        <v>47</v>
      </c>
      <c r="BH11" s="5" t="s">
        <v>48</v>
      </c>
      <c r="BI11" s="5" t="s">
        <v>49</v>
      </c>
      <c r="BJ11" s="5" t="s">
        <v>50</v>
      </c>
    </row>
    <row r="12" spans="1:76" x14ac:dyDescent="0.2">
      <c r="A12" s="28" t="s">
        <v>51</v>
      </c>
      <c r="B12" s="29" t="s">
        <v>51</v>
      </c>
      <c r="C12" s="58" t="s">
        <v>52</v>
      </c>
      <c r="D12" s="59"/>
      <c r="E12" s="28" t="s">
        <v>4</v>
      </c>
      <c r="F12" s="28" t="s">
        <v>4</v>
      </c>
      <c r="G12" s="28"/>
      <c r="H12" s="30"/>
      <c r="I12" s="30"/>
      <c r="J12" s="30"/>
      <c r="K12" s="31"/>
    </row>
    <row r="13" spans="1:76" x14ac:dyDescent="0.2">
      <c r="A13" s="32" t="s">
        <v>51</v>
      </c>
      <c r="B13" s="33" t="s">
        <v>53</v>
      </c>
      <c r="C13" s="56" t="s">
        <v>54</v>
      </c>
      <c r="D13" s="57"/>
      <c r="E13" s="32" t="s">
        <v>4</v>
      </c>
      <c r="F13" s="32" t="s">
        <v>4</v>
      </c>
      <c r="G13" s="32"/>
      <c r="H13" s="34"/>
      <c r="I13" s="34"/>
      <c r="J13" s="34"/>
      <c r="K13" s="35"/>
      <c r="AI13" s="5" t="s">
        <v>55</v>
      </c>
      <c r="AS13" s="1">
        <f>SUM(AJ14:AJ17)</f>
        <v>0</v>
      </c>
      <c r="AT13" s="1">
        <f>SUM(AK14:AK17)</f>
        <v>0</v>
      </c>
      <c r="AU13" s="1">
        <f>SUM(AL14:AL17)</f>
        <v>0</v>
      </c>
    </row>
    <row r="14" spans="1:76" x14ac:dyDescent="0.2">
      <c r="A14" s="36" t="s">
        <v>56</v>
      </c>
      <c r="B14" s="36" t="s">
        <v>57</v>
      </c>
      <c r="C14" s="51" t="s">
        <v>58</v>
      </c>
      <c r="D14" s="52"/>
      <c r="E14" s="36" t="s">
        <v>59</v>
      </c>
      <c r="F14" s="37">
        <v>1114.8</v>
      </c>
      <c r="G14" s="37"/>
      <c r="H14" s="37"/>
      <c r="I14" s="37"/>
      <c r="J14" s="37">
        <f>F14*G14</f>
        <v>0</v>
      </c>
      <c r="K14" s="38"/>
      <c r="Z14" s="7">
        <f>IF(AQ14="5",BJ14,0)</f>
        <v>0</v>
      </c>
      <c r="AB14" s="7">
        <f>IF(AQ14="1",BH14,0)</f>
        <v>0</v>
      </c>
      <c r="AC14" s="7">
        <f>IF(AQ14="1",BI14,0)</f>
        <v>0</v>
      </c>
      <c r="AD14" s="7">
        <f>IF(AQ14="7",BH14,0)</f>
        <v>0</v>
      </c>
      <c r="AE14" s="7">
        <f>IF(AQ14="7",BI14,0)</f>
        <v>0</v>
      </c>
      <c r="AF14" s="7">
        <f>IF(AQ14="2",BH14,0)</f>
        <v>0</v>
      </c>
      <c r="AG14" s="7">
        <f>IF(AQ14="2",BI14,0)</f>
        <v>0</v>
      </c>
      <c r="AH14" s="7">
        <f>IF(AQ14="0",BJ14,0)</f>
        <v>0</v>
      </c>
      <c r="AI14" s="5" t="s">
        <v>55</v>
      </c>
      <c r="AJ14" s="7">
        <f>IF(AN14=0,J14,0)</f>
        <v>0</v>
      </c>
      <c r="AK14" s="7">
        <f>IF(AN14=12,J14,0)</f>
        <v>0</v>
      </c>
      <c r="AL14" s="7">
        <f>IF(AN14=21,J14,0)</f>
        <v>0</v>
      </c>
      <c r="AN14" s="7">
        <v>21</v>
      </c>
      <c r="AO14" s="7">
        <f>G14*0</f>
        <v>0</v>
      </c>
      <c r="AP14" s="7">
        <f>G14*(1-0)</f>
        <v>0</v>
      </c>
      <c r="AQ14" s="8" t="s">
        <v>56</v>
      </c>
      <c r="AV14" s="7">
        <f>AW14+AX14</f>
        <v>0</v>
      </c>
      <c r="AW14" s="7">
        <f>F14*AO14</f>
        <v>0</v>
      </c>
      <c r="AX14" s="7">
        <f>F14*AP14</f>
        <v>0</v>
      </c>
      <c r="AY14" s="8" t="s">
        <v>60</v>
      </c>
      <c r="AZ14" s="8" t="s">
        <v>61</v>
      </c>
      <c r="BA14" s="5" t="s">
        <v>62</v>
      </c>
      <c r="BC14" s="7">
        <f>AW14+AX14</f>
        <v>0</v>
      </c>
      <c r="BD14" s="7">
        <f>G14/(100-BE14)*100</f>
        <v>0</v>
      </c>
      <c r="BE14" s="7">
        <v>0</v>
      </c>
      <c r="BF14" s="7">
        <f>14</f>
        <v>14</v>
      </c>
      <c r="BH14" s="7">
        <f>F14*AO14</f>
        <v>0</v>
      </c>
      <c r="BI14" s="7">
        <f>F14*AP14</f>
        <v>0</v>
      </c>
      <c r="BJ14" s="7">
        <f>F14*G14</f>
        <v>0</v>
      </c>
      <c r="BK14" s="7"/>
      <c r="BL14" s="7">
        <v>94</v>
      </c>
      <c r="BW14" s="7">
        <v>21</v>
      </c>
      <c r="BX14" s="2" t="s">
        <v>58</v>
      </c>
    </row>
    <row r="15" spans="1:76" x14ac:dyDescent="0.2">
      <c r="A15" s="36" t="s">
        <v>63</v>
      </c>
      <c r="B15" s="36" t="s">
        <v>64</v>
      </c>
      <c r="C15" s="51" t="s">
        <v>65</v>
      </c>
      <c r="D15" s="52"/>
      <c r="E15" s="36" t="s">
        <v>59</v>
      </c>
      <c r="F15" s="37">
        <v>2229.6</v>
      </c>
      <c r="G15" s="37"/>
      <c r="H15" s="37"/>
      <c r="I15" s="37"/>
      <c r="J15" s="37">
        <f t="shared" ref="J15:J78" si="0">F15*G15</f>
        <v>0</v>
      </c>
      <c r="K15" s="38"/>
      <c r="Z15" s="7">
        <f>IF(AQ15="5",BJ15,0)</f>
        <v>0</v>
      </c>
      <c r="AB15" s="7">
        <f>IF(AQ15="1",BH15,0)</f>
        <v>0</v>
      </c>
      <c r="AC15" s="7">
        <f>IF(AQ15="1",BI15,0)</f>
        <v>0</v>
      </c>
      <c r="AD15" s="7">
        <f>IF(AQ15="7",BH15,0)</f>
        <v>0</v>
      </c>
      <c r="AE15" s="7">
        <f>IF(AQ15="7",BI15,0)</f>
        <v>0</v>
      </c>
      <c r="AF15" s="7">
        <f>IF(AQ15="2",BH15,0)</f>
        <v>0</v>
      </c>
      <c r="AG15" s="7">
        <f>IF(AQ15="2",BI15,0)</f>
        <v>0</v>
      </c>
      <c r="AH15" s="7">
        <f>IF(AQ15="0",BJ15,0)</f>
        <v>0</v>
      </c>
      <c r="AI15" s="5" t="s">
        <v>55</v>
      </c>
      <c r="AJ15" s="7">
        <f>IF(AN15=0,J15,0)</f>
        <v>0</v>
      </c>
      <c r="AK15" s="7">
        <f>IF(AN15=12,J15,0)</f>
        <v>0</v>
      </c>
      <c r="AL15" s="7">
        <f>IF(AN15=21,J15,0)</f>
        <v>0</v>
      </c>
      <c r="AN15" s="7">
        <v>21</v>
      </c>
      <c r="AO15" s="7">
        <f>G15*0</f>
        <v>0</v>
      </c>
      <c r="AP15" s="7">
        <f>G15*(1-0)</f>
        <v>0</v>
      </c>
      <c r="AQ15" s="8" t="s">
        <v>56</v>
      </c>
      <c r="AV15" s="7">
        <f>AW15+AX15</f>
        <v>0</v>
      </c>
      <c r="AW15" s="7">
        <f>F15*AO15</f>
        <v>0</v>
      </c>
      <c r="AX15" s="7">
        <f>F15*AP15</f>
        <v>0</v>
      </c>
      <c r="AY15" s="8" t="s">
        <v>60</v>
      </c>
      <c r="AZ15" s="8" t="s">
        <v>61</v>
      </c>
      <c r="BA15" s="5" t="s">
        <v>62</v>
      </c>
      <c r="BC15" s="7">
        <f>AW15+AX15</f>
        <v>0</v>
      </c>
      <c r="BD15" s="7">
        <f>G15/(100-BE15)*100</f>
        <v>0</v>
      </c>
      <c r="BE15" s="7">
        <v>0</v>
      </c>
      <c r="BF15" s="7">
        <f>15</f>
        <v>15</v>
      </c>
      <c r="BH15" s="7">
        <f>F15*AO15</f>
        <v>0</v>
      </c>
      <c r="BI15" s="7">
        <f>F15*AP15</f>
        <v>0</v>
      </c>
      <c r="BJ15" s="7">
        <f>F15*G15</f>
        <v>0</v>
      </c>
      <c r="BK15" s="7"/>
      <c r="BL15" s="7">
        <v>94</v>
      </c>
      <c r="BW15" s="7">
        <v>21</v>
      </c>
      <c r="BX15" s="2" t="s">
        <v>65</v>
      </c>
    </row>
    <row r="16" spans="1:76" x14ac:dyDescent="0.2">
      <c r="A16" s="36" t="s">
        <v>66</v>
      </c>
      <c r="B16" s="36" t="s">
        <v>67</v>
      </c>
      <c r="C16" s="51" t="s">
        <v>68</v>
      </c>
      <c r="D16" s="52"/>
      <c r="E16" s="36" t="s">
        <v>59</v>
      </c>
      <c r="F16" s="37">
        <v>1114.8</v>
      </c>
      <c r="G16" s="37"/>
      <c r="H16" s="37"/>
      <c r="I16" s="37"/>
      <c r="J16" s="37">
        <f t="shared" si="0"/>
        <v>0</v>
      </c>
      <c r="K16" s="38"/>
      <c r="Z16" s="7">
        <f>IF(AQ16="5",BJ16,0)</f>
        <v>0</v>
      </c>
      <c r="AB16" s="7">
        <f>IF(AQ16="1",BH16,0)</f>
        <v>0</v>
      </c>
      <c r="AC16" s="7">
        <f>IF(AQ16="1",BI16,0)</f>
        <v>0</v>
      </c>
      <c r="AD16" s="7">
        <f>IF(AQ16="7",BH16,0)</f>
        <v>0</v>
      </c>
      <c r="AE16" s="7">
        <f>IF(AQ16="7",BI16,0)</f>
        <v>0</v>
      </c>
      <c r="AF16" s="7">
        <f>IF(AQ16="2",BH16,0)</f>
        <v>0</v>
      </c>
      <c r="AG16" s="7">
        <f>IF(AQ16="2",BI16,0)</f>
        <v>0</v>
      </c>
      <c r="AH16" s="7">
        <f>IF(AQ16="0",BJ16,0)</f>
        <v>0</v>
      </c>
      <c r="AI16" s="5" t="s">
        <v>55</v>
      </c>
      <c r="AJ16" s="7">
        <f>IF(AN16=0,J16,0)</f>
        <v>0</v>
      </c>
      <c r="AK16" s="7">
        <f>IF(AN16=12,J16,0)</f>
        <v>0</v>
      </c>
      <c r="AL16" s="7">
        <f>IF(AN16=21,J16,0)</f>
        <v>0</v>
      </c>
      <c r="AN16" s="7">
        <v>21</v>
      </c>
      <c r="AO16" s="7">
        <f>G16*0.001212121</f>
        <v>0</v>
      </c>
      <c r="AP16" s="7">
        <f>G16*(1-0.001212121)</f>
        <v>0</v>
      </c>
      <c r="AQ16" s="8" t="s">
        <v>56</v>
      </c>
      <c r="AV16" s="7">
        <f>AW16+AX16</f>
        <v>0</v>
      </c>
      <c r="AW16" s="7">
        <f>F16*AO16</f>
        <v>0</v>
      </c>
      <c r="AX16" s="7">
        <f>F16*AP16</f>
        <v>0</v>
      </c>
      <c r="AY16" s="8" t="s">
        <v>60</v>
      </c>
      <c r="AZ16" s="8" t="s">
        <v>61</v>
      </c>
      <c r="BA16" s="5" t="s">
        <v>62</v>
      </c>
      <c r="BC16" s="7">
        <f>AW16+AX16</f>
        <v>0</v>
      </c>
      <c r="BD16" s="7">
        <f>G16/(100-BE16)*100</f>
        <v>0</v>
      </c>
      <c r="BE16" s="7">
        <v>0</v>
      </c>
      <c r="BF16" s="7">
        <f>16</f>
        <v>16</v>
      </c>
      <c r="BH16" s="7">
        <f>F16*AO16</f>
        <v>0</v>
      </c>
      <c r="BI16" s="7">
        <f>F16*AP16</f>
        <v>0</v>
      </c>
      <c r="BJ16" s="7">
        <f>F16*G16</f>
        <v>0</v>
      </c>
      <c r="BK16" s="7"/>
      <c r="BL16" s="7">
        <v>94</v>
      </c>
      <c r="BW16" s="7">
        <v>21</v>
      </c>
      <c r="BX16" s="2" t="s">
        <v>68</v>
      </c>
    </row>
    <row r="17" spans="1:76" x14ac:dyDescent="0.2">
      <c r="A17" s="36" t="s">
        <v>69</v>
      </c>
      <c r="B17" s="36" t="s">
        <v>70</v>
      </c>
      <c r="C17" s="51" t="s">
        <v>71</v>
      </c>
      <c r="D17" s="52"/>
      <c r="E17" s="36" t="s">
        <v>72</v>
      </c>
      <c r="F17" s="37">
        <v>75</v>
      </c>
      <c r="G17" s="37"/>
      <c r="H17" s="37"/>
      <c r="I17" s="37"/>
      <c r="J17" s="37">
        <f t="shared" si="0"/>
        <v>0</v>
      </c>
      <c r="K17" s="38"/>
      <c r="Z17" s="7">
        <f>IF(AQ17="5",BJ17,0)</f>
        <v>0</v>
      </c>
      <c r="AB17" s="7">
        <f>IF(AQ17="1",BH17,0)</f>
        <v>0</v>
      </c>
      <c r="AC17" s="7">
        <f>IF(AQ17="1",BI17,0)</f>
        <v>0</v>
      </c>
      <c r="AD17" s="7">
        <f>IF(AQ17="7",BH17,0)</f>
        <v>0</v>
      </c>
      <c r="AE17" s="7">
        <f>IF(AQ17="7",BI17,0)</f>
        <v>0</v>
      </c>
      <c r="AF17" s="7">
        <f>IF(AQ17="2",BH17,0)</f>
        <v>0</v>
      </c>
      <c r="AG17" s="7">
        <f>IF(AQ17="2",BI17,0)</f>
        <v>0</v>
      </c>
      <c r="AH17" s="7">
        <f>IF(AQ17="0",BJ17,0)</f>
        <v>0</v>
      </c>
      <c r="AI17" s="5" t="s">
        <v>55</v>
      </c>
      <c r="AJ17" s="7">
        <f>IF(AN17=0,J17,0)</f>
        <v>0</v>
      </c>
      <c r="AK17" s="7">
        <f>IF(AN17=12,J17,0)</f>
        <v>0</v>
      </c>
      <c r="AL17" s="7">
        <f>IF(AN17=21,J17,0)</f>
        <v>0</v>
      </c>
      <c r="AN17" s="7">
        <v>21</v>
      </c>
      <c r="AO17" s="7">
        <f>G17*0</f>
        <v>0</v>
      </c>
      <c r="AP17" s="7">
        <f>G17*(1-0)</f>
        <v>0</v>
      </c>
      <c r="AQ17" s="8" t="s">
        <v>56</v>
      </c>
      <c r="AV17" s="7">
        <f>AW17+AX17</f>
        <v>0</v>
      </c>
      <c r="AW17" s="7">
        <f>F17*AO17</f>
        <v>0</v>
      </c>
      <c r="AX17" s="7">
        <f>F17*AP17</f>
        <v>0</v>
      </c>
      <c r="AY17" s="8" t="s">
        <v>60</v>
      </c>
      <c r="AZ17" s="8" t="s">
        <v>61</v>
      </c>
      <c r="BA17" s="5" t="s">
        <v>62</v>
      </c>
      <c r="BC17" s="7">
        <f>AW17+AX17</f>
        <v>0</v>
      </c>
      <c r="BD17" s="7">
        <f>G17/(100-BE17)*100</f>
        <v>0</v>
      </c>
      <c r="BE17" s="7">
        <v>0</v>
      </c>
      <c r="BF17" s="7">
        <f>17</f>
        <v>17</v>
      </c>
      <c r="BH17" s="7">
        <f>F17*AO17</f>
        <v>0</v>
      </c>
      <c r="BI17" s="7">
        <f>F17*AP17</f>
        <v>0</v>
      </c>
      <c r="BJ17" s="7">
        <f>F17*G17</f>
        <v>0</v>
      </c>
      <c r="BK17" s="7"/>
      <c r="BL17" s="7">
        <v>94</v>
      </c>
      <c r="BW17" s="7">
        <v>21</v>
      </c>
      <c r="BX17" s="2" t="s">
        <v>71</v>
      </c>
    </row>
    <row r="18" spans="1:76" x14ac:dyDescent="0.2">
      <c r="A18" s="32" t="s">
        <v>51</v>
      </c>
      <c r="B18" s="33" t="s">
        <v>73</v>
      </c>
      <c r="C18" s="56" t="s">
        <v>74</v>
      </c>
      <c r="D18" s="57"/>
      <c r="E18" s="32" t="s">
        <v>4</v>
      </c>
      <c r="F18" s="32" t="s">
        <v>4</v>
      </c>
      <c r="G18" s="32"/>
      <c r="H18" s="34"/>
      <c r="I18" s="34"/>
      <c r="J18" s="34"/>
      <c r="K18" s="35"/>
      <c r="AI18" s="5" t="s">
        <v>55</v>
      </c>
      <c r="AS18" s="1">
        <f>SUM(AJ19:AJ19)</f>
        <v>0</v>
      </c>
      <c r="AT18" s="1">
        <f>SUM(AK19:AK19)</f>
        <v>0</v>
      </c>
      <c r="AU18" s="1">
        <f>SUM(AL19:AL19)</f>
        <v>0</v>
      </c>
    </row>
    <row r="19" spans="1:76" x14ac:dyDescent="0.2">
      <c r="A19" s="36" t="s">
        <v>75</v>
      </c>
      <c r="B19" s="36" t="s">
        <v>76</v>
      </c>
      <c r="C19" s="51" t="s">
        <v>77</v>
      </c>
      <c r="D19" s="52"/>
      <c r="E19" s="36" t="s">
        <v>78</v>
      </c>
      <c r="F19" s="37">
        <v>52.6</v>
      </c>
      <c r="G19" s="37"/>
      <c r="H19" s="37"/>
      <c r="I19" s="37"/>
      <c r="J19" s="37">
        <f t="shared" si="0"/>
        <v>0</v>
      </c>
      <c r="K19" s="38"/>
      <c r="Z19" s="7">
        <f>IF(AQ19="5",BJ19,0)</f>
        <v>0</v>
      </c>
      <c r="AB19" s="7">
        <f>IF(AQ19="1",BH19,0)</f>
        <v>0</v>
      </c>
      <c r="AC19" s="7">
        <f>IF(AQ19="1",BI19,0)</f>
        <v>0</v>
      </c>
      <c r="AD19" s="7">
        <f>IF(AQ19="7",BH19,0)</f>
        <v>0</v>
      </c>
      <c r="AE19" s="7">
        <f>IF(AQ19="7",BI19,0)</f>
        <v>0</v>
      </c>
      <c r="AF19" s="7">
        <f>IF(AQ19="2",BH19,0)</f>
        <v>0</v>
      </c>
      <c r="AG19" s="7">
        <f>IF(AQ19="2",BI19,0)</f>
        <v>0</v>
      </c>
      <c r="AH19" s="7">
        <f>IF(AQ19="0",BJ19,0)</f>
        <v>0</v>
      </c>
      <c r="AI19" s="5" t="s">
        <v>55</v>
      </c>
      <c r="AJ19" s="7">
        <f>IF(AN19=0,J19,0)</f>
        <v>0</v>
      </c>
      <c r="AK19" s="7">
        <f>IF(AN19=12,J19,0)</f>
        <v>0</v>
      </c>
      <c r="AL19" s="7">
        <f>IF(AN19=21,J19,0)</f>
        <v>0</v>
      </c>
      <c r="AN19" s="7">
        <v>21</v>
      </c>
      <c r="AO19" s="7">
        <f>G19*0</f>
        <v>0</v>
      </c>
      <c r="AP19" s="7">
        <f>G19*(1-0)</f>
        <v>0</v>
      </c>
      <c r="AQ19" s="8" t="s">
        <v>75</v>
      </c>
      <c r="AV19" s="7">
        <f>AW19+AX19</f>
        <v>0</v>
      </c>
      <c r="AW19" s="7">
        <f>F19*AO19</f>
        <v>0</v>
      </c>
      <c r="AX19" s="7">
        <f>F19*AP19</f>
        <v>0</v>
      </c>
      <c r="AY19" s="8" t="s">
        <v>79</v>
      </c>
      <c r="AZ19" s="8" t="s">
        <v>61</v>
      </c>
      <c r="BA19" s="5" t="s">
        <v>62</v>
      </c>
      <c r="BC19" s="7">
        <f>AW19+AX19</f>
        <v>0</v>
      </c>
      <c r="BD19" s="7">
        <f>G19/(100-BE19)*100</f>
        <v>0</v>
      </c>
      <c r="BE19" s="7">
        <v>0</v>
      </c>
      <c r="BF19" s="7">
        <f>19</f>
        <v>19</v>
      </c>
      <c r="BH19" s="7">
        <f>F19*AO19</f>
        <v>0</v>
      </c>
      <c r="BI19" s="7">
        <f>F19*AP19</f>
        <v>0</v>
      </c>
      <c r="BJ19" s="7">
        <f>F19*G19</f>
        <v>0</v>
      </c>
      <c r="BK19" s="7"/>
      <c r="BL19" s="7"/>
      <c r="BW19" s="7">
        <v>21</v>
      </c>
      <c r="BX19" s="2" t="s">
        <v>77</v>
      </c>
    </row>
    <row r="20" spans="1:76" x14ac:dyDescent="0.2">
      <c r="A20" s="32" t="s">
        <v>51</v>
      </c>
      <c r="B20" s="33" t="s">
        <v>80</v>
      </c>
      <c r="C20" s="56" t="s">
        <v>81</v>
      </c>
      <c r="D20" s="57"/>
      <c r="E20" s="32" t="s">
        <v>4</v>
      </c>
      <c r="F20" s="32" t="s">
        <v>4</v>
      </c>
      <c r="G20" s="32"/>
      <c r="H20" s="34"/>
      <c r="I20" s="34"/>
      <c r="J20" s="34"/>
      <c r="K20" s="35"/>
      <c r="AI20" s="5" t="s">
        <v>55</v>
      </c>
      <c r="AS20" s="1">
        <f>SUM(AJ21:AJ31)</f>
        <v>0</v>
      </c>
      <c r="AT20" s="1">
        <f>SUM(AK21:AK31)</f>
        <v>0</v>
      </c>
      <c r="AU20" s="1">
        <f>SUM(AL21:AL31)</f>
        <v>0</v>
      </c>
    </row>
    <row r="21" spans="1:76" x14ac:dyDescent="0.2">
      <c r="A21" s="36" t="s">
        <v>82</v>
      </c>
      <c r="B21" s="36" t="s">
        <v>83</v>
      </c>
      <c r="C21" s="51" t="s">
        <v>84</v>
      </c>
      <c r="D21" s="52"/>
      <c r="E21" s="36" t="s">
        <v>59</v>
      </c>
      <c r="F21" s="37">
        <v>823.2</v>
      </c>
      <c r="G21" s="37"/>
      <c r="H21" s="37"/>
      <c r="I21" s="37"/>
      <c r="J21" s="37">
        <f t="shared" si="0"/>
        <v>0</v>
      </c>
      <c r="K21" s="38"/>
      <c r="Z21" s="7">
        <f t="shared" ref="Z21:Z31" si="1">IF(AQ21="5",BJ21,0)</f>
        <v>0</v>
      </c>
      <c r="AB21" s="7">
        <f t="shared" ref="AB21:AB31" si="2">IF(AQ21="1",BH21,0)</f>
        <v>0</v>
      </c>
      <c r="AC21" s="7">
        <f t="shared" ref="AC21:AC31" si="3">IF(AQ21="1",BI21,0)</f>
        <v>0</v>
      </c>
      <c r="AD21" s="7">
        <f t="shared" ref="AD21:AD31" si="4">IF(AQ21="7",BH21,0)</f>
        <v>0</v>
      </c>
      <c r="AE21" s="7">
        <f t="shared" ref="AE21:AE31" si="5">IF(AQ21="7",BI21,0)</f>
        <v>0</v>
      </c>
      <c r="AF21" s="7">
        <f t="shared" ref="AF21:AF31" si="6">IF(AQ21="2",BH21,0)</f>
        <v>0</v>
      </c>
      <c r="AG21" s="7">
        <f t="shared" ref="AG21:AG31" si="7">IF(AQ21="2",BI21,0)</f>
        <v>0</v>
      </c>
      <c r="AH21" s="7">
        <f t="shared" ref="AH21:AH31" si="8">IF(AQ21="0",BJ21,0)</f>
        <v>0</v>
      </c>
      <c r="AI21" s="5" t="s">
        <v>55</v>
      </c>
      <c r="AJ21" s="7">
        <f t="shared" ref="AJ21:AJ31" si="9">IF(AN21=0,J21,0)</f>
        <v>0</v>
      </c>
      <c r="AK21" s="7">
        <f t="shared" ref="AK21:AK31" si="10">IF(AN21=12,J21,0)</f>
        <v>0</v>
      </c>
      <c r="AL21" s="7">
        <f t="shared" ref="AL21:AL31" si="11">IF(AN21=21,J21,0)</f>
        <v>0</v>
      </c>
      <c r="AN21" s="7">
        <v>21</v>
      </c>
      <c r="AO21" s="7">
        <f>G21*0.071561051</f>
        <v>0</v>
      </c>
      <c r="AP21" s="7">
        <f>G21*(1-0.071561051)</f>
        <v>0</v>
      </c>
      <c r="AQ21" s="8" t="s">
        <v>56</v>
      </c>
      <c r="AV21" s="7">
        <f t="shared" ref="AV21:AV31" si="12">AW21+AX21</f>
        <v>0</v>
      </c>
      <c r="AW21" s="7">
        <f t="shared" ref="AW21:AW31" si="13">F21*AO21</f>
        <v>0</v>
      </c>
      <c r="AX21" s="7">
        <f t="shared" ref="AX21:AX31" si="14">F21*AP21</f>
        <v>0</v>
      </c>
      <c r="AY21" s="8" t="s">
        <v>85</v>
      </c>
      <c r="AZ21" s="8" t="s">
        <v>86</v>
      </c>
      <c r="BA21" s="5" t="s">
        <v>62</v>
      </c>
      <c r="BC21" s="7">
        <f t="shared" ref="BC21:BC31" si="15">AW21+AX21</f>
        <v>0</v>
      </c>
      <c r="BD21" s="7">
        <f t="shared" ref="BD21:BD31" si="16">G21/(100-BE21)*100</f>
        <v>0</v>
      </c>
      <c r="BE21" s="7">
        <v>0</v>
      </c>
      <c r="BF21" s="7">
        <f>21</f>
        <v>21</v>
      </c>
      <c r="BH21" s="7">
        <f t="shared" ref="BH21:BH31" si="17">F21*AO21</f>
        <v>0</v>
      </c>
      <c r="BI21" s="7">
        <f t="shared" ref="BI21:BI31" si="18">F21*AP21</f>
        <v>0</v>
      </c>
      <c r="BJ21" s="7">
        <f t="shared" ref="BJ21:BJ31" si="19">F21*G21</f>
        <v>0</v>
      </c>
      <c r="BK21" s="7"/>
      <c r="BL21" s="7">
        <v>62</v>
      </c>
      <c r="BW21" s="7">
        <v>21</v>
      </c>
      <c r="BX21" s="2" t="s">
        <v>84</v>
      </c>
    </row>
    <row r="22" spans="1:76" x14ac:dyDescent="0.2">
      <c r="A22" s="36" t="s">
        <v>87</v>
      </c>
      <c r="B22" s="36" t="s">
        <v>88</v>
      </c>
      <c r="C22" s="51" t="s">
        <v>89</v>
      </c>
      <c r="D22" s="52"/>
      <c r="E22" s="36" t="s">
        <v>59</v>
      </c>
      <c r="F22" s="37">
        <v>40.4</v>
      </c>
      <c r="G22" s="37"/>
      <c r="H22" s="37"/>
      <c r="I22" s="37"/>
      <c r="J22" s="37">
        <f t="shared" si="0"/>
        <v>0</v>
      </c>
      <c r="K22" s="38"/>
      <c r="Z22" s="7">
        <f t="shared" si="1"/>
        <v>0</v>
      </c>
      <c r="AB22" s="7">
        <f t="shared" si="2"/>
        <v>0</v>
      </c>
      <c r="AC22" s="7">
        <f t="shared" si="3"/>
        <v>0</v>
      </c>
      <c r="AD22" s="7">
        <f t="shared" si="4"/>
        <v>0</v>
      </c>
      <c r="AE22" s="7">
        <f t="shared" si="5"/>
        <v>0</v>
      </c>
      <c r="AF22" s="7">
        <f t="shared" si="6"/>
        <v>0</v>
      </c>
      <c r="AG22" s="7">
        <f t="shared" si="7"/>
        <v>0</v>
      </c>
      <c r="AH22" s="7">
        <f t="shared" si="8"/>
        <v>0</v>
      </c>
      <c r="AI22" s="5" t="s">
        <v>55</v>
      </c>
      <c r="AJ22" s="7">
        <f t="shared" si="9"/>
        <v>0</v>
      </c>
      <c r="AK22" s="7">
        <f t="shared" si="10"/>
        <v>0</v>
      </c>
      <c r="AL22" s="7">
        <f t="shared" si="11"/>
        <v>0</v>
      </c>
      <c r="AN22" s="7">
        <v>21</v>
      </c>
      <c r="AO22" s="7">
        <f>G22*0.322160149</f>
        <v>0</v>
      </c>
      <c r="AP22" s="7">
        <f>G22*(1-0.322160149)</f>
        <v>0</v>
      </c>
      <c r="AQ22" s="8" t="s">
        <v>56</v>
      </c>
      <c r="AV22" s="7">
        <f t="shared" si="12"/>
        <v>0</v>
      </c>
      <c r="AW22" s="7">
        <f t="shared" si="13"/>
        <v>0</v>
      </c>
      <c r="AX22" s="7">
        <f t="shared" si="14"/>
        <v>0</v>
      </c>
      <c r="AY22" s="8" t="s">
        <v>85</v>
      </c>
      <c r="AZ22" s="8" t="s">
        <v>86</v>
      </c>
      <c r="BA22" s="5" t="s">
        <v>62</v>
      </c>
      <c r="BC22" s="7">
        <f t="shared" si="15"/>
        <v>0</v>
      </c>
      <c r="BD22" s="7">
        <f t="shared" si="16"/>
        <v>0</v>
      </c>
      <c r="BE22" s="7">
        <v>0</v>
      </c>
      <c r="BF22" s="7">
        <f>22</f>
        <v>22</v>
      </c>
      <c r="BH22" s="7">
        <f t="shared" si="17"/>
        <v>0</v>
      </c>
      <c r="BI22" s="7">
        <f t="shared" si="18"/>
        <v>0</v>
      </c>
      <c r="BJ22" s="7">
        <f t="shared" si="19"/>
        <v>0</v>
      </c>
      <c r="BK22" s="7"/>
      <c r="BL22" s="7">
        <v>62</v>
      </c>
      <c r="BW22" s="7">
        <v>21</v>
      </c>
      <c r="BX22" s="2" t="s">
        <v>89</v>
      </c>
    </row>
    <row r="23" spans="1:76" x14ac:dyDescent="0.2">
      <c r="A23" s="36" t="s">
        <v>90</v>
      </c>
      <c r="B23" s="36" t="s">
        <v>91</v>
      </c>
      <c r="C23" s="51" t="s">
        <v>92</v>
      </c>
      <c r="D23" s="52"/>
      <c r="E23" s="36" t="s">
        <v>93</v>
      </c>
      <c r="F23" s="37">
        <v>38</v>
      </c>
      <c r="G23" s="37"/>
      <c r="H23" s="37"/>
      <c r="I23" s="37"/>
      <c r="J23" s="37">
        <f t="shared" si="0"/>
        <v>0</v>
      </c>
      <c r="K23" s="38"/>
      <c r="Z23" s="7">
        <f t="shared" si="1"/>
        <v>0</v>
      </c>
      <c r="AB23" s="7">
        <f t="shared" si="2"/>
        <v>0</v>
      </c>
      <c r="AC23" s="7">
        <f t="shared" si="3"/>
        <v>0</v>
      </c>
      <c r="AD23" s="7">
        <f t="shared" si="4"/>
        <v>0</v>
      </c>
      <c r="AE23" s="7">
        <f t="shared" si="5"/>
        <v>0</v>
      </c>
      <c r="AF23" s="7">
        <f t="shared" si="6"/>
        <v>0</v>
      </c>
      <c r="AG23" s="7">
        <f t="shared" si="7"/>
        <v>0</v>
      </c>
      <c r="AH23" s="7">
        <f t="shared" si="8"/>
        <v>0</v>
      </c>
      <c r="AI23" s="5" t="s">
        <v>55</v>
      </c>
      <c r="AJ23" s="7">
        <f t="shared" si="9"/>
        <v>0</v>
      </c>
      <c r="AK23" s="7">
        <f t="shared" si="10"/>
        <v>0</v>
      </c>
      <c r="AL23" s="7">
        <f t="shared" si="11"/>
        <v>0</v>
      </c>
      <c r="AN23" s="7">
        <v>21</v>
      </c>
      <c r="AO23" s="7">
        <f>G23*0.237219731</f>
        <v>0</v>
      </c>
      <c r="AP23" s="7">
        <f>G23*(1-0.237219731)</f>
        <v>0</v>
      </c>
      <c r="AQ23" s="8" t="s">
        <v>56</v>
      </c>
      <c r="AV23" s="7">
        <f t="shared" si="12"/>
        <v>0</v>
      </c>
      <c r="AW23" s="7">
        <f t="shared" si="13"/>
        <v>0</v>
      </c>
      <c r="AX23" s="7">
        <f t="shared" si="14"/>
        <v>0</v>
      </c>
      <c r="AY23" s="8" t="s">
        <v>85</v>
      </c>
      <c r="AZ23" s="8" t="s">
        <v>86</v>
      </c>
      <c r="BA23" s="5" t="s">
        <v>62</v>
      </c>
      <c r="BC23" s="7">
        <f t="shared" si="15"/>
        <v>0</v>
      </c>
      <c r="BD23" s="7">
        <f t="shared" si="16"/>
        <v>0</v>
      </c>
      <c r="BE23" s="7">
        <v>0</v>
      </c>
      <c r="BF23" s="7">
        <f>23</f>
        <v>23</v>
      </c>
      <c r="BH23" s="7">
        <f t="shared" si="17"/>
        <v>0</v>
      </c>
      <c r="BI23" s="7">
        <f t="shared" si="18"/>
        <v>0</v>
      </c>
      <c r="BJ23" s="7">
        <f t="shared" si="19"/>
        <v>0</v>
      </c>
      <c r="BK23" s="7"/>
      <c r="BL23" s="7">
        <v>62</v>
      </c>
      <c r="BW23" s="7">
        <v>21</v>
      </c>
      <c r="BX23" s="2" t="s">
        <v>92</v>
      </c>
    </row>
    <row r="24" spans="1:76" x14ac:dyDescent="0.2">
      <c r="A24" s="36" t="s">
        <v>94</v>
      </c>
      <c r="B24" s="36" t="s">
        <v>95</v>
      </c>
      <c r="C24" s="51" t="s">
        <v>96</v>
      </c>
      <c r="D24" s="52"/>
      <c r="E24" s="36" t="s">
        <v>93</v>
      </c>
      <c r="F24" s="37">
        <v>38</v>
      </c>
      <c r="G24" s="37"/>
      <c r="H24" s="37"/>
      <c r="I24" s="37"/>
      <c r="J24" s="37">
        <f t="shared" si="0"/>
        <v>0</v>
      </c>
      <c r="K24" s="38"/>
      <c r="Z24" s="7">
        <f t="shared" si="1"/>
        <v>0</v>
      </c>
      <c r="AB24" s="7">
        <f t="shared" si="2"/>
        <v>0</v>
      </c>
      <c r="AC24" s="7">
        <f t="shared" si="3"/>
        <v>0</v>
      </c>
      <c r="AD24" s="7">
        <f t="shared" si="4"/>
        <v>0</v>
      </c>
      <c r="AE24" s="7">
        <f t="shared" si="5"/>
        <v>0</v>
      </c>
      <c r="AF24" s="7">
        <f t="shared" si="6"/>
        <v>0</v>
      </c>
      <c r="AG24" s="7">
        <f t="shared" si="7"/>
        <v>0</v>
      </c>
      <c r="AH24" s="7">
        <f t="shared" si="8"/>
        <v>0</v>
      </c>
      <c r="AI24" s="5" t="s">
        <v>55</v>
      </c>
      <c r="AJ24" s="7">
        <f t="shared" si="9"/>
        <v>0</v>
      </c>
      <c r="AK24" s="7">
        <f t="shared" si="10"/>
        <v>0</v>
      </c>
      <c r="AL24" s="7">
        <f t="shared" si="11"/>
        <v>0</v>
      </c>
      <c r="AN24" s="7">
        <v>21</v>
      </c>
      <c r="AO24" s="7">
        <f>G24*0.735841346</f>
        <v>0</v>
      </c>
      <c r="AP24" s="7">
        <f>G24*(1-0.735841346)</f>
        <v>0</v>
      </c>
      <c r="AQ24" s="8" t="s">
        <v>56</v>
      </c>
      <c r="AV24" s="7">
        <f t="shared" si="12"/>
        <v>0</v>
      </c>
      <c r="AW24" s="7">
        <f t="shared" si="13"/>
        <v>0</v>
      </c>
      <c r="AX24" s="7">
        <f t="shared" si="14"/>
        <v>0</v>
      </c>
      <c r="AY24" s="8" t="s">
        <v>85</v>
      </c>
      <c r="AZ24" s="8" t="s">
        <v>86</v>
      </c>
      <c r="BA24" s="5" t="s">
        <v>62</v>
      </c>
      <c r="BC24" s="7">
        <f t="shared" si="15"/>
        <v>0</v>
      </c>
      <c r="BD24" s="7">
        <f t="shared" si="16"/>
        <v>0</v>
      </c>
      <c r="BE24" s="7">
        <v>0</v>
      </c>
      <c r="BF24" s="7">
        <f>24</f>
        <v>24</v>
      </c>
      <c r="BH24" s="7">
        <f t="shared" si="17"/>
        <v>0</v>
      </c>
      <c r="BI24" s="7">
        <f t="shared" si="18"/>
        <v>0</v>
      </c>
      <c r="BJ24" s="7">
        <f t="shared" si="19"/>
        <v>0</v>
      </c>
      <c r="BK24" s="7"/>
      <c r="BL24" s="7">
        <v>62</v>
      </c>
      <c r="BW24" s="7">
        <v>21</v>
      </c>
      <c r="BX24" s="2" t="s">
        <v>96</v>
      </c>
    </row>
    <row r="25" spans="1:76" x14ac:dyDescent="0.2">
      <c r="A25" s="36" t="s">
        <v>97</v>
      </c>
      <c r="B25" s="36" t="s">
        <v>98</v>
      </c>
      <c r="C25" s="51" t="s">
        <v>99</v>
      </c>
      <c r="D25" s="52"/>
      <c r="E25" s="36" t="s">
        <v>93</v>
      </c>
      <c r="F25" s="37">
        <v>208</v>
      </c>
      <c r="G25" s="37"/>
      <c r="H25" s="37"/>
      <c r="I25" s="37"/>
      <c r="J25" s="37">
        <f t="shared" si="0"/>
        <v>0</v>
      </c>
      <c r="K25" s="38"/>
      <c r="Z25" s="7">
        <f t="shared" si="1"/>
        <v>0</v>
      </c>
      <c r="AB25" s="7">
        <f t="shared" si="2"/>
        <v>0</v>
      </c>
      <c r="AC25" s="7">
        <f t="shared" si="3"/>
        <v>0</v>
      </c>
      <c r="AD25" s="7">
        <f t="shared" si="4"/>
        <v>0</v>
      </c>
      <c r="AE25" s="7">
        <f t="shared" si="5"/>
        <v>0</v>
      </c>
      <c r="AF25" s="7">
        <f t="shared" si="6"/>
        <v>0</v>
      </c>
      <c r="AG25" s="7">
        <f t="shared" si="7"/>
        <v>0</v>
      </c>
      <c r="AH25" s="7">
        <f t="shared" si="8"/>
        <v>0</v>
      </c>
      <c r="AI25" s="5" t="s">
        <v>55</v>
      </c>
      <c r="AJ25" s="7">
        <f t="shared" si="9"/>
        <v>0</v>
      </c>
      <c r="AK25" s="7">
        <f t="shared" si="10"/>
        <v>0</v>
      </c>
      <c r="AL25" s="7">
        <f t="shared" si="11"/>
        <v>0</v>
      </c>
      <c r="AN25" s="7">
        <v>21</v>
      </c>
      <c r="AO25" s="7">
        <f>G25*0.282016807</f>
        <v>0</v>
      </c>
      <c r="AP25" s="7">
        <f>G25*(1-0.282016807)</f>
        <v>0</v>
      </c>
      <c r="AQ25" s="8" t="s">
        <v>56</v>
      </c>
      <c r="AV25" s="7">
        <f t="shared" si="12"/>
        <v>0</v>
      </c>
      <c r="AW25" s="7">
        <f t="shared" si="13"/>
        <v>0</v>
      </c>
      <c r="AX25" s="7">
        <f t="shared" si="14"/>
        <v>0</v>
      </c>
      <c r="AY25" s="8" t="s">
        <v>85</v>
      </c>
      <c r="AZ25" s="8" t="s">
        <v>86</v>
      </c>
      <c r="BA25" s="5" t="s">
        <v>62</v>
      </c>
      <c r="BC25" s="7">
        <f t="shared" si="15"/>
        <v>0</v>
      </c>
      <c r="BD25" s="7">
        <f t="shared" si="16"/>
        <v>0</v>
      </c>
      <c r="BE25" s="7">
        <v>0</v>
      </c>
      <c r="BF25" s="7">
        <f>25</f>
        <v>25</v>
      </c>
      <c r="BH25" s="7">
        <f t="shared" si="17"/>
        <v>0</v>
      </c>
      <c r="BI25" s="7">
        <f t="shared" si="18"/>
        <v>0</v>
      </c>
      <c r="BJ25" s="7">
        <f t="shared" si="19"/>
        <v>0</v>
      </c>
      <c r="BK25" s="7"/>
      <c r="BL25" s="7">
        <v>62</v>
      </c>
      <c r="BW25" s="7">
        <v>21</v>
      </c>
      <c r="BX25" s="2" t="s">
        <v>99</v>
      </c>
    </row>
    <row r="26" spans="1:76" x14ac:dyDescent="0.2">
      <c r="A26" s="36" t="s">
        <v>100</v>
      </c>
      <c r="B26" s="36" t="s">
        <v>101</v>
      </c>
      <c r="C26" s="51" t="s">
        <v>102</v>
      </c>
      <c r="D26" s="52"/>
      <c r="E26" s="36" t="s">
        <v>59</v>
      </c>
      <c r="F26" s="37">
        <v>823.2</v>
      </c>
      <c r="G26" s="37"/>
      <c r="H26" s="37"/>
      <c r="I26" s="37"/>
      <c r="J26" s="37">
        <f t="shared" si="0"/>
        <v>0</v>
      </c>
      <c r="K26" s="38"/>
      <c r="Z26" s="7">
        <f t="shared" si="1"/>
        <v>0</v>
      </c>
      <c r="AB26" s="7">
        <f t="shared" si="2"/>
        <v>0</v>
      </c>
      <c r="AC26" s="7">
        <f t="shared" si="3"/>
        <v>0</v>
      </c>
      <c r="AD26" s="7">
        <f t="shared" si="4"/>
        <v>0</v>
      </c>
      <c r="AE26" s="7">
        <f t="shared" si="5"/>
        <v>0</v>
      </c>
      <c r="AF26" s="7">
        <f t="shared" si="6"/>
        <v>0</v>
      </c>
      <c r="AG26" s="7">
        <f t="shared" si="7"/>
        <v>0</v>
      </c>
      <c r="AH26" s="7">
        <f t="shared" si="8"/>
        <v>0</v>
      </c>
      <c r="AI26" s="5" t="s">
        <v>55</v>
      </c>
      <c r="AJ26" s="7">
        <f t="shared" si="9"/>
        <v>0</v>
      </c>
      <c r="AK26" s="7">
        <f t="shared" si="10"/>
        <v>0</v>
      </c>
      <c r="AL26" s="7">
        <f t="shared" si="11"/>
        <v>0</v>
      </c>
      <c r="AN26" s="7">
        <v>21</v>
      </c>
      <c r="AO26" s="7">
        <f>G26*0.578038967</f>
        <v>0</v>
      </c>
      <c r="AP26" s="7">
        <f>G26*(1-0.578038967)</f>
        <v>0</v>
      </c>
      <c r="AQ26" s="8" t="s">
        <v>56</v>
      </c>
      <c r="AV26" s="7">
        <f t="shared" si="12"/>
        <v>0</v>
      </c>
      <c r="AW26" s="7">
        <f t="shared" si="13"/>
        <v>0</v>
      </c>
      <c r="AX26" s="7">
        <f t="shared" si="14"/>
        <v>0</v>
      </c>
      <c r="AY26" s="8" t="s">
        <v>85</v>
      </c>
      <c r="AZ26" s="8" t="s">
        <v>86</v>
      </c>
      <c r="BA26" s="5" t="s">
        <v>62</v>
      </c>
      <c r="BC26" s="7">
        <f t="shared" si="15"/>
        <v>0</v>
      </c>
      <c r="BD26" s="7">
        <f t="shared" si="16"/>
        <v>0</v>
      </c>
      <c r="BE26" s="7">
        <v>0</v>
      </c>
      <c r="BF26" s="7">
        <f>26</f>
        <v>26</v>
      </c>
      <c r="BH26" s="7">
        <f t="shared" si="17"/>
        <v>0</v>
      </c>
      <c r="BI26" s="7">
        <f t="shared" si="18"/>
        <v>0</v>
      </c>
      <c r="BJ26" s="7">
        <f t="shared" si="19"/>
        <v>0</v>
      </c>
      <c r="BK26" s="7"/>
      <c r="BL26" s="7">
        <v>62</v>
      </c>
      <c r="BW26" s="7">
        <v>21</v>
      </c>
      <c r="BX26" s="2" t="s">
        <v>102</v>
      </c>
    </row>
    <row r="27" spans="1:76" x14ac:dyDescent="0.2">
      <c r="A27" s="36" t="s">
        <v>103</v>
      </c>
      <c r="B27" s="36" t="s">
        <v>104</v>
      </c>
      <c r="C27" s="51" t="s">
        <v>105</v>
      </c>
      <c r="D27" s="52"/>
      <c r="E27" s="36" t="s">
        <v>59</v>
      </c>
      <c r="F27" s="37">
        <v>85.8</v>
      </c>
      <c r="G27" s="37"/>
      <c r="H27" s="37"/>
      <c r="I27" s="37"/>
      <c r="J27" s="37">
        <f t="shared" si="0"/>
        <v>0</v>
      </c>
      <c r="K27" s="38"/>
      <c r="Z27" s="7">
        <f t="shared" si="1"/>
        <v>0</v>
      </c>
      <c r="AB27" s="7">
        <f t="shared" si="2"/>
        <v>0</v>
      </c>
      <c r="AC27" s="7">
        <f t="shared" si="3"/>
        <v>0</v>
      </c>
      <c r="AD27" s="7">
        <f t="shared" si="4"/>
        <v>0</v>
      </c>
      <c r="AE27" s="7">
        <f t="shared" si="5"/>
        <v>0</v>
      </c>
      <c r="AF27" s="7">
        <f t="shared" si="6"/>
        <v>0</v>
      </c>
      <c r="AG27" s="7">
        <f t="shared" si="7"/>
        <v>0</v>
      </c>
      <c r="AH27" s="7">
        <f t="shared" si="8"/>
        <v>0</v>
      </c>
      <c r="AI27" s="5" t="s">
        <v>55</v>
      </c>
      <c r="AJ27" s="7">
        <f t="shared" si="9"/>
        <v>0</v>
      </c>
      <c r="AK27" s="7">
        <f t="shared" si="10"/>
        <v>0</v>
      </c>
      <c r="AL27" s="7">
        <f t="shared" si="11"/>
        <v>0</v>
      </c>
      <c r="AN27" s="7">
        <v>21</v>
      </c>
      <c r="AO27" s="7">
        <f>G27*0.682866567</f>
        <v>0</v>
      </c>
      <c r="AP27" s="7">
        <f>G27*(1-0.682866567)</f>
        <v>0</v>
      </c>
      <c r="AQ27" s="8" t="s">
        <v>56</v>
      </c>
      <c r="AV27" s="7">
        <f t="shared" si="12"/>
        <v>0</v>
      </c>
      <c r="AW27" s="7">
        <f t="shared" si="13"/>
        <v>0</v>
      </c>
      <c r="AX27" s="7">
        <f t="shared" si="14"/>
        <v>0</v>
      </c>
      <c r="AY27" s="8" t="s">
        <v>85</v>
      </c>
      <c r="AZ27" s="8" t="s">
        <v>86</v>
      </c>
      <c r="BA27" s="5" t="s">
        <v>62</v>
      </c>
      <c r="BC27" s="7">
        <f t="shared" si="15"/>
        <v>0</v>
      </c>
      <c r="BD27" s="7">
        <f t="shared" si="16"/>
        <v>0</v>
      </c>
      <c r="BE27" s="7">
        <v>0</v>
      </c>
      <c r="BF27" s="7">
        <f>27</f>
        <v>27</v>
      </c>
      <c r="BH27" s="7">
        <f t="shared" si="17"/>
        <v>0</v>
      </c>
      <c r="BI27" s="7">
        <f t="shared" si="18"/>
        <v>0</v>
      </c>
      <c r="BJ27" s="7">
        <f t="shared" si="19"/>
        <v>0</v>
      </c>
      <c r="BK27" s="7"/>
      <c r="BL27" s="7">
        <v>62</v>
      </c>
      <c r="BW27" s="7">
        <v>21</v>
      </c>
      <c r="BX27" s="2" t="s">
        <v>105</v>
      </c>
    </row>
    <row r="28" spans="1:76" x14ac:dyDescent="0.2">
      <c r="A28" s="36" t="s">
        <v>106</v>
      </c>
      <c r="B28" s="36" t="s">
        <v>107</v>
      </c>
      <c r="C28" s="51" t="s">
        <v>108</v>
      </c>
      <c r="D28" s="52"/>
      <c r="E28" s="36" t="s">
        <v>93</v>
      </c>
      <c r="F28" s="37">
        <v>152</v>
      </c>
      <c r="G28" s="37"/>
      <c r="H28" s="37"/>
      <c r="I28" s="37"/>
      <c r="J28" s="37">
        <f t="shared" si="0"/>
        <v>0</v>
      </c>
      <c r="K28" s="38"/>
      <c r="Z28" s="7">
        <f t="shared" si="1"/>
        <v>0</v>
      </c>
      <c r="AB28" s="7">
        <f t="shared" si="2"/>
        <v>0</v>
      </c>
      <c r="AC28" s="7">
        <f t="shared" si="3"/>
        <v>0</v>
      </c>
      <c r="AD28" s="7">
        <f t="shared" si="4"/>
        <v>0</v>
      </c>
      <c r="AE28" s="7">
        <f t="shared" si="5"/>
        <v>0</v>
      </c>
      <c r="AF28" s="7">
        <f t="shared" si="6"/>
        <v>0</v>
      </c>
      <c r="AG28" s="7">
        <f t="shared" si="7"/>
        <v>0</v>
      </c>
      <c r="AH28" s="7">
        <f t="shared" si="8"/>
        <v>0</v>
      </c>
      <c r="AI28" s="5" t="s">
        <v>55</v>
      </c>
      <c r="AJ28" s="7">
        <f t="shared" si="9"/>
        <v>0</v>
      </c>
      <c r="AK28" s="7">
        <f t="shared" si="10"/>
        <v>0</v>
      </c>
      <c r="AL28" s="7">
        <f t="shared" si="11"/>
        <v>0</v>
      </c>
      <c r="AN28" s="7">
        <v>21</v>
      </c>
      <c r="AO28" s="7">
        <f>G28*0.672116183</f>
        <v>0</v>
      </c>
      <c r="AP28" s="7">
        <f>G28*(1-0.672116183)</f>
        <v>0</v>
      </c>
      <c r="AQ28" s="8" t="s">
        <v>56</v>
      </c>
      <c r="AV28" s="7">
        <f t="shared" si="12"/>
        <v>0</v>
      </c>
      <c r="AW28" s="7">
        <f t="shared" si="13"/>
        <v>0</v>
      </c>
      <c r="AX28" s="7">
        <f t="shared" si="14"/>
        <v>0</v>
      </c>
      <c r="AY28" s="8" t="s">
        <v>85</v>
      </c>
      <c r="AZ28" s="8" t="s">
        <v>86</v>
      </c>
      <c r="BA28" s="5" t="s">
        <v>62</v>
      </c>
      <c r="BC28" s="7">
        <f t="shared" si="15"/>
        <v>0</v>
      </c>
      <c r="BD28" s="7">
        <f t="shared" si="16"/>
        <v>0</v>
      </c>
      <c r="BE28" s="7">
        <v>0</v>
      </c>
      <c r="BF28" s="7">
        <f>28</f>
        <v>28</v>
      </c>
      <c r="BH28" s="7">
        <f t="shared" si="17"/>
        <v>0</v>
      </c>
      <c r="BI28" s="7">
        <f t="shared" si="18"/>
        <v>0</v>
      </c>
      <c r="BJ28" s="7">
        <f t="shared" si="19"/>
        <v>0</v>
      </c>
      <c r="BK28" s="7"/>
      <c r="BL28" s="7">
        <v>62</v>
      </c>
      <c r="BW28" s="7">
        <v>21</v>
      </c>
      <c r="BX28" s="2" t="s">
        <v>108</v>
      </c>
    </row>
    <row r="29" spans="1:76" x14ac:dyDescent="0.2">
      <c r="A29" s="36" t="s">
        <v>109</v>
      </c>
      <c r="B29" s="36" t="s">
        <v>110</v>
      </c>
      <c r="C29" s="51" t="s">
        <v>111</v>
      </c>
      <c r="D29" s="52"/>
      <c r="E29" s="36" t="s">
        <v>59</v>
      </c>
      <c r="F29" s="37">
        <v>96.7</v>
      </c>
      <c r="G29" s="37"/>
      <c r="H29" s="37"/>
      <c r="I29" s="37"/>
      <c r="J29" s="37">
        <f t="shared" si="0"/>
        <v>0</v>
      </c>
      <c r="K29" s="38"/>
      <c r="Z29" s="7">
        <f t="shared" si="1"/>
        <v>0</v>
      </c>
      <c r="AB29" s="7">
        <f t="shared" si="2"/>
        <v>0</v>
      </c>
      <c r="AC29" s="7">
        <f t="shared" si="3"/>
        <v>0</v>
      </c>
      <c r="AD29" s="7">
        <f t="shared" si="4"/>
        <v>0</v>
      </c>
      <c r="AE29" s="7">
        <f t="shared" si="5"/>
        <v>0</v>
      </c>
      <c r="AF29" s="7">
        <f t="shared" si="6"/>
        <v>0</v>
      </c>
      <c r="AG29" s="7">
        <f t="shared" si="7"/>
        <v>0</v>
      </c>
      <c r="AH29" s="7">
        <f t="shared" si="8"/>
        <v>0</v>
      </c>
      <c r="AI29" s="5" t="s">
        <v>55</v>
      </c>
      <c r="AJ29" s="7">
        <f t="shared" si="9"/>
        <v>0</v>
      </c>
      <c r="AK29" s="7">
        <f t="shared" si="10"/>
        <v>0</v>
      </c>
      <c r="AL29" s="7">
        <f t="shared" si="11"/>
        <v>0</v>
      </c>
      <c r="AN29" s="7">
        <v>21</v>
      </c>
      <c r="AO29" s="7">
        <f>G29*0.48433222</f>
        <v>0</v>
      </c>
      <c r="AP29" s="7">
        <f>G29*(1-0.48433222)</f>
        <v>0</v>
      </c>
      <c r="AQ29" s="8" t="s">
        <v>56</v>
      </c>
      <c r="AV29" s="7">
        <f t="shared" si="12"/>
        <v>0</v>
      </c>
      <c r="AW29" s="7">
        <f t="shared" si="13"/>
        <v>0</v>
      </c>
      <c r="AX29" s="7">
        <f t="shared" si="14"/>
        <v>0</v>
      </c>
      <c r="AY29" s="8" t="s">
        <v>85</v>
      </c>
      <c r="AZ29" s="8" t="s">
        <v>86</v>
      </c>
      <c r="BA29" s="5" t="s">
        <v>62</v>
      </c>
      <c r="BC29" s="7">
        <f t="shared" si="15"/>
        <v>0</v>
      </c>
      <c r="BD29" s="7">
        <f t="shared" si="16"/>
        <v>0</v>
      </c>
      <c r="BE29" s="7">
        <v>0</v>
      </c>
      <c r="BF29" s="7">
        <f>29</f>
        <v>29</v>
      </c>
      <c r="BH29" s="7">
        <f t="shared" si="17"/>
        <v>0</v>
      </c>
      <c r="BI29" s="7">
        <f t="shared" si="18"/>
        <v>0</v>
      </c>
      <c r="BJ29" s="7">
        <f t="shared" si="19"/>
        <v>0</v>
      </c>
      <c r="BK29" s="7"/>
      <c r="BL29" s="7">
        <v>62</v>
      </c>
      <c r="BW29" s="7">
        <v>21</v>
      </c>
      <c r="BX29" s="2" t="s">
        <v>111</v>
      </c>
    </row>
    <row r="30" spans="1:76" x14ac:dyDescent="0.2">
      <c r="A30" s="36" t="s">
        <v>112</v>
      </c>
      <c r="B30" s="36" t="s">
        <v>113</v>
      </c>
      <c r="C30" s="51" t="s">
        <v>114</v>
      </c>
      <c r="D30" s="52"/>
      <c r="E30" s="36" t="s">
        <v>59</v>
      </c>
      <c r="F30" s="37">
        <v>83</v>
      </c>
      <c r="G30" s="37"/>
      <c r="H30" s="37"/>
      <c r="I30" s="37"/>
      <c r="J30" s="37">
        <f t="shared" si="0"/>
        <v>0</v>
      </c>
      <c r="K30" s="38"/>
      <c r="Z30" s="7">
        <f t="shared" si="1"/>
        <v>0</v>
      </c>
      <c r="AB30" s="7">
        <f t="shared" si="2"/>
        <v>0</v>
      </c>
      <c r="AC30" s="7">
        <f t="shared" si="3"/>
        <v>0</v>
      </c>
      <c r="AD30" s="7">
        <f t="shared" si="4"/>
        <v>0</v>
      </c>
      <c r="AE30" s="7">
        <f t="shared" si="5"/>
        <v>0</v>
      </c>
      <c r="AF30" s="7">
        <f t="shared" si="6"/>
        <v>0</v>
      </c>
      <c r="AG30" s="7">
        <f t="shared" si="7"/>
        <v>0</v>
      </c>
      <c r="AH30" s="7">
        <f t="shared" si="8"/>
        <v>0</v>
      </c>
      <c r="AI30" s="5" t="s">
        <v>55</v>
      </c>
      <c r="AJ30" s="7">
        <f t="shared" si="9"/>
        <v>0</v>
      </c>
      <c r="AK30" s="7">
        <f t="shared" si="10"/>
        <v>0</v>
      </c>
      <c r="AL30" s="7">
        <f t="shared" si="11"/>
        <v>0</v>
      </c>
      <c r="AN30" s="7">
        <v>21</v>
      </c>
      <c r="AO30" s="7">
        <f>G30*0.146370192</f>
        <v>0</v>
      </c>
      <c r="AP30" s="7">
        <f>G30*(1-0.146370192)</f>
        <v>0</v>
      </c>
      <c r="AQ30" s="8" t="s">
        <v>56</v>
      </c>
      <c r="AV30" s="7">
        <f t="shared" si="12"/>
        <v>0</v>
      </c>
      <c r="AW30" s="7">
        <f t="shared" si="13"/>
        <v>0</v>
      </c>
      <c r="AX30" s="7">
        <f t="shared" si="14"/>
        <v>0</v>
      </c>
      <c r="AY30" s="8" t="s">
        <v>85</v>
      </c>
      <c r="AZ30" s="8" t="s">
        <v>86</v>
      </c>
      <c r="BA30" s="5" t="s">
        <v>62</v>
      </c>
      <c r="BC30" s="7">
        <f t="shared" si="15"/>
        <v>0</v>
      </c>
      <c r="BD30" s="7">
        <f t="shared" si="16"/>
        <v>0</v>
      </c>
      <c r="BE30" s="7">
        <v>0</v>
      </c>
      <c r="BF30" s="7">
        <f>30</f>
        <v>30</v>
      </c>
      <c r="BH30" s="7">
        <f t="shared" si="17"/>
        <v>0</v>
      </c>
      <c r="BI30" s="7">
        <f t="shared" si="18"/>
        <v>0</v>
      </c>
      <c r="BJ30" s="7">
        <f t="shared" si="19"/>
        <v>0</v>
      </c>
      <c r="BK30" s="7"/>
      <c r="BL30" s="7">
        <v>62</v>
      </c>
      <c r="BW30" s="7">
        <v>21</v>
      </c>
      <c r="BX30" s="2" t="s">
        <v>114</v>
      </c>
    </row>
    <row r="31" spans="1:76" x14ac:dyDescent="0.2">
      <c r="A31" s="36" t="s">
        <v>115</v>
      </c>
      <c r="B31" s="36" t="s">
        <v>116</v>
      </c>
      <c r="C31" s="51" t="s">
        <v>117</v>
      </c>
      <c r="D31" s="52"/>
      <c r="E31" s="36" t="s">
        <v>59</v>
      </c>
      <c r="F31" s="37">
        <v>91.3</v>
      </c>
      <c r="G31" s="37"/>
      <c r="H31" s="37"/>
      <c r="I31" s="37"/>
      <c r="J31" s="37">
        <f t="shared" si="0"/>
        <v>0</v>
      </c>
      <c r="K31" s="38"/>
      <c r="Z31" s="7">
        <f t="shared" si="1"/>
        <v>0</v>
      </c>
      <c r="AB31" s="7">
        <f t="shared" si="2"/>
        <v>0</v>
      </c>
      <c r="AC31" s="7">
        <f t="shared" si="3"/>
        <v>0</v>
      </c>
      <c r="AD31" s="7">
        <f t="shared" si="4"/>
        <v>0</v>
      </c>
      <c r="AE31" s="7">
        <f t="shared" si="5"/>
        <v>0</v>
      </c>
      <c r="AF31" s="7">
        <f t="shared" si="6"/>
        <v>0</v>
      </c>
      <c r="AG31" s="7">
        <f t="shared" si="7"/>
        <v>0</v>
      </c>
      <c r="AH31" s="7">
        <f t="shared" si="8"/>
        <v>0</v>
      </c>
      <c r="AI31" s="5" t="s">
        <v>55</v>
      </c>
      <c r="AJ31" s="7">
        <f t="shared" si="9"/>
        <v>0</v>
      </c>
      <c r="AK31" s="7">
        <f t="shared" si="10"/>
        <v>0</v>
      </c>
      <c r="AL31" s="7">
        <f t="shared" si="11"/>
        <v>0</v>
      </c>
      <c r="AN31" s="7">
        <v>21</v>
      </c>
      <c r="AO31" s="7">
        <f>G31*1</f>
        <v>0</v>
      </c>
      <c r="AP31" s="7">
        <f>G31*(1-1)</f>
        <v>0</v>
      </c>
      <c r="AQ31" s="8" t="s">
        <v>56</v>
      </c>
      <c r="AV31" s="7">
        <f t="shared" si="12"/>
        <v>0</v>
      </c>
      <c r="AW31" s="7">
        <f t="shared" si="13"/>
        <v>0</v>
      </c>
      <c r="AX31" s="7">
        <f t="shared" si="14"/>
        <v>0</v>
      </c>
      <c r="AY31" s="8" t="s">
        <v>85</v>
      </c>
      <c r="AZ31" s="8" t="s">
        <v>86</v>
      </c>
      <c r="BA31" s="5" t="s">
        <v>62</v>
      </c>
      <c r="BC31" s="7">
        <f t="shared" si="15"/>
        <v>0</v>
      </c>
      <c r="BD31" s="7">
        <f t="shared" si="16"/>
        <v>0</v>
      </c>
      <c r="BE31" s="7">
        <v>0</v>
      </c>
      <c r="BF31" s="7">
        <f>31</f>
        <v>31</v>
      </c>
      <c r="BH31" s="7">
        <f t="shared" si="17"/>
        <v>0</v>
      </c>
      <c r="BI31" s="7">
        <f t="shared" si="18"/>
        <v>0</v>
      </c>
      <c r="BJ31" s="7">
        <f t="shared" si="19"/>
        <v>0</v>
      </c>
      <c r="BK31" s="7"/>
      <c r="BL31" s="7">
        <v>62</v>
      </c>
      <c r="BW31" s="7">
        <v>21</v>
      </c>
      <c r="BX31" s="2" t="s">
        <v>117</v>
      </c>
    </row>
    <row r="32" spans="1:76" x14ac:dyDescent="0.2">
      <c r="A32" s="32" t="s">
        <v>51</v>
      </c>
      <c r="B32" s="33" t="s">
        <v>118</v>
      </c>
      <c r="C32" s="56" t="s">
        <v>119</v>
      </c>
      <c r="D32" s="57"/>
      <c r="E32" s="32" t="s">
        <v>4</v>
      </c>
      <c r="F32" s="32" t="s">
        <v>4</v>
      </c>
      <c r="G32" s="32"/>
      <c r="H32" s="34"/>
      <c r="I32" s="34"/>
      <c r="J32" s="34"/>
      <c r="K32" s="35"/>
      <c r="AI32" s="5" t="s">
        <v>55</v>
      </c>
      <c r="AS32" s="1">
        <f>SUM(AJ33:AJ34)</f>
        <v>0</v>
      </c>
      <c r="AT32" s="1">
        <f>SUM(AK33:AK34)</f>
        <v>0</v>
      </c>
      <c r="AU32" s="1">
        <f>SUM(AL33:AL34)</f>
        <v>0</v>
      </c>
    </row>
    <row r="33" spans="1:76" x14ac:dyDescent="0.2">
      <c r="A33" s="36" t="s">
        <v>120</v>
      </c>
      <c r="B33" s="36" t="s">
        <v>121</v>
      </c>
      <c r="C33" s="51" t="s">
        <v>122</v>
      </c>
      <c r="D33" s="52"/>
      <c r="E33" s="36" t="s">
        <v>59</v>
      </c>
      <c r="F33" s="37">
        <v>1510.2</v>
      </c>
      <c r="G33" s="37"/>
      <c r="H33" s="37"/>
      <c r="I33" s="37"/>
      <c r="J33" s="37">
        <f t="shared" si="0"/>
        <v>0</v>
      </c>
      <c r="K33" s="38"/>
      <c r="Z33" s="7">
        <f>IF(AQ33="5",BJ33,0)</f>
        <v>0</v>
      </c>
      <c r="AB33" s="7">
        <f>IF(AQ33="1",BH33,0)</f>
        <v>0</v>
      </c>
      <c r="AC33" s="7">
        <f>IF(AQ33="1",BI33,0)</f>
        <v>0</v>
      </c>
      <c r="AD33" s="7">
        <f>IF(AQ33="7",BH33,0)</f>
        <v>0</v>
      </c>
      <c r="AE33" s="7">
        <f>IF(AQ33="7",BI33,0)</f>
        <v>0</v>
      </c>
      <c r="AF33" s="7">
        <f>IF(AQ33="2",BH33,0)</f>
        <v>0</v>
      </c>
      <c r="AG33" s="7">
        <f>IF(AQ33="2",BI33,0)</f>
        <v>0</v>
      </c>
      <c r="AH33" s="7">
        <f>IF(AQ33="0",BJ33,0)</f>
        <v>0</v>
      </c>
      <c r="AI33" s="5" t="s">
        <v>55</v>
      </c>
      <c r="AJ33" s="7">
        <f>IF(AN33=0,J33,0)</f>
        <v>0</v>
      </c>
      <c r="AK33" s="7">
        <f>IF(AN33=12,J33,0)</f>
        <v>0</v>
      </c>
      <c r="AL33" s="7">
        <f>IF(AN33=21,J33,0)</f>
        <v>0</v>
      </c>
      <c r="AN33" s="7">
        <v>21</v>
      </c>
      <c r="AO33" s="7">
        <f>G33*0.461444043</f>
        <v>0</v>
      </c>
      <c r="AP33" s="7">
        <f>G33*(1-0.461444043)</f>
        <v>0</v>
      </c>
      <c r="AQ33" s="8" t="s">
        <v>87</v>
      </c>
      <c r="AV33" s="7">
        <f>AW33+AX33</f>
        <v>0</v>
      </c>
      <c r="AW33" s="7">
        <f>F33*AO33</f>
        <v>0</v>
      </c>
      <c r="AX33" s="7">
        <f>F33*AP33</f>
        <v>0</v>
      </c>
      <c r="AY33" s="8" t="s">
        <v>123</v>
      </c>
      <c r="AZ33" s="8" t="s">
        <v>124</v>
      </c>
      <c r="BA33" s="5" t="s">
        <v>62</v>
      </c>
      <c r="BC33" s="7">
        <f>AW33+AX33</f>
        <v>0</v>
      </c>
      <c r="BD33" s="7">
        <f>G33/(100-BE33)*100</f>
        <v>0</v>
      </c>
      <c r="BE33" s="7">
        <v>0</v>
      </c>
      <c r="BF33" s="7">
        <f>33</f>
        <v>33</v>
      </c>
      <c r="BH33" s="7">
        <f>F33*AO33</f>
        <v>0</v>
      </c>
      <c r="BI33" s="7">
        <f>F33*AP33</f>
        <v>0</v>
      </c>
      <c r="BJ33" s="7">
        <f>F33*G33</f>
        <v>0</v>
      </c>
      <c r="BK33" s="7"/>
      <c r="BL33" s="7">
        <v>713</v>
      </c>
      <c r="BW33" s="7">
        <v>21</v>
      </c>
      <c r="BX33" s="2" t="s">
        <v>122</v>
      </c>
    </row>
    <row r="34" spans="1:76" x14ac:dyDescent="0.2">
      <c r="A34" s="36" t="s">
        <v>125</v>
      </c>
      <c r="B34" s="36" t="s">
        <v>126</v>
      </c>
      <c r="C34" s="51" t="s">
        <v>127</v>
      </c>
      <c r="D34" s="52"/>
      <c r="E34" s="36" t="s">
        <v>59</v>
      </c>
      <c r="F34" s="37">
        <v>1510.2</v>
      </c>
      <c r="G34" s="37"/>
      <c r="H34" s="37"/>
      <c r="I34" s="37"/>
      <c r="J34" s="37">
        <f t="shared" si="0"/>
        <v>0</v>
      </c>
      <c r="K34" s="38"/>
      <c r="Z34" s="7">
        <f>IF(AQ34="5",BJ34,0)</f>
        <v>0</v>
      </c>
      <c r="AB34" s="7">
        <f>IF(AQ34="1",BH34,0)</f>
        <v>0</v>
      </c>
      <c r="AC34" s="7">
        <f>IF(AQ34="1",BI34,0)</f>
        <v>0</v>
      </c>
      <c r="AD34" s="7">
        <f>IF(AQ34="7",BH34,0)</f>
        <v>0</v>
      </c>
      <c r="AE34" s="7">
        <f>IF(AQ34="7",BI34,0)</f>
        <v>0</v>
      </c>
      <c r="AF34" s="7">
        <f>IF(AQ34="2",BH34,0)</f>
        <v>0</v>
      </c>
      <c r="AG34" s="7">
        <f>IF(AQ34="2",BI34,0)</f>
        <v>0</v>
      </c>
      <c r="AH34" s="7">
        <f>IF(AQ34="0",BJ34,0)</f>
        <v>0</v>
      </c>
      <c r="AI34" s="5" t="s">
        <v>55</v>
      </c>
      <c r="AJ34" s="7">
        <f>IF(AN34=0,J34,0)</f>
        <v>0</v>
      </c>
      <c r="AK34" s="7">
        <f>IF(AN34=12,J34,0)</f>
        <v>0</v>
      </c>
      <c r="AL34" s="7">
        <f>IF(AN34=21,J34,0)</f>
        <v>0</v>
      </c>
      <c r="AN34" s="7">
        <v>21</v>
      </c>
      <c r="AO34" s="7">
        <f>G34*0.691358025</f>
        <v>0</v>
      </c>
      <c r="AP34" s="7">
        <f>G34*(1-0.691358025)</f>
        <v>0</v>
      </c>
      <c r="AQ34" s="8" t="s">
        <v>87</v>
      </c>
      <c r="AV34" s="7">
        <f>AW34+AX34</f>
        <v>0</v>
      </c>
      <c r="AW34" s="7">
        <f>F34*AO34</f>
        <v>0</v>
      </c>
      <c r="AX34" s="7">
        <f>F34*AP34</f>
        <v>0</v>
      </c>
      <c r="AY34" s="8" t="s">
        <v>123</v>
      </c>
      <c r="AZ34" s="8" t="s">
        <v>124</v>
      </c>
      <c r="BA34" s="5" t="s">
        <v>62</v>
      </c>
      <c r="BC34" s="7">
        <f>AW34+AX34</f>
        <v>0</v>
      </c>
      <c r="BD34" s="7">
        <f>G34/(100-BE34)*100</f>
        <v>0</v>
      </c>
      <c r="BE34" s="7">
        <v>0</v>
      </c>
      <c r="BF34" s="7">
        <f>34</f>
        <v>34</v>
      </c>
      <c r="BH34" s="7">
        <f>F34*AO34</f>
        <v>0</v>
      </c>
      <c r="BI34" s="7">
        <f>F34*AP34</f>
        <v>0</v>
      </c>
      <c r="BJ34" s="7">
        <f>F34*G34</f>
        <v>0</v>
      </c>
      <c r="BK34" s="7"/>
      <c r="BL34" s="7">
        <v>713</v>
      </c>
      <c r="BW34" s="7">
        <v>21</v>
      </c>
      <c r="BX34" s="2" t="s">
        <v>127</v>
      </c>
    </row>
    <row r="35" spans="1:76" x14ac:dyDescent="0.2">
      <c r="A35" s="32" t="s">
        <v>51</v>
      </c>
      <c r="B35" s="33" t="s">
        <v>128</v>
      </c>
      <c r="C35" s="56" t="s">
        <v>129</v>
      </c>
      <c r="D35" s="57"/>
      <c r="E35" s="32" t="s">
        <v>4</v>
      </c>
      <c r="F35" s="32" t="s">
        <v>4</v>
      </c>
      <c r="G35" s="32"/>
      <c r="H35" s="34"/>
      <c r="I35" s="34"/>
      <c r="J35" s="34"/>
      <c r="K35" s="35"/>
      <c r="AI35" s="5" t="s">
        <v>55</v>
      </c>
      <c r="AS35" s="1">
        <f>SUM(AJ36:AJ37)</f>
        <v>0</v>
      </c>
      <c r="AT35" s="1">
        <f>SUM(AK36:AK37)</f>
        <v>0</v>
      </c>
      <c r="AU35" s="1">
        <f>SUM(AL36:AL37)</f>
        <v>0</v>
      </c>
    </row>
    <row r="36" spans="1:76" x14ac:dyDescent="0.2">
      <c r="A36" s="36" t="s">
        <v>130</v>
      </c>
      <c r="B36" s="36" t="s">
        <v>131</v>
      </c>
      <c r="C36" s="51" t="s">
        <v>132</v>
      </c>
      <c r="D36" s="52"/>
      <c r="E36" s="36" t="s">
        <v>93</v>
      </c>
      <c r="F36" s="37">
        <v>38</v>
      </c>
      <c r="G36" s="37"/>
      <c r="H36" s="37"/>
      <c r="I36" s="37"/>
      <c r="J36" s="37">
        <f t="shared" si="0"/>
        <v>0</v>
      </c>
      <c r="K36" s="38"/>
      <c r="Z36" s="7">
        <f>IF(AQ36="5",BJ36,0)</f>
        <v>0</v>
      </c>
      <c r="AB36" s="7">
        <f>IF(AQ36="1",BH36,0)</f>
        <v>0</v>
      </c>
      <c r="AC36" s="7">
        <f>IF(AQ36="1",BI36,0)</f>
        <v>0</v>
      </c>
      <c r="AD36" s="7">
        <f>IF(AQ36="7",BH36,0)</f>
        <v>0</v>
      </c>
      <c r="AE36" s="7">
        <f>IF(AQ36="7",BI36,0)</f>
        <v>0</v>
      </c>
      <c r="AF36" s="7">
        <f>IF(AQ36="2",BH36,0)</f>
        <v>0</v>
      </c>
      <c r="AG36" s="7">
        <f>IF(AQ36="2",BI36,0)</f>
        <v>0</v>
      </c>
      <c r="AH36" s="7">
        <f>IF(AQ36="0",BJ36,0)</f>
        <v>0</v>
      </c>
      <c r="AI36" s="5" t="s">
        <v>55</v>
      </c>
      <c r="AJ36" s="7">
        <f>IF(AN36=0,J36,0)</f>
        <v>0</v>
      </c>
      <c r="AK36" s="7">
        <f>IF(AN36=12,J36,0)</f>
        <v>0</v>
      </c>
      <c r="AL36" s="7">
        <f>IF(AN36=21,J36,0)</f>
        <v>0</v>
      </c>
      <c r="AN36" s="7">
        <v>21</v>
      </c>
      <c r="AO36" s="7">
        <f>G36*0.335672515</f>
        <v>0</v>
      </c>
      <c r="AP36" s="7">
        <f>G36*(1-0.335672515)</f>
        <v>0</v>
      </c>
      <c r="AQ36" s="8" t="s">
        <v>87</v>
      </c>
      <c r="AV36" s="7">
        <f>AW36+AX36</f>
        <v>0</v>
      </c>
      <c r="AW36" s="7">
        <f>F36*AO36</f>
        <v>0</v>
      </c>
      <c r="AX36" s="7">
        <f>F36*AP36</f>
        <v>0</v>
      </c>
      <c r="AY36" s="8" t="s">
        <v>133</v>
      </c>
      <c r="AZ36" s="8" t="s">
        <v>134</v>
      </c>
      <c r="BA36" s="5" t="s">
        <v>62</v>
      </c>
      <c r="BC36" s="7">
        <f>AW36+AX36</f>
        <v>0</v>
      </c>
      <c r="BD36" s="7">
        <f>G36/(100-BE36)*100</f>
        <v>0</v>
      </c>
      <c r="BE36" s="7">
        <v>0</v>
      </c>
      <c r="BF36" s="7">
        <f>36</f>
        <v>36</v>
      </c>
      <c r="BH36" s="7">
        <f>F36*AO36</f>
        <v>0</v>
      </c>
      <c r="BI36" s="7">
        <f>F36*AP36</f>
        <v>0</v>
      </c>
      <c r="BJ36" s="7">
        <f>F36*G36</f>
        <v>0</v>
      </c>
      <c r="BK36" s="7"/>
      <c r="BL36" s="7">
        <v>764</v>
      </c>
      <c r="BW36" s="7">
        <v>21</v>
      </c>
      <c r="BX36" s="2" t="s">
        <v>132</v>
      </c>
    </row>
    <row r="37" spans="1:76" x14ac:dyDescent="0.2">
      <c r="A37" s="36" t="s">
        <v>135</v>
      </c>
      <c r="B37" s="36" t="s">
        <v>136</v>
      </c>
      <c r="C37" s="51" t="s">
        <v>137</v>
      </c>
      <c r="D37" s="52"/>
      <c r="E37" s="36" t="s">
        <v>93</v>
      </c>
      <c r="F37" s="37">
        <v>38</v>
      </c>
      <c r="G37" s="37"/>
      <c r="H37" s="37"/>
      <c r="I37" s="37"/>
      <c r="J37" s="37">
        <f t="shared" si="0"/>
        <v>0</v>
      </c>
      <c r="K37" s="38"/>
      <c r="Z37" s="7">
        <f>IF(AQ37="5",BJ37,0)</f>
        <v>0</v>
      </c>
      <c r="AB37" s="7">
        <f>IF(AQ37="1",BH37,0)</f>
        <v>0</v>
      </c>
      <c r="AC37" s="7">
        <f>IF(AQ37="1",BI37,0)</f>
        <v>0</v>
      </c>
      <c r="AD37" s="7">
        <f>IF(AQ37="7",BH37,0)</f>
        <v>0</v>
      </c>
      <c r="AE37" s="7">
        <f>IF(AQ37="7",BI37,0)</f>
        <v>0</v>
      </c>
      <c r="AF37" s="7">
        <f>IF(AQ37="2",BH37,0)</f>
        <v>0</v>
      </c>
      <c r="AG37" s="7">
        <f>IF(AQ37="2",BI37,0)</f>
        <v>0</v>
      </c>
      <c r="AH37" s="7">
        <f>IF(AQ37="0",BJ37,0)</f>
        <v>0</v>
      </c>
      <c r="AI37" s="5" t="s">
        <v>55</v>
      </c>
      <c r="AJ37" s="7">
        <f>IF(AN37=0,J37,0)</f>
        <v>0</v>
      </c>
      <c r="AK37" s="7">
        <f>IF(AN37=12,J37,0)</f>
        <v>0</v>
      </c>
      <c r="AL37" s="7">
        <f>IF(AN37=21,J37,0)</f>
        <v>0</v>
      </c>
      <c r="AN37" s="7">
        <v>21</v>
      </c>
      <c r="AO37" s="7">
        <f>G37*0</f>
        <v>0</v>
      </c>
      <c r="AP37" s="7">
        <f>G37*(1-0)</f>
        <v>0</v>
      </c>
      <c r="AQ37" s="8" t="s">
        <v>87</v>
      </c>
      <c r="AV37" s="7">
        <f>AW37+AX37</f>
        <v>0</v>
      </c>
      <c r="AW37" s="7">
        <f>F37*AO37</f>
        <v>0</v>
      </c>
      <c r="AX37" s="7">
        <f>F37*AP37</f>
        <v>0</v>
      </c>
      <c r="AY37" s="8" t="s">
        <v>133</v>
      </c>
      <c r="AZ37" s="8" t="s">
        <v>134</v>
      </c>
      <c r="BA37" s="5" t="s">
        <v>62</v>
      </c>
      <c r="BC37" s="7">
        <f>AW37+AX37</f>
        <v>0</v>
      </c>
      <c r="BD37" s="7">
        <f>G37/(100-BE37)*100</f>
        <v>0</v>
      </c>
      <c r="BE37" s="7">
        <v>0</v>
      </c>
      <c r="BF37" s="7">
        <f>37</f>
        <v>37</v>
      </c>
      <c r="BH37" s="7">
        <f>F37*AO37</f>
        <v>0</v>
      </c>
      <c r="BI37" s="7">
        <f>F37*AP37</f>
        <v>0</v>
      </c>
      <c r="BJ37" s="7">
        <f>F37*G37</f>
        <v>0</v>
      </c>
      <c r="BK37" s="7"/>
      <c r="BL37" s="7">
        <v>764</v>
      </c>
      <c r="BW37" s="7">
        <v>21</v>
      </c>
      <c r="BX37" s="2" t="s">
        <v>137</v>
      </c>
    </row>
    <row r="38" spans="1:76" x14ac:dyDescent="0.2">
      <c r="A38" s="28" t="s">
        <v>51</v>
      </c>
      <c r="B38" s="29" t="s">
        <v>51</v>
      </c>
      <c r="C38" s="58" t="s">
        <v>138</v>
      </c>
      <c r="D38" s="59"/>
      <c r="E38" s="28" t="s">
        <v>4</v>
      </c>
      <c r="F38" s="28" t="s">
        <v>4</v>
      </c>
      <c r="G38" s="28"/>
      <c r="H38" s="30"/>
      <c r="I38" s="30"/>
      <c r="J38" s="30"/>
      <c r="K38" s="31"/>
    </row>
    <row r="39" spans="1:76" x14ac:dyDescent="0.2">
      <c r="A39" s="32" t="s">
        <v>51</v>
      </c>
      <c r="B39" s="33" t="s">
        <v>53</v>
      </c>
      <c r="C39" s="56" t="s">
        <v>54</v>
      </c>
      <c r="D39" s="57"/>
      <c r="E39" s="32" t="s">
        <v>4</v>
      </c>
      <c r="F39" s="32" t="s">
        <v>4</v>
      </c>
      <c r="G39" s="32"/>
      <c r="H39" s="34"/>
      <c r="I39" s="34"/>
      <c r="J39" s="34"/>
      <c r="K39" s="35"/>
      <c r="AI39" s="5" t="s">
        <v>139</v>
      </c>
      <c r="AS39" s="1">
        <f>SUM(AJ40:AJ43)</f>
        <v>0</v>
      </c>
      <c r="AT39" s="1">
        <f>SUM(AK40:AK43)</f>
        <v>0</v>
      </c>
      <c r="AU39" s="1">
        <f>SUM(AL40:AL43)</f>
        <v>0</v>
      </c>
    </row>
    <row r="40" spans="1:76" x14ac:dyDescent="0.2">
      <c r="A40" s="36" t="s">
        <v>140</v>
      </c>
      <c r="B40" s="36" t="s">
        <v>57</v>
      </c>
      <c r="C40" s="51" t="s">
        <v>58</v>
      </c>
      <c r="D40" s="52"/>
      <c r="E40" s="36" t="s">
        <v>59</v>
      </c>
      <c r="F40" s="37">
        <v>235.2</v>
      </c>
      <c r="G40" s="37"/>
      <c r="H40" s="37"/>
      <c r="I40" s="37"/>
      <c r="J40" s="37">
        <f t="shared" si="0"/>
        <v>0</v>
      </c>
      <c r="K40" s="38"/>
      <c r="Z40" s="7">
        <f>IF(AQ40="5",BJ40,0)</f>
        <v>0</v>
      </c>
      <c r="AB40" s="7">
        <f>IF(AQ40="1",BH40,0)</f>
        <v>0</v>
      </c>
      <c r="AC40" s="7">
        <f>IF(AQ40="1",BI40,0)</f>
        <v>0</v>
      </c>
      <c r="AD40" s="7">
        <f>IF(AQ40="7",BH40,0)</f>
        <v>0</v>
      </c>
      <c r="AE40" s="7">
        <f>IF(AQ40="7",BI40,0)</f>
        <v>0</v>
      </c>
      <c r="AF40" s="7">
        <f>IF(AQ40="2",BH40,0)</f>
        <v>0</v>
      </c>
      <c r="AG40" s="7">
        <f>IF(AQ40="2",BI40,0)</f>
        <v>0</v>
      </c>
      <c r="AH40" s="7">
        <f>IF(AQ40="0",BJ40,0)</f>
        <v>0</v>
      </c>
      <c r="AI40" s="5" t="s">
        <v>139</v>
      </c>
      <c r="AJ40" s="7">
        <f>IF(AN40=0,J40,0)</f>
        <v>0</v>
      </c>
      <c r="AK40" s="7">
        <f>IF(AN40=12,J40,0)</f>
        <v>0</v>
      </c>
      <c r="AL40" s="7">
        <f>IF(AN40=21,J40,0)</f>
        <v>0</v>
      </c>
      <c r="AN40" s="7">
        <v>21</v>
      </c>
      <c r="AO40" s="7">
        <f>G40*0</f>
        <v>0</v>
      </c>
      <c r="AP40" s="7">
        <f>G40*(1-0)</f>
        <v>0</v>
      </c>
      <c r="AQ40" s="8" t="s">
        <v>56</v>
      </c>
      <c r="AV40" s="7">
        <f>AW40+AX40</f>
        <v>0</v>
      </c>
      <c r="AW40" s="7">
        <f>F40*AO40</f>
        <v>0</v>
      </c>
      <c r="AX40" s="7">
        <f>F40*AP40</f>
        <v>0</v>
      </c>
      <c r="AY40" s="8" t="s">
        <v>60</v>
      </c>
      <c r="AZ40" s="8" t="s">
        <v>141</v>
      </c>
      <c r="BA40" s="5" t="s">
        <v>142</v>
      </c>
      <c r="BC40" s="7">
        <f>AW40+AX40</f>
        <v>0</v>
      </c>
      <c r="BD40" s="7">
        <f>G40/(100-BE40)*100</f>
        <v>0</v>
      </c>
      <c r="BE40" s="7">
        <v>0</v>
      </c>
      <c r="BF40" s="7">
        <f>40</f>
        <v>40</v>
      </c>
      <c r="BH40" s="7">
        <f>F40*AO40</f>
        <v>0</v>
      </c>
      <c r="BI40" s="7">
        <f>F40*AP40</f>
        <v>0</v>
      </c>
      <c r="BJ40" s="7">
        <f>F40*G40</f>
        <v>0</v>
      </c>
      <c r="BK40" s="7"/>
      <c r="BL40" s="7">
        <v>94</v>
      </c>
      <c r="BW40" s="7">
        <v>21</v>
      </c>
      <c r="BX40" s="2" t="s">
        <v>58</v>
      </c>
    </row>
    <row r="41" spans="1:76" x14ac:dyDescent="0.2">
      <c r="A41" s="36" t="s">
        <v>143</v>
      </c>
      <c r="B41" s="36" t="s">
        <v>64</v>
      </c>
      <c r="C41" s="51" t="s">
        <v>65</v>
      </c>
      <c r="D41" s="52"/>
      <c r="E41" s="36" t="s">
        <v>59</v>
      </c>
      <c r="F41" s="37">
        <v>470.4</v>
      </c>
      <c r="G41" s="37"/>
      <c r="H41" s="37"/>
      <c r="I41" s="37"/>
      <c r="J41" s="37">
        <f t="shared" si="0"/>
        <v>0</v>
      </c>
      <c r="K41" s="38"/>
      <c r="Z41" s="7">
        <f>IF(AQ41="5",BJ41,0)</f>
        <v>0</v>
      </c>
      <c r="AB41" s="7">
        <f>IF(AQ41="1",BH41,0)</f>
        <v>0</v>
      </c>
      <c r="AC41" s="7">
        <f>IF(AQ41="1",BI41,0)</f>
        <v>0</v>
      </c>
      <c r="AD41" s="7">
        <f>IF(AQ41="7",BH41,0)</f>
        <v>0</v>
      </c>
      <c r="AE41" s="7">
        <f>IF(AQ41="7",BI41,0)</f>
        <v>0</v>
      </c>
      <c r="AF41" s="7">
        <f>IF(AQ41="2",BH41,0)</f>
        <v>0</v>
      </c>
      <c r="AG41" s="7">
        <f>IF(AQ41="2",BI41,0)</f>
        <v>0</v>
      </c>
      <c r="AH41" s="7">
        <f>IF(AQ41="0",BJ41,0)</f>
        <v>0</v>
      </c>
      <c r="AI41" s="5" t="s">
        <v>139</v>
      </c>
      <c r="AJ41" s="7">
        <f>IF(AN41=0,J41,0)</f>
        <v>0</v>
      </c>
      <c r="AK41" s="7">
        <f>IF(AN41=12,J41,0)</f>
        <v>0</v>
      </c>
      <c r="AL41" s="7">
        <f>IF(AN41=21,J41,0)</f>
        <v>0</v>
      </c>
      <c r="AN41" s="7">
        <v>21</v>
      </c>
      <c r="AO41" s="7">
        <f>G41*0</f>
        <v>0</v>
      </c>
      <c r="AP41" s="7">
        <f>G41*(1-0)</f>
        <v>0</v>
      </c>
      <c r="AQ41" s="8" t="s">
        <v>56</v>
      </c>
      <c r="AV41" s="7">
        <f>AW41+AX41</f>
        <v>0</v>
      </c>
      <c r="AW41" s="7">
        <f>F41*AO41</f>
        <v>0</v>
      </c>
      <c r="AX41" s="7">
        <f>F41*AP41</f>
        <v>0</v>
      </c>
      <c r="AY41" s="8" t="s">
        <v>60</v>
      </c>
      <c r="AZ41" s="8" t="s">
        <v>141</v>
      </c>
      <c r="BA41" s="5" t="s">
        <v>142</v>
      </c>
      <c r="BC41" s="7">
        <f>AW41+AX41</f>
        <v>0</v>
      </c>
      <c r="BD41" s="7">
        <f>G41/(100-BE41)*100</f>
        <v>0</v>
      </c>
      <c r="BE41" s="7">
        <v>0</v>
      </c>
      <c r="BF41" s="7">
        <f>41</f>
        <v>41</v>
      </c>
      <c r="BH41" s="7">
        <f>F41*AO41</f>
        <v>0</v>
      </c>
      <c r="BI41" s="7">
        <f>F41*AP41</f>
        <v>0</v>
      </c>
      <c r="BJ41" s="7">
        <f>F41*G41</f>
        <v>0</v>
      </c>
      <c r="BK41" s="7"/>
      <c r="BL41" s="7">
        <v>94</v>
      </c>
      <c r="BW41" s="7">
        <v>21</v>
      </c>
      <c r="BX41" s="2" t="s">
        <v>65</v>
      </c>
    </row>
    <row r="42" spans="1:76" x14ac:dyDescent="0.2">
      <c r="A42" s="36" t="s">
        <v>144</v>
      </c>
      <c r="B42" s="36" t="s">
        <v>67</v>
      </c>
      <c r="C42" s="51" t="s">
        <v>68</v>
      </c>
      <c r="D42" s="52"/>
      <c r="E42" s="36" t="s">
        <v>59</v>
      </c>
      <c r="F42" s="37">
        <v>235.2</v>
      </c>
      <c r="G42" s="37"/>
      <c r="H42" s="37"/>
      <c r="I42" s="37"/>
      <c r="J42" s="37">
        <f t="shared" si="0"/>
        <v>0</v>
      </c>
      <c r="K42" s="38"/>
      <c r="Z42" s="7">
        <f>IF(AQ42="5",BJ42,0)</f>
        <v>0</v>
      </c>
      <c r="AB42" s="7">
        <f>IF(AQ42="1",BH42,0)</f>
        <v>0</v>
      </c>
      <c r="AC42" s="7">
        <f>IF(AQ42="1",BI42,0)</f>
        <v>0</v>
      </c>
      <c r="AD42" s="7">
        <f>IF(AQ42="7",BH42,0)</f>
        <v>0</v>
      </c>
      <c r="AE42" s="7">
        <f>IF(AQ42="7",BI42,0)</f>
        <v>0</v>
      </c>
      <c r="AF42" s="7">
        <f>IF(AQ42="2",BH42,0)</f>
        <v>0</v>
      </c>
      <c r="AG42" s="7">
        <f>IF(AQ42="2",BI42,0)</f>
        <v>0</v>
      </c>
      <c r="AH42" s="7">
        <f>IF(AQ42="0",BJ42,0)</f>
        <v>0</v>
      </c>
      <c r="AI42" s="5" t="s">
        <v>139</v>
      </c>
      <c r="AJ42" s="7">
        <f>IF(AN42=0,J42,0)</f>
        <v>0</v>
      </c>
      <c r="AK42" s="7">
        <f>IF(AN42=12,J42,0)</f>
        <v>0</v>
      </c>
      <c r="AL42" s="7">
        <f>IF(AN42=21,J42,0)</f>
        <v>0</v>
      </c>
      <c r="AN42" s="7">
        <v>21</v>
      </c>
      <c r="AO42" s="7">
        <f>G42*0.001212121</f>
        <v>0</v>
      </c>
      <c r="AP42" s="7">
        <f>G42*(1-0.001212121)</f>
        <v>0</v>
      </c>
      <c r="AQ42" s="8" t="s">
        <v>56</v>
      </c>
      <c r="AV42" s="7">
        <f>AW42+AX42</f>
        <v>0</v>
      </c>
      <c r="AW42" s="7">
        <f>F42*AO42</f>
        <v>0</v>
      </c>
      <c r="AX42" s="7">
        <f>F42*AP42</f>
        <v>0</v>
      </c>
      <c r="AY42" s="8" t="s">
        <v>60</v>
      </c>
      <c r="AZ42" s="8" t="s">
        <v>141</v>
      </c>
      <c r="BA42" s="5" t="s">
        <v>142</v>
      </c>
      <c r="BC42" s="7">
        <f>AW42+AX42</f>
        <v>0</v>
      </c>
      <c r="BD42" s="7">
        <f>G42/(100-BE42)*100</f>
        <v>0</v>
      </c>
      <c r="BE42" s="7">
        <v>0</v>
      </c>
      <c r="BF42" s="7">
        <f>42</f>
        <v>42</v>
      </c>
      <c r="BH42" s="7">
        <f>F42*AO42</f>
        <v>0</v>
      </c>
      <c r="BI42" s="7">
        <f>F42*AP42</f>
        <v>0</v>
      </c>
      <c r="BJ42" s="7">
        <f>F42*G42</f>
        <v>0</v>
      </c>
      <c r="BK42" s="7"/>
      <c r="BL42" s="7">
        <v>94</v>
      </c>
      <c r="BW42" s="7">
        <v>21</v>
      </c>
      <c r="BX42" s="2" t="s">
        <v>68</v>
      </c>
    </row>
    <row r="43" spans="1:76" x14ac:dyDescent="0.2">
      <c r="A43" s="36" t="s">
        <v>145</v>
      </c>
      <c r="B43" s="36" t="s">
        <v>70</v>
      </c>
      <c r="C43" s="51" t="s">
        <v>71</v>
      </c>
      <c r="D43" s="52"/>
      <c r="E43" s="36" t="s">
        <v>72</v>
      </c>
      <c r="F43" s="37">
        <v>75</v>
      </c>
      <c r="G43" s="37"/>
      <c r="H43" s="37"/>
      <c r="I43" s="37"/>
      <c r="J43" s="37">
        <f t="shared" si="0"/>
        <v>0</v>
      </c>
      <c r="K43" s="38"/>
      <c r="Z43" s="7">
        <f>IF(AQ43="5",BJ43,0)</f>
        <v>0</v>
      </c>
      <c r="AB43" s="7">
        <f>IF(AQ43="1",BH43,0)</f>
        <v>0</v>
      </c>
      <c r="AC43" s="7">
        <f>IF(AQ43="1",BI43,0)</f>
        <v>0</v>
      </c>
      <c r="AD43" s="7">
        <f>IF(AQ43="7",BH43,0)</f>
        <v>0</v>
      </c>
      <c r="AE43" s="7">
        <f>IF(AQ43="7",BI43,0)</f>
        <v>0</v>
      </c>
      <c r="AF43" s="7">
        <f>IF(AQ43="2",BH43,0)</f>
        <v>0</v>
      </c>
      <c r="AG43" s="7">
        <f>IF(AQ43="2",BI43,0)</f>
        <v>0</v>
      </c>
      <c r="AH43" s="7">
        <f>IF(AQ43="0",BJ43,0)</f>
        <v>0</v>
      </c>
      <c r="AI43" s="5" t="s">
        <v>139</v>
      </c>
      <c r="AJ43" s="7">
        <f>IF(AN43=0,J43,0)</f>
        <v>0</v>
      </c>
      <c r="AK43" s="7">
        <f>IF(AN43=12,J43,0)</f>
        <v>0</v>
      </c>
      <c r="AL43" s="7">
        <f>IF(AN43=21,J43,0)</f>
        <v>0</v>
      </c>
      <c r="AN43" s="7">
        <v>21</v>
      </c>
      <c r="AO43" s="7">
        <f>G43*0</f>
        <v>0</v>
      </c>
      <c r="AP43" s="7">
        <f>G43*(1-0)</f>
        <v>0</v>
      </c>
      <c r="AQ43" s="8" t="s">
        <v>56</v>
      </c>
      <c r="AV43" s="7">
        <f>AW43+AX43</f>
        <v>0</v>
      </c>
      <c r="AW43" s="7">
        <f>F43*AO43</f>
        <v>0</v>
      </c>
      <c r="AX43" s="7">
        <f>F43*AP43</f>
        <v>0</v>
      </c>
      <c r="AY43" s="8" t="s">
        <v>60</v>
      </c>
      <c r="AZ43" s="8" t="s">
        <v>141</v>
      </c>
      <c r="BA43" s="5" t="s">
        <v>142</v>
      </c>
      <c r="BC43" s="7">
        <f>AW43+AX43</f>
        <v>0</v>
      </c>
      <c r="BD43" s="7">
        <f>G43/(100-BE43)*100</f>
        <v>0</v>
      </c>
      <c r="BE43" s="7">
        <v>0</v>
      </c>
      <c r="BF43" s="7">
        <f>43</f>
        <v>43</v>
      </c>
      <c r="BH43" s="7">
        <f>F43*AO43</f>
        <v>0</v>
      </c>
      <c r="BI43" s="7">
        <f>F43*AP43</f>
        <v>0</v>
      </c>
      <c r="BJ43" s="7">
        <f>F43*G43</f>
        <v>0</v>
      </c>
      <c r="BK43" s="7"/>
      <c r="BL43" s="7">
        <v>94</v>
      </c>
      <c r="BW43" s="7">
        <v>21</v>
      </c>
      <c r="BX43" s="2" t="s">
        <v>71</v>
      </c>
    </row>
    <row r="44" spans="1:76" x14ac:dyDescent="0.2">
      <c r="A44" s="32" t="s">
        <v>51</v>
      </c>
      <c r="B44" s="33" t="s">
        <v>146</v>
      </c>
      <c r="C44" s="56" t="s">
        <v>147</v>
      </c>
      <c r="D44" s="57"/>
      <c r="E44" s="32" t="s">
        <v>4</v>
      </c>
      <c r="F44" s="32" t="s">
        <v>4</v>
      </c>
      <c r="G44" s="32"/>
      <c r="H44" s="34"/>
      <c r="I44" s="34"/>
      <c r="J44" s="34"/>
      <c r="K44" s="35"/>
      <c r="AI44" s="5" t="s">
        <v>139</v>
      </c>
      <c r="AS44" s="1">
        <f>SUM(AJ45:AJ46)</f>
        <v>0</v>
      </c>
      <c r="AT44" s="1">
        <f>SUM(AK45:AK46)</f>
        <v>0</v>
      </c>
      <c r="AU44" s="1">
        <f>SUM(AL45:AL46)</f>
        <v>0</v>
      </c>
    </row>
    <row r="45" spans="1:76" x14ac:dyDescent="0.2">
      <c r="A45" s="36" t="s">
        <v>148</v>
      </c>
      <c r="B45" s="36" t="s">
        <v>149</v>
      </c>
      <c r="C45" s="51" t="s">
        <v>150</v>
      </c>
      <c r="D45" s="52"/>
      <c r="E45" s="36" t="s">
        <v>59</v>
      </c>
      <c r="F45" s="37">
        <v>5.5</v>
      </c>
      <c r="G45" s="37"/>
      <c r="H45" s="37"/>
      <c r="I45" s="37"/>
      <c r="J45" s="37">
        <f t="shared" si="0"/>
        <v>0</v>
      </c>
      <c r="K45" s="38"/>
      <c r="Z45" s="7">
        <f>IF(AQ45="5",BJ45,0)</f>
        <v>0</v>
      </c>
      <c r="AB45" s="7">
        <f>IF(AQ45="1",BH45,0)</f>
        <v>0</v>
      </c>
      <c r="AC45" s="7">
        <f>IF(AQ45="1",BI45,0)</f>
        <v>0</v>
      </c>
      <c r="AD45" s="7">
        <f>IF(AQ45="7",BH45,0)</f>
        <v>0</v>
      </c>
      <c r="AE45" s="7">
        <f>IF(AQ45="7",BI45,0)</f>
        <v>0</v>
      </c>
      <c r="AF45" s="7">
        <f>IF(AQ45="2",BH45,0)</f>
        <v>0</v>
      </c>
      <c r="AG45" s="7">
        <f>IF(AQ45="2",BI45,0)</f>
        <v>0</v>
      </c>
      <c r="AH45" s="7">
        <f>IF(AQ45="0",BJ45,0)</f>
        <v>0</v>
      </c>
      <c r="AI45" s="5" t="s">
        <v>139</v>
      </c>
      <c r="AJ45" s="7">
        <f>IF(AN45=0,J45,0)</f>
        <v>0</v>
      </c>
      <c r="AK45" s="7">
        <f>IF(AN45=12,J45,0)</f>
        <v>0</v>
      </c>
      <c r="AL45" s="7">
        <f>IF(AN45=21,J45,0)</f>
        <v>0</v>
      </c>
      <c r="AN45" s="7">
        <v>21</v>
      </c>
      <c r="AO45" s="7">
        <f>G45*0.092351275</f>
        <v>0</v>
      </c>
      <c r="AP45" s="7">
        <f>G45*(1-0.092351275)</f>
        <v>0</v>
      </c>
      <c r="AQ45" s="8" t="s">
        <v>56</v>
      </c>
      <c r="AV45" s="7">
        <f>AW45+AX45</f>
        <v>0</v>
      </c>
      <c r="AW45" s="7">
        <f>F45*AO45</f>
        <v>0</v>
      </c>
      <c r="AX45" s="7">
        <f>F45*AP45</f>
        <v>0</v>
      </c>
      <c r="AY45" s="8" t="s">
        <v>151</v>
      </c>
      <c r="AZ45" s="8" t="s">
        <v>141</v>
      </c>
      <c r="BA45" s="5" t="s">
        <v>142</v>
      </c>
      <c r="BC45" s="7">
        <f>AW45+AX45</f>
        <v>0</v>
      </c>
      <c r="BD45" s="7">
        <f>G45/(100-BE45)*100</f>
        <v>0</v>
      </c>
      <c r="BE45" s="7">
        <v>0</v>
      </c>
      <c r="BF45" s="7">
        <f>45</f>
        <v>45</v>
      </c>
      <c r="BH45" s="7">
        <f>F45*AO45</f>
        <v>0</v>
      </c>
      <c r="BI45" s="7">
        <f>F45*AP45</f>
        <v>0</v>
      </c>
      <c r="BJ45" s="7">
        <f>F45*G45</f>
        <v>0</v>
      </c>
      <c r="BK45" s="7"/>
      <c r="BL45" s="7">
        <v>96</v>
      </c>
      <c r="BW45" s="7">
        <v>21</v>
      </c>
      <c r="BX45" s="2" t="s">
        <v>150</v>
      </c>
    </row>
    <row r="46" spans="1:76" x14ac:dyDescent="0.2">
      <c r="A46" s="36" t="s">
        <v>152</v>
      </c>
      <c r="B46" s="36" t="s">
        <v>153</v>
      </c>
      <c r="C46" s="51" t="s">
        <v>154</v>
      </c>
      <c r="D46" s="52"/>
      <c r="E46" s="36" t="s">
        <v>59</v>
      </c>
      <c r="F46" s="37">
        <v>0.6</v>
      </c>
      <c r="G46" s="37"/>
      <c r="H46" s="37"/>
      <c r="I46" s="37"/>
      <c r="J46" s="37">
        <f t="shared" si="0"/>
        <v>0</v>
      </c>
      <c r="K46" s="38"/>
      <c r="Z46" s="7">
        <f>IF(AQ46="5",BJ46,0)</f>
        <v>0</v>
      </c>
      <c r="AB46" s="7">
        <f>IF(AQ46="1",BH46,0)</f>
        <v>0</v>
      </c>
      <c r="AC46" s="7">
        <f>IF(AQ46="1",BI46,0)</f>
        <v>0</v>
      </c>
      <c r="AD46" s="7">
        <f>IF(AQ46="7",BH46,0)</f>
        <v>0</v>
      </c>
      <c r="AE46" s="7">
        <f>IF(AQ46="7",BI46,0)</f>
        <v>0</v>
      </c>
      <c r="AF46" s="7">
        <f>IF(AQ46="2",BH46,0)</f>
        <v>0</v>
      </c>
      <c r="AG46" s="7">
        <f>IF(AQ46="2",BI46,0)</f>
        <v>0</v>
      </c>
      <c r="AH46" s="7">
        <f>IF(AQ46="0",BJ46,0)</f>
        <v>0</v>
      </c>
      <c r="AI46" s="5" t="s">
        <v>139</v>
      </c>
      <c r="AJ46" s="7">
        <f>IF(AN46=0,J46,0)</f>
        <v>0</v>
      </c>
      <c r="AK46" s="7">
        <f>IF(AN46=12,J46,0)</f>
        <v>0</v>
      </c>
      <c r="AL46" s="7">
        <f>IF(AN46=21,J46,0)</f>
        <v>0</v>
      </c>
      <c r="AN46" s="7">
        <v>21</v>
      </c>
      <c r="AO46" s="7">
        <f>G46*0.046591</f>
        <v>0</v>
      </c>
      <c r="AP46" s="7">
        <f>G46*(1-0.046591)</f>
        <v>0</v>
      </c>
      <c r="AQ46" s="8" t="s">
        <v>56</v>
      </c>
      <c r="AV46" s="7">
        <f>AW46+AX46</f>
        <v>0</v>
      </c>
      <c r="AW46" s="7">
        <f>F46*AO46</f>
        <v>0</v>
      </c>
      <c r="AX46" s="7">
        <f>F46*AP46</f>
        <v>0</v>
      </c>
      <c r="AY46" s="8" t="s">
        <v>151</v>
      </c>
      <c r="AZ46" s="8" t="s">
        <v>141</v>
      </c>
      <c r="BA46" s="5" t="s">
        <v>142</v>
      </c>
      <c r="BC46" s="7">
        <f>AW46+AX46</f>
        <v>0</v>
      </c>
      <c r="BD46" s="7">
        <f>G46/(100-BE46)*100</f>
        <v>0</v>
      </c>
      <c r="BE46" s="7">
        <v>0</v>
      </c>
      <c r="BF46" s="7">
        <f>46</f>
        <v>46</v>
      </c>
      <c r="BH46" s="7">
        <f>F46*AO46</f>
        <v>0</v>
      </c>
      <c r="BI46" s="7">
        <f>F46*AP46</f>
        <v>0</v>
      </c>
      <c r="BJ46" s="7">
        <f>F46*G46</f>
        <v>0</v>
      </c>
      <c r="BK46" s="7"/>
      <c r="BL46" s="7">
        <v>96</v>
      </c>
      <c r="BW46" s="7">
        <v>21</v>
      </c>
      <c r="BX46" s="2" t="s">
        <v>154</v>
      </c>
    </row>
    <row r="47" spans="1:76" x14ac:dyDescent="0.2">
      <c r="A47" s="32" t="s">
        <v>51</v>
      </c>
      <c r="B47" s="33" t="s">
        <v>155</v>
      </c>
      <c r="C47" s="56" t="s">
        <v>156</v>
      </c>
      <c r="D47" s="57"/>
      <c r="E47" s="32" t="s">
        <v>4</v>
      </c>
      <c r="F47" s="32" t="s">
        <v>4</v>
      </c>
      <c r="G47" s="32"/>
      <c r="H47" s="34"/>
      <c r="I47" s="34"/>
      <c r="J47" s="34"/>
      <c r="K47" s="35"/>
      <c r="AI47" s="5" t="s">
        <v>139</v>
      </c>
      <c r="AS47" s="1">
        <f>SUM(AJ48:AJ48)</f>
        <v>0</v>
      </c>
      <c r="AT47" s="1">
        <f>SUM(AK48:AK48)</f>
        <v>0</v>
      </c>
      <c r="AU47" s="1">
        <f>SUM(AL48:AL48)</f>
        <v>0</v>
      </c>
    </row>
    <row r="48" spans="1:76" x14ac:dyDescent="0.2">
      <c r="A48" s="36" t="s">
        <v>157</v>
      </c>
      <c r="B48" s="36" t="s">
        <v>158</v>
      </c>
      <c r="C48" s="51" t="s">
        <v>159</v>
      </c>
      <c r="D48" s="52"/>
      <c r="E48" s="36" t="s">
        <v>78</v>
      </c>
      <c r="F48" s="37">
        <v>4.9599999999999998E-2</v>
      </c>
      <c r="G48" s="37"/>
      <c r="H48" s="37"/>
      <c r="I48" s="37"/>
      <c r="J48" s="37">
        <f t="shared" si="0"/>
        <v>0</v>
      </c>
      <c r="K48" s="38"/>
      <c r="Z48" s="7">
        <f>IF(AQ48="5",BJ48,0)</f>
        <v>0</v>
      </c>
      <c r="AB48" s="7">
        <f>IF(AQ48="1",BH48,0)</f>
        <v>0</v>
      </c>
      <c r="AC48" s="7">
        <f>IF(AQ48="1",BI48,0)</f>
        <v>0</v>
      </c>
      <c r="AD48" s="7">
        <f>IF(AQ48="7",BH48,0)</f>
        <v>0</v>
      </c>
      <c r="AE48" s="7">
        <f>IF(AQ48="7",BI48,0)</f>
        <v>0</v>
      </c>
      <c r="AF48" s="7">
        <f>IF(AQ48="2",BH48,0)</f>
        <v>0</v>
      </c>
      <c r="AG48" s="7">
        <f>IF(AQ48="2",BI48,0)</f>
        <v>0</v>
      </c>
      <c r="AH48" s="7">
        <f>IF(AQ48="0",BJ48,0)</f>
        <v>0</v>
      </c>
      <c r="AI48" s="5" t="s">
        <v>139</v>
      </c>
      <c r="AJ48" s="7">
        <f>IF(AN48=0,J48,0)</f>
        <v>0</v>
      </c>
      <c r="AK48" s="7">
        <f>IF(AN48=12,J48,0)</f>
        <v>0</v>
      </c>
      <c r="AL48" s="7">
        <f>IF(AN48=21,J48,0)</f>
        <v>0</v>
      </c>
      <c r="AN48" s="7">
        <v>21</v>
      </c>
      <c r="AO48" s="7">
        <f>G48*0</f>
        <v>0</v>
      </c>
      <c r="AP48" s="7">
        <f>G48*(1-0)</f>
        <v>0</v>
      </c>
      <c r="AQ48" s="8" t="s">
        <v>56</v>
      </c>
      <c r="AV48" s="7">
        <f>AW48+AX48</f>
        <v>0</v>
      </c>
      <c r="AW48" s="7">
        <f>F48*AO48</f>
        <v>0</v>
      </c>
      <c r="AX48" s="7">
        <f>F48*AP48</f>
        <v>0</v>
      </c>
      <c r="AY48" s="8" t="s">
        <v>160</v>
      </c>
      <c r="AZ48" s="8" t="s">
        <v>141</v>
      </c>
      <c r="BA48" s="5" t="s">
        <v>142</v>
      </c>
      <c r="BC48" s="7">
        <f>AW48+AX48</f>
        <v>0</v>
      </c>
      <c r="BD48" s="7">
        <f>G48/(100-BE48)*100</f>
        <v>0</v>
      </c>
      <c r="BE48" s="7">
        <v>0</v>
      </c>
      <c r="BF48" s="7">
        <f>48</f>
        <v>48</v>
      </c>
      <c r="BH48" s="7">
        <f>F48*AO48</f>
        <v>0</v>
      </c>
      <c r="BI48" s="7">
        <f>F48*AP48</f>
        <v>0</v>
      </c>
      <c r="BJ48" s="7">
        <f>F48*G48</f>
        <v>0</v>
      </c>
      <c r="BK48" s="7"/>
      <c r="BL48" s="7">
        <v>97</v>
      </c>
      <c r="BW48" s="7">
        <v>21</v>
      </c>
      <c r="BX48" s="2" t="s">
        <v>159</v>
      </c>
    </row>
    <row r="49" spans="1:76" x14ac:dyDescent="0.2">
      <c r="A49" s="32" t="s">
        <v>51</v>
      </c>
      <c r="B49" s="33" t="s">
        <v>73</v>
      </c>
      <c r="C49" s="56" t="s">
        <v>74</v>
      </c>
      <c r="D49" s="57"/>
      <c r="E49" s="32" t="s">
        <v>4</v>
      </c>
      <c r="F49" s="32" t="s">
        <v>4</v>
      </c>
      <c r="G49" s="32"/>
      <c r="H49" s="34"/>
      <c r="I49" s="34"/>
      <c r="J49" s="34"/>
      <c r="K49" s="35"/>
      <c r="AI49" s="5" t="s">
        <v>139</v>
      </c>
      <c r="AS49" s="1">
        <f>SUM(AJ50:AJ50)</f>
        <v>0</v>
      </c>
      <c r="AT49" s="1">
        <f>SUM(AK50:AK50)</f>
        <v>0</v>
      </c>
      <c r="AU49" s="1">
        <f>SUM(AL50:AL50)</f>
        <v>0</v>
      </c>
    </row>
    <row r="50" spans="1:76" x14ac:dyDescent="0.2">
      <c r="A50" s="36" t="s">
        <v>161</v>
      </c>
      <c r="B50" s="36" t="s">
        <v>76</v>
      </c>
      <c r="C50" s="51" t="s">
        <v>77</v>
      </c>
      <c r="D50" s="52"/>
      <c r="E50" s="36" t="s">
        <v>78</v>
      </c>
      <c r="F50" s="37">
        <v>9.5</v>
      </c>
      <c r="G50" s="37"/>
      <c r="H50" s="37"/>
      <c r="I50" s="37"/>
      <c r="J50" s="37">
        <f t="shared" si="0"/>
        <v>0</v>
      </c>
      <c r="K50" s="38"/>
      <c r="Z50" s="7">
        <f>IF(AQ50="5",BJ50,0)</f>
        <v>0</v>
      </c>
      <c r="AB50" s="7">
        <f>IF(AQ50="1",BH50,0)</f>
        <v>0</v>
      </c>
      <c r="AC50" s="7">
        <f>IF(AQ50="1",BI50,0)</f>
        <v>0</v>
      </c>
      <c r="AD50" s="7">
        <f>IF(AQ50="7",BH50,0)</f>
        <v>0</v>
      </c>
      <c r="AE50" s="7">
        <f>IF(AQ50="7",BI50,0)</f>
        <v>0</v>
      </c>
      <c r="AF50" s="7">
        <f>IF(AQ50="2",BH50,0)</f>
        <v>0</v>
      </c>
      <c r="AG50" s="7">
        <f>IF(AQ50="2",BI50,0)</f>
        <v>0</v>
      </c>
      <c r="AH50" s="7">
        <f>IF(AQ50="0",BJ50,0)</f>
        <v>0</v>
      </c>
      <c r="AI50" s="5" t="s">
        <v>139</v>
      </c>
      <c r="AJ50" s="7">
        <f>IF(AN50=0,J50,0)</f>
        <v>0</v>
      </c>
      <c r="AK50" s="7">
        <f>IF(AN50=12,J50,0)</f>
        <v>0</v>
      </c>
      <c r="AL50" s="7">
        <f>IF(AN50=21,J50,0)</f>
        <v>0</v>
      </c>
      <c r="AN50" s="7">
        <v>21</v>
      </c>
      <c r="AO50" s="7">
        <f>G50*0</f>
        <v>0</v>
      </c>
      <c r="AP50" s="7">
        <f>G50*(1-0)</f>
        <v>0</v>
      </c>
      <c r="AQ50" s="8" t="s">
        <v>75</v>
      </c>
      <c r="AV50" s="7">
        <f>AW50+AX50</f>
        <v>0</v>
      </c>
      <c r="AW50" s="7">
        <f>F50*AO50</f>
        <v>0</v>
      </c>
      <c r="AX50" s="7">
        <f>F50*AP50</f>
        <v>0</v>
      </c>
      <c r="AY50" s="8" t="s">
        <v>79</v>
      </c>
      <c r="AZ50" s="8" t="s">
        <v>141</v>
      </c>
      <c r="BA50" s="5" t="s">
        <v>142</v>
      </c>
      <c r="BC50" s="7">
        <f>AW50+AX50</f>
        <v>0</v>
      </c>
      <c r="BD50" s="7">
        <f>G50/(100-BE50)*100</f>
        <v>0</v>
      </c>
      <c r="BE50" s="7">
        <v>0</v>
      </c>
      <c r="BF50" s="7">
        <f>50</f>
        <v>50</v>
      </c>
      <c r="BH50" s="7">
        <f>F50*AO50</f>
        <v>0</v>
      </c>
      <c r="BI50" s="7">
        <f>F50*AP50</f>
        <v>0</v>
      </c>
      <c r="BJ50" s="7">
        <f>F50*G50</f>
        <v>0</v>
      </c>
      <c r="BK50" s="7"/>
      <c r="BL50" s="7"/>
      <c r="BW50" s="7">
        <v>21</v>
      </c>
      <c r="BX50" s="2" t="s">
        <v>77</v>
      </c>
    </row>
    <row r="51" spans="1:76" x14ac:dyDescent="0.2">
      <c r="A51" s="32" t="s">
        <v>51</v>
      </c>
      <c r="B51" s="33" t="s">
        <v>162</v>
      </c>
      <c r="C51" s="56" t="s">
        <v>163</v>
      </c>
      <c r="D51" s="57"/>
      <c r="E51" s="32" t="s">
        <v>4</v>
      </c>
      <c r="F51" s="32" t="s">
        <v>4</v>
      </c>
      <c r="G51" s="32"/>
      <c r="H51" s="34"/>
      <c r="I51" s="34"/>
      <c r="J51" s="34"/>
      <c r="K51" s="35"/>
      <c r="AI51" s="5" t="s">
        <v>139</v>
      </c>
      <c r="AS51" s="1">
        <f>SUM(AJ52:AJ52)</f>
        <v>0</v>
      </c>
      <c r="AT51" s="1">
        <f>SUM(AK52:AK52)</f>
        <v>0</v>
      </c>
      <c r="AU51" s="1">
        <f>SUM(AL52:AL52)</f>
        <v>0</v>
      </c>
    </row>
    <row r="52" spans="1:76" x14ac:dyDescent="0.2">
      <c r="A52" s="36" t="s">
        <v>164</v>
      </c>
      <c r="B52" s="36" t="s">
        <v>165</v>
      </c>
      <c r="C52" s="51" t="s">
        <v>166</v>
      </c>
      <c r="D52" s="52"/>
      <c r="E52" s="36" t="s">
        <v>78</v>
      </c>
      <c r="F52" s="37">
        <v>4.9599999999999998E-2</v>
      </c>
      <c r="G52" s="37"/>
      <c r="H52" s="37"/>
      <c r="I52" s="37"/>
      <c r="J52" s="37">
        <f t="shared" si="0"/>
        <v>0</v>
      </c>
      <c r="K52" s="38"/>
      <c r="Z52" s="7">
        <f>IF(AQ52="5",BJ52,0)</f>
        <v>0</v>
      </c>
      <c r="AB52" s="7">
        <f>IF(AQ52="1",BH52,0)</f>
        <v>0</v>
      </c>
      <c r="AC52" s="7">
        <f>IF(AQ52="1",BI52,0)</f>
        <v>0</v>
      </c>
      <c r="AD52" s="7">
        <f>IF(AQ52="7",BH52,0)</f>
        <v>0</v>
      </c>
      <c r="AE52" s="7">
        <f>IF(AQ52="7",BI52,0)</f>
        <v>0</v>
      </c>
      <c r="AF52" s="7">
        <f>IF(AQ52="2",BH52,0)</f>
        <v>0</v>
      </c>
      <c r="AG52" s="7">
        <f>IF(AQ52="2",BI52,0)</f>
        <v>0</v>
      </c>
      <c r="AH52" s="7">
        <f>IF(AQ52="0",BJ52,0)</f>
        <v>0</v>
      </c>
      <c r="AI52" s="5" t="s">
        <v>139</v>
      </c>
      <c r="AJ52" s="7">
        <f>IF(AN52=0,J52,0)</f>
        <v>0</v>
      </c>
      <c r="AK52" s="7">
        <f>IF(AN52=12,J52,0)</f>
        <v>0</v>
      </c>
      <c r="AL52" s="7">
        <f>IF(AN52=21,J52,0)</f>
        <v>0</v>
      </c>
      <c r="AN52" s="7">
        <v>21</v>
      </c>
      <c r="AO52" s="7">
        <f>G52*0</f>
        <v>0</v>
      </c>
      <c r="AP52" s="7">
        <f>G52*(1-0)</f>
        <v>0</v>
      </c>
      <c r="AQ52" s="8" t="s">
        <v>75</v>
      </c>
      <c r="AV52" s="7">
        <f>AW52+AX52</f>
        <v>0</v>
      </c>
      <c r="AW52" s="7">
        <f>F52*AO52</f>
        <v>0</v>
      </c>
      <c r="AX52" s="7">
        <f>F52*AP52</f>
        <v>0</v>
      </c>
      <c r="AY52" s="8" t="s">
        <v>167</v>
      </c>
      <c r="AZ52" s="8" t="s">
        <v>141</v>
      </c>
      <c r="BA52" s="5" t="s">
        <v>142</v>
      </c>
      <c r="BC52" s="7">
        <f>AW52+AX52</f>
        <v>0</v>
      </c>
      <c r="BD52" s="7">
        <f>G52/(100-BE52)*100</f>
        <v>0</v>
      </c>
      <c r="BE52" s="7">
        <v>0</v>
      </c>
      <c r="BF52" s="7">
        <f>52</f>
        <v>52</v>
      </c>
      <c r="BH52" s="7">
        <f>F52*AO52</f>
        <v>0</v>
      </c>
      <c r="BI52" s="7">
        <f>F52*AP52</f>
        <v>0</v>
      </c>
      <c r="BJ52" s="7">
        <f>F52*G52</f>
        <v>0</v>
      </c>
      <c r="BK52" s="7"/>
      <c r="BL52" s="7"/>
      <c r="BW52" s="7">
        <v>21</v>
      </c>
      <c r="BX52" s="2" t="s">
        <v>166</v>
      </c>
    </row>
    <row r="53" spans="1:76" x14ac:dyDescent="0.2">
      <c r="A53" s="32" t="s">
        <v>51</v>
      </c>
      <c r="B53" s="33" t="s">
        <v>80</v>
      </c>
      <c r="C53" s="56" t="s">
        <v>81</v>
      </c>
      <c r="D53" s="57"/>
      <c r="E53" s="32" t="s">
        <v>4</v>
      </c>
      <c r="F53" s="32" t="s">
        <v>4</v>
      </c>
      <c r="G53" s="32"/>
      <c r="H53" s="34"/>
      <c r="I53" s="34"/>
      <c r="J53" s="34"/>
      <c r="K53" s="35"/>
      <c r="AI53" s="5" t="s">
        <v>139</v>
      </c>
      <c r="AS53" s="1">
        <f>SUM(AJ54:AJ62)</f>
        <v>0</v>
      </c>
      <c r="AT53" s="1">
        <f>SUM(AK54:AK62)</f>
        <v>0</v>
      </c>
      <c r="AU53" s="1">
        <f>SUM(AL54:AL62)</f>
        <v>0</v>
      </c>
    </row>
    <row r="54" spans="1:76" x14ac:dyDescent="0.2">
      <c r="A54" s="36" t="s">
        <v>168</v>
      </c>
      <c r="B54" s="36" t="s">
        <v>83</v>
      </c>
      <c r="C54" s="51" t="s">
        <v>84</v>
      </c>
      <c r="D54" s="52"/>
      <c r="E54" s="36" t="s">
        <v>59</v>
      </c>
      <c r="F54" s="37">
        <v>131.19999999999999</v>
      </c>
      <c r="G54" s="37"/>
      <c r="H54" s="37"/>
      <c r="I54" s="37"/>
      <c r="J54" s="37">
        <f t="shared" si="0"/>
        <v>0</v>
      </c>
      <c r="K54" s="38"/>
      <c r="Z54" s="7">
        <f t="shared" ref="Z54:Z62" si="20">IF(AQ54="5",BJ54,0)</f>
        <v>0</v>
      </c>
      <c r="AB54" s="7">
        <f t="shared" ref="AB54:AB62" si="21">IF(AQ54="1",BH54,0)</f>
        <v>0</v>
      </c>
      <c r="AC54" s="7">
        <f t="shared" ref="AC54:AC62" si="22">IF(AQ54="1",BI54,0)</f>
        <v>0</v>
      </c>
      <c r="AD54" s="7">
        <f t="shared" ref="AD54:AD62" si="23">IF(AQ54="7",BH54,0)</f>
        <v>0</v>
      </c>
      <c r="AE54" s="7">
        <f t="shared" ref="AE54:AE62" si="24">IF(AQ54="7",BI54,0)</f>
        <v>0</v>
      </c>
      <c r="AF54" s="7">
        <f t="shared" ref="AF54:AF62" si="25">IF(AQ54="2",BH54,0)</f>
        <v>0</v>
      </c>
      <c r="AG54" s="7">
        <f t="shared" ref="AG54:AG62" si="26">IF(AQ54="2",BI54,0)</f>
        <v>0</v>
      </c>
      <c r="AH54" s="7">
        <f t="shared" ref="AH54:AH62" si="27">IF(AQ54="0",BJ54,0)</f>
        <v>0</v>
      </c>
      <c r="AI54" s="5" t="s">
        <v>139</v>
      </c>
      <c r="AJ54" s="7">
        <f t="shared" ref="AJ54:AJ62" si="28">IF(AN54=0,J54,0)</f>
        <v>0</v>
      </c>
      <c r="AK54" s="7">
        <f t="shared" ref="AK54:AK62" si="29">IF(AN54=12,J54,0)</f>
        <v>0</v>
      </c>
      <c r="AL54" s="7">
        <f t="shared" ref="AL54:AL62" si="30">IF(AN54=21,J54,0)</f>
        <v>0</v>
      </c>
      <c r="AN54" s="7">
        <v>21</v>
      </c>
      <c r="AO54" s="7">
        <f>G54*0.071561051</f>
        <v>0</v>
      </c>
      <c r="AP54" s="7">
        <f>G54*(1-0.071561051)</f>
        <v>0</v>
      </c>
      <c r="AQ54" s="8" t="s">
        <v>56</v>
      </c>
      <c r="AV54" s="7">
        <f t="shared" ref="AV54:AV62" si="31">AW54+AX54</f>
        <v>0</v>
      </c>
      <c r="AW54" s="7">
        <f t="shared" ref="AW54:AW62" si="32">F54*AO54</f>
        <v>0</v>
      </c>
      <c r="AX54" s="7">
        <f t="shared" ref="AX54:AX62" si="33">F54*AP54</f>
        <v>0</v>
      </c>
      <c r="AY54" s="8" t="s">
        <v>85</v>
      </c>
      <c r="AZ54" s="8" t="s">
        <v>169</v>
      </c>
      <c r="BA54" s="5" t="s">
        <v>142</v>
      </c>
      <c r="BC54" s="7">
        <f t="shared" ref="BC54:BC62" si="34">AW54+AX54</f>
        <v>0</v>
      </c>
      <c r="BD54" s="7">
        <f t="shared" ref="BD54:BD62" si="35">G54/(100-BE54)*100</f>
        <v>0</v>
      </c>
      <c r="BE54" s="7">
        <v>0</v>
      </c>
      <c r="BF54" s="7">
        <f>54</f>
        <v>54</v>
      </c>
      <c r="BH54" s="7">
        <f t="shared" ref="BH54:BH62" si="36">F54*AO54</f>
        <v>0</v>
      </c>
      <c r="BI54" s="7">
        <f t="shared" ref="BI54:BI62" si="37">F54*AP54</f>
        <v>0</v>
      </c>
      <c r="BJ54" s="7">
        <f t="shared" ref="BJ54:BJ62" si="38">F54*G54</f>
        <v>0</v>
      </c>
      <c r="BK54" s="7"/>
      <c r="BL54" s="7">
        <v>62</v>
      </c>
      <c r="BW54" s="7">
        <v>21</v>
      </c>
      <c r="BX54" s="2" t="s">
        <v>84</v>
      </c>
    </row>
    <row r="55" spans="1:76" x14ac:dyDescent="0.2">
      <c r="A55" s="36" t="s">
        <v>170</v>
      </c>
      <c r="B55" s="36" t="s">
        <v>88</v>
      </c>
      <c r="C55" s="51" t="s">
        <v>89</v>
      </c>
      <c r="D55" s="52"/>
      <c r="E55" s="36" t="s">
        <v>59</v>
      </c>
      <c r="F55" s="37">
        <v>74.5</v>
      </c>
      <c r="G55" s="37"/>
      <c r="H55" s="37"/>
      <c r="I55" s="37"/>
      <c r="J55" s="37">
        <f t="shared" si="0"/>
        <v>0</v>
      </c>
      <c r="K55" s="38"/>
      <c r="Z55" s="7">
        <f t="shared" si="20"/>
        <v>0</v>
      </c>
      <c r="AB55" s="7">
        <f t="shared" si="21"/>
        <v>0</v>
      </c>
      <c r="AC55" s="7">
        <f t="shared" si="22"/>
        <v>0</v>
      </c>
      <c r="AD55" s="7">
        <f t="shared" si="23"/>
        <v>0</v>
      </c>
      <c r="AE55" s="7">
        <f t="shared" si="24"/>
        <v>0</v>
      </c>
      <c r="AF55" s="7">
        <f t="shared" si="25"/>
        <v>0</v>
      </c>
      <c r="AG55" s="7">
        <f t="shared" si="26"/>
        <v>0</v>
      </c>
      <c r="AH55" s="7">
        <f t="shared" si="27"/>
        <v>0</v>
      </c>
      <c r="AI55" s="5" t="s">
        <v>139</v>
      </c>
      <c r="AJ55" s="7">
        <f t="shared" si="28"/>
        <v>0</v>
      </c>
      <c r="AK55" s="7">
        <f t="shared" si="29"/>
        <v>0</v>
      </c>
      <c r="AL55" s="7">
        <f t="shared" si="30"/>
        <v>0</v>
      </c>
      <c r="AN55" s="7">
        <v>21</v>
      </c>
      <c r="AO55" s="7">
        <f>G55*0.322160149</f>
        <v>0</v>
      </c>
      <c r="AP55" s="7">
        <f>G55*(1-0.322160149)</f>
        <v>0</v>
      </c>
      <c r="AQ55" s="8" t="s">
        <v>56</v>
      </c>
      <c r="AV55" s="7">
        <f t="shared" si="31"/>
        <v>0</v>
      </c>
      <c r="AW55" s="7">
        <f t="shared" si="32"/>
        <v>0</v>
      </c>
      <c r="AX55" s="7">
        <f t="shared" si="33"/>
        <v>0</v>
      </c>
      <c r="AY55" s="8" t="s">
        <v>85</v>
      </c>
      <c r="AZ55" s="8" t="s">
        <v>169</v>
      </c>
      <c r="BA55" s="5" t="s">
        <v>142</v>
      </c>
      <c r="BC55" s="7">
        <f t="shared" si="34"/>
        <v>0</v>
      </c>
      <c r="BD55" s="7">
        <f t="shared" si="35"/>
        <v>0</v>
      </c>
      <c r="BE55" s="7">
        <v>0</v>
      </c>
      <c r="BF55" s="7">
        <f>55</f>
        <v>55</v>
      </c>
      <c r="BH55" s="7">
        <f t="shared" si="36"/>
        <v>0</v>
      </c>
      <c r="BI55" s="7">
        <f t="shared" si="37"/>
        <v>0</v>
      </c>
      <c r="BJ55" s="7">
        <f t="shared" si="38"/>
        <v>0</v>
      </c>
      <c r="BK55" s="7"/>
      <c r="BL55" s="7">
        <v>62</v>
      </c>
      <c r="BW55" s="7">
        <v>21</v>
      </c>
      <c r="BX55" s="2" t="s">
        <v>89</v>
      </c>
    </row>
    <row r="56" spans="1:76" x14ac:dyDescent="0.2">
      <c r="A56" s="36" t="s">
        <v>171</v>
      </c>
      <c r="B56" s="36" t="s">
        <v>91</v>
      </c>
      <c r="C56" s="51" t="s">
        <v>92</v>
      </c>
      <c r="D56" s="52"/>
      <c r="E56" s="36" t="s">
        <v>93</v>
      </c>
      <c r="F56" s="37">
        <v>18</v>
      </c>
      <c r="G56" s="37"/>
      <c r="H56" s="37"/>
      <c r="I56" s="37"/>
      <c r="J56" s="37">
        <f t="shared" si="0"/>
        <v>0</v>
      </c>
      <c r="K56" s="38"/>
      <c r="Z56" s="7">
        <f t="shared" si="20"/>
        <v>0</v>
      </c>
      <c r="AB56" s="7">
        <f t="shared" si="21"/>
        <v>0</v>
      </c>
      <c r="AC56" s="7">
        <f t="shared" si="22"/>
        <v>0</v>
      </c>
      <c r="AD56" s="7">
        <f t="shared" si="23"/>
        <v>0</v>
      </c>
      <c r="AE56" s="7">
        <f t="shared" si="24"/>
        <v>0</v>
      </c>
      <c r="AF56" s="7">
        <f t="shared" si="25"/>
        <v>0</v>
      </c>
      <c r="AG56" s="7">
        <f t="shared" si="26"/>
        <v>0</v>
      </c>
      <c r="AH56" s="7">
        <f t="shared" si="27"/>
        <v>0</v>
      </c>
      <c r="AI56" s="5" t="s">
        <v>139</v>
      </c>
      <c r="AJ56" s="7">
        <f t="shared" si="28"/>
        <v>0</v>
      </c>
      <c r="AK56" s="7">
        <f t="shared" si="29"/>
        <v>0</v>
      </c>
      <c r="AL56" s="7">
        <f t="shared" si="30"/>
        <v>0</v>
      </c>
      <c r="AN56" s="7">
        <v>21</v>
      </c>
      <c r="AO56" s="7">
        <f>G56*0.237219731</f>
        <v>0</v>
      </c>
      <c r="AP56" s="7">
        <f>G56*(1-0.237219731)</f>
        <v>0</v>
      </c>
      <c r="AQ56" s="8" t="s">
        <v>56</v>
      </c>
      <c r="AV56" s="7">
        <f t="shared" si="31"/>
        <v>0</v>
      </c>
      <c r="AW56" s="7">
        <f t="shared" si="32"/>
        <v>0</v>
      </c>
      <c r="AX56" s="7">
        <f t="shared" si="33"/>
        <v>0</v>
      </c>
      <c r="AY56" s="8" t="s">
        <v>85</v>
      </c>
      <c r="AZ56" s="8" t="s">
        <v>169</v>
      </c>
      <c r="BA56" s="5" t="s">
        <v>142</v>
      </c>
      <c r="BC56" s="7">
        <f t="shared" si="34"/>
        <v>0</v>
      </c>
      <c r="BD56" s="7">
        <f t="shared" si="35"/>
        <v>0</v>
      </c>
      <c r="BE56" s="7">
        <v>0</v>
      </c>
      <c r="BF56" s="7">
        <f>56</f>
        <v>56</v>
      </c>
      <c r="BH56" s="7">
        <f t="shared" si="36"/>
        <v>0</v>
      </c>
      <c r="BI56" s="7">
        <f t="shared" si="37"/>
        <v>0</v>
      </c>
      <c r="BJ56" s="7">
        <f t="shared" si="38"/>
        <v>0</v>
      </c>
      <c r="BK56" s="7"/>
      <c r="BL56" s="7">
        <v>62</v>
      </c>
      <c r="BW56" s="7">
        <v>21</v>
      </c>
      <c r="BX56" s="2" t="s">
        <v>92</v>
      </c>
    </row>
    <row r="57" spans="1:76" x14ac:dyDescent="0.2">
      <c r="A57" s="36" t="s">
        <v>172</v>
      </c>
      <c r="B57" s="36" t="s">
        <v>95</v>
      </c>
      <c r="C57" s="51" t="s">
        <v>96</v>
      </c>
      <c r="D57" s="52"/>
      <c r="E57" s="36" t="s">
        <v>93</v>
      </c>
      <c r="F57" s="37">
        <v>59</v>
      </c>
      <c r="G57" s="37"/>
      <c r="H57" s="37"/>
      <c r="I57" s="37"/>
      <c r="J57" s="37">
        <f t="shared" si="0"/>
        <v>0</v>
      </c>
      <c r="K57" s="38"/>
      <c r="Z57" s="7">
        <f t="shared" si="20"/>
        <v>0</v>
      </c>
      <c r="AB57" s="7">
        <f t="shared" si="21"/>
        <v>0</v>
      </c>
      <c r="AC57" s="7">
        <f t="shared" si="22"/>
        <v>0</v>
      </c>
      <c r="AD57" s="7">
        <f t="shared" si="23"/>
        <v>0</v>
      </c>
      <c r="AE57" s="7">
        <f t="shared" si="24"/>
        <v>0</v>
      </c>
      <c r="AF57" s="7">
        <f t="shared" si="25"/>
        <v>0</v>
      </c>
      <c r="AG57" s="7">
        <f t="shared" si="26"/>
        <v>0</v>
      </c>
      <c r="AH57" s="7">
        <f t="shared" si="27"/>
        <v>0</v>
      </c>
      <c r="AI57" s="5" t="s">
        <v>139</v>
      </c>
      <c r="AJ57" s="7">
        <f t="shared" si="28"/>
        <v>0</v>
      </c>
      <c r="AK57" s="7">
        <f t="shared" si="29"/>
        <v>0</v>
      </c>
      <c r="AL57" s="7">
        <f t="shared" si="30"/>
        <v>0</v>
      </c>
      <c r="AN57" s="7">
        <v>21</v>
      </c>
      <c r="AO57" s="7">
        <f>G57*0.735841346</f>
        <v>0</v>
      </c>
      <c r="AP57" s="7">
        <f>G57*(1-0.735841346)</f>
        <v>0</v>
      </c>
      <c r="AQ57" s="8" t="s">
        <v>56</v>
      </c>
      <c r="AV57" s="7">
        <f t="shared" si="31"/>
        <v>0</v>
      </c>
      <c r="AW57" s="7">
        <f t="shared" si="32"/>
        <v>0</v>
      </c>
      <c r="AX57" s="7">
        <f t="shared" si="33"/>
        <v>0</v>
      </c>
      <c r="AY57" s="8" t="s">
        <v>85</v>
      </c>
      <c r="AZ57" s="8" t="s">
        <v>169</v>
      </c>
      <c r="BA57" s="5" t="s">
        <v>142</v>
      </c>
      <c r="BC57" s="7">
        <f t="shared" si="34"/>
        <v>0</v>
      </c>
      <c r="BD57" s="7">
        <f t="shared" si="35"/>
        <v>0</v>
      </c>
      <c r="BE57" s="7">
        <v>0</v>
      </c>
      <c r="BF57" s="7">
        <f>57</f>
        <v>57</v>
      </c>
      <c r="BH57" s="7">
        <f t="shared" si="36"/>
        <v>0</v>
      </c>
      <c r="BI57" s="7">
        <f t="shared" si="37"/>
        <v>0</v>
      </c>
      <c r="BJ57" s="7">
        <f t="shared" si="38"/>
        <v>0</v>
      </c>
      <c r="BK57" s="7"/>
      <c r="BL57" s="7">
        <v>62</v>
      </c>
      <c r="BW57" s="7">
        <v>21</v>
      </c>
      <c r="BX57" s="2" t="s">
        <v>96</v>
      </c>
    </row>
    <row r="58" spans="1:76" x14ac:dyDescent="0.2">
      <c r="A58" s="36" t="s">
        <v>173</v>
      </c>
      <c r="B58" s="36" t="s">
        <v>98</v>
      </c>
      <c r="C58" s="51" t="s">
        <v>99</v>
      </c>
      <c r="D58" s="52"/>
      <c r="E58" s="36" t="s">
        <v>93</v>
      </c>
      <c r="F58" s="37">
        <v>36</v>
      </c>
      <c r="G58" s="37"/>
      <c r="H58" s="37"/>
      <c r="I58" s="37"/>
      <c r="J58" s="37">
        <f t="shared" si="0"/>
        <v>0</v>
      </c>
      <c r="K58" s="38"/>
      <c r="Z58" s="7">
        <f t="shared" si="20"/>
        <v>0</v>
      </c>
      <c r="AB58" s="7">
        <f t="shared" si="21"/>
        <v>0</v>
      </c>
      <c r="AC58" s="7">
        <f t="shared" si="22"/>
        <v>0</v>
      </c>
      <c r="AD58" s="7">
        <f t="shared" si="23"/>
        <v>0</v>
      </c>
      <c r="AE58" s="7">
        <f t="shared" si="24"/>
        <v>0</v>
      </c>
      <c r="AF58" s="7">
        <f t="shared" si="25"/>
        <v>0</v>
      </c>
      <c r="AG58" s="7">
        <f t="shared" si="26"/>
        <v>0</v>
      </c>
      <c r="AH58" s="7">
        <f t="shared" si="27"/>
        <v>0</v>
      </c>
      <c r="AI58" s="5" t="s">
        <v>139</v>
      </c>
      <c r="AJ58" s="7">
        <f t="shared" si="28"/>
        <v>0</v>
      </c>
      <c r="AK58" s="7">
        <f t="shared" si="29"/>
        <v>0</v>
      </c>
      <c r="AL58" s="7">
        <f t="shared" si="30"/>
        <v>0</v>
      </c>
      <c r="AN58" s="7">
        <v>21</v>
      </c>
      <c r="AO58" s="7">
        <f>G58*0.282016807</f>
        <v>0</v>
      </c>
      <c r="AP58" s="7">
        <f>G58*(1-0.282016807)</f>
        <v>0</v>
      </c>
      <c r="AQ58" s="8" t="s">
        <v>56</v>
      </c>
      <c r="AV58" s="7">
        <f t="shared" si="31"/>
        <v>0</v>
      </c>
      <c r="AW58" s="7">
        <f t="shared" si="32"/>
        <v>0</v>
      </c>
      <c r="AX58" s="7">
        <f t="shared" si="33"/>
        <v>0</v>
      </c>
      <c r="AY58" s="8" t="s">
        <v>85</v>
      </c>
      <c r="AZ58" s="8" t="s">
        <v>169</v>
      </c>
      <c r="BA58" s="5" t="s">
        <v>142</v>
      </c>
      <c r="BC58" s="7">
        <f t="shared" si="34"/>
        <v>0</v>
      </c>
      <c r="BD58" s="7">
        <f t="shared" si="35"/>
        <v>0</v>
      </c>
      <c r="BE58" s="7">
        <v>0</v>
      </c>
      <c r="BF58" s="7">
        <f>58</f>
        <v>58</v>
      </c>
      <c r="BH58" s="7">
        <f t="shared" si="36"/>
        <v>0</v>
      </c>
      <c r="BI58" s="7">
        <f t="shared" si="37"/>
        <v>0</v>
      </c>
      <c r="BJ58" s="7">
        <f t="shared" si="38"/>
        <v>0</v>
      </c>
      <c r="BK58" s="7"/>
      <c r="BL58" s="7">
        <v>62</v>
      </c>
      <c r="BW58" s="7">
        <v>21</v>
      </c>
      <c r="BX58" s="2" t="s">
        <v>99</v>
      </c>
    </row>
    <row r="59" spans="1:76" x14ac:dyDescent="0.2">
      <c r="A59" s="36" t="s">
        <v>174</v>
      </c>
      <c r="B59" s="36" t="s">
        <v>101</v>
      </c>
      <c r="C59" s="51" t="s">
        <v>102</v>
      </c>
      <c r="D59" s="52"/>
      <c r="E59" s="36" t="s">
        <v>59</v>
      </c>
      <c r="F59" s="37">
        <v>131.19999999999999</v>
      </c>
      <c r="G59" s="37"/>
      <c r="H59" s="37"/>
      <c r="I59" s="37"/>
      <c r="J59" s="37">
        <f t="shared" si="0"/>
        <v>0</v>
      </c>
      <c r="K59" s="38"/>
      <c r="Z59" s="7">
        <f t="shared" si="20"/>
        <v>0</v>
      </c>
      <c r="AB59" s="7">
        <f t="shared" si="21"/>
        <v>0</v>
      </c>
      <c r="AC59" s="7">
        <f t="shared" si="22"/>
        <v>0</v>
      </c>
      <c r="AD59" s="7">
        <f t="shared" si="23"/>
        <v>0</v>
      </c>
      <c r="AE59" s="7">
        <f t="shared" si="24"/>
        <v>0</v>
      </c>
      <c r="AF59" s="7">
        <f t="shared" si="25"/>
        <v>0</v>
      </c>
      <c r="AG59" s="7">
        <f t="shared" si="26"/>
        <v>0</v>
      </c>
      <c r="AH59" s="7">
        <f t="shared" si="27"/>
        <v>0</v>
      </c>
      <c r="AI59" s="5" t="s">
        <v>139</v>
      </c>
      <c r="AJ59" s="7">
        <f t="shared" si="28"/>
        <v>0</v>
      </c>
      <c r="AK59" s="7">
        <f t="shared" si="29"/>
        <v>0</v>
      </c>
      <c r="AL59" s="7">
        <f t="shared" si="30"/>
        <v>0</v>
      </c>
      <c r="AN59" s="7">
        <v>21</v>
      </c>
      <c r="AO59" s="7">
        <f>G59*0.578038967</f>
        <v>0</v>
      </c>
      <c r="AP59" s="7">
        <f>G59*(1-0.578038967)</f>
        <v>0</v>
      </c>
      <c r="AQ59" s="8" t="s">
        <v>56</v>
      </c>
      <c r="AV59" s="7">
        <f t="shared" si="31"/>
        <v>0</v>
      </c>
      <c r="AW59" s="7">
        <f t="shared" si="32"/>
        <v>0</v>
      </c>
      <c r="AX59" s="7">
        <f t="shared" si="33"/>
        <v>0</v>
      </c>
      <c r="AY59" s="8" t="s">
        <v>85</v>
      </c>
      <c r="AZ59" s="8" t="s">
        <v>169</v>
      </c>
      <c r="BA59" s="5" t="s">
        <v>142</v>
      </c>
      <c r="BC59" s="7">
        <f t="shared" si="34"/>
        <v>0</v>
      </c>
      <c r="BD59" s="7">
        <f t="shared" si="35"/>
        <v>0</v>
      </c>
      <c r="BE59" s="7">
        <v>0</v>
      </c>
      <c r="BF59" s="7">
        <f>59</f>
        <v>59</v>
      </c>
      <c r="BH59" s="7">
        <f t="shared" si="36"/>
        <v>0</v>
      </c>
      <c r="BI59" s="7">
        <f t="shared" si="37"/>
        <v>0</v>
      </c>
      <c r="BJ59" s="7">
        <f t="shared" si="38"/>
        <v>0</v>
      </c>
      <c r="BK59" s="7"/>
      <c r="BL59" s="7">
        <v>62</v>
      </c>
      <c r="BW59" s="7">
        <v>21</v>
      </c>
      <c r="BX59" s="2" t="s">
        <v>102</v>
      </c>
    </row>
    <row r="60" spans="1:76" x14ac:dyDescent="0.2">
      <c r="A60" s="36" t="s">
        <v>175</v>
      </c>
      <c r="B60" s="36" t="s">
        <v>104</v>
      </c>
      <c r="C60" s="51" t="s">
        <v>105</v>
      </c>
      <c r="D60" s="52"/>
      <c r="E60" s="36" t="s">
        <v>59</v>
      </c>
      <c r="F60" s="37">
        <v>26.5</v>
      </c>
      <c r="G60" s="37"/>
      <c r="H60" s="37"/>
      <c r="I60" s="37"/>
      <c r="J60" s="37">
        <f t="shared" si="0"/>
        <v>0</v>
      </c>
      <c r="K60" s="38"/>
      <c r="Z60" s="7">
        <f t="shared" si="20"/>
        <v>0</v>
      </c>
      <c r="AB60" s="7">
        <f t="shared" si="21"/>
        <v>0</v>
      </c>
      <c r="AC60" s="7">
        <f t="shared" si="22"/>
        <v>0</v>
      </c>
      <c r="AD60" s="7">
        <f t="shared" si="23"/>
        <v>0</v>
      </c>
      <c r="AE60" s="7">
        <f t="shared" si="24"/>
        <v>0</v>
      </c>
      <c r="AF60" s="7">
        <f t="shared" si="25"/>
        <v>0</v>
      </c>
      <c r="AG60" s="7">
        <f t="shared" si="26"/>
        <v>0</v>
      </c>
      <c r="AH60" s="7">
        <f t="shared" si="27"/>
        <v>0</v>
      </c>
      <c r="AI60" s="5" t="s">
        <v>139</v>
      </c>
      <c r="AJ60" s="7">
        <f t="shared" si="28"/>
        <v>0</v>
      </c>
      <c r="AK60" s="7">
        <f t="shared" si="29"/>
        <v>0</v>
      </c>
      <c r="AL60" s="7">
        <f t="shared" si="30"/>
        <v>0</v>
      </c>
      <c r="AN60" s="7">
        <v>21</v>
      </c>
      <c r="AO60" s="7">
        <f>G60*0.682866521</f>
        <v>0</v>
      </c>
      <c r="AP60" s="7">
        <f>G60*(1-0.682866521)</f>
        <v>0</v>
      </c>
      <c r="AQ60" s="8" t="s">
        <v>56</v>
      </c>
      <c r="AV60" s="7">
        <f t="shared" si="31"/>
        <v>0</v>
      </c>
      <c r="AW60" s="7">
        <f t="shared" si="32"/>
        <v>0</v>
      </c>
      <c r="AX60" s="7">
        <f t="shared" si="33"/>
        <v>0</v>
      </c>
      <c r="AY60" s="8" t="s">
        <v>85</v>
      </c>
      <c r="AZ60" s="8" t="s">
        <v>169</v>
      </c>
      <c r="BA60" s="5" t="s">
        <v>142</v>
      </c>
      <c r="BC60" s="7">
        <f t="shared" si="34"/>
        <v>0</v>
      </c>
      <c r="BD60" s="7">
        <f t="shared" si="35"/>
        <v>0</v>
      </c>
      <c r="BE60" s="7">
        <v>0</v>
      </c>
      <c r="BF60" s="7">
        <f>60</f>
        <v>60</v>
      </c>
      <c r="BH60" s="7">
        <f t="shared" si="36"/>
        <v>0</v>
      </c>
      <c r="BI60" s="7">
        <f t="shared" si="37"/>
        <v>0</v>
      </c>
      <c r="BJ60" s="7">
        <f t="shared" si="38"/>
        <v>0</v>
      </c>
      <c r="BK60" s="7"/>
      <c r="BL60" s="7">
        <v>62</v>
      </c>
      <c r="BW60" s="7">
        <v>21</v>
      </c>
      <c r="BX60" s="2" t="s">
        <v>105</v>
      </c>
    </row>
    <row r="61" spans="1:76" x14ac:dyDescent="0.2">
      <c r="A61" s="36" t="s">
        <v>176</v>
      </c>
      <c r="B61" s="36" t="s">
        <v>107</v>
      </c>
      <c r="C61" s="51" t="s">
        <v>108</v>
      </c>
      <c r="D61" s="52"/>
      <c r="E61" s="36" t="s">
        <v>93</v>
      </c>
      <c r="F61" s="37">
        <v>40</v>
      </c>
      <c r="G61" s="37"/>
      <c r="H61" s="37"/>
      <c r="I61" s="37"/>
      <c r="J61" s="37">
        <f t="shared" si="0"/>
        <v>0</v>
      </c>
      <c r="K61" s="38"/>
      <c r="Z61" s="7">
        <f t="shared" si="20"/>
        <v>0</v>
      </c>
      <c r="AB61" s="7">
        <f t="shared" si="21"/>
        <v>0</v>
      </c>
      <c r="AC61" s="7">
        <f t="shared" si="22"/>
        <v>0</v>
      </c>
      <c r="AD61" s="7">
        <f t="shared" si="23"/>
        <v>0</v>
      </c>
      <c r="AE61" s="7">
        <f t="shared" si="24"/>
        <v>0</v>
      </c>
      <c r="AF61" s="7">
        <f t="shared" si="25"/>
        <v>0</v>
      </c>
      <c r="AG61" s="7">
        <f t="shared" si="26"/>
        <v>0</v>
      </c>
      <c r="AH61" s="7">
        <f t="shared" si="27"/>
        <v>0</v>
      </c>
      <c r="AI61" s="5" t="s">
        <v>139</v>
      </c>
      <c r="AJ61" s="7">
        <f t="shared" si="28"/>
        <v>0</v>
      </c>
      <c r="AK61" s="7">
        <f t="shared" si="29"/>
        <v>0</v>
      </c>
      <c r="AL61" s="7">
        <f t="shared" si="30"/>
        <v>0</v>
      </c>
      <c r="AN61" s="7">
        <v>21</v>
      </c>
      <c r="AO61" s="7">
        <f>G61*0.672116183</f>
        <v>0</v>
      </c>
      <c r="AP61" s="7">
        <f>G61*(1-0.672116183)</f>
        <v>0</v>
      </c>
      <c r="AQ61" s="8" t="s">
        <v>56</v>
      </c>
      <c r="AV61" s="7">
        <f t="shared" si="31"/>
        <v>0</v>
      </c>
      <c r="AW61" s="7">
        <f t="shared" si="32"/>
        <v>0</v>
      </c>
      <c r="AX61" s="7">
        <f t="shared" si="33"/>
        <v>0</v>
      </c>
      <c r="AY61" s="8" t="s">
        <v>85</v>
      </c>
      <c r="AZ61" s="8" t="s">
        <v>169</v>
      </c>
      <c r="BA61" s="5" t="s">
        <v>142</v>
      </c>
      <c r="BC61" s="7">
        <f t="shared" si="34"/>
        <v>0</v>
      </c>
      <c r="BD61" s="7">
        <f t="shared" si="35"/>
        <v>0</v>
      </c>
      <c r="BE61" s="7">
        <v>0</v>
      </c>
      <c r="BF61" s="7">
        <f>61</f>
        <v>61</v>
      </c>
      <c r="BH61" s="7">
        <f t="shared" si="36"/>
        <v>0</v>
      </c>
      <c r="BI61" s="7">
        <f t="shared" si="37"/>
        <v>0</v>
      </c>
      <c r="BJ61" s="7">
        <f t="shared" si="38"/>
        <v>0</v>
      </c>
      <c r="BK61" s="7"/>
      <c r="BL61" s="7">
        <v>62</v>
      </c>
      <c r="BW61" s="7">
        <v>21</v>
      </c>
      <c r="BX61" s="2" t="s">
        <v>108</v>
      </c>
    </row>
    <row r="62" spans="1:76" x14ac:dyDescent="0.2">
      <c r="A62" s="36" t="s">
        <v>177</v>
      </c>
      <c r="B62" s="36" t="s">
        <v>178</v>
      </c>
      <c r="C62" s="51" t="s">
        <v>179</v>
      </c>
      <c r="D62" s="52"/>
      <c r="E62" s="36" t="s">
        <v>180</v>
      </c>
      <c r="F62" s="37">
        <v>1</v>
      </c>
      <c r="G62" s="37"/>
      <c r="H62" s="37"/>
      <c r="I62" s="37"/>
      <c r="J62" s="37">
        <f t="shared" si="0"/>
        <v>0</v>
      </c>
      <c r="K62" s="38"/>
      <c r="Z62" s="7">
        <f t="shared" si="20"/>
        <v>0</v>
      </c>
      <c r="AB62" s="7">
        <f t="shared" si="21"/>
        <v>0</v>
      </c>
      <c r="AC62" s="7">
        <f t="shared" si="22"/>
        <v>0</v>
      </c>
      <c r="AD62" s="7">
        <f t="shared" si="23"/>
        <v>0</v>
      </c>
      <c r="AE62" s="7">
        <f t="shared" si="24"/>
        <v>0</v>
      </c>
      <c r="AF62" s="7">
        <f t="shared" si="25"/>
        <v>0</v>
      </c>
      <c r="AG62" s="7">
        <f t="shared" si="26"/>
        <v>0</v>
      </c>
      <c r="AH62" s="7">
        <f t="shared" si="27"/>
        <v>0</v>
      </c>
      <c r="AI62" s="5" t="s">
        <v>139</v>
      </c>
      <c r="AJ62" s="7">
        <f t="shared" si="28"/>
        <v>0</v>
      </c>
      <c r="AK62" s="7">
        <f t="shared" si="29"/>
        <v>0</v>
      </c>
      <c r="AL62" s="7">
        <f t="shared" si="30"/>
        <v>0</v>
      </c>
      <c r="AN62" s="7">
        <v>21</v>
      </c>
      <c r="AO62" s="7">
        <f>G62*0.806833801</f>
        <v>0</v>
      </c>
      <c r="AP62" s="7">
        <f>G62*(1-0.806833801)</f>
        <v>0</v>
      </c>
      <c r="AQ62" s="8" t="s">
        <v>56</v>
      </c>
      <c r="AV62" s="7">
        <f t="shared" si="31"/>
        <v>0</v>
      </c>
      <c r="AW62" s="7">
        <f t="shared" si="32"/>
        <v>0</v>
      </c>
      <c r="AX62" s="7">
        <f t="shared" si="33"/>
        <v>0</v>
      </c>
      <c r="AY62" s="8" t="s">
        <v>85</v>
      </c>
      <c r="AZ62" s="8" t="s">
        <v>169</v>
      </c>
      <c r="BA62" s="5" t="s">
        <v>142</v>
      </c>
      <c r="BC62" s="7">
        <f t="shared" si="34"/>
        <v>0</v>
      </c>
      <c r="BD62" s="7">
        <f t="shared" si="35"/>
        <v>0</v>
      </c>
      <c r="BE62" s="7">
        <v>0</v>
      </c>
      <c r="BF62" s="7">
        <f>62</f>
        <v>62</v>
      </c>
      <c r="BH62" s="7">
        <f t="shared" si="36"/>
        <v>0</v>
      </c>
      <c r="BI62" s="7">
        <f t="shared" si="37"/>
        <v>0</v>
      </c>
      <c r="BJ62" s="7">
        <f t="shared" si="38"/>
        <v>0</v>
      </c>
      <c r="BK62" s="7"/>
      <c r="BL62" s="7">
        <v>62</v>
      </c>
      <c r="BW62" s="7">
        <v>21</v>
      </c>
      <c r="BX62" s="2" t="s">
        <v>179</v>
      </c>
    </row>
    <row r="63" spans="1:76" x14ac:dyDescent="0.2">
      <c r="A63" s="32" t="s">
        <v>51</v>
      </c>
      <c r="B63" s="33" t="s">
        <v>118</v>
      </c>
      <c r="C63" s="56" t="s">
        <v>119</v>
      </c>
      <c r="D63" s="57"/>
      <c r="E63" s="32" t="s">
        <v>4</v>
      </c>
      <c r="F63" s="32" t="s">
        <v>4</v>
      </c>
      <c r="G63" s="32"/>
      <c r="H63" s="34"/>
      <c r="I63" s="34"/>
      <c r="J63" s="34"/>
      <c r="K63" s="35"/>
      <c r="AI63" s="5" t="s">
        <v>139</v>
      </c>
      <c r="AS63" s="1">
        <f>SUM(AJ64:AJ65)</f>
        <v>0</v>
      </c>
      <c r="AT63" s="1">
        <f>SUM(AK64:AK65)</f>
        <v>0</v>
      </c>
      <c r="AU63" s="1">
        <f>SUM(AL64:AL65)</f>
        <v>0</v>
      </c>
    </row>
    <row r="64" spans="1:76" x14ac:dyDescent="0.2">
      <c r="A64" s="36" t="s">
        <v>181</v>
      </c>
      <c r="B64" s="36" t="s">
        <v>121</v>
      </c>
      <c r="C64" s="51" t="s">
        <v>182</v>
      </c>
      <c r="D64" s="52"/>
      <c r="E64" s="36" t="s">
        <v>59</v>
      </c>
      <c r="F64" s="37">
        <v>144.19999999999999</v>
      </c>
      <c r="G64" s="37"/>
      <c r="H64" s="37"/>
      <c r="I64" s="37"/>
      <c r="J64" s="37">
        <f t="shared" si="0"/>
        <v>0</v>
      </c>
      <c r="K64" s="38"/>
      <c r="Z64" s="7">
        <f>IF(AQ64="5",BJ64,0)</f>
        <v>0</v>
      </c>
      <c r="AB64" s="7">
        <f>IF(AQ64="1",BH64,0)</f>
        <v>0</v>
      </c>
      <c r="AC64" s="7">
        <f>IF(AQ64="1",BI64,0)</f>
        <v>0</v>
      </c>
      <c r="AD64" s="7">
        <f>IF(AQ64="7",BH64,0)</f>
        <v>0</v>
      </c>
      <c r="AE64" s="7">
        <f>IF(AQ64="7",BI64,0)</f>
        <v>0</v>
      </c>
      <c r="AF64" s="7">
        <f>IF(AQ64="2",BH64,0)</f>
        <v>0</v>
      </c>
      <c r="AG64" s="7">
        <f>IF(AQ64="2",BI64,0)</f>
        <v>0</v>
      </c>
      <c r="AH64" s="7">
        <f>IF(AQ64="0",BJ64,0)</f>
        <v>0</v>
      </c>
      <c r="AI64" s="5" t="s">
        <v>139</v>
      </c>
      <c r="AJ64" s="7">
        <f>IF(AN64=0,J64,0)</f>
        <v>0</v>
      </c>
      <c r="AK64" s="7">
        <f>IF(AN64=12,J64,0)</f>
        <v>0</v>
      </c>
      <c r="AL64" s="7">
        <f>IF(AN64=21,J64,0)</f>
        <v>0</v>
      </c>
      <c r="AN64" s="7">
        <v>21</v>
      </c>
      <c r="AO64" s="7">
        <f>G64*0.461444043</f>
        <v>0</v>
      </c>
      <c r="AP64" s="7">
        <f>G64*(1-0.461444043)</f>
        <v>0</v>
      </c>
      <c r="AQ64" s="8" t="s">
        <v>87</v>
      </c>
      <c r="AV64" s="7">
        <f>AW64+AX64</f>
        <v>0</v>
      </c>
      <c r="AW64" s="7">
        <f>F64*AO64</f>
        <v>0</v>
      </c>
      <c r="AX64" s="7">
        <f>F64*AP64</f>
        <v>0</v>
      </c>
      <c r="AY64" s="8" t="s">
        <v>123</v>
      </c>
      <c r="AZ64" s="8" t="s">
        <v>183</v>
      </c>
      <c r="BA64" s="5" t="s">
        <v>142</v>
      </c>
      <c r="BC64" s="7">
        <f>AW64+AX64</f>
        <v>0</v>
      </c>
      <c r="BD64" s="7">
        <f>G64/(100-BE64)*100</f>
        <v>0</v>
      </c>
      <c r="BE64" s="7">
        <v>0</v>
      </c>
      <c r="BF64" s="7">
        <f>64</f>
        <v>64</v>
      </c>
      <c r="BH64" s="7">
        <f>F64*AO64</f>
        <v>0</v>
      </c>
      <c r="BI64" s="7">
        <f>F64*AP64</f>
        <v>0</v>
      </c>
      <c r="BJ64" s="7">
        <f>F64*G64</f>
        <v>0</v>
      </c>
      <c r="BK64" s="7"/>
      <c r="BL64" s="7">
        <v>713</v>
      </c>
      <c r="BW64" s="7">
        <v>21</v>
      </c>
      <c r="BX64" s="2" t="s">
        <v>182</v>
      </c>
    </row>
    <row r="65" spans="1:76" x14ac:dyDescent="0.2">
      <c r="A65" s="36" t="s">
        <v>184</v>
      </c>
      <c r="B65" s="36" t="s">
        <v>126</v>
      </c>
      <c r="C65" s="51" t="s">
        <v>127</v>
      </c>
      <c r="D65" s="52"/>
      <c r="E65" s="36" t="s">
        <v>59</v>
      </c>
      <c r="F65" s="37">
        <v>144.19999999999999</v>
      </c>
      <c r="G65" s="37"/>
      <c r="H65" s="37"/>
      <c r="I65" s="37"/>
      <c r="J65" s="37">
        <f t="shared" si="0"/>
        <v>0</v>
      </c>
      <c r="K65" s="38"/>
      <c r="Z65" s="7">
        <f>IF(AQ65="5",BJ65,0)</f>
        <v>0</v>
      </c>
      <c r="AB65" s="7">
        <f>IF(AQ65="1",BH65,0)</f>
        <v>0</v>
      </c>
      <c r="AC65" s="7">
        <f>IF(AQ65="1",BI65,0)</f>
        <v>0</v>
      </c>
      <c r="AD65" s="7">
        <f>IF(AQ65="7",BH65,0)</f>
        <v>0</v>
      </c>
      <c r="AE65" s="7">
        <f>IF(AQ65="7",BI65,0)</f>
        <v>0</v>
      </c>
      <c r="AF65" s="7">
        <f>IF(AQ65="2",BH65,0)</f>
        <v>0</v>
      </c>
      <c r="AG65" s="7">
        <f>IF(AQ65="2",BI65,0)</f>
        <v>0</v>
      </c>
      <c r="AH65" s="7">
        <f>IF(AQ65="0",BJ65,0)</f>
        <v>0</v>
      </c>
      <c r="AI65" s="5" t="s">
        <v>139</v>
      </c>
      <c r="AJ65" s="7">
        <f>IF(AN65=0,J65,0)</f>
        <v>0</v>
      </c>
      <c r="AK65" s="7">
        <f>IF(AN65=12,J65,0)</f>
        <v>0</v>
      </c>
      <c r="AL65" s="7">
        <f>IF(AN65=21,J65,0)</f>
        <v>0</v>
      </c>
      <c r="AN65" s="7">
        <v>21</v>
      </c>
      <c r="AO65" s="7">
        <f>G65*0.691358025</f>
        <v>0</v>
      </c>
      <c r="AP65" s="7">
        <f>G65*(1-0.691358025)</f>
        <v>0</v>
      </c>
      <c r="AQ65" s="8" t="s">
        <v>87</v>
      </c>
      <c r="AV65" s="7">
        <f>AW65+AX65</f>
        <v>0</v>
      </c>
      <c r="AW65" s="7">
        <f>F65*AO65</f>
        <v>0</v>
      </c>
      <c r="AX65" s="7">
        <f>F65*AP65</f>
        <v>0</v>
      </c>
      <c r="AY65" s="8" t="s">
        <v>123</v>
      </c>
      <c r="AZ65" s="8" t="s">
        <v>183</v>
      </c>
      <c r="BA65" s="5" t="s">
        <v>142</v>
      </c>
      <c r="BC65" s="7">
        <f>AW65+AX65</f>
        <v>0</v>
      </c>
      <c r="BD65" s="7">
        <f>G65/(100-BE65)*100</f>
        <v>0</v>
      </c>
      <c r="BE65" s="7">
        <v>0</v>
      </c>
      <c r="BF65" s="7">
        <f>65</f>
        <v>65</v>
      </c>
      <c r="BH65" s="7">
        <f>F65*AO65</f>
        <v>0</v>
      </c>
      <c r="BI65" s="7">
        <f>F65*AP65</f>
        <v>0</v>
      </c>
      <c r="BJ65" s="7">
        <f>F65*G65</f>
        <v>0</v>
      </c>
      <c r="BK65" s="7"/>
      <c r="BL65" s="7">
        <v>713</v>
      </c>
      <c r="BW65" s="7">
        <v>21</v>
      </c>
      <c r="BX65" s="2" t="s">
        <v>127</v>
      </c>
    </row>
    <row r="66" spans="1:76" x14ac:dyDescent="0.2">
      <c r="A66" s="32" t="s">
        <v>51</v>
      </c>
      <c r="B66" s="33" t="s">
        <v>128</v>
      </c>
      <c r="C66" s="56" t="s">
        <v>129</v>
      </c>
      <c r="D66" s="57"/>
      <c r="E66" s="32" t="s">
        <v>4</v>
      </c>
      <c r="F66" s="32" t="s">
        <v>4</v>
      </c>
      <c r="G66" s="32"/>
      <c r="H66" s="34"/>
      <c r="I66" s="34"/>
      <c r="J66" s="34"/>
      <c r="K66" s="35"/>
      <c r="AI66" s="5" t="s">
        <v>139</v>
      </c>
      <c r="AS66" s="1">
        <f>SUM(AJ67:AJ68)</f>
        <v>0</v>
      </c>
      <c r="AT66" s="1">
        <f>SUM(AK67:AK68)</f>
        <v>0</v>
      </c>
      <c r="AU66" s="1">
        <f>SUM(AL67:AL68)</f>
        <v>0</v>
      </c>
    </row>
    <row r="67" spans="1:76" x14ac:dyDescent="0.2">
      <c r="A67" s="36" t="s">
        <v>185</v>
      </c>
      <c r="B67" s="36" t="s">
        <v>131</v>
      </c>
      <c r="C67" s="51" t="s">
        <v>186</v>
      </c>
      <c r="D67" s="52"/>
      <c r="E67" s="36" t="s">
        <v>93</v>
      </c>
      <c r="F67" s="37">
        <v>7.5</v>
      </c>
      <c r="G67" s="37"/>
      <c r="H67" s="37"/>
      <c r="I67" s="37"/>
      <c r="J67" s="37">
        <f t="shared" si="0"/>
        <v>0</v>
      </c>
      <c r="K67" s="38"/>
      <c r="Z67" s="7">
        <f>IF(AQ67="5",BJ67,0)</f>
        <v>0</v>
      </c>
      <c r="AB67" s="7">
        <f>IF(AQ67="1",BH67,0)</f>
        <v>0</v>
      </c>
      <c r="AC67" s="7">
        <f>IF(AQ67="1",BI67,0)</f>
        <v>0</v>
      </c>
      <c r="AD67" s="7">
        <f>IF(AQ67="7",BH67,0)</f>
        <v>0</v>
      </c>
      <c r="AE67" s="7">
        <f>IF(AQ67="7",BI67,0)</f>
        <v>0</v>
      </c>
      <c r="AF67" s="7">
        <f>IF(AQ67="2",BH67,0)</f>
        <v>0</v>
      </c>
      <c r="AG67" s="7">
        <f>IF(AQ67="2",BI67,0)</f>
        <v>0</v>
      </c>
      <c r="AH67" s="7">
        <f>IF(AQ67="0",BJ67,0)</f>
        <v>0</v>
      </c>
      <c r="AI67" s="5" t="s">
        <v>139</v>
      </c>
      <c r="AJ67" s="7">
        <f>IF(AN67=0,J67,0)</f>
        <v>0</v>
      </c>
      <c r="AK67" s="7">
        <f>IF(AN67=12,J67,0)</f>
        <v>0</v>
      </c>
      <c r="AL67" s="7">
        <f>IF(AN67=21,J67,0)</f>
        <v>0</v>
      </c>
      <c r="AN67" s="7">
        <v>21</v>
      </c>
      <c r="AO67" s="7">
        <f>G67*0.335672515</f>
        <v>0</v>
      </c>
      <c r="AP67" s="7">
        <f>G67*(1-0.335672515)</f>
        <v>0</v>
      </c>
      <c r="AQ67" s="8" t="s">
        <v>87</v>
      </c>
      <c r="AV67" s="7">
        <f>AW67+AX67</f>
        <v>0</v>
      </c>
      <c r="AW67" s="7">
        <f>F67*AO67</f>
        <v>0</v>
      </c>
      <c r="AX67" s="7">
        <f>F67*AP67</f>
        <v>0</v>
      </c>
      <c r="AY67" s="8" t="s">
        <v>133</v>
      </c>
      <c r="AZ67" s="8" t="s">
        <v>187</v>
      </c>
      <c r="BA67" s="5" t="s">
        <v>142</v>
      </c>
      <c r="BC67" s="7">
        <f>AW67+AX67</f>
        <v>0</v>
      </c>
      <c r="BD67" s="7">
        <f>G67/(100-BE67)*100</f>
        <v>0</v>
      </c>
      <c r="BE67" s="7">
        <v>0</v>
      </c>
      <c r="BF67" s="7">
        <f>67</f>
        <v>67</v>
      </c>
      <c r="BH67" s="7">
        <f>F67*AO67</f>
        <v>0</v>
      </c>
      <c r="BI67" s="7">
        <f>F67*AP67</f>
        <v>0</v>
      </c>
      <c r="BJ67" s="7">
        <f>F67*G67</f>
        <v>0</v>
      </c>
      <c r="BK67" s="7"/>
      <c r="BL67" s="7">
        <v>764</v>
      </c>
      <c r="BW67" s="7">
        <v>21</v>
      </c>
      <c r="BX67" s="2" t="s">
        <v>186</v>
      </c>
    </row>
    <row r="68" spans="1:76" x14ac:dyDescent="0.2">
      <c r="A68" s="36" t="s">
        <v>188</v>
      </c>
      <c r="B68" s="36" t="s">
        <v>136</v>
      </c>
      <c r="C68" s="51" t="s">
        <v>137</v>
      </c>
      <c r="D68" s="52"/>
      <c r="E68" s="36" t="s">
        <v>93</v>
      </c>
      <c r="F68" s="37">
        <v>7.5</v>
      </c>
      <c r="G68" s="37"/>
      <c r="H68" s="37"/>
      <c r="I68" s="37"/>
      <c r="J68" s="37">
        <f t="shared" si="0"/>
        <v>0</v>
      </c>
      <c r="K68" s="38"/>
      <c r="Z68" s="7">
        <f>IF(AQ68="5",BJ68,0)</f>
        <v>0</v>
      </c>
      <c r="AB68" s="7">
        <f>IF(AQ68="1",BH68,0)</f>
        <v>0</v>
      </c>
      <c r="AC68" s="7">
        <f>IF(AQ68="1",BI68,0)</f>
        <v>0</v>
      </c>
      <c r="AD68" s="7">
        <f>IF(AQ68="7",BH68,0)</f>
        <v>0</v>
      </c>
      <c r="AE68" s="7">
        <f>IF(AQ68="7",BI68,0)</f>
        <v>0</v>
      </c>
      <c r="AF68" s="7">
        <f>IF(AQ68="2",BH68,0)</f>
        <v>0</v>
      </c>
      <c r="AG68" s="7">
        <f>IF(AQ68="2",BI68,0)</f>
        <v>0</v>
      </c>
      <c r="AH68" s="7">
        <f>IF(AQ68="0",BJ68,0)</f>
        <v>0</v>
      </c>
      <c r="AI68" s="5" t="s">
        <v>139</v>
      </c>
      <c r="AJ68" s="7">
        <f>IF(AN68=0,J68,0)</f>
        <v>0</v>
      </c>
      <c r="AK68" s="7">
        <f>IF(AN68=12,J68,0)</f>
        <v>0</v>
      </c>
      <c r="AL68" s="7">
        <f>IF(AN68=21,J68,0)</f>
        <v>0</v>
      </c>
      <c r="AN68" s="7">
        <v>21</v>
      </c>
      <c r="AO68" s="7">
        <f>G68*0</f>
        <v>0</v>
      </c>
      <c r="AP68" s="7">
        <f>G68*(1-0)</f>
        <v>0</v>
      </c>
      <c r="AQ68" s="8" t="s">
        <v>87</v>
      </c>
      <c r="AV68" s="7">
        <f>AW68+AX68</f>
        <v>0</v>
      </c>
      <c r="AW68" s="7">
        <f>F68*AO68</f>
        <v>0</v>
      </c>
      <c r="AX68" s="7">
        <f>F68*AP68</f>
        <v>0</v>
      </c>
      <c r="AY68" s="8" t="s">
        <v>133</v>
      </c>
      <c r="AZ68" s="8" t="s">
        <v>187</v>
      </c>
      <c r="BA68" s="5" t="s">
        <v>142</v>
      </c>
      <c r="BC68" s="7">
        <f>AW68+AX68</f>
        <v>0</v>
      </c>
      <c r="BD68" s="7">
        <f>G68/(100-BE68)*100</f>
        <v>0</v>
      </c>
      <c r="BE68" s="7">
        <v>0</v>
      </c>
      <c r="BF68" s="7">
        <f>68</f>
        <v>68</v>
      </c>
      <c r="BH68" s="7">
        <f>F68*AO68</f>
        <v>0</v>
      </c>
      <c r="BI68" s="7">
        <f>F68*AP68</f>
        <v>0</v>
      </c>
      <c r="BJ68" s="7">
        <f>F68*G68</f>
        <v>0</v>
      </c>
      <c r="BK68" s="7"/>
      <c r="BL68" s="7">
        <v>764</v>
      </c>
      <c r="BW68" s="7">
        <v>21</v>
      </c>
      <c r="BX68" s="2" t="s">
        <v>137</v>
      </c>
    </row>
    <row r="69" spans="1:76" x14ac:dyDescent="0.2">
      <c r="A69" s="32" t="s">
        <v>51</v>
      </c>
      <c r="B69" s="33" t="s">
        <v>189</v>
      </c>
      <c r="C69" s="56" t="s">
        <v>190</v>
      </c>
      <c r="D69" s="57"/>
      <c r="E69" s="32" t="s">
        <v>4</v>
      </c>
      <c r="F69" s="32" t="s">
        <v>4</v>
      </c>
      <c r="G69" s="32"/>
      <c r="H69" s="34"/>
      <c r="I69" s="34"/>
      <c r="J69" s="34"/>
      <c r="K69" s="35"/>
      <c r="AI69" s="5" t="s">
        <v>139</v>
      </c>
      <c r="AS69" s="1">
        <f>SUM(AJ70:AJ72)</f>
        <v>0</v>
      </c>
      <c r="AT69" s="1">
        <f>SUM(AK70:AK72)</f>
        <v>0</v>
      </c>
      <c r="AU69" s="1">
        <f>SUM(AL70:AL72)</f>
        <v>0</v>
      </c>
    </row>
    <row r="70" spans="1:76" x14ac:dyDescent="0.2">
      <c r="A70" s="36" t="s">
        <v>191</v>
      </c>
      <c r="B70" s="36" t="s">
        <v>192</v>
      </c>
      <c r="C70" s="51" t="s">
        <v>193</v>
      </c>
      <c r="D70" s="52"/>
      <c r="E70" s="36" t="s">
        <v>180</v>
      </c>
      <c r="F70" s="37">
        <v>1</v>
      </c>
      <c r="G70" s="37"/>
      <c r="H70" s="37"/>
      <c r="I70" s="37"/>
      <c r="J70" s="37">
        <f t="shared" si="0"/>
        <v>0</v>
      </c>
      <c r="K70" s="38"/>
      <c r="Z70" s="7">
        <f>IF(AQ70="5",BJ70,0)</f>
        <v>0</v>
      </c>
      <c r="AB70" s="7">
        <f>IF(AQ70="1",BH70,0)</f>
        <v>0</v>
      </c>
      <c r="AC70" s="7">
        <f>IF(AQ70="1",BI70,0)</f>
        <v>0</v>
      </c>
      <c r="AD70" s="7">
        <f>IF(AQ70="7",BH70,0)</f>
        <v>0</v>
      </c>
      <c r="AE70" s="7">
        <f>IF(AQ70="7",BI70,0)</f>
        <v>0</v>
      </c>
      <c r="AF70" s="7">
        <f>IF(AQ70="2",BH70,0)</f>
        <v>0</v>
      </c>
      <c r="AG70" s="7">
        <f>IF(AQ70="2",BI70,0)</f>
        <v>0</v>
      </c>
      <c r="AH70" s="7">
        <f>IF(AQ70="0",BJ70,0)</f>
        <v>0</v>
      </c>
      <c r="AI70" s="5" t="s">
        <v>139</v>
      </c>
      <c r="AJ70" s="7">
        <f>IF(AN70=0,J70,0)</f>
        <v>0</v>
      </c>
      <c r="AK70" s="7">
        <f>IF(AN70=12,J70,0)</f>
        <v>0</v>
      </c>
      <c r="AL70" s="7">
        <f>IF(AN70=21,J70,0)</f>
        <v>0</v>
      </c>
      <c r="AN70" s="7">
        <v>21</v>
      </c>
      <c r="AO70" s="7">
        <f>G70*1</f>
        <v>0</v>
      </c>
      <c r="AP70" s="7">
        <f>G70*(1-1)</f>
        <v>0</v>
      </c>
      <c r="AQ70" s="8" t="s">
        <v>194</v>
      </c>
      <c r="AV70" s="7">
        <f>AW70+AX70</f>
        <v>0</v>
      </c>
      <c r="AW70" s="7">
        <f>F70*AO70</f>
        <v>0</v>
      </c>
      <c r="AX70" s="7">
        <f>F70*AP70</f>
        <v>0</v>
      </c>
      <c r="AY70" s="8" t="s">
        <v>195</v>
      </c>
      <c r="AZ70" s="8" t="s">
        <v>196</v>
      </c>
      <c r="BA70" s="5" t="s">
        <v>142</v>
      </c>
      <c r="BC70" s="7">
        <f>AW70+AX70</f>
        <v>0</v>
      </c>
      <c r="BD70" s="7">
        <f>G70/(100-BE70)*100</f>
        <v>0</v>
      </c>
      <c r="BE70" s="7">
        <v>0</v>
      </c>
      <c r="BF70" s="7">
        <f>70</f>
        <v>70</v>
      </c>
      <c r="BH70" s="7">
        <f>F70*AO70</f>
        <v>0</v>
      </c>
      <c r="BI70" s="7">
        <f>F70*AP70</f>
        <v>0</v>
      </c>
      <c r="BJ70" s="7">
        <f>F70*G70</f>
        <v>0</v>
      </c>
      <c r="BK70" s="7"/>
      <c r="BL70" s="7"/>
      <c r="BW70" s="7">
        <v>21</v>
      </c>
      <c r="BX70" s="2" t="s">
        <v>193</v>
      </c>
    </row>
    <row r="71" spans="1:76" x14ac:dyDescent="0.2">
      <c r="A71" s="36" t="s">
        <v>197</v>
      </c>
      <c r="B71" s="36" t="s">
        <v>198</v>
      </c>
      <c r="C71" s="51" t="s">
        <v>199</v>
      </c>
      <c r="D71" s="52"/>
      <c r="E71" s="36" t="s">
        <v>180</v>
      </c>
      <c r="F71" s="37">
        <v>1</v>
      </c>
      <c r="G71" s="37"/>
      <c r="H71" s="37"/>
      <c r="I71" s="37"/>
      <c r="J71" s="37">
        <f t="shared" si="0"/>
        <v>0</v>
      </c>
      <c r="K71" s="38"/>
      <c r="Z71" s="7">
        <f>IF(AQ71="5",BJ71,0)</f>
        <v>0</v>
      </c>
      <c r="AB71" s="7">
        <f>IF(AQ71="1",BH71,0)</f>
        <v>0</v>
      </c>
      <c r="AC71" s="7">
        <f>IF(AQ71="1",BI71,0)</f>
        <v>0</v>
      </c>
      <c r="AD71" s="7">
        <f>IF(AQ71="7",BH71,0)</f>
        <v>0</v>
      </c>
      <c r="AE71" s="7">
        <f>IF(AQ71="7",BI71,0)</f>
        <v>0</v>
      </c>
      <c r="AF71" s="7">
        <f>IF(AQ71="2",BH71,0)</f>
        <v>0</v>
      </c>
      <c r="AG71" s="7">
        <f>IF(AQ71="2",BI71,0)</f>
        <v>0</v>
      </c>
      <c r="AH71" s="7">
        <f>IF(AQ71="0",BJ71,0)</f>
        <v>0</v>
      </c>
      <c r="AI71" s="5" t="s">
        <v>139</v>
      </c>
      <c r="AJ71" s="7">
        <f>IF(AN71=0,J71,0)</f>
        <v>0</v>
      </c>
      <c r="AK71" s="7">
        <f>IF(AN71=12,J71,0)</f>
        <v>0</v>
      </c>
      <c r="AL71" s="7">
        <f>IF(AN71=21,J71,0)</f>
        <v>0</v>
      </c>
      <c r="AN71" s="7">
        <v>21</v>
      </c>
      <c r="AO71" s="7">
        <f>G71*1</f>
        <v>0</v>
      </c>
      <c r="AP71" s="7">
        <f>G71*(1-1)</f>
        <v>0</v>
      </c>
      <c r="AQ71" s="8" t="s">
        <v>194</v>
      </c>
      <c r="AV71" s="7">
        <f>AW71+AX71</f>
        <v>0</v>
      </c>
      <c r="AW71" s="7">
        <f>F71*AO71</f>
        <v>0</v>
      </c>
      <c r="AX71" s="7">
        <f>F71*AP71</f>
        <v>0</v>
      </c>
      <c r="AY71" s="8" t="s">
        <v>195</v>
      </c>
      <c r="AZ71" s="8" t="s">
        <v>196</v>
      </c>
      <c r="BA71" s="5" t="s">
        <v>142</v>
      </c>
      <c r="BC71" s="7">
        <f>AW71+AX71</f>
        <v>0</v>
      </c>
      <c r="BD71" s="7">
        <f>G71/(100-BE71)*100</f>
        <v>0</v>
      </c>
      <c r="BE71" s="7">
        <v>0</v>
      </c>
      <c r="BF71" s="7">
        <f>71</f>
        <v>71</v>
      </c>
      <c r="BH71" s="7">
        <f>F71*AO71</f>
        <v>0</v>
      </c>
      <c r="BI71" s="7">
        <f>F71*AP71</f>
        <v>0</v>
      </c>
      <c r="BJ71" s="7">
        <f>F71*G71</f>
        <v>0</v>
      </c>
      <c r="BK71" s="7"/>
      <c r="BL71" s="7"/>
      <c r="BW71" s="7">
        <v>21</v>
      </c>
      <c r="BX71" s="2" t="s">
        <v>199</v>
      </c>
    </row>
    <row r="72" spans="1:76" x14ac:dyDescent="0.2">
      <c r="A72" s="36" t="s">
        <v>200</v>
      </c>
      <c r="B72" s="36" t="s">
        <v>201</v>
      </c>
      <c r="C72" s="51" t="s">
        <v>202</v>
      </c>
      <c r="D72" s="52"/>
      <c r="E72" s="36" t="s">
        <v>180</v>
      </c>
      <c r="F72" s="37">
        <v>1</v>
      </c>
      <c r="G72" s="37"/>
      <c r="H72" s="37"/>
      <c r="I72" s="37"/>
      <c r="J72" s="37">
        <f t="shared" si="0"/>
        <v>0</v>
      </c>
      <c r="K72" s="38"/>
      <c r="Z72" s="7">
        <f>IF(AQ72="5",BJ72,0)</f>
        <v>0</v>
      </c>
      <c r="AB72" s="7">
        <f>IF(AQ72="1",BH72,0)</f>
        <v>0</v>
      </c>
      <c r="AC72" s="7">
        <f>IF(AQ72="1",BI72,0)</f>
        <v>0</v>
      </c>
      <c r="AD72" s="7">
        <f>IF(AQ72="7",BH72,0)</f>
        <v>0</v>
      </c>
      <c r="AE72" s="7">
        <f>IF(AQ72="7",BI72,0)</f>
        <v>0</v>
      </c>
      <c r="AF72" s="7">
        <f>IF(AQ72="2",BH72,0)</f>
        <v>0</v>
      </c>
      <c r="AG72" s="7">
        <f>IF(AQ72="2",BI72,0)</f>
        <v>0</v>
      </c>
      <c r="AH72" s="7">
        <f>IF(AQ72="0",BJ72,0)</f>
        <v>0</v>
      </c>
      <c r="AI72" s="5" t="s">
        <v>139</v>
      </c>
      <c r="AJ72" s="7">
        <f>IF(AN72=0,J72,0)</f>
        <v>0</v>
      </c>
      <c r="AK72" s="7">
        <f>IF(AN72=12,J72,0)</f>
        <v>0</v>
      </c>
      <c r="AL72" s="7">
        <f>IF(AN72=21,J72,0)</f>
        <v>0</v>
      </c>
      <c r="AN72" s="7">
        <v>21</v>
      </c>
      <c r="AO72" s="7">
        <f>G72*1</f>
        <v>0</v>
      </c>
      <c r="AP72" s="7">
        <f>G72*(1-1)</f>
        <v>0</v>
      </c>
      <c r="AQ72" s="8" t="s">
        <v>194</v>
      </c>
      <c r="AV72" s="7">
        <f>AW72+AX72</f>
        <v>0</v>
      </c>
      <c r="AW72" s="7">
        <f>F72*AO72</f>
        <v>0</v>
      </c>
      <c r="AX72" s="7">
        <f>F72*AP72</f>
        <v>0</v>
      </c>
      <c r="AY72" s="8" t="s">
        <v>195</v>
      </c>
      <c r="AZ72" s="8" t="s">
        <v>196</v>
      </c>
      <c r="BA72" s="5" t="s">
        <v>142</v>
      </c>
      <c r="BC72" s="7">
        <f>AW72+AX72</f>
        <v>0</v>
      </c>
      <c r="BD72" s="7">
        <f>G72/(100-BE72)*100</f>
        <v>0</v>
      </c>
      <c r="BE72" s="7">
        <v>0</v>
      </c>
      <c r="BF72" s="7">
        <f>72</f>
        <v>72</v>
      </c>
      <c r="BH72" s="7">
        <f>F72*AO72</f>
        <v>0</v>
      </c>
      <c r="BI72" s="7">
        <f>F72*AP72</f>
        <v>0</v>
      </c>
      <c r="BJ72" s="7">
        <f>F72*G72</f>
        <v>0</v>
      </c>
      <c r="BK72" s="7"/>
      <c r="BL72" s="7"/>
      <c r="BW72" s="7">
        <v>21</v>
      </c>
      <c r="BX72" s="2" t="s">
        <v>202</v>
      </c>
    </row>
    <row r="73" spans="1:76" x14ac:dyDescent="0.2">
      <c r="A73" s="28" t="s">
        <v>51</v>
      </c>
      <c r="B73" s="29" t="s">
        <v>51</v>
      </c>
      <c r="C73" s="58" t="s">
        <v>203</v>
      </c>
      <c r="D73" s="59"/>
      <c r="E73" s="28" t="s">
        <v>4</v>
      </c>
      <c r="F73" s="28" t="s">
        <v>4</v>
      </c>
      <c r="G73" s="28"/>
      <c r="H73" s="30"/>
      <c r="I73" s="30"/>
      <c r="J73" s="30"/>
      <c r="K73" s="31"/>
    </row>
    <row r="74" spans="1:76" x14ac:dyDescent="0.2">
      <c r="A74" s="32" t="s">
        <v>51</v>
      </c>
      <c r="B74" s="33" t="s">
        <v>53</v>
      </c>
      <c r="C74" s="56" t="s">
        <v>54</v>
      </c>
      <c r="D74" s="57"/>
      <c r="E74" s="32" t="s">
        <v>4</v>
      </c>
      <c r="F74" s="32" t="s">
        <v>4</v>
      </c>
      <c r="G74" s="32"/>
      <c r="H74" s="34"/>
      <c r="I74" s="34"/>
      <c r="J74" s="34"/>
      <c r="K74" s="35"/>
      <c r="AI74" s="5" t="s">
        <v>204</v>
      </c>
      <c r="AS74" s="1">
        <f>SUM(AJ75:AJ78)</f>
        <v>0</v>
      </c>
      <c r="AT74" s="1">
        <f>SUM(AK75:AK78)</f>
        <v>0</v>
      </c>
      <c r="AU74" s="1">
        <f>SUM(AL75:AL78)</f>
        <v>0</v>
      </c>
    </row>
    <row r="75" spans="1:76" x14ac:dyDescent="0.2">
      <c r="A75" s="36" t="s">
        <v>205</v>
      </c>
      <c r="B75" s="36" t="s">
        <v>57</v>
      </c>
      <c r="C75" s="51" t="s">
        <v>58</v>
      </c>
      <c r="D75" s="52"/>
      <c r="E75" s="36" t="s">
        <v>59</v>
      </c>
      <c r="F75" s="37">
        <v>1197</v>
      </c>
      <c r="G75" s="37"/>
      <c r="H75" s="37"/>
      <c r="I75" s="37"/>
      <c r="J75" s="37">
        <f t="shared" si="0"/>
        <v>0</v>
      </c>
      <c r="K75" s="38"/>
      <c r="Z75" s="7">
        <f>IF(AQ75="5",BJ75,0)</f>
        <v>0</v>
      </c>
      <c r="AB75" s="7">
        <f>IF(AQ75="1",BH75,0)</f>
        <v>0</v>
      </c>
      <c r="AC75" s="7">
        <f>IF(AQ75="1",BI75,0)</f>
        <v>0</v>
      </c>
      <c r="AD75" s="7">
        <f>IF(AQ75="7",BH75,0)</f>
        <v>0</v>
      </c>
      <c r="AE75" s="7">
        <f>IF(AQ75="7",BI75,0)</f>
        <v>0</v>
      </c>
      <c r="AF75" s="7">
        <f>IF(AQ75="2",BH75,0)</f>
        <v>0</v>
      </c>
      <c r="AG75" s="7">
        <f>IF(AQ75="2",BI75,0)</f>
        <v>0</v>
      </c>
      <c r="AH75" s="7">
        <f>IF(AQ75="0",BJ75,0)</f>
        <v>0</v>
      </c>
      <c r="AI75" s="5" t="s">
        <v>204</v>
      </c>
      <c r="AJ75" s="7">
        <f>IF(AN75=0,J75,0)</f>
        <v>0</v>
      </c>
      <c r="AK75" s="7">
        <f>IF(AN75=12,J75,0)</f>
        <v>0</v>
      </c>
      <c r="AL75" s="7">
        <f>IF(AN75=21,J75,0)</f>
        <v>0</v>
      </c>
      <c r="AN75" s="7">
        <v>21</v>
      </c>
      <c r="AO75" s="7">
        <f>G75*0</f>
        <v>0</v>
      </c>
      <c r="AP75" s="7">
        <f>G75*(1-0)</f>
        <v>0</v>
      </c>
      <c r="AQ75" s="8" t="s">
        <v>56</v>
      </c>
      <c r="AV75" s="7">
        <f>AW75+AX75</f>
        <v>0</v>
      </c>
      <c r="AW75" s="7">
        <f>F75*AO75</f>
        <v>0</v>
      </c>
      <c r="AX75" s="7">
        <f>F75*AP75</f>
        <v>0</v>
      </c>
      <c r="AY75" s="8" t="s">
        <v>60</v>
      </c>
      <c r="AZ75" s="8" t="s">
        <v>206</v>
      </c>
      <c r="BA75" s="5" t="s">
        <v>207</v>
      </c>
      <c r="BC75" s="7">
        <f>AW75+AX75</f>
        <v>0</v>
      </c>
      <c r="BD75" s="7">
        <f>G75/(100-BE75)*100</f>
        <v>0</v>
      </c>
      <c r="BE75" s="7">
        <v>0</v>
      </c>
      <c r="BF75" s="7">
        <f>75</f>
        <v>75</v>
      </c>
      <c r="BH75" s="7">
        <f>F75*AO75</f>
        <v>0</v>
      </c>
      <c r="BI75" s="7">
        <f>F75*AP75</f>
        <v>0</v>
      </c>
      <c r="BJ75" s="7">
        <f>F75*G75</f>
        <v>0</v>
      </c>
      <c r="BK75" s="7"/>
      <c r="BL75" s="7">
        <v>94</v>
      </c>
      <c r="BW75" s="7">
        <v>21</v>
      </c>
      <c r="BX75" s="2" t="s">
        <v>58</v>
      </c>
    </row>
    <row r="76" spans="1:76" x14ac:dyDescent="0.2">
      <c r="A76" s="36" t="s">
        <v>208</v>
      </c>
      <c r="B76" s="36" t="s">
        <v>64</v>
      </c>
      <c r="C76" s="51" t="s">
        <v>65</v>
      </c>
      <c r="D76" s="52"/>
      <c r="E76" s="36" t="s">
        <v>59</v>
      </c>
      <c r="F76" s="37">
        <v>3591</v>
      </c>
      <c r="G76" s="37"/>
      <c r="H76" s="37"/>
      <c r="I76" s="37"/>
      <c r="J76" s="37">
        <f t="shared" si="0"/>
        <v>0</v>
      </c>
      <c r="K76" s="38"/>
      <c r="Z76" s="7">
        <f>IF(AQ76="5",BJ76,0)</f>
        <v>0</v>
      </c>
      <c r="AB76" s="7">
        <f>IF(AQ76="1",BH76,0)</f>
        <v>0</v>
      </c>
      <c r="AC76" s="7">
        <f>IF(AQ76="1",BI76,0)</f>
        <v>0</v>
      </c>
      <c r="AD76" s="7">
        <f>IF(AQ76="7",BH76,0)</f>
        <v>0</v>
      </c>
      <c r="AE76" s="7">
        <f>IF(AQ76="7",BI76,0)</f>
        <v>0</v>
      </c>
      <c r="AF76" s="7">
        <f>IF(AQ76="2",BH76,0)</f>
        <v>0</v>
      </c>
      <c r="AG76" s="7">
        <f>IF(AQ76="2",BI76,0)</f>
        <v>0</v>
      </c>
      <c r="AH76" s="7">
        <f>IF(AQ76="0",BJ76,0)</f>
        <v>0</v>
      </c>
      <c r="AI76" s="5" t="s">
        <v>204</v>
      </c>
      <c r="AJ76" s="7">
        <f>IF(AN76=0,J76,0)</f>
        <v>0</v>
      </c>
      <c r="AK76" s="7">
        <f>IF(AN76=12,J76,0)</f>
        <v>0</v>
      </c>
      <c r="AL76" s="7">
        <f>IF(AN76=21,J76,0)</f>
        <v>0</v>
      </c>
      <c r="AN76" s="7">
        <v>21</v>
      </c>
      <c r="AO76" s="7">
        <f>G76*0</f>
        <v>0</v>
      </c>
      <c r="AP76" s="7">
        <f>G76*(1-0)</f>
        <v>0</v>
      </c>
      <c r="AQ76" s="8" t="s">
        <v>56</v>
      </c>
      <c r="AV76" s="7">
        <f>AW76+AX76</f>
        <v>0</v>
      </c>
      <c r="AW76" s="7">
        <f>F76*AO76</f>
        <v>0</v>
      </c>
      <c r="AX76" s="7">
        <f>F76*AP76</f>
        <v>0</v>
      </c>
      <c r="AY76" s="8" t="s">
        <v>60</v>
      </c>
      <c r="AZ76" s="8" t="s">
        <v>206</v>
      </c>
      <c r="BA76" s="5" t="s">
        <v>207</v>
      </c>
      <c r="BC76" s="7">
        <f>AW76+AX76</f>
        <v>0</v>
      </c>
      <c r="BD76" s="7">
        <f>G76/(100-BE76)*100</f>
        <v>0</v>
      </c>
      <c r="BE76" s="7">
        <v>0</v>
      </c>
      <c r="BF76" s="7">
        <f>76</f>
        <v>76</v>
      </c>
      <c r="BH76" s="7">
        <f>F76*AO76</f>
        <v>0</v>
      </c>
      <c r="BI76" s="7">
        <f>F76*AP76</f>
        <v>0</v>
      </c>
      <c r="BJ76" s="7">
        <f>F76*G76</f>
        <v>0</v>
      </c>
      <c r="BK76" s="7"/>
      <c r="BL76" s="7">
        <v>94</v>
      </c>
      <c r="BW76" s="7">
        <v>21</v>
      </c>
      <c r="BX76" s="2" t="s">
        <v>65</v>
      </c>
    </row>
    <row r="77" spans="1:76" x14ac:dyDescent="0.2">
      <c r="A77" s="36" t="s">
        <v>209</v>
      </c>
      <c r="B77" s="36" t="s">
        <v>67</v>
      </c>
      <c r="C77" s="51" t="s">
        <v>68</v>
      </c>
      <c r="D77" s="52"/>
      <c r="E77" s="36" t="s">
        <v>59</v>
      </c>
      <c r="F77" s="37">
        <v>1197</v>
      </c>
      <c r="G77" s="37"/>
      <c r="H77" s="37"/>
      <c r="I77" s="37"/>
      <c r="J77" s="37">
        <f t="shared" si="0"/>
        <v>0</v>
      </c>
      <c r="K77" s="38"/>
      <c r="Z77" s="7">
        <f>IF(AQ77="5",BJ77,0)</f>
        <v>0</v>
      </c>
      <c r="AB77" s="7">
        <f>IF(AQ77="1",BH77,0)</f>
        <v>0</v>
      </c>
      <c r="AC77" s="7">
        <f>IF(AQ77="1",BI77,0)</f>
        <v>0</v>
      </c>
      <c r="AD77" s="7">
        <f>IF(AQ77="7",BH77,0)</f>
        <v>0</v>
      </c>
      <c r="AE77" s="7">
        <f>IF(AQ77="7",BI77,0)</f>
        <v>0</v>
      </c>
      <c r="AF77" s="7">
        <f>IF(AQ77="2",BH77,0)</f>
        <v>0</v>
      </c>
      <c r="AG77" s="7">
        <f>IF(AQ77="2",BI77,0)</f>
        <v>0</v>
      </c>
      <c r="AH77" s="7">
        <f>IF(AQ77="0",BJ77,0)</f>
        <v>0</v>
      </c>
      <c r="AI77" s="5" t="s">
        <v>204</v>
      </c>
      <c r="AJ77" s="7">
        <f>IF(AN77=0,J77,0)</f>
        <v>0</v>
      </c>
      <c r="AK77" s="7">
        <f>IF(AN77=12,J77,0)</f>
        <v>0</v>
      </c>
      <c r="AL77" s="7">
        <f>IF(AN77=21,J77,0)</f>
        <v>0</v>
      </c>
      <c r="AN77" s="7">
        <v>21</v>
      </c>
      <c r="AO77" s="7">
        <f>G77*0.001212121</f>
        <v>0</v>
      </c>
      <c r="AP77" s="7">
        <f>G77*(1-0.001212121)</f>
        <v>0</v>
      </c>
      <c r="AQ77" s="8" t="s">
        <v>56</v>
      </c>
      <c r="AV77" s="7">
        <f>AW77+AX77</f>
        <v>0</v>
      </c>
      <c r="AW77" s="7">
        <f>F77*AO77</f>
        <v>0</v>
      </c>
      <c r="AX77" s="7">
        <f>F77*AP77</f>
        <v>0</v>
      </c>
      <c r="AY77" s="8" t="s">
        <v>60</v>
      </c>
      <c r="AZ77" s="8" t="s">
        <v>206</v>
      </c>
      <c r="BA77" s="5" t="s">
        <v>207</v>
      </c>
      <c r="BC77" s="7">
        <f>AW77+AX77</f>
        <v>0</v>
      </c>
      <c r="BD77" s="7">
        <f>G77/(100-BE77)*100</f>
        <v>0</v>
      </c>
      <c r="BE77" s="7">
        <v>0</v>
      </c>
      <c r="BF77" s="7">
        <f>77</f>
        <v>77</v>
      </c>
      <c r="BH77" s="7">
        <f>F77*AO77</f>
        <v>0</v>
      </c>
      <c r="BI77" s="7">
        <f>F77*AP77</f>
        <v>0</v>
      </c>
      <c r="BJ77" s="7">
        <f>F77*G77</f>
        <v>0</v>
      </c>
      <c r="BK77" s="7"/>
      <c r="BL77" s="7">
        <v>94</v>
      </c>
      <c r="BW77" s="7">
        <v>21</v>
      </c>
      <c r="BX77" s="2" t="s">
        <v>68</v>
      </c>
    </row>
    <row r="78" spans="1:76" x14ac:dyDescent="0.2">
      <c r="A78" s="36" t="s">
        <v>210</v>
      </c>
      <c r="B78" s="36" t="s">
        <v>70</v>
      </c>
      <c r="C78" s="51" t="s">
        <v>71</v>
      </c>
      <c r="D78" s="52"/>
      <c r="E78" s="36" t="s">
        <v>72</v>
      </c>
      <c r="F78" s="37">
        <v>1197</v>
      </c>
      <c r="G78" s="37"/>
      <c r="H78" s="37"/>
      <c r="I78" s="37"/>
      <c r="J78" s="37">
        <f t="shared" si="0"/>
        <v>0</v>
      </c>
      <c r="K78" s="38"/>
      <c r="Z78" s="7">
        <f>IF(AQ78="5",BJ78,0)</f>
        <v>0</v>
      </c>
      <c r="AB78" s="7">
        <f>IF(AQ78="1",BH78,0)</f>
        <v>0</v>
      </c>
      <c r="AC78" s="7">
        <f>IF(AQ78="1",BI78,0)</f>
        <v>0</v>
      </c>
      <c r="AD78" s="7">
        <f>IF(AQ78="7",BH78,0)</f>
        <v>0</v>
      </c>
      <c r="AE78" s="7">
        <f>IF(AQ78="7",BI78,0)</f>
        <v>0</v>
      </c>
      <c r="AF78" s="7">
        <f>IF(AQ78="2",BH78,0)</f>
        <v>0</v>
      </c>
      <c r="AG78" s="7">
        <f>IF(AQ78="2",BI78,0)</f>
        <v>0</v>
      </c>
      <c r="AH78" s="7">
        <f>IF(AQ78="0",BJ78,0)</f>
        <v>0</v>
      </c>
      <c r="AI78" s="5" t="s">
        <v>204</v>
      </c>
      <c r="AJ78" s="7">
        <f>IF(AN78=0,J78,0)</f>
        <v>0</v>
      </c>
      <c r="AK78" s="7">
        <f>IF(AN78=12,J78,0)</f>
        <v>0</v>
      </c>
      <c r="AL78" s="7">
        <f>IF(AN78=21,J78,0)</f>
        <v>0</v>
      </c>
      <c r="AN78" s="7">
        <v>21</v>
      </c>
      <c r="AO78" s="7">
        <f>G78*0</f>
        <v>0</v>
      </c>
      <c r="AP78" s="7">
        <f>G78*(1-0)</f>
        <v>0</v>
      </c>
      <c r="AQ78" s="8" t="s">
        <v>56</v>
      </c>
      <c r="AV78" s="7">
        <f>AW78+AX78</f>
        <v>0</v>
      </c>
      <c r="AW78" s="7">
        <f>F78*AO78</f>
        <v>0</v>
      </c>
      <c r="AX78" s="7">
        <f>F78*AP78</f>
        <v>0</v>
      </c>
      <c r="AY78" s="8" t="s">
        <v>60</v>
      </c>
      <c r="AZ78" s="8" t="s">
        <v>206</v>
      </c>
      <c r="BA78" s="5" t="s">
        <v>207</v>
      </c>
      <c r="BC78" s="7">
        <f>AW78+AX78</f>
        <v>0</v>
      </c>
      <c r="BD78" s="7">
        <f>G78/(100-BE78)*100</f>
        <v>0</v>
      </c>
      <c r="BE78" s="7">
        <v>0</v>
      </c>
      <c r="BF78" s="7">
        <f>78</f>
        <v>78</v>
      </c>
      <c r="BH78" s="7">
        <f>F78*AO78</f>
        <v>0</v>
      </c>
      <c r="BI78" s="7">
        <f>F78*AP78</f>
        <v>0</v>
      </c>
      <c r="BJ78" s="7">
        <f>F78*G78</f>
        <v>0</v>
      </c>
      <c r="BK78" s="7"/>
      <c r="BL78" s="7">
        <v>94</v>
      </c>
      <c r="BW78" s="7">
        <v>21</v>
      </c>
      <c r="BX78" s="2" t="s">
        <v>71</v>
      </c>
    </row>
    <row r="79" spans="1:76" x14ac:dyDescent="0.2">
      <c r="A79" s="32" t="s">
        <v>51</v>
      </c>
      <c r="B79" s="33" t="s">
        <v>73</v>
      </c>
      <c r="C79" s="56" t="s">
        <v>74</v>
      </c>
      <c r="D79" s="57"/>
      <c r="E79" s="32" t="s">
        <v>4</v>
      </c>
      <c r="F79" s="32" t="s">
        <v>4</v>
      </c>
      <c r="G79" s="32"/>
      <c r="H79" s="34"/>
      <c r="I79" s="34"/>
      <c r="J79" s="34"/>
      <c r="K79" s="35"/>
      <c r="AI79" s="5" t="s">
        <v>204</v>
      </c>
      <c r="AS79" s="1">
        <f>SUM(AJ80:AJ80)</f>
        <v>0</v>
      </c>
      <c r="AT79" s="1">
        <f>SUM(AK80:AK80)</f>
        <v>0</v>
      </c>
      <c r="AU79" s="1">
        <f>SUM(AL80:AL80)</f>
        <v>0</v>
      </c>
    </row>
    <row r="80" spans="1:76" x14ac:dyDescent="0.2">
      <c r="A80" s="36" t="s">
        <v>211</v>
      </c>
      <c r="B80" s="36" t="s">
        <v>76</v>
      </c>
      <c r="C80" s="51" t="s">
        <v>77</v>
      </c>
      <c r="D80" s="52"/>
      <c r="E80" s="36" t="s">
        <v>78</v>
      </c>
      <c r="F80" s="37">
        <v>53.3</v>
      </c>
      <c r="G80" s="37"/>
      <c r="H80" s="37"/>
      <c r="I80" s="37"/>
      <c r="J80" s="37">
        <f t="shared" ref="J79:J110" si="39">F80*G80</f>
        <v>0</v>
      </c>
      <c r="K80" s="38"/>
      <c r="Z80" s="7">
        <f>IF(AQ80="5",BJ80,0)</f>
        <v>0</v>
      </c>
      <c r="AB80" s="7">
        <f>IF(AQ80="1",BH80,0)</f>
        <v>0</v>
      </c>
      <c r="AC80" s="7">
        <f>IF(AQ80="1",BI80,0)</f>
        <v>0</v>
      </c>
      <c r="AD80" s="7">
        <f>IF(AQ80="7",BH80,0)</f>
        <v>0</v>
      </c>
      <c r="AE80" s="7">
        <f>IF(AQ80="7",BI80,0)</f>
        <v>0</v>
      </c>
      <c r="AF80" s="7">
        <f>IF(AQ80="2",BH80,0)</f>
        <v>0</v>
      </c>
      <c r="AG80" s="7">
        <f>IF(AQ80="2",BI80,0)</f>
        <v>0</v>
      </c>
      <c r="AH80" s="7">
        <f>IF(AQ80="0",BJ80,0)</f>
        <v>0</v>
      </c>
      <c r="AI80" s="5" t="s">
        <v>204</v>
      </c>
      <c r="AJ80" s="7">
        <f>IF(AN80=0,J80,0)</f>
        <v>0</v>
      </c>
      <c r="AK80" s="7">
        <f>IF(AN80=12,J80,0)</f>
        <v>0</v>
      </c>
      <c r="AL80" s="7">
        <f>IF(AN80=21,J80,0)</f>
        <v>0</v>
      </c>
      <c r="AN80" s="7">
        <v>21</v>
      </c>
      <c r="AO80" s="7">
        <f>G80*0</f>
        <v>0</v>
      </c>
      <c r="AP80" s="7">
        <f>G80*(1-0)</f>
        <v>0</v>
      </c>
      <c r="AQ80" s="8" t="s">
        <v>75</v>
      </c>
      <c r="AV80" s="7">
        <f>AW80+AX80</f>
        <v>0</v>
      </c>
      <c r="AW80" s="7">
        <f>F80*AO80</f>
        <v>0</v>
      </c>
      <c r="AX80" s="7">
        <f>F80*AP80</f>
        <v>0</v>
      </c>
      <c r="AY80" s="8" t="s">
        <v>79</v>
      </c>
      <c r="AZ80" s="8" t="s">
        <v>206</v>
      </c>
      <c r="BA80" s="5" t="s">
        <v>207</v>
      </c>
      <c r="BC80" s="7">
        <f>AW80+AX80</f>
        <v>0</v>
      </c>
      <c r="BD80" s="7">
        <f>G80/(100-BE80)*100</f>
        <v>0</v>
      </c>
      <c r="BE80" s="7">
        <v>0</v>
      </c>
      <c r="BF80" s="7">
        <f>80</f>
        <v>80</v>
      </c>
      <c r="BH80" s="7">
        <f>F80*AO80</f>
        <v>0</v>
      </c>
      <c r="BI80" s="7">
        <f>F80*AP80</f>
        <v>0</v>
      </c>
      <c r="BJ80" s="7">
        <f>F80*G80</f>
        <v>0</v>
      </c>
      <c r="BK80" s="7"/>
      <c r="BL80" s="7"/>
      <c r="BW80" s="7">
        <v>21</v>
      </c>
      <c r="BX80" s="2" t="s">
        <v>77</v>
      </c>
    </row>
    <row r="81" spans="1:76" x14ac:dyDescent="0.2">
      <c r="A81" s="32" t="s">
        <v>51</v>
      </c>
      <c r="B81" s="33" t="s">
        <v>212</v>
      </c>
      <c r="C81" s="56" t="s">
        <v>213</v>
      </c>
      <c r="D81" s="57"/>
      <c r="E81" s="32" t="s">
        <v>4</v>
      </c>
      <c r="F81" s="32" t="s">
        <v>4</v>
      </c>
      <c r="G81" s="32"/>
      <c r="H81" s="34"/>
      <c r="I81" s="34"/>
      <c r="J81" s="34"/>
      <c r="K81" s="35"/>
      <c r="AI81" s="5" t="s">
        <v>204</v>
      </c>
      <c r="AS81" s="1">
        <f>SUM(AJ82:AJ82)</f>
        <v>0</v>
      </c>
      <c r="AT81" s="1">
        <f>SUM(AK82:AK82)</f>
        <v>0</v>
      </c>
      <c r="AU81" s="1">
        <f>SUM(AL82:AL82)</f>
        <v>0</v>
      </c>
    </row>
    <row r="82" spans="1:76" x14ac:dyDescent="0.2">
      <c r="A82" s="36" t="s">
        <v>214</v>
      </c>
      <c r="B82" s="36" t="s">
        <v>215</v>
      </c>
      <c r="C82" s="51" t="s">
        <v>216</v>
      </c>
      <c r="D82" s="52"/>
      <c r="E82" s="36" t="s">
        <v>217</v>
      </c>
      <c r="F82" s="37">
        <v>1</v>
      </c>
      <c r="G82" s="37"/>
      <c r="H82" s="37"/>
      <c r="I82" s="37"/>
      <c r="J82" s="37">
        <f t="shared" si="39"/>
        <v>0</v>
      </c>
      <c r="K82" s="38"/>
      <c r="Z82" s="7">
        <f>IF(AQ82="5",BJ82,0)</f>
        <v>0</v>
      </c>
      <c r="AB82" s="7">
        <f>IF(AQ82="1",BH82,0)</f>
        <v>0</v>
      </c>
      <c r="AC82" s="7">
        <f>IF(AQ82="1",BI82,0)</f>
        <v>0</v>
      </c>
      <c r="AD82" s="7">
        <f>IF(AQ82="7",BH82,0)</f>
        <v>0</v>
      </c>
      <c r="AE82" s="7">
        <f>IF(AQ82="7",BI82,0)</f>
        <v>0</v>
      </c>
      <c r="AF82" s="7">
        <f>IF(AQ82="2",BH82,0)</f>
        <v>0</v>
      </c>
      <c r="AG82" s="7">
        <f>IF(AQ82="2",BI82,0)</f>
        <v>0</v>
      </c>
      <c r="AH82" s="7">
        <f>IF(AQ82="0",BJ82,0)</f>
        <v>0</v>
      </c>
      <c r="AI82" s="5" t="s">
        <v>204</v>
      </c>
      <c r="AJ82" s="7">
        <f>IF(AN82=0,J82,0)</f>
        <v>0</v>
      </c>
      <c r="AK82" s="7">
        <f>IF(AN82=12,J82,0)</f>
        <v>0</v>
      </c>
      <c r="AL82" s="7">
        <f>IF(AN82=21,J82,0)</f>
        <v>0</v>
      </c>
      <c r="AN82" s="7">
        <v>21</v>
      </c>
      <c r="AO82" s="7">
        <f>G82*0.184448164</f>
        <v>0</v>
      </c>
      <c r="AP82" s="7">
        <f>G82*(1-0.184448164)</f>
        <v>0</v>
      </c>
      <c r="AQ82" s="8" t="s">
        <v>63</v>
      </c>
      <c r="AV82" s="7">
        <f>AW82+AX82</f>
        <v>0</v>
      </c>
      <c r="AW82" s="7">
        <f>F82*AO82</f>
        <v>0</v>
      </c>
      <c r="AX82" s="7">
        <f>F82*AP82</f>
        <v>0</v>
      </c>
      <c r="AY82" s="8" t="s">
        <v>218</v>
      </c>
      <c r="AZ82" s="8" t="s">
        <v>206</v>
      </c>
      <c r="BA82" s="5" t="s">
        <v>207</v>
      </c>
      <c r="BC82" s="7">
        <f>AW82+AX82</f>
        <v>0</v>
      </c>
      <c r="BD82" s="7">
        <f>G82/(100-BE82)*100</f>
        <v>0</v>
      </c>
      <c r="BE82" s="7">
        <v>0</v>
      </c>
      <c r="BF82" s="7">
        <f>82</f>
        <v>82</v>
      </c>
      <c r="BH82" s="7">
        <f>F82*AO82</f>
        <v>0</v>
      </c>
      <c r="BI82" s="7">
        <f>F82*AP82</f>
        <v>0</v>
      </c>
      <c r="BJ82" s="7">
        <f>F82*G82</f>
        <v>0</v>
      </c>
      <c r="BK82" s="7"/>
      <c r="BL82" s="7"/>
      <c r="BW82" s="7">
        <v>21</v>
      </c>
      <c r="BX82" s="2" t="s">
        <v>216</v>
      </c>
    </row>
    <row r="83" spans="1:76" x14ac:dyDescent="0.2">
      <c r="A83" s="32" t="s">
        <v>51</v>
      </c>
      <c r="B83" s="33" t="s">
        <v>80</v>
      </c>
      <c r="C83" s="56" t="s">
        <v>81</v>
      </c>
      <c r="D83" s="57"/>
      <c r="E83" s="32" t="s">
        <v>4</v>
      </c>
      <c r="F83" s="32" t="s">
        <v>4</v>
      </c>
      <c r="G83" s="32"/>
      <c r="H83" s="34"/>
      <c r="I83" s="34"/>
      <c r="J83" s="34"/>
      <c r="K83" s="35"/>
      <c r="AI83" s="5" t="s">
        <v>204</v>
      </c>
      <c r="AS83" s="1">
        <f>SUM(AJ84:AJ97)</f>
        <v>0</v>
      </c>
      <c r="AT83" s="1">
        <f>SUM(AK84:AK97)</f>
        <v>0</v>
      </c>
      <c r="AU83" s="1">
        <f>SUM(AL84:AL97)</f>
        <v>0</v>
      </c>
    </row>
    <row r="84" spans="1:76" x14ac:dyDescent="0.2">
      <c r="A84" s="36" t="s">
        <v>219</v>
      </c>
      <c r="B84" s="36" t="s">
        <v>83</v>
      </c>
      <c r="C84" s="51" t="s">
        <v>84</v>
      </c>
      <c r="D84" s="52"/>
      <c r="E84" s="36" t="s">
        <v>59</v>
      </c>
      <c r="F84" s="37">
        <v>851.6</v>
      </c>
      <c r="G84" s="37"/>
      <c r="H84" s="37"/>
      <c r="I84" s="37"/>
      <c r="J84" s="37">
        <f t="shared" si="39"/>
        <v>0</v>
      </c>
      <c r="K84" s="38"/>
      <c r="Z84" s="7">
        <f t="shared" ref="Z84:Z97" si="40">IF(AQ84="5",BJ84,0)</f>
        <v>0</v>
      </c>
      <c r="AB84" s="7">
        <f t="shared" ref="AB84:AB97" si="41">IF(AQ84="1",BH84,0)</f>
        <v>0</v>
      </c>
      <c r="AC84" s="7">
        <f t="shared" ref="AC84:AC97" si="42">IF(AQ84="1",BI84,0)</f>
        <v>0</v>
      </c>
      <c r="AD84" s="7">
        <f t="shared" ref="AD84:AD97" si="43">IF(AQ84="7",BH84,0)</f>
        <v>0</v>
      </c>
      <c r="AE84" s="7">
        <f t="shared" ref="AE84:AE97" si="44">IF(AQ84="7",BI84,0)</f>
        <v>0</v>
      </c>
      <c r="AF84" s="7">
        <f t="shared" ref="AF84:AF97" si="45">IF(AQ84="2",BH84,0)</f>
        <v>0</v>
      </c>
      <c r="AG84" s="7">
        <f t="shared" ref="AG84:AG97" si="46">IF(AQ84="2",BI84,0)</f>
        <v>0</v>
      </c>
      <c r="AH84" s="7">
        <f t="shared" ref="AH84:AH97" si="47">IF(AQ84="0",BJ84,0)</f>
        <v>0</v>
      </c>
      <c r="AI84" s="5" t="s">
        <v>204</v>
      </c>
      <c r="AJ84" s="7">
        <f t="shared" ref="AJ84:AJ97" si="48">IF(AN84=0,J84,0)</f>
        <v>0</v>
      </c>
      <c r="AK84" s="7">
        <f t="shared" ref="AK84:AK97" si="49">IF(AN84=12,J84,0)</f>
        <v>0</v>
      </c>
      <c r="AL84" s="7">
        <f t="shared" ref="AL84:AL97" si="50">IF(AN84=21,J84,0)</f>
        <v>0</v>
      </c>
      <c r="AN84" s="7">
        <v>21</v>
      </c>
      <c r="AO84" s="7">
        <f>G84*0.071561051</f>
        <v>0</v>
      </c>
      <c r="AP84" s="7">
        <f>G84*(1-0.071561051)</f>
        <v>0</v>
      </c>
      <c r="AQ84" s="8" t="s">
        <v>56</v>
      </c>
      <c r="AV84" s="7">
        <f t="shared" ref="AV84:AV97" si="51">AW84+AX84</f>
        <v>0</v>
      </c>
      <c r="AW84" s="7">
        <f t="shared" ref="AW84:AW97" si="52">F84*AO84</f>
        <v>0</v>
      </c>
      <c r="AX84" s="7">
        <f t="shared" ref="AX84:AX97" si="53">F84*AP84</f>
        <v>0</v>
      </c>
      <c r="AY84" s="8" t="s">
        <v>85</v>
      </c>
      <c r="AZ84" s="8" t="s">
        <v>220</v>
      </c>
      <c r="BA84" s="5" t="s">
        <v>207</v>
      </c>
      <c r="BC84" s="7">
        <f t="shared" ref="BC84:BC97" si="54">AW84+AX84</f>
        <v>0</v>
      </c>
      <c r="BD84" s="7">
        <f t="shared" ref="BD84:BD97" si="55">G84/(100-BE84)*100</f>
        <v>0</v>
      </c>
      <c r="BE84" s="7">
        <v>0</v>
      </c>
      <c r="BF84" s="7">
        <f>84</f>
        <v>84</v>
      </c>
      <c r="BH84" s="7">
        <f t="shared" ref="BH84:BH97" si="56">F84*AO84</f>
        <v>0</v>
      </c>
      <c r="BI84" s="7">
        <f t="shared" ref="BI84:BI97" si="57">F84*AP84</f>
        <v>0</v>
      </c>
      <c r="BJ84" s="7">
        <f t="shared" ref="BJ84:BJ97" si="58">F84*G84</f>
        <v>0</v>
      </c>
      <c r="BK84" s="7"/>
      <c r="BL84" s="7">
        <v>62</v>
      </c>
      <c r="BW84" s="7">
        <v>21</v>
      </c>
      <c r="BX84" s="2" t="s">
        <v>84</v>
      </c>
    </row>
    <row r="85" spans="1:76" x14ac:dyDescent="0.2">
      <c r="A85" s="36" t="s">
        <v>221</v>
      </c>
      <c r="B85" s="36" t="s">
        <v>88</v>
      </c>
      <c r="C85" s="51" t="s">
        <v>89</v>
      </c>
      <c r="D85" s="52"/>
      <c r="E85" s="36" t="s">
        <v>59</v>
      </c>
      <c r="F85" s="37">
        <v>104.4</v>
      </c>
      <c r="G85" s="37"/>
      <c r="H85" s="37"/>
      <c r="I85" s="37"/>
      <c r="J85" s="37">
        <f t="shared" si="39"/>
        <v>0</v>
      </c>
      <c r="K85" s="38"/>
      <c r="Z85" s="7">
        <f t="shared" si="40"/>
        <v>0</v>
      </c>
      <c r="AB85" s="7">
        <f t="shared" si="41"/>
        <v>0</v>
      </c>
      <c r="AC85" s="7">
        <f t="shared" si="42"/>
        <v>0</v>
      </c>
      <c r="AD85" s="7">
        <f t="shared" si="43"/>
        <v>0</v>
      </c>
      <c r="AE85" s="7">
        <f t="shared" si="44"/>
        <v>0</v>
      </c>
      <c r="AF85" s="7">
        <f t="shared" si="45"/>
        <v>0</v>
      </c>
      <c r="AG85" s="7">
        <f t="shared" si="46"/>
        <v>0</v>
      </c>
      <c r="AH85" s="7">
        <f t="shared" si="47"/>
        <v>0</v>
      </c>
      <c r="AI85" s="5" t="s">
        <v>204</v>
      </c>
      <c r="AJ85" s="7">
        <f t="shared" si="48"/>
        <v>0</v>
      </c>
      <c r="AK85" s="7">
        <f t="shared" si="49"/>
        <v>0</v>
      </c>
      <c r="AL85" s="7">
        <f t="shared" si="50"/>
        <v>0</v>
      </c>
      <c r="AN85" s="7">
        <v>21</v>
      </c>
      <c r="AO85" s="7">
        <f>G85*0.322160149</f>
        <v>0</v>
      </c>
      <c r="AP85" s="7">
        <f>G85*(1-0.322160149)</f>
        <v>0</v>
      </c>
      <c r="AQ85" s="8" t="s">
        <v>56</v>
      </c>
      <c r="AV85" s="7">
        <f t="shared" si="51"/>
        <v>0</v>
      </c>
      <c r="AW85" s="7">
        <f t="shared" si="52"/>
        <v>0</v>
      </c>
      <c r="AX85" s="7">
        <f t="shared" si="53"/>
        <v>0</v>
      </c>
      <c r="AY85" s="8" t="s">
        <v>85</v>
      </c>
      <c r="AZ85" s="8" t="s">
        <v>220</v>
      </c>
      <c r="BA85" s="5" t="s">
        <v>207</v>
      </c>
      <c r="BC85" s="7">
        <f t="shared" si="54"/>
        <v>0</v>
      </c>
      <c r="BD85" s="7">
        <f t="shared" si="55"/>
        <v>0</v>
      </c>
      <c r="BE85" s="7">
        <v>0</v>
      </c>
      <c r="BF85" s="7">
        <f>85</f>
        <v>85</v>
      </c>
      <c r="BH85" s="7">
        <f t="shared" si="56"/>
        <v>0</v>
      </c>
      <c r="BI85" s="7">
        <f t="shared" si="57"/>
        <v>0</v>
      </c>
      <c r="BJ85" s="7">
        <f t="shared" si="58"/>
        <v>0</v>
      </c>
      <c r="BK85" s="7"/>
      <c r="BL85" s="7">
        <v>62</v>
      </c>
      <c r="BW85" s="7">
        <v>21</v>
      </c>
      <c r="BX85" s="2" t="s">
        <v>89</v>
      </c>
    </row>
    <row r="86" spans="1:76" x14ac:dyDescent="0.2">
      <c r="A86" s="36" t="s">
        <v>222</v>
      </c>
      <c r="B86" s="36" t="s">
        <v>91</v>
      </c>
      <c r="C86" s="51" t="s">
        <v>92</v>
      </c>
      <c r="D86" s="52"/>
      <c r="E86" s="36" t="s">
        <v>93</v>
      </c>
      <c r="F86" s="37">
        <v>69.599999999999994</v>
      </c>
      <c r="G86" s="37"/>
      <c r="H86" s="37"/>
      <c r="I86" s="37"/>
      <c r="J86" s="37">
        <f t="shared" si="39"/>
        <v>0</v>
      </c>
      <c r="K86" s="38"/>
      <c r="Z86" s="7">
        <f t="shared" si="40"/>
        <v>0</v>
      </c>
      <c r="AB86" s="7">
        <f t="shared" si="41"/>
        <v>0</v>
      </c>
      <c r="AC86" s="7">
        <f t="shared" si="42"/>
        <v>0</v>
      </c>
      <c r="AD86" s="7">
        <f t="shared" si="43"/>
        <v>0</v>
      </c>
      <c r="AE86" s="7">
        <f t="shared" si="44"/>
        <v>0</v>
      </c>
      <c r="AF86" s="7">
        <f t="shared" si="45"/>
        <v>0</v>
      </c>
      <c r="AG86" s="7">
        <f t="shared" si="46"/>
        <v>0</v>
      </c>
      <c r="AH86" s="7">
        <f t="shared" si="47"/>
        <v>0</v>
      </c>
      <c r="AI86" s="5" t="s">
        <v>204</v>
      </c>
      <c r="AJ86" s="7">
        <f t="shared" si="48"/>
        <v>0</v>
      </c>
      <c r="AK86" s="7">
        <f t="shared" si="49"/>
        <v>0</v>
      </c>
      <c r="AL86" s="7">
        <f t="shared" si="50"/>
        <v>0</v>
      </c>
      <c r="AN86" s="7">
        <v>21</v>
      </c>
      <c r="AO86" s="7">
        <f>G86*0.237219731</f>
        <v>0</v>
      </c>
      <c r="AP86" s="7">
        <f>G86*(1-0.237219731)</f>
        <v>0</v>
      </c>
      <c r="AQ86" s="8" t="s">
        <v>56</v>
      </c>
      <c r="AV86" s="7">
        <f t="shared" si="51"/>
        <v>0</v>
      </c>
      <c r="AW86" s="7">
        <f t="shared" si="52"/>
        <v>0</v>
      </c>
      <c r="AX86" s="7">
        <f t="shared" si="53"/>
        <v>0</v>
      </c>
      <c r="AY86" s="8" t="s">
        <v>85</v>
      </c>
      <c r="AZ86" s="8" t="s">
        <v>220</v>
      </c>
      <c r="BA86" s="5" t="s">
        <v>207</v>
      </c>
      <c r="BC86" s="7">
        <f t="shared" si="54"/>
        <v>0</v>
      </c>
      <c r="BD86" s="7">
        <f t="shared" si="55"/>
        <v>0</v>
      </c>
      <c r="BE86" s="7">
        <v>0</v>
      </c>
      <c r="BF86" s="7">
        <f>86</f>
        <v>86</v>
      </c>
      <c r="BH86" s="7">
        <f t="shared" si="56"/>
        <v>0</v>
      </c>
      <c r="BI86" s="7">
        <f t="shared" si="57"/>
        <v>0</v>
      </c>
      <c r="BJ86" s="7">
        <f t="shared" si="58"/>
        <v>0</v>
      </c>
      <c r="BK86" s="7"/>
      <c r="BL86" s="7">
        <v>62</v>
      </c>
      <c r="BW86" s="7">
        <v>21</v>
      </c>
      <c r="BX86" s="2" t="s">
        <v>92</v>
      </c>
    </row>
    <row r="87" spans="1:76" x14ac:dyDescent="0.2">
      <c r="A87" s="36" t="s">
        <v>223</v>
      </c>
      <c r="B87" s="36" t="s">
        <v>95</v>
      </c>
      <c r="C87" s="51" t="s">
        <v>96</v>
      </c>
      <c r="D87" s="52"/>
      <c r="E87" s="36" t="s">
        <v>93</v>
      </c>
      <c r="F87" s="37">
        <v>124</v>
      </c>
      <c r="G87" s="37"/>
      <c r="H87" s="37"/>
      <c r="I87" s="37"/>
      <c r="J87" s="37">
        <f t="shared" si="39"/>
        <v>0</v>
      </c>
      <c r="K87" s="38"/>
      <c r="Z87" s="7">
        <f t="shared" si="40"/>
        <v>0</v>
      </c>
      <c r="AB87" s="7">
        <f t="shared" si="41"/>
        <v>0</v>
      </c>
      <c r="AC87" s="7">
        <f t="shared" si="42"/>
        <v>0</v>
      </c>
      <c r="AD87" s="7">
        <f t="shared" si="43"/>
        <v>0</v>
      </c>
      <c r="AE87" s="7">
        <f t="shared" si="44"/>
        <v>0</v>
      </c>
      <c r="AF87" s="7">
        <f t="shared" si="45"/>
        <v>0</v>
      </c>
      <c r="AG87" s="7">
        <f t="shared" si="46"/>
        <v>0</v>
      </c>
      <c r="AH87" s="7">
        <f t="shared" si="47"/>
        <v>0</v>
      </c>
      <c r="AI87" s="5" t="s">
        <v>204</v>
      </c>
      <c r="AJ87" s="7">
        <f t="shared" si="48"/>
        <v>0</v>
      </c>
      <c r="AK87" s="7">
        <f t="shared" si="49"/>
        <v>0</v>
      </c>
      <c r="AL87" s="7">
        <f t="shared" si="50"/>
        <v>0</v>
      </c>
      <c r="AN87" s="7">
        <v>21</v>
      </c>
      <c r="AO87" s="7">
        <f>G87*0.735841346</f>
        <v>0</v>
      </c>
      <c r="AP87" s="7">
        <f>G87*(1-0.735841346)</f>
        <v>0</v>
      </c>
      <c r="AQ87" s="8" t="s">
        <v>56</v>
      </c>
      <c r="AV87" s="7">
        <f t="shared" si="51"/>
        <v>0</v>
      </c>
      <c r="AW87" s="7">
        <f t="shared" si="52"/>
        <v>0</v>
      </c>
      <c r="AX87" s="7">
        <f t="shared" si="53"/>
        <v>0</v>
      </c>
      <c r="AY87" s="8" t="s">
        <v>85</v>
      </c>
      <c r="AZ87" s="8" t="s">
        <v>220</v>
      </c>
      <c r="BA87" s="5" t="s">
        <v>207</v>
      </c>
      <c r="BC87" s="7">
        <f t="shared" si="54"/>
        <v>0</v>
      </c>
      <c r="BD87" s="7">
        <f t="shared" si="55"/>
        <v>0</v>
      </c>
      <c r="BE87" s="7">
        <v>0</v>
      </c>
      <c r="BF87" s="7">
        <f>87</f>
        <v>87</v>
      </c>
      <c r="BH87" s="7">
        <f t="shared" si="56"/>
        <v>0</v>
      </c>
      <c r="BI87" s="7">
        <f t="shared" si="57"/>
        <v>0</v>
      </c>
      <c r="BJ87" s="7">
        <f t="shared" si="58"/>
        <v>0</v>
      </c>
      <c r="BK87" s="7"/>
      <c r="BL87" s="7">
        <v>62</v>
      </c>
      <c r="BW87" s="7">
        <v>21</v>
      </c>
      <c r="BX87" s="2" t="s">
        <v>96</v>
      </c>
    </row>
    <row r="88" spans="1:76" x14ac:dyDescent="0.2">
      <c r="A88" s="36" t="s">
        <v>224</v>
      </c>
      <c r="B88" s="36" t="s">
        <v>98</v>
      </c>
      <c r="C88" s="51" t="s">
        <v>99</v>
      </c>
      <c r="D88" s="52"/>
      <c r="E88" s="36" t="s">
        <v>93</v>
      </c>
      <c r="F88" s="37">
        <v>243.6</v>
      </c>
      <c r="G88" s="37"/>
      <c r="H88" s="37"/>
      <c r="I88" s="37"/>
      <c r="J88" s="37">
        <f t="shared" si="39"/>
        <v>0</v>
      </c>
      <c r="K88" s="38"/>
      <c r="Z88" s="7">
        <f t="shared" si="40"/>
        <v>0</v>
      </c>
      <c r="AB88" s="7">
        <f t="shared" si="41"/>
        <v>0</v>
      </c>
      <c r="AC88" s="7">
        <f t="shared" si="42"/>
        <v>0</v>
      </c>
      <c r="AD88" s="7">
        <f t="shared" si="43"/>
        <v>0</v>
      </c>
      <c r="AE88" s="7">
        <f t="shared" si="44"/>
        <v>0</v>
      </c>
      <c r="AF88" s="7">
        <f t="shared" si="45"/>
        <v>0</v>
      </c>
      <c r="AG88" s="7">
        <f t="shared" si="46"/>
        <v>0</v>
      </c>
      <c r="AH88" s="7">
        <f t="shared" si="47"/>
        <v>0</v>
      </c>
      <c r="AI88" s="5" t="s">
        <v>204</v>
      </c>
      <c r="AJ88" s="7">
        <f t="shared" si="48"/>
        <v>0</v>
      </c>
      <c r="AK88" s="7">
        <f t="shared" si="49"/>
        <v>0</v>
      </c>
      <c r="AL88" s="7">
        <f t="shared" si="50"/>
        <v>0</v>
      </c>
      <c r="AN88" s="7">
        <v>21</v>
      </c>
      <c r="AO88" s="7">
        <f>G88*0.282016807</f>
        <v>0</v>
      </c>
      <c r="AP88" s="7">
        <f>G88*(1-0.282016807)</f>
        <v>0</v>
      </c>
      <c r="AQ88" s="8" t="s">
        <v>56</v>
      </c>
      <c r="AV88" s="7">
        <f t="shared" si="51"/>
        <v>0</v>
      </c>
      <c r="AW88" s="7">
        <f t="shared" si="52"/>
        <v>0</v>
      </c>
      <c r="AX88" s="7">
        <f t="shared" si="53"/>
        <v>0</v>
      </c>
      <c r="AY88" s="8" t="s">
        <v>85</v>
      </c>
      <c r="AZ88" s="8" t="s">
        <v>220</v>
      </c>
      <c r="BA88" s="5" t="s">
        <v>207</v>
      </c>
      <c r="BC88" s="7">
        <f t="shared" si="54"/>
        <v>0</v>
      </c>
      <c r="BD88" s="7">
        <f t="shared" si="55"/>
        <v>0</v>
      </c>
      <c r="BE88" s="7">
        <v>0</v>
      </c>
      <c r="BF88" s="7">
        <f>88</f>
        <v>88</v>
      </c>
      <c r="BH88" s="7">
        <f t="shared" si="56"/>
        <v>0</v>
      </c>
      <c r="BI88" s="7">
        <f t="shared" si="57"/>
        <v>0</v>
      </c>
      <c r="BJ88" s="7">
        <f t="shared" si="58"/>
        <v>0</v>
      </c>
      <c r="BK88" s="7"/>
      <c r="BL88" s="7">
        <v>62</v>
      </c>
      <c r="BW88" s="7">
        <v>21</v>
      </c>
      <c r="BX88" s="2" t="s">
        <v>99</v>
      </c>
    </row>
    <row r="89" spans="1:76" x14ac:dyDescent="0.2">
      <c r="A89" s="36" t="s">
        <v>225</v>
      </c>
      <c r="B89" s="36" t="s">
        <v>101</v>
      </c>
      <c r="C89" s="51" t="s">
        <v>226</v>
      </c>
      <c r="D89" s="52"/>
      <c r="E89" s="36" t="s">
        <v>59</v>
      </c>
      <c r="F89" s="37">
        <v>851.6</v>
      </c>
      <c r="G89" s="37"/>
      <c r="H89" s="37"/>
      <c r="I89" s="37"/>
      <c r="J89" s="37">
        <f t="shared" si="39"/>
        <v>0</v>
      </c>
      <c r="K89" s="38"/>
      <c r="Z89" s="7">
        <f t="shared" si="40"/>
        <v>0</v>
      </c>
      <c r="AB89" s="7">
        <f t="shared" si="41"/>
        <v>0</v>
      </c>
      <c r="AC89" s="7">
        <f t="shared" si="42"/>
        <v>0</v>
      </c>
      <c r="AD89" s="7">
        <f t="shared" si="43"/>
        <v>0</v>
      </c>
      <c r="AE89" s="7">
        <f t="shared" si="44"/>
        <v>0</v>
      </c>
      <c r="AF89" s="7">
        <f t="shared" si="45"/>
        <v>0</v>
      </c>
      <c r="AG89" s="7">
        <f t="shared" si="46"/>
        <v>0</v>
      </c>
      <c r="AH89" s="7">
        <f t="shared" si="47"/>
        <v>0</v>
      </c>
      <c r="AI89" s="5" t="s">
        <v>204</v>
      </c>
      <c r="AJ89" s="7">
        <f t="shared" si="48"/>
        <v>0</v>
      </c>
      <c r="AK89" s="7">
        <f t="shared" si="49"/>
        <v>0</v>
      </c>
      <c r="AL89" s="7">
        <f t="shared" si="50"/>
        <v>0</v>
      </c>
      <c r="AN89" s="7">
        <v>21</v>
      </c>
      <c r="AO89" s="7">
        <f>G89*0.578038967</f>
        <v>0</v>
      </c>
      <c r="AP89" s="7">
        <f>G89*(1-0.578038967)</f>
        <v>0</v>
      </c>
      <c r="AQ89" s="8" t="s">
        <v>56</v>
      </c>
      <c r="AV89" s="7">
        <f t="shared" si="51"/>
        <v>0</v>
      </c>
      <c r="AW89" s="7">
        <f t="shared" si="52"/>
        <v>0</v>
      </c>
      <c r="AX89" s="7">
        <f t="shared" si="53"/>
        <v>0</v>
      </c>
      <c r="AY89" s="8" t="s">
        <v>85</v>
      </c>
      <c r="AZ89" s="8" t="s">
        <v>220</v>
      </c>
      <c r="BA89" s="5" t="s">
        <v>207</v>
      </c>
      <c r="BC89" s="7">
        <f t="shared" si="54"/>
        <v>0</v>
      </c>
      <c r="BD89" s="7">
        <f t="shared" si="55"/>
        <v>0</v>
      </c>
      <c r="BE89" s="7">
        <v>0</v>
      </c>
      <c r="BF89" s="7">
        <f>89</f>
        <v>89</v>
      </c>
      <c r="BH89" s="7">
        <f t="shared" si="56"/>
        <v>0</v>
      </c>
      <c r="BI89" s="7">
        <f t="shared" si="57"/>
        <v>0</v>
      </c>
      <c r="BJ89" s="7">
        <f t="shared" si="58"/>
        <v>0</v>
      </c>
      <c r="BK89" s="7"/>
      <c r="BL89" s="7">
        <v>62</v>
      </c>
      <c r="BW89" s="7">
        <v>21</v>
      </c>
      <c r="BX89" s="2" t="s">
        <v>226</v>
      </c>
    </row>
    <row r="90" spans="1:76" x14ac:dyDescent="0.2">
      <c r="A90" s="36" t="s">
        <v>227</v>
      </c>
      <c r="B90" s="36" t="s">
        <v>107</v>
      </c>
      <c r="C90" s="51" t="s">
        <v>108</v>
      </c>
      <c r="D90" s="52"/>
      <c r="E90" s="36" t="s">
        <v>93</v>
      </c>
      <c r="F90" s="37">
        <v>124</v>
      </c>
      <c r="G90" s="37"/>
      <c r="H90" s="37"/>
      <c r="I90" s="37"/>
      <c r="J90" s="37">
        <f t="shared" si="39"/>
        <v>0</v>
      </c>
      <c r="K90" s="38"/>
      <c r="Z90" s="7">
        <f t="shared" si="40"/>
        <v>0</v>
      </c>
      <c r="AB90" s="7">
        <f t="shared" si="41"/>
        <v>0</v>
      </c>
      <c r="AC90" s="7">
        <f t="shared" si="42"/>
        <v>0</v>
      </c>
      <c r="AD90" s="7">
        <f t="shared" si="43"/>
        <v>0</v>
      </c>
      <c r="AE90" s="7">
        <f t="shared" si="44"/>
        <v>0</v>
      </c>
      <c r="AF90" s="7">
        <f t="shared" si="45"/>
        <v>0</v>
      </c>
      <c r="AG90" s="7">
        <f t="shared" si="46"/>
        <v>0</v>
      </c>
      <c r="AH90" s="7">
        <f t="shared" si="47"/>
        <v>0</v>
      </c>
      <c r="AI90" s="5" t="s">
        <v>204</v>
      </c>
      <c r="AJ90" s="7">
        <f t="shared" si="48"/>
        <v>0</v>
      </c>
      <c r="AK90" s="7">
        <f t="shared" si="49"/>
        <v>0</v>
      </c>
      <c r="AL90" s="7">
        <f t="shared" si="50"/>
        <v>0</v>
      </c>
      <c r="AN90" s="7">
        <v>21</v>
      </c>
      <c r="AO90" s="7">
        <f>G90*0.672116183</f>
        <v>0</v>
      </c>
      <c r="AP90" s="7">
        <f>G90*(1-0.672116183)</f>
        <v>0</v>
      </c>
      <c r="AQ90" s="8" t="s">
        <v>56</v>
      </c>
      <c r="AV90" s="7">
        <f t="shared" si="51"/>
        <v>0</v>
      </c>
      <c r="AW90" s="7">
        <f t="shared" si="52"/>
        <v>0</v>
      </c>
      <c r="AX90" s="7">
        <f t="shared" si="53"/>
        <v>0</v>
      </c>
      <c r="AY90" s="8" t="s">
        <v>85</v>
      </c>
      <c r="AZ90" s="8" t="s">
        <v>220</v>
      </c>
      <c r="BA90" s="5" t="s">
        <v>207</v>
      </c>
      <c r="BC90" s="7">
        <f t="shared" si="54"/>
        <v>0</v>
      </c>
      <c r="BD90" s="7">
        <f t="shared" si="55"/>
        <v>0</v>
      </c>
      <c r="BE90" s="7">
        <v>0</v>
      </c>
      <c r="BF90" s="7">
        <f>90</f>
        <v>90</v>
      </c>
      <c r="BH90" s="7">
        <f t="shared" si="56"/>
        <v>0</v>
      </c>
      <c r="BI90" s="7">
        <f t="shared" si="57"/>
        <v>0</v>
      </c>
      <c r="BJ90" s="7">
        <f t="shared" si="58"/>
        <v>0</v>
      </c>
      <c r="BK90" s="7"/>
      <c r="BL90" s="7">
        <v>62</v>
      </c>
      <c r="BW90" s="7">
        <v>21</v>
      </c>
      <c r="BX90" s="2" t="s">
        <v>108</v>
      </c>
    </row>
    <row r="91" spans="1:76" x14ac:dyDescent="0.2">
      <c r="A91" s="36" t="s">
        <v>228</v>
      </c>
      <c r="B91" s="36" t="s">
        <v>113</v>
      </c>
      <c r="C91" s="51" t="s">
        <v>229</v>
      </c>
      <c r="D91" s="52"/>
      <c r="E91" s="36" t="s">
        <v>59</v>
      </c>
      <c r="F91" s="37">
        <v>15</v>
      </c>
      <c r="G91" s="37"/>
      <c r="H91" s="37"/>
      <c r="I91" s="37"/>
      <c r="J91" s="37">
        <f t="shared" si="39"/>
        <v>0</v>
      </c>
      <c r="K91" s="38"/>
      <c r="Z91" s="7">
        <f t="shared" si="40"/>
        <v>0</v>
      </c>
      <c r="AB91" s="7">
        <f t="shared" si="41"/>
        <v>0</v>
      </c>
      <c r="AC91" s="7">
        <f t="shared" si="42"/>
        <v>0</v>
      </c>
      <c r="AD91" s="7">
        <f t="shared" si="43"/>
        <v>0</v>
      </c>
      <c r="AE91" s="7">
        <f t="shared" si="44"/>
        <v>0</v>
      </c>
      <c r="AF91" s="7">
        <f t="shared" si="45"/>
        <v>0</v>
      </c>
      <c r="AG91" s="7">
        <f t="shared" si="46"/>
        <v>0</v>
      </c>
      <c r="AH91" s="7">
        <f t="shared" si="47"/>
        <v>0</v>
      </c>
      <c r="AI91" s="5" t="s">
        <v>204</v>
      </c>
      <c r="AJ91" s="7">
        <f t="shared" si="48"/>
        <v>0</v>
      </c>
      <c r="AK91" s="7">
        <f t="shared" si="49"/>
        <v>0</v>
      </c>
      <c r="AL91" s="7">
        <f t="shared" si="50"/>
        <v>0</v>
      </c>
      <c r="AN91" s="7">
        <v>21</v>
      </c>
      <c r="AO91" s="7">
        <f>G91*0.146370192</f>
        <v>0</v>
      </c>
      <c r="AP91" s="7">
        <f>G91*(1-0.146370192)</f>
        <v>0</v>
      </c>
      <c r="AQ91" s="8" t="s">
        <v>56</v>
      </c>
      <c r="AV91" s="7">
        <f t="shared" si="51"/>
        <v>0</v>
      </c>
      <c r="AW91" s="7">
        <f t="shared" si="52"/>
        <v>0</v>
      </c>
      <c r="AX91" s="7">
        <f t="shared" si="53"/>
        <v>0</v>
      </c>
      <c r="AY91" s="8" t="s">
        <v>85</v>
      </c>
      <c r="AZ91" s="8" t="s">
        <v>220</v>
      </c>
      <c r="BA91" s="5" t="s">
        <v>207</v>
      </c>
      <c r="BC91" s="7">
        <f t="shared" si="54"/>
        <v>0</v>
      </c>
      <c r="BD91" s="7">
        <f t="shared" si="55"/>
        <v>0</v>
      </c>
      <c r="BE91" s="7">
        <v>0</v>
      </c>
      <c r="BF91" s="7">
        <f>91</f>
        <v>91</v>
      </c>
      <c r="BH91" s="7">
        <f t="shared" si="56"/>
        <v>0</v>
      </c>
      <c r="BI91" s="7">
        <f t="shared" si="57"/>
        <v>0</v>
      </c>
      <c r="BJ91" s="7">
        <f t="shared" si="58"/>
        <v>0</v>
      </c>
      <c r="BK91" s="7"/>
      <c r="BL91" s="7">
        <v>62</v>
      </c>
      <c r="BW91" s="7">
        <v>21</v>
      </c>
      <c r="BX91" s="2" t="s">
        <v>229</v>
      </c>
    </row>
    <row r="92" spans="1:76" x14ac:dyDescent="0.2">
      <c r="A92" s="36" t="s">
        <v>230</v>
      </c>
      <c r="B92" s="36" t="s">
        <v>231</v>
      </c>
      <c r="C92" s="51" t="s">
        <v>232</v>
      </c>
      <c r="D92" s="52"/>
      <c r="E92" s="36" t="s">
        <v>59</v>
      </c>
      <c r="F92" s="37">
        <v>37.5</v>
      </c>
      <c r="G92" s="37"/>
      <c r="H92" s="37"/>
      <c r="I92" s="37"/>
      <c r="J92" s="37">
        <f t="shared" si="39"/>
        <v>0</v>
      </c>
      <c r="K92" s="38"/>
      <c r="Z92" s="7">
        <f t="shared" si="40"/>
        <v>0</v>
      </c>
      <c r="AB92" s="7">
        <f t="shared" si="41"/>
        <v>0</v>
      </c>
      <c r="AC92" s="7">
        <f t="shared" si="42"/>
        <v>0</v>
      </c>
      <c r="AD92" s="7">
        <f t="shared" si="43"/>
        <v>0</v>
      </c>
      <c r="AE92" s="7">
        <f t="shared" si="44"/>
        <v>0</v>
      </c>
      <c r="AF92" s="7">
        <f t="shared" si="45"/>
        <v>0</v>
      </c>
      <c r="AG92" s="7">
        <f t="shared" si="46"/>
        <v>0</v>
      </c>
      <c r="AH92" s="7">
        <f t="shared" si="47"/>
        <v>0</v>
      </c>
      <c r="AI92" s="5" t="s">
        <v>204</v>
      </c>
      <c r="AJ92" s="7">
        <f t="shared" si="48"/>
        <v>0</v>
      </c>
      <c r="AK92" s="7">
        <f t="shared" si="49"/>
        <v>0</v>
      </c>
      <c r="AL92" s="7">
        <f t="shared" si="50"/>
        <v>0</v>
      </c>
      <c r="AN92" s="7">
        <v>21</v>
      </c>
      <c r="AO92" s="7">
        <f>G92*0.106137931</f>
        <v>0</v>
      </c>
      <c r="AP92" s="7">
        <f>G92*(1-0.106137931)</f>
        <v>0</v>
      </c>
      <c r="AQ92" s="8" t="s">
        <v>56</v>
      </c>
      <c r="AV92" s="7">
        <f t="shared" si="51"/>
        <v>0</v>
      </c>
      <c r="AW92" s="7">
        <f t="shared" si="52"/>
        <v>0</v>
      </c>
      <c r="AX92" s="7">
        <f t="shared" si="53"/>
        <v>0</v>
      </c>
      <c r="AY92" s="8" t="s">
        <v>85</v>
      </c>
      <c r="AZ92" s="8" t="s">
        <v>220</v>
      </c>
      <c r="BA92" s="5" t="s">
        <v>207</v>
      </c>
      <c r="BC92" s="7">
        <f t="shared" si="54"/>
        <v>0</v>
      </c>
      <c r="BD92" s="7">
        <f t="shared" si="55"/>
        <v>0</v>
      </c>
      <c r="BE92" s="7">
        <v>0</v>
      </c>
      <c r="BF92" s="7">
        <f>92</f>
        <v>92</v>
      </c>
      <c r="BH92" s="7">
        <f t="shared" si="56"/>
        <v>0</v>
      </c>
      <c r="BI92" s="7">
        <f t="shared" si="57"/>
        <v>0</v>
      </c>
      <c r="BJ92" s="7">
        <f t="shared" si="58"/>
        <v>0</v>
      </c>
      <c r="BK92" s="7"/>
      <c r="BL92" s="7">
        <v>62</v>
      </c>
      <c r="BW92" s="7">
        <v>21</v>
      </c>
      <c r="BX92" s="2" t="s">
        <v>232</v>
      </c>
    </row>
    <row r="93" spans="1:76" x14ac:dyDescent="0.2">
      <c r="A93" s="36" t="s">
        <v>233</v>
      </c>
      <c r="B93" s="36" t="s">
        <v>234</v>
      </c>
      <c r="C93" s="51" t="s">
        <v>235</v>
      </c>
      <c r="D93" s="52"/>
      <c r="E93" s="36" t="s">
        <v>59</v>
      </c>
      <c r="F93" s="37">
        <v>37.5</v>
      </c>
      <c r="G93" s="37"/>
      <c r="H93" s="37"/>
      <c r="I93" s="37"/>
      <c r="J93" s="37">
        <f t="shared" si="39"/>
        <v>0</v>
      </c>
      <c r="K93" s="38"/>
      <c r="Z93" s="7">
        <f t="shared" si="40"/>
        <v>0</v>
      </c>
      <c r="AB93" s="7">
        <f t="shared" si="41"/>
        <v>0</v>
      </c>
      <c r="AC93" s="7">
        <f t="shared" si="42"/>
        <v>0</v>
      </c>
      <c r="AD93" s="7">
        <f t="shared" si="43"/>
        <v>0</v>
      </c>
      <c r="AE93" s="7">
        <f t="shared" si="44"/>
        <v>0</v>
      </c>
      <c r="AF93" s="7">
        <f t="shared" si="45"/>
        <v>0</v>
      </c>
      <c r="AG93" s="7">
        <f t="shared" si="46"/>
        <v>0</v>
      </c>
      <c r="AH93" s="7">
        <f t="shared" si="47"/>
        <v>0</v>
      </c>
      <c r="AI93" s="5" t="s">
        <v>204</v>
      </c>
      <c r="AJ93" s="7">
        <f t="shared" si="48"/>
        <v>0</v>
      </c>
      <c r="AK93" s="7">
        <f t="shared" si="49"/>
        <v>0</v>
      </c>
      <c r="AL93" s="7">
        <f t="shared" si="50"/>
        <v>0</v>
      </c>
      <c r="AN93" s="7">
        <v>21</v>
      </c>
      <c r="AO93" s="7">
        <f>G93*0.44374586</f>
        <v>0</v>
      </c>
      <c r="AP93" s="7">
        <f>G93*(1-0.44374586)</f>
        <v>0</v>
      </c>
      <c r="AQ93" s="8" t="s">
        <v>56</v>
      </c>
      <c r="AV93" s="7">
        <f t="shared" si="51"/>
        <v>0</v>
      </c>
      <c r="AW93" s="7">
        <f t="shared" si="52"/>
        <v>0</v>
      </c>
      <c r="AX93" s="7">
        <f t="shared" si="53"/>
        <v>0</v>
      </c>
      <c r="AY93" s="8" t="s">
        <v>85</v>
      </c>
      <c r="AZ93" s="8" t="s">
        <v>220</v>
      </c>
      <c r="BA93" s="5" t="s">
        <v>207</v>
      </c>
      <c r="BC93" s="7">
        <f t="shared" si="54"/>
        <v>0</v>
      </c>
      <c r="BD93" s="7">
        <f t="shared" si="55"/>
        <v>0</v>
      </c>
      <c r="BE93" s="7">
        <v>0</v>
      </c>
      <c r="BF93" s="7">
        <f>93</f>
        <v>93</v>
      </c>
      <c r="BH93" s="7">
        <f t="shared" si="56"/>
        <v>0</v>
      </c>
      <c r="BI93" s="7">
        <f t="shared" si="57"/>
        <v>0</v>
      </c>
      <c r="BJ93" s="7">
        <f t="shared" si="58"/>
        <v>0</v>
      </c>
      <c r="BK93" s="7"/>
      <c r="BL93" s="7">
        <v>62</v>
      </c>
      <c r="BW93" s="7">
        <v>21</v>
      </c>
      <c r="BX93" s="2" t="s">
        <v>235</v>
      </c>
    </row>
    <row r="94" spans="1:76" x14ac:dyDescent="0.2">
      <c r="A94" s="36" t="s">
        <v>80</v>
      </c>
      <c r="B94" s="36" t="s">
        <v>236</v>
      </c>
      <c r="C94" s="51" t="s">
        <v>237</v>
      </c>
      <c r="D94" s="52"/>
      <c r="E94" s="36" t="s">
        <v>59</v>
      </c>
      <c r="F94" s="37">
        <v>37.5</v>
      </c>
      <c r="G94" s="37"/>
      <c r="H94" s="37"/>
      <c r="I94" s="37"/>
      <c r="J94" s="37">
        <f t="shared" si="39"/>
        <v>0</v>
      </c>
      <c r="K94" s="38"/>
      <c r="Z94" s="7">
        <f t="shared" si="40"/>
        <v>0</v>
      </c>
      <c r="AB94" s="7">
        <f t="shared" si="41"/>
        <v>0</v>
      </c>
      <c r="AC94" s="7">
        <f t="shared" si="42"/>
        <v>0</v>
      </c>
      <c r="AD94" s="7">
        <f t="shared" si="43"/>
        <v>0</v>
      </c>
      <c r="AE94" s="7">
        <f t="shared" si="44"/>
        <v>0</v>
      </c>
      <c r="AF94" s="7">
        <f t="shared" si="45"/>
        <v>0</v>
      </c>
      <c r="AG94" s="7">
        <f t="shared" si="46"/>
        <v>0</v>
      </c>
      <c r="AH94" s="7">
        <f t="shared" si="47"/>
        <v>0</v>
      </c>
      <c r="AI94" s="5" t="s">
        <v>204</v>
      </c>
      <c r="AJ94" s="7">
        <f t="shared" si="48"/>
        <v>0</v>
      </c>
      <c r="AK94" s="7">
        <f t="shared" si="49"/>
        <v>0</v>
      </c>
      <c r="AL94" s="7">
        <f t="shared" si="50"/>
        <v>0</v>
      </c>
      <c r="AN94" s="7">
        <v>21</v>
      </c>
      <c r="AO94" s="7">
        <f>G94*0.565246212</f>
        <v>0</v>
      </c>
      <c r="AP94" s="7">
        <f>G94*(1-0.565246212)</f>
        <v>0</v>
      </c>
      <c r="AQ94" s="8" t="s">
        <v>56</v>
      </c>
      <c r="AV94" s="7">
        <f t="shared" si="51"/>
        <v>0</v>
      </c>
      <c r="AW94" s="7">
        <f t="shared" si="52"/>
        <v>0</v>
      </c>
      <c r="AX94" s="7">
        <f t="shared" si="53"/>
        <v>0</v>
      </c>
      <c r="AY94" s="8" t="s">
        <v>85</v>
      </c>
      <c r="AZ94" s="8" t="s">
        <v>220</v>
      </c>
      <c r="BA94" s="5" t="s">
        <v>207</v>
      </c>
      <c r="BC94" s="7">
        <f t="shared" si="54"/>
        <v>0</v>
      </c>
      <c r="BD94" s="7">
        <f t="shared" si="55"/>
        <v>0</v>
      </c>
      <c r="BE94" s="7">
        <v>0</v>
      </c>
      <c r="BF94" s="7">
        <f>94</f>
        <v>94</v>
      </c>
      <c r="BH94" s="7">
        <f t="shared" si="56"/>
        <v>0</v>
      </c>
      <c r="BI94" s="7">
        <f t="shared" si="57"/>
        <v>0</v>
      </c>
      <c r="BJ94" s="7">
        <f t="shared" si="58"/>
        <v>0</v>
      </c>
      <c r="BK94" s="7"/>
      <c r="BL94" s="7">
        <v>62</v>
      </c>
      <c r="BW94" s="7">
        <v>21</v>
      </c>
      <c r="BX94" s="2" t="s">
        <v>237</v>
      </c>
    </row>
    <row r="95" spans="1:76" x14ac:dyDescent="0.2">
      <c r="A95" s="36" t="s">
        <v>238</v>
      </c>
      <c r="B95" s="36" t="s">
        <v>107</v>
      </c>
      <c r="C95" s="51" t="s">
        <v>239</v>
      </c>
      <c r="D95" s="52"/>
      <c r="E95" s="36" t="s">
        <v>93</v>
      </c>
      <c r="F95" s="37">
        <v>107.3</v>
      </c>
      <c r="G95" s="37"/>
      <c r="H95" s="37"/>
      <c r="I95" s="37"/>
      <c r="J95" s="37">
        <f t="shared" si="39"/>
        <v>0</v>
      </c>
      <c r="K95" s="38"/>
      <c r="Z95" s="7">
        <f t="shared" si="40"/>
        <v>0</v>
      </c>
      <c r="AB95" s="7">
        <f t="shared" si="41"/>
        <v>0</v>
      </c>
      <c r="AC95" s="7">
        <f t="shared" si="42"/>
        <v>0</v>
      </c>
      <c r="AD95" s="7">
        <f t="shared" si="43"/>
        <v>0</v>
      </c>
      <c r="AE95" s="7">
        <f t="shared" si="44"/>
        <v>0</v>
      </c>
      <c r="AF95" s="7">
        <f t="shared" si="45"/>
        <v>0</v>
      </c>
      <c r="AG95" s="7">
        <f t="shared" si="46"/>
        <v>0</v>
      </c>
      <c r="AH95" s="7">
        <f t="shared" si="47"/>
        <v>0</v>
      </c>
      <c r="AI95" s="5" t="s">
        <v>204</v>
      </c>
      <c r="AJ95" s="7">
        <f t="shared" si="48"/>
        <v>0</v>
      </c>
      <c r="AK95" s="7">
        <f t="shared" si="49"/>
        <v>0</v>
      </c>
      <c r="AL95" s="7">
        <f t="shared" si="50"/>
        <v>0</v>
      </c>
      <c r="AN95" s="7">
        <v>21</v>
      </c>
      <c r="AO95" s="7">
        <f>G95*0.649200733</f>
        <v>0</v>
      </c>
      <c r="AP95" s="7">
        <f>G95*(1-0.649200733)</f>
        <v>0</v>
      </c>
      <c r="AQ95" s="8" t="s">
        <v>56</v>
      </c>
      <c r="AV95" s="7">
        <f t="shared" si="51"/>
        <v>0</v>
      </c>
      <c r="AW95" s="7">
        <f t="shared" si="52"/>
        <v>0</v>
      </c>
      <c r="AX95" s="7">
        <f t="shared" si="53"/>
        <v>0</v>
      </c>
      <c r="AY95" s="8" t="s">
        <v>85</v>
      </c>
      <c r="AZ95" s="8" t="s">
        <v>220</v>
      </c>
      <c r="BA95" s="5" t="s">
        <v>207</v>
      </c>
      <c r="BC95" s="7">
        <f t="shared" si="54"/>
        <v>0</v>
      </c>
      <c r="BD95" s="7">
        <f t="shared" si="55"/>
        <v>0</v>
      </c>
      <c r="BE95" s="7">
        <v>0</v>
      </c>
      <c r="BF95" s="7">
        <f>95</f>
        <v>95</v>
      </c>
      <c r="BH95" s="7">
        <f t="shared" si="56"/>
        <v>0</v>
      </c>
      <c r="BI95" s="7">
        <f t="shared" si="57"/>
        <v>0</v>
      </c>
      <c r="BJ95" s="7">
        <f t="shared" si="58"/>
        <v>0</v>
      </c>
      <c r="BK95" s="7"/>
      <c r="BL95" s="7">
        <v>62</v>
      </c>
      <c r="BW95" s="7">
        <v>21</v>
      </c>
      <c r="BX95" s="2" t="s">
        <v>239</v>
      </c>
    </row>
    <row r="96" spans="1:76" x14ac:dyDescent="0.2">
      <c r="A96" s="36" t="s">
        <v>240</v>
      </c>
      <c r="B96" s="36" t="s">
        <v>241</v>
      </c>
      <c r="C96" s="51" t="s">
        <v>242</v>
      </c>
      <c r="D96" s="52"/>
      <c r="E96" s="36" t="s">
        <v>59</v>
      </c>
      <c r="F96" s="37">
        <v>63.4</v>
      </c>
      <c r="G96" s="37"/>
      <c r="H96" s="37"/>
      <c r="I96" s="37"/>
      <c r="J96" s="37">
        <f t="shared" si="39"/>
        <v>0</v>
      </c>
      <c r="K96" s="38"/>
      <c r="Z96" s="7">
        <f t="shared" si="40"/>
        <v>0</v>
      </c>
      <c r="AB96" s="7">
        <f t="shared" si="41"/>
        <v>0</v>
      </c>
      <c r="AC96" s="7">
        <f t="shared" si="42"/>
        <v>0</v>
      </c>
      <c r="AD96" s="7">
        <f t="shared" si="43"/>
        <v>0</v>
      </c>
      <c r="AE96" s="7">
        <f t="shared" si="44"/>
        <v>0</v>
      </c>
      <c r="AF96" s="7">
        <f t="shared" si="45"/>
        <v>0</v>
      </c>
      <c r="AG96" s="7">
        <f t="shared" si="46"/>
        <v>0</v>
      </c>
      <c r="AH96" s="7">
        <f t="shared" si="47"/>
        <v>0</v>
      </c>
      <c r="AI96" s="5" t="s">
        <v>204</v>
      </c>
      <c r="AJ96" s="7">
        <f t="shared" si="48"/>
        <v>0</v>
      </c>
      <c r="AK96" s="7">
        <f t="shared" si="49"/>
        <v>0</v>
      </c>
      <c r="AL96" s="7">
        <f t="shared" si="50"/>
        <v>0</v>
      </c>
      <c r="AN96" s="7">
        <v>21</v>
      </c>
      <c r="AO96" s="7">
        <f>G96*0.372107991</f>
        <v>0</v>
      </c>
      <c r="AP96" s="7">
        <f>G96*(1-0.372107991)</f>
        <v>0</v>
      </c>
      <c r="AQ96" s="8" t="s">
        <v>56</v>
      </c>
      <c r="AV96" s="7">
        <f t="shared" si="51"/>
        <v>0</v>
      </c>
      <c r="AW96" s="7">
        <f t="shared" si="52"/>
        <v>0</v>
      </c>
      <c r="AX96" s="7">
        <f t="shared" si="53"/>
        <v>0</v>
      </c>
      <c r="AY96" s="8" t="s">
        <v>85</v>
      </c>
      <c r="AZ96" s="8" t="s">
        <v>220</v>
      </c>
      <c r="BA96" s="5" t="s">
        <v>207</v>
      </c>
      <c r="BC96" s="7">
        <f t="shared" si="54"/>
        <v>0</v>
      </c>
      <c r="BD96" s="7">
        <f t="shared" si="55"/>
        <v>0</v>
      </c>
      <c r="BE96" s="7">
        <v>0</v>
      </c>
      <c r="BF96" s="7">
        <f>96</f>
        <v>96</v>
      </c>
      <c r="BH96" s="7">
        <f t="shared" si="56"/>
        <v>0</v>
      </c>
      <c r="BI96" s="7">
        <f t="shared" si="57"/>
        <v>0</v>
      </c>
      <c r="BJ96" s="7">
        <f t="shared" si="58"/>
        <v>0</v>
      </c>
      <c r="BK96" s="7"/>
      <c r="BL96" s="7">
        <v>62</v>
      </c>
      <c r="BW96" s="7">
        <v>21</v>
      </c>
      <c r="BX96" s="2" t="s">
        <v>242</v>
      </c>
    </row>
    <row r="97" spans="1:76" x14ac:dyDescent="0.2">
      <c r="A97" s="36" t="s">
        <v>243</v>
      </c>
      <c r="B97" s="36" t="s">
        <v>244</v>
      </c>
      <c r="C97" s="51" t="s">
        <v>245</v>
      </c>
      <c r="D97" s="52"/>
      <c r="E97" s="36" t="s">
        <v>59</v>
      </c>
      <c r="F97" s="37">
        <v>15.2</v>
      </c>
      <c r="G97" s="37"/>
      <c r="H97" s="37"/>
      <c r="I97" s="37"/>
      <c r="J97" s="37">
        <f t="shared" si="39"/>
        <v>0</v>
      </c>
      <c r="K97" s="38"/>
      <c r="Z97" s="7">
        <f t="shared" si="40"/>
        <v>0</v>
      </c>
      <c r="AB97" s="7">
        <f t="shared" si="41"/>
        <v>0</v>
      </c>
      <c r="AC97" s="7">
        <f t="shared" si="42"/>
        <v>0</v>
      </c>
      <c r="AD97" s="7">
        <f t="shared" si="43"/>
        <v>0</v>
      </c>
      <c r="AE97" s="7">
        <f t="shared" si="44"/>
        <v>0</v>
      </c>
      <c r="AF97" s="7">
        <f t="shared" si="45"/>
        <v>0</v>
      </c>
      <c r="AG97" s="7">
        <f t="shared" si="46"/>
        <v>0</v>
      </c>
      <c r="AH97" s="7">
        <f t="shared" si="47"/>
        <v>0</v>
      </c>
      <c r="AI97" s="5" t="s">
        <v>204</v>
      </c>
      <c r="AJ97" s="7">
        <f t="shared" si="48"/>
        <v>0</v>
      </c>
      <c r="AK97" s="7">
        <f t="shared" si="49"/>
        <v>0</v>
      </c>
      <c r="AL97" s="7">
        <f t="shared" si="50"/>
        <v>0</v>
      </c>
      <c r="AN97" s="7">
        <v>21</v>
      </c>
      <c r="AO97" s="7">
        <f>G97*1</f>
        <v>0</v>
      </c>
      <c r="AP97" s="7">
        <f>G97*(1-1)</f>
        <v>0</v>
      </c>
      <c r="AQ97" s="8" t="s">
        <v>56</v>
      </c>
      <c r="AV97" s="7">
        <f t="shared" si="51"/>
        <v>0</v>
      </c>
      <c r="AW97" s="7">
        <f t="shared" si="52"/>
        <v>0</v>
      </c>
      <c r="AX97" s="7">
        <f t="shared" si="53"/>
        <v>0</v>
      </c>
      <c r="AY97" s="8" t="s">
        <v>85</v>
      </c>
      <c r="AZ97" s="8" t="s">
        <v>220</v>
      </c>
      <c r="BA97" s="5" t="s">
        <v>207</v>
      </c>
      <c r="BC97" s="7">
        <f t="shared" si="54"/>
        <v>0</v>
      </c>
      <c r="BD97" s="7">
        <f t="shared" si="55"/>
        <v>0</v>
      </c>
      <c r="BE97" s="7">
        <v>0</v>
      </c>
      <c r="BF97" s="7">
        <f>97</f>
        <v>97</v>
      </c>
      <c r="BH97" s="7">
        <f t="shared" si="56"/>
        <v>0</v>
      </c>
      <c r="BI97" s="7">
        <f t="shared" si="57"/>
        <v>0</v>
      </c>
      <c r="BJ97" s="7">
        <f t="shared" si="58"/>
        <v>0</v>
      </c>
      <c r="BK97" s="7"/>
      <c r="BL97" s="7">
        <v>62</v>
      </c>
      <c r="BW97" s="7">
        <v>21</v>
      </c>
      <c r="BX97" s="2" t="s">
        <v>245</v>
      </c>
    </row>
    <row r="98" spans="1:76" x14ac:dyDescent="0.2">
      <c r="A98" s="32" t="s">
        <v>51</v>
      </c>
      <c r="B98" s="33" t="s">
        <v>118</v>
      </c>
      <c r="C98" s="56" t="s">
        <v>119</v>
      </c>
      <c r="D98" s="57"/>
      <c r="E98" s="32" t="s">
        <v>4</v>
      </c>
      <c r="F98" s="32" t="s">
        <v>4</v>
      </c>
      <c r="G98" s="32"/>
      <c r="H98" s="34"/>
      <c r="I98" s="34"/>
      <c r="J98" s="34"/>
      <c r="K98" s="35"/>
      <c r="AI98" s="5" t="s">
        <v>204</v>
      </c>
      <c r="AS98" s="1">
        <f>SUM(AJ99:AJ100)</f>
        <v>0</v>
      </c>
      <c r="AT98" s="1">
        <f>SUM(AK99:AK100)</f>
        <v>0</v>
      </c>
      <c r="AU98" s="1">
        <f>SUM(AL99:AL100)</f>
        <v>0</v>
      </c>
    </row>
    <row r="99" spans="1:76" x14ac:dyDescent="0.2">
      <c r="A99" s="36" t="s">
        <v>246</v>
      </c>
      <c r="B99" s="36" t="s">
        <v>121</v>
      </c>
      <c r="C99" s="51" t="s">
        <v>182</v>
      </c>
      <c r="D99" s="52"/>
      <c r="E99" s="36" t="s">
        <v>59</v>
      </c>
      <c r="F99" s="37">
        <v>594</v>
      </c>
      <c r="G99" s="37"/>
      <c r="H99" s="37"/>
      <c r="I99" s="37"/>
      <c r="J99" s="37">
        <f t="shared" si="39"/>
        <v>0</v>
      </c>
      <c r="K99" s="38"/>
      <c r="Z99" s="7">
        <f>IF(AQ99="5",BJ99,0)</f>
        <v>0</v>
      </c>
      <c r="AB99" s="7">
        <f>IF(AQ99="1",BH99,0)</f>
        <v>0</v>
      </c>
      <c r="AC99" s="7">
        <f>IF(AQ99="1",BI99,0)</f>
        <v>0</v>
      </c>
      <c r="AD99" s="7">
        <f>IF(AQ99="7",BH99,0)</f>
        <v>0</v>
      </c>
      <c r="AE99" s="7">
        <f>IF(AQ99="7",BI99,0)</f>
        <v>0</v>
      </c>
      <c r="AF99" s="7">
        <f>IF(AQ99="2",BH99,0)</f>
        <v>0</v>
      </c>
      <c r="AG99" s="7">
        <f>IF(AQ99="2",BI99,0)</f>
        <v>0</v>
      </c>
      <c r="AH99" s="7">
        <f>IF(AQ99="0",BJ99,0)</f>
        <v>0</v>
      </c>
      <c r="AI99" s="5" t="s">
        <v>204</v>
      </c>
      <c r="AJ99" s="7">
        <f>IF(AN99=0,J99,0)</f>
        <v>0</v>
      </c>
      <c r="AK99" s="7">
        <f>IF(AN99=12,J99,0)</f>
        <v>0</v>
      </c>
      <c r="AL99" s="7">
        <f>IF(AN99=21,J99,0)</f>
        <v>0</v>
      </c>
      <c r="AN99" s="7">
        <v>21</v>
      </c>
      <c r="AO99" s="7">
        <f>G99*0.461444043</f>
        <v>0</v>
      </c>
      <c r="AP99" s="7">
        <f>G99*(1-0.461444043)</f>
        <v>0</v>
      </c>
      <c r="AQ99" s="8" t="s">
        <v>87</v>
      </c>
      <c r="AV99" s="7">
        <f>AW99+AX99</f>
        <v>0</v>
      </c>
      <c r="AW99" s="7">
        <f>F99*AO99</f>
        <v>0</v>
      </c>
      <c r="AX99" s="7">
        <f>F99*AP99</f>
        <v>0</v>
      </c>
      <c r="AY99" s="8" t="s">
        <v>123</v>
      </c>
      <c r="AZ99" s="8" t="s">
        <v>247</v>
      </c>
      <c r="BA99" s="5" t="s">
        <v>207</v>
      </c>
      <c r="BC99" s="7">
        <f>AW99+AX99</f>
        <v>0</v>
      </c>
      <c r="BD99" s="7">
        <f>G99/(100-BE99)*100</f>
        <v>0</v>
      </c>
      <c r="BE99" s="7">
        <v>0</v>
      </c>
      <c r="BF99" s="7">
        <f>99</f>
        <v>99</v>
      </c>
      <c r="BH99" s="7">
        <f>F99*AO99</f>
        <v>0</v>
      </c>
      <c r="BI99" s="7">
        <f>F99*AP99</f>
        <v>0</v>
      </c>
      <c r="BJ99" s="7">
        <f>F99*G99</f>
        <v>0</v>
      </c>
      <c r="BK99" s="7"/>
      <c r="BL99" s="7">
        <v>713</v>
      </c>
      <c r="BW99" s="7">
        <v>21</v>
      </c>
      <c r="BX99" s="2" t="s">
        <v>182</v>
      </c>
    </row>
    <row r="100" spans="1:76" x14ac:dyDescent="0.2">
      <c r="A100" s="36" t="s">
        <v>248</v>
      </c>
      <c r="B100" s="36" t="s">
        <v>249</v>
      </c>
      <c r="C100" s="51" t="s">
        <v>250</v>
      </c>
      <c r="D100" s="52"/>
      <c r="E100" s="36" t="s">
        <v>59</v>
      </c>
      <c r="F100" s="37">
        <v>594</v>
      </c>
      <c r="G100" s="37"/>
      <c r="H100" s="37"/>
      <c r="I100" s="37"/>
      <c r="J100" s="37">
        <f t="shared" si="39"/>
        <v>0</v>
      </c>
      <c r="K100" s="38"/>
      <c r="Z100" s="7">
        <f>IF(AQ100="5",BJ100,0)</f>
        <v>0</v>
      </c>
      <c r="AB100" s="7">
        <f>IF(AQ100="1",BH100,0)</f>
        <v>0</v>
      </c>
      <c r="AC100" s="7">
        <f>IF(AQ100="1",BI100,0)</f>
        <v>0</v>
      </c>
      <c r="AD100" s="7">
        <f>IF(AQ100="7",BH100,0)</f>
        <v>0</v>
      </c>
      <c r="AE100" s="7">
        <f>IF(AQ100="7",BI100,0)</f>
        <v>0</v>
      </c>
      <c r="AF100" s="7">
        <f>IF(AQ100="2",BH100,0)</f>
        <v>0</v>
      </c>
      <c r="AG100" s="7">
        <f>IF(AQ100="2",BI100,0)</f>
        <v>0</v>
      </c>
      <c r="AH100" s="7">
        <f>IF(AQ100="0",BJ100,0)</f>
        <v>0</v>
      </c>
      <c r="AI100" s="5" t="s">
        <v>204</v>
      </c>
      <c r="AJ100" s="7">
        <f>IF(AN100=0,J100,0)</f>
        <v>0</v>
      </c>
      <c r="AK100" s="7">
        <f>IF(AN100=12,J100,0)</f>
        <v>0</v>
      </c>
      <c r="AL100" s="7">
        <f>IF(AN100=21,J100,0)</f>
        <v>0</v>
      </c>
      <c r="AN100" s="7">
        <v>21</v>
      </c>
      <c r="AO100" s="7">
        <f>G100*0.830062681</f>
        <v>0</v>
      </c>
      <c r="AP100" s="7">
        <f>G100*(1-0.830062681)</f>
        <v>0</v>
      </c>
      <c r="AQ100" s="8" t="s">
        <v>87</v>
      </c>
      <c r="AV100" s="7">
        <f>AW100+AX100</f>
        <v>0</v>
      </c>
      <c r="AW100" s="7">
        <f>F100*AO100</f>
        <v>0</v>
      </c>
      <c r="AX100" s="7">
        <f>F100*AP100</f>
        <v>0</v>
      </c>
      <c r="AY100" s="8" t="s">
        <v>123</v>
      </c>
      <c r="AZ100" s="8" t="s">
        <v>247</v>
      </c>
      <c r="BA100" s="5" t="s">
        <v>207</v>
      </c>
      <c r="BC100" s="7">
        <f>AW100+AX100</f>
        <v>0</v>
      </c>
      <c r="BD100" s="7">
        <f>G100/(100-BE100)*100</f>
        <v>0</v>
      </c>
      <c r="BE100" s="7">
        <v>0</v>
      </c>
      <c r="BF100" s="7">
        <f>100</f>
        <v>100</v>
      </c>
      <c r="BH100" s="7">
        <f>F100*AO100</f>
        <v>0</v>
      </c>
      <c r="BI100" s="7">
        <f>F100*AP100</f>
        <v>0</v>
      </c>
      <c r="BJ100" s="7">
        <f>F100*G100</f>
        <v>0</v>
      </c>
      <c r="BK100" s="7"/>
      <c r="BL100" s="7">
        <v>713</v>
      </c>
      <c r="BW100" s="7">
        <v>21</v>
      </c>
      <c r="BX100" s="2" t="s">
        <v>250</v>
      </c>
    </row>
    <row r="101" spans="1:76" x14ac:dyDescent="0.2">
      <c r="A101" s="32" t="s">
        <v>51</v>
      </c>
      <c r="B101" s="33" t="s">
        <v>128</v>
      </c>
      <c r="C101" s="56" t="s">
        <v>129</v>
      </c>
      <c r="D101" s="57"/>
      <c r="E101" s="32" t="s">
        <v>4</v>
      </c>
      <c r="F101" s="32" t="s">
        <v>4</v>
      </c>
      <c r="G101" s="32"/>
      <c r="H101" s="34"/>
      <c r="I101" s="34"/>
      <c r="J101" s="34"/>
      <c r="K101" s="35"/>
      <c r="AI101" s="5" t="s">
        <v>204</v>
      </c>
      <c r="AS101" s="1">
        <f>SUM(AJ102:AJ105)</f>
        <v>0</v>
      </c>
      <c r="AT101" s="1">
        <f>SUM(AK102:AK105)</f>
        <v>0</v>
      </c>
      <c r="AU101" s="1">
        <f>SUM(AL102:AL105)</f>
        <v>0</v>
      </c>
    </row>
    <row r="102" spans="1:76" x14ac:dyDescent="0.2">
      <c r="A102" s="36" t="s">
        <v>251</v>
      </c>
      <c r="B102" s="36" t="s">
        <v>131</v>
      </c>
      <c r="C102" s="51" t="s">
        <v>252</v>
      </c>
      <c r="D102" s="52"/>
      <c r="E102" s="36" t="s">
        <v>93</v>
      </c>
      <c r="F102" s="37">
        <v>69.599999999999994</v>
      </c>
      <c r="G102" s="37"/>
      <c r="H102" s="37"/>
      <c r="I102" s="37"/>
      <c r="J102" s="37">
        <f t="shared" si="39"/>
        <v>0</v>
      </c>
      <c r="K102" s="38"/>
      <c r="Z102" s="7">
        <f>IF(AQ102="5",BJ102,0)</f>
        <v>0</v>
      </c>
      <c r="AB102" s="7">
        <f>IF(AQ102="1",BH102,0)</f>
        <v>0</v>
      </c>
      <c r="AC102" s="7">
        <f>IF(AQ102="1",BI102,0)</f>
        <v>0</v>
      </c>
      <c r="AD102" s="7">
        <f>IF(AQ102="7",BH102,0)</f>
        <v>0</v>
      </c>
      <c r="AE102" s="7">
        <f>IF(AQ102="7",BI102,0)</f>
        <v>0</v>
      </c>
      <c r="AF102" s="7">
        <f>IF(AQ102="2",BH102,0)</f>
        <v>0</v>
      </c>
      <c r="AG102" s="7">
        <f>IF(AQ102="2",BI102,0)</f>
        <v>0</v>
      </c>
      <c r="AH102" s="7">
        <f>IF(AQ102="0",BJ102,0)</f>
        <v>0</v>
      </c>
      <c r="AI102" s="5" t="s">
        <v>204</v>
      </c>
      <c r="AJ102" s="7">
        <f>IF(AN102=0,J102,0)</f>
        <v>0</v>
      </c>
      <c r="AK102" s="7">
        <f>IF(AN102=12,J102,0)</f>
        <v>0</v>
      </c>
      <c r="AL102" s="7">
        <f>IF(AN102=21,J102,0)</f>
        <v>0</v>
      </c>
      <c r="AN102" s="7">
        <v>21</v>
      </c>
      <c r="AO102" s="7">
        <f>G102*0.335672515</f>
        <v>0</v>
      </c>
      <c r="AP102" s="7">
        <f>G102*(1-0.335672515)</f>
        <v>0</v>
      </c>
      <c r="AQ102" s="8" t="s">
        <v>87</v>
      </c>
      <c r="AV102" s="7">
        <f>AW102+AX102</f>
        <v>0</v>
      </c>
      <c r="AW102" s="7">
        <f>F102*AO102</f>
        <v>0</v>
      </c>
      <c r="AX102" s="7">
        <f>F102*AP102</f>
        <v>0</v>
      </c>
      <c r="AY102" s="8" t="s">
        <v>133</v>
      </c>
      <c r="AZ102" s="8" t="s">
        <v>253</v>
      </c>
      <c r="BA102" s="5" t="s">
        <v>207</v>
      </c>
      <c r="BC102" s="7">
        <f>AW102+AX102</f>
        <v>0</v>
      </c>
      <c r="BD102" s="7">
        <f>G102/(100-BE102)*100</f>
        <v>0</v>
      </c>
      <c r="BE102" s="7">
        <v>0</v>
      </c>
      <c r="BF102" s="7">
        <f>102</f>
        <v>102</v>
      </c>
      <c r="BH102" s="7">
        <f>F102*AO102</f>
        <v>0</v>
      </c>
      <c r="BI102" s="7">
        <f>F102*AP102</f>
        <v>0</v>
      </c>
      <c r="BJ102" s="7">
        <f>F102*G102</f>
        <v>0</v>
      </c>
      <c r="BK102" s="7"/>
      <c r="BL102" s="7">
        <v>764</v>
      </c>
      <c r="BW102" s="7">
        <v>21</v>
      </c>
      <c r="BX102" s="2" t="s">
        <v>252</v>
      </c>
    </row>
    <row r="103" spans="1:76" x14ac:dyDescent="0.2">
      <c r="A103" s="36" t="s">
        <v>254</v>
      </c>
      <c r="B103" s="36" t="s">
        <v>136</v>
      </c>
      <c r="C103" s="51" t="s">
        <v>137</v>
      </c>
      <c r="D103" s="52"/>
      <c r="E103" s="36" t="s">
        <v>93</v>
      </c>
      <c r="F103" s="37">
        <v>69.599999999999994</v>
      </c>
      <c r="G103" s="37"/>
      <c r="H103" s="37"/>
      <c r="I103" s="37"/>
      <c r="J103" s="37">
        <f t="shared" si="39"/>
        <v>0</v>
      </c>
      <c r="K103" s="38"/>
      <c r="Z103" s="7">
        <f>IF(AQ103="5",BJ103,0)</f>
        <v>0</v>
      </c>
      <c r="AB103" s="7">
        <f>IF(AQ103="1",BH103,0)</f>
        <v>0</v>
      </c>
      <c r="AC103" s="7">
        <f>IF(AQ103="1",BI103,0)</f>
        <v>0</v>
      </c>
      <c r="AD103" s="7">
        <f>IF(AQ103="7",BH103,0)</f>
        <v>0</v>
      </c>
      <c r="AE103" s="7">
        <f>IF(AQ103="7",BI103,0)</f>
        <v>0</v>
      </c>
      <c r="AF103" s="7">
        <f>IF(AQ103="2",BH103,0)</f>
        <v>0</v>
      </c>
      <c r="AG103" s="7">
        <f>IF(AQ103="2",BI103,0)</f>
        <v>0</v>
      </c>
      <c r="AH103" s="7">
        <f>IF(AQ103="0",BJ103,0)</f>
        <v>0</v>
      </c>
      <c r="AI103" s="5" t="s">
        <v>204</v>
      </c>
      <c r="AJ103" s="7">
        <f>IF(AN103=0,J103,0)</f>
        <v>0</v>
      </c>
      <c r="AK103" s="7">
        <f>IF(AN103=12,J103,0)</f>
        <v>0</v>
      </c>
      <c r="AL103" s="7">
        <f>IF(AN103=21,J103,0)</f>
        <v>0</v>
      </c>
      <c r="AN103" s="7">
        <v>21</v>
      </c>
      <c r="AO103" s="7">
        <f>G103*0</f>
        <v>0</v>
      </c>
      <c r="AP103" s="7">
        <f>G103*(1-0)</f>
        <v>0</v>
      </c>
      <c r="AQ103" s="8" t="s">
        <v>87</v>
      </c>
      <c r="AV103" s="7">
        <f>AW103+AX103</f>
        <v>0</v>
      </c>
      <c r="AW103" s="7">
        <f>F103*AO103</f>
        <v>0</v>
      </c>
      <c r="AX103" s="7">
        <f>F103*AP103</f>
        <v>0</v>
      </c>
      <c r="AY103" s="8" t="s">
        <v>133</v>
      </c>
      <c r="AZ103" s="8" t="s">
        <v>253</v>
      </c>
      <c r="BA103" s="5" t="s">
        <v>207</v>
      </c>
      <c r="BC103" s="7">
        <f>AW103+AX103</f>
        <v>0</v>
      </c>
      <c r="BD103" s="7">
        <f>G103/(100-BE103)*100</f>
        <v>0</v>
      </c>
      <c r="BE103" s="7">
        <v>0</v>
      </c>
      <c r="BF103" s="7">
        <f>103</f>
        <v>103</v>
      </c>
      <c r="BH103" s="7">
        <f>F103*AO103</f>
        <v>0</v>
      </c>
      <c r="BI103" s="7">
        <f>F103*AP103</f>
        <v>0</v>
      </c>
      <c r="BJ103" s="7">
        <f>F103*G103</f>
        <v>0</v>
      </c>
      <c r="BK103" s="7"/>
      <c r="BL103" s="7">
        <v>764</v>
      </c>
      <c r="BW103" s="7">
        <v>21</v>
      </c>
      <c r="BX103" s="2" t="s">
        <v>137</v>
      </c>
    </row>
    <row r="104" spans="1:76" x14ac:dyDescent="0.2">
      <c r="A104" s="36" t="s">
        <v>255</v>
      </c>
      <c r="B104" s="36" t="s">
        <v>256</v>
      </c>
      <c r="C104" s="51" t="s">
        <v>257</v>
      </c>
      <c r="D104" s="52"/>
      <c r="E104" s="36" t="s">
        <v>93</v>
      </c>
      <c r="F104" s="37">
        <v>40</v>
      </c>
      <c r="G104" s="37"/>
      <c r="H104" s="37"/>
      <c r="I104" s="37"/>
      <c r="J104" s="37">
        <f t="shared" si="39"/>
        <v>0</v>
      </c>
      <c r="K104" s="38"/>
      <c r="Z104" s="7">
        <f>IF(AQ104="5",BJ104,0)</f>
        <v>0</v>
      </c>
      <c r="AB104" s="7">
        <f>IF(AQ104="1",BH104,0)</f>
        <v>0</v>
      </c>
      <c r="AC104" s="7">
        <f>IF(AQ104="1",BI104,0)</f>
        <v>0</v>
      </c>
      <c r="AD104" s="7">
        <f>IF(AQ104="7",BH104,0)</f>
        <v>0</v>
      </c>
      <c r="AE104" s="7">
        <f>IF(AQ104="7",BI104,0)</f>
        <v>0</v>
      </c>
      <c r="AF104" s="7">
        <f>IF(AQ104="2",BH104,0)</f>
        <v>0</v>
      </c>
      <c r="AG104" s="7">
        <f>IF(AQ104="2",BI104,0)</f>
        <v>0</v>
      </c>
      <c r="AH104" s="7">
        <f>IF(AQ104="0",BJ104,0)</f>
        <v>0</v>
      </c>
      <c r="AI104" s="5" t="s">
        <v>204</v>
      </c>
      <c r="AJ104" s="7">
        <f>IF(AN104=0,J104,0)</f>
        <v>0</v>
      </c>
      <c r="AK104" s="7">
        <f>IF(AN104=12,J104,0)</f>
        <v>0</v>
      </c>
      <c r="AL104" s="7">
        <f>IF(AN104=21,J104,0)</f>
        <v>0</v>
      </c>
      <c r="AN104" s="7">
        <v>21</v>
      </c>
      <c r="AO104" s="7">
        <f>G104*0</f>
        <v>0</v>
      </c>
      <c r="AP104" s="7">
        <f>G104*(1-0)</f>
        <v>0</v>
      </c>
      <c r="AQ104" s="8" t="s">
        <v>87</v>
      </c>
      <c r="AV104" s="7">
        <f>AW104+AX104</f>
        <v>0</v>
      </c>
      <c r="AW104" s="7">
        <f>F104*AO104</f>
        <v>0</v>
      </c>
      <c r="AX104" s="7">
        <f>F104*AP104</f>
        <v>0</v>
      </c>
      <c r="AY104" s="8" t="s">
        <v>133</v>
      </c>
      <c r="AZ104" s="8" t="s">
        <v>253</v>
      </c>
      <c r="BA104" s="5" t="s">
        <v>207</v>
      </c>
      <c r="BC104" s="7">
        <f>AW104+AX104</f>
        <v>0</v>
      </c>
      <c r="BD104" s="7">
        <f>G104/(100-BE104)*100</f>
        <v>0</v>
      </c>
      <c r="BE104" s="7">
        <v>0</v>
      </c>
      <c r="BF104" s="7">
        <f>104</f>
        <v>104</v>
      </c>
      <c r="BH104" s="7">
        <f>F104*AO104</f>
        <v>0</v>
      </c>
      <c r="BI104" s="7">
        <f>F104*AP104</f>
        <v>0</v>
      </c>
      <c r="BJ104" s="7">
        <f>F104*G104</f>
        <v>0</v>
      </c>
      <c r="BK104" s="7"/>
      <c r="BL104" s="7">
        <v>764</v>
      </c>
      <c r="BW104" s="7">
        <v>21</v>
      </c>
      <c r="BX104" s="2" t="s">
        <v>257</v>
      </c>
    </row>
    <row r="105" spans="1:76" x14ac:dyDescent="0.2">
      <c r="A105" s="36" t="s">
        <v>258</v>
      </c>
      <c r="B105" s="36" t="s">
        <v>259</v>
      </c>
      <c r="C105" s="51" t="s">
        <v>260</v>
      </c>
      <c r="D105" s="52"/>
      <c r="E105" s="36" t="s">
        <v>93</v>
      </c>
      <c r="F105" s="37">
        <v>40</v>
      </c>
      <c r="G105" s="37"/>
      <c r="H105" s="37"/>
      <c r="I105" s="37"/>
      <c r="J105" s="37">
        <f t="shared" si="39"/>
        <v>0</v>
      </c>
      <c r="K105" s="38"/>
      <c r="Z105" s="7">
        <f>IF(AQ105="5",BJ105,0)</f>
        <v>0</v>
      </c>
      <c r="AB105" s="7">
        <f>IF(AQ105="1",BH105,0)</f>
        <v>0</v>
      </c>
      <c r="AC105" s="7">
        <f>IF(AQ105="1",BI105,0)</f>
        <v>0</v>
      </c>
      <c r="AD105" s="7">
        <f>IF(AQ105="7",BH105,0)</f>
        <v>0</v>
      </c>
      <c r="AE105" s="7">
        <f>IF(AQ105="7",BI105,0)</f>
        <v>0</v>
      </c>
      <c r="AF105" s="7">
        <f>IF(AQ105="2",BH105,0)</f>
        <v>0</v>
      </c>
      <c r="AG105" s="7">
        <f>IF(AQ105="2",BI105,0)</f>
        <v>0</v>
      </c>
      <c r="AH105" s="7">
        <f>IF(AQ105="0",BJ105,0)</f>
        <v>0</v>
      </c>
      <c r="AI105" s="5" t="s">
        <v>204</v>
      </c>
      <c r="AJ105" s="7">
        <f>IF(AN105=0,J105,0)</f>
        <v>0</v>
      </c>
      <c r="AK105" s="7">
        <f>IF(AN105=12,J105,0)</f>
        <v>0</v>
      </c>
      <c r="AL105" s="7">
        <f>IF(AN105=21,J105,0)</f>
        <v>0</v>
      </c>
      <c r="AN105" s="7">
        <v>21</v>
      </c>
      <c r="AO105" s="7">
        <f>G105*0.113664856</f>
        <v>0</v>
      </c>
      <c r="AP105" s="7">
        <f>G105*(1-0.113664856)</f>
        <v>0</v>
      </c>
      <c r="AQ105" s="8" t="s">
        <v>87</v>
      </c>
      <c r="AV105" s="7">
        <f>AW105+AX105</f>
        <v>0</v>
      </c>
      <c r="AW105" s="7">
        <f>F105*AO105</f>
        <v>0</v>
      </c>
      <c r="AX105" s="7">
        <f>F105*AP105</f>
        <v>0</v>
      </c>
      <c r="AY105" s="8" t="s">
        <v>133</v>
      </c>
      <c r="AZ105" s="8" t="s">
        <v>253</v>
      </c>
      <c r="BA105" s="5" t="s">
        <v>207</v>
      </c>
      <c r="BC105" s="7">
        <f>AW105+AX105</f>
        <v>0</v>
      </c>
      <c r="BD105" s="7">
        <f>G105/(100-BE105)*100</f>
        <v>0</v>
      </c>
      <c r="BE105" s="7">
        <v>0</v>
      </c>
      <c r="BF105" s="7">
        <f>105</f>
        <v>105</v>
      </c>
      <c r="BH105" s="7">
        <f>F105*AO105</f>
        <v>0</v>
      </c>
      <c r="BI105" s="7">
        <f>F105*AP105</f>
        <v>0</v>
      </c>
      <c r="BJ105" s="7">
        <f>F105*G105</f>
        <v>0</v>
      </c>
      <c r="BK105" s="7"/>
      <c r="BL105" s="7">
        <v>764</v>
      </c>
      <c r="BW105" s="7">
        <v>21</v>
      </c>
      <c r="BX105" s="2" t="s">
        <v>260</v>
      </c>
    </row>
    <row r="106" spans="1:76" x14ac:dyDescent="0.2">
      <c r="A106" s="32" t="s">
        <v>51</v>
      </c>
      <c r="B106" s="33" t="s">
        <v>261</v>
      </c>
      <c r="C106" s="56" t="s">
        <v>262</v>
      </c>
      <c r="D106" s="57"/>
      <c r="E106" s="32" t="s">
        <v>4</v>
      </c>
      <c r="F106" s="32" t="s">
        <v>4</v>
      </c>
      <c r="G106" s="32"/>
      <c r="H106" s="34"/>
      <c r="I106" s="34"/>
      <c r="J106" s="34"/>
      <c r="K106" s="35"/>
      <c r="AI106" s="5" t="s">
        <v>204</v>
      </c>
      <c r="AS106" s="1">
        <f>SUM(AJ107:AJ107)</f>
        <v>0</v>
      </c>
      <c r="AT106" s="1">
        <f>SUM(AK107:AK107)</f>
        <v>0</v>
      </c>
      <c r="AU106" s="1">
        <f>SUM(AL107:AL107)</f>
        <v>0</v>
      </c>
    </row>
    <row r="107" spans="1:76" x14ac:dyDescent="0.2">
      <c r="A107" s="36" t="s">
        <v>263</v>
      </c>
      <c r="B107" s="36" t="s">
        <v>264</v>
      </c>
      <c r="C107" s="51" t="s">
        <v>265</v>
      </c>
      <c r="D107" s="52"/>
      <c r="E107" s="36" t="s">
        <v>59</v>
      </c>
      <c r="F107" s="37">
        <v>37.5</v>
      </c>
      <c r="G107" s="37"/>
      <c r="H107" s="37"/>
      <c r="I107" s="37"/>
      <c r="J107" s="37">
        <f t="shared" si="39"/>
        <v>0</v>
      </c>
      <c r="K107" s="38"/>
      <c r="Z107" s="7">
        <f>IF(AQ107="5",BJ107,0)</f>
        <v>0</v>
      </c>
      <c r="AB107" s="7">
        <f>IF(AQ107="1",BH107,0)</f>
        <v>0</v>
      </c>
      <c r="AC107" s="7">
        <f>IF(AQ107="1",BI107,0)</f>
        <v>0</v>
      </c>
      <c r="AD107" s="7">
        <f>IF(AQ107="7",BH107,0)</f>
        <v>0</v>
      </c>
      <c r="AE107" s="7">
        <f>IF(AQ107="7",BI107,0)</f>
        <v>0</v>
      </c>
      <c r="AF107" s="7">
        <f>IF(AQ107="2",BH107,0)</f>
        <v>0</v>
      </c>
      <c r="AG107" s="7">
        <f>IF(AQ107="2",BI107,0)</f>
        <v>0</v>
      </c>
      <c r="AH107" s="7">
        <f>IF(AQ107="0",BJ107,0)</f>
        <v>0</v>
      </c>
      <c r="AI107" s="5" t="s">
        <v>204</v>
      </c>
      <c r="AJ107" s="7">
        <f>IF(AN107=0,J107,0)</f>
        <v>0</v>
      </c>
      <c r="AK107" s="7">
        <f>IF(AN107=12,J107,0)</f>
        <v>0</v>
      </c>
      <c r="AL107" s="7">
        <f>IF(AN107=21,J107,0)</f>
        <v>0</v>
      </c>
      <c r="AN107" s="7">
        <v>21</v>
      </c>
      <c r="AO107" s="7">
        <f>G107*0</f>
        <v>0</v>
      </c>
      <c r="AP107" s="7">
        <f>G107*(1-0)</f>
        <v>0</v>
      </c>
      <c r="AQ107" s="8" t="s">
        <v>87</v>
      </c>
      <c r="AV107" s="7">
        <f>AW107+AX107</f>
        <v>0</v>
      </c>
      <c r="AW107" s="7">
        <f>F107*AO107</f>
        <v>0</v>
      </c>
      <c r="AX107" s="7">
        <f>F107*AP107</f>
        <v>0</v>
      </c>
      <c r="AY107" s="8" t="s">
        <v>266</v>
      </c>
      <c r="AZ107" s="8" t="s">
        <v>267</v>
      </c>
      <c r="BA107" s="5" t="s">
        <v>207</v>
      </c>
      <c r="BC107" s="7">
        <f>AW107+AX107</f>
        <v>0</v>
      </c>
      <c r="BD107" s="7">
        <f>G107/(100-BE107)*100</f>
        <v>0</v>
      </c>
      <c r="BE107" s="7">
        <v>0</v>
      </c>
      <c r="BF107" s="7">
        <f>107</f>
        <v>107</v>
      </c>
      <c r="BH107" s="7">
        <f>F107*AO107</f>
        <v>0</v>
      </c>
      <c r="BI107" s="7">
        <f>F107*AP107</f>
        <v>0</v>
      </c>
      <c r="BJ107" s="7">
        <f>F107*G107</f>
        <v>0</v>
      </c>
      <c r="BK107" s="7"/>
      <c r="BL107" s="7">
        <v>781</v>
      </c>
      <c r="BW107" s="7">
        <v>21</v>
      </c>
      <c r="BX107" s="2" t="s">
        <v>265</v>
      </c>
    </row>
    <row r="108" spans="1:76" x14ac:dyDescent="0.2">
      <c r="A108" s="32" t="s">
        <v>51</v>
      </c>
      <c r="B108" s="33" t="s">
        <v>268</v>
      </c>
      <c r="C108" s="56" t="s">
        <v>269</v>
      </c>
      <c r="D108" s="57"/>
      <c r="E108" s="32" t="s">
        <v>4</v>
      </c>
      <c r="F108" s="32" t="s">
        <v>4</v>
      </c>
      <c r="G108" s="32"/>
      <c r="H108" s="34"/>
      <c r="I108" s="34"/>
      <c r="J108" s="34"/>
      <c r="K108" s="35"/>
      <c r="AI108" s="5" t="s">
        <v>204</v>
      </c>
      <c r="AS108" s="1">
        <f>SUM(AJ109:AJ110)</f>
        <v>0</v>
      </c>
      <c r="AT108" s="1">
        <f>SUM(AK109:AK110)</f>
        <v>0</v>
      </c>
      <c r="AU108" s="1">
        <f>SUM(AL109:AL110)</f>
        <v>0</v>
      </c>
    </row>
    <row r="109" spans="1:76" x14ac:dyDescent="0.2">
      <c r="A109" s="36" t="s">
        <v>270</v>
      </c>
      <c r="B109" s="36" t="s">
        <v>271</v>
      </c>
      <c r="C109" s="51" t="s">
        <v>272</v>
      </c>
      <c r="D109" s="52"/>
      <c r="E109" s="36" t="s">
        <v>59</v>
      </c>
      <c r="F109" s="37">
        <v>37.5</v>
      </c>
      <c r="G109" s="37"/>
      <c r="H109" s="37"/>
      <c r="I109" s="37"/>
      <c r="J109" s="37">
        <f t="shared" si="39"/>
        <v>0</v>
      </c>
      <c r="K109" s="38"/>
      <c r="Z109" s="7">
        <f>IF(AQ109="5",BJ109,0)</f>
        <v>0</v>
      </c>
      <c r="AB109" s="7">
        <f>IF(AQ109="1",BH109,0)</f>
        <v>0</v>
      </c>
      <c r="AC109" s="7">
        <f>IF(AQ109="1",BI109,0)</f>
        <v>0</v>
      </c>
      <c r="AD109" s="7">
        <f>IF(AQ109="7",BH109,0)</f>
        <v>0</v>
      </c>
      <c r="AE109" s="7">
        <f>IF(AQ109="7",BI109,0)</f>
        <v>0</v>
      </c>
      <c r="AF109" s="7">
        <f>IF(AQ109="2",BH109,0)</f>
        <v>0</v>
      </c>
      <c r="AG109" s="7">
        <f>IF(AQ109="2",BI109,0)</f>
        <v>0</v>
      </c>
      <c r="AH109" s="7">
        <f>IF(AQ109="0",BJ109,0)</f>
        <v>0</v>
      </c>
      <c r="AI109" s="5" t="s">
        <v>204</v>
      </c>
      <c r="AJ109" s="7">
        <f>IF(AN109=0,J109,0)</f>
        <v>0</v>
      </c>
      <c r="AK109" s="7">
        <f>IF(AN109=12,J109,0)</f>
        <v>0</v>
      </c>
      <c r="AL109" s="7">
        <f>IF(AN109=21,J109,0)</f>
        <v>0</v>
      </c>
      <c r="AN109" s="7">
        <v>21</v>
      </c>
      <c r="AO109" s="7">
        <f>G109*0.402395892</f>
        <v>0</v>
      </c>
      <c r="AP109" s="7">
        <f>G109*(1-0.402395892)</f>
        <v>0</v>
      </c>
      <c r="AQ109" s="8" t="s">
        <v>87</v>
      </c>
      <c r="AV109" s="7">
        <f>AW109+AX109</f>
        <v>0</v>
      </c>
      <c r="AW109" s="7">
        <f>F109*AO109</f>
        <v>0</v>
      </c>
      <c r="AX109" s="7">
        <f>F109*AP109</f>
        <v>0</v>
      </c>
      <c r="AY109" s="8" t="s">
        <v>273</v>
      </c>
      <c r="AZ109" s="8" t="s">
        <v>267</v>
      </c>
      <c r="BA109" s="5" t="s">
        <v>207</v>
      </c>
      <c r="BC109" s="7">
        <f>AW109+AX109</f>
        <v>0</v>
      </c>
      <c r="BD109" s="7">
        <f>G109/(100-BE109)*100</f>
        <v>0</v>
      </c>
      <c r="BE109" s="7">
        <v>0</v>
      </c>
      <c r="BF109" s="7">
        <f>109</f>
        <v>109</v>
      </c>
      <c r="BH109" s="7">
        <f>F109*AO109</f>
        <v>0</v>
      </c>
      <c r="BI109" s="7">
        <f>F109*AP109</f>
        <v>0</v>
      </c>
      <c r="BJ109" s="7">
        <f>F109*G109</f>
        <v>0</v>
      </c>
      <c r="BK109" s="7"/>
      <c r="BL109" s="7">
        <v>784</v>
      </c>
      <c r="BW109" s="7">
        <v>21</v>
      </c>
      <c r="BX109" s="2" t="s">
        <v>272</v>
      </c>
    </row>
    <row r="110" spans="1:76" x14ac:dyDescent="0.2">
      <c r="A110" s="36" t="s">
        <v>274</v>
      </c>
      <c r="B110" s="36" t="s">
        <v>271</v>
      </c>
      <c r="C110" s="51" t="s">
        <v>275</v>
      </c>
      <c r="D110" s="52"/>
      <c r="E110" s="36" t="s">
        <v>59</v>
      </c>
      <c r="F110" s="37">
        <v>851.6</v>
      </c>
      <c r="G110" s="37"/>
      <c r="H110" s="37"/>
      <c r="I110" s="37"/>
      <c r="J110" s="37">
        <f t="shared" si="39"/>
        <v>0</v>
      </c>
      <c r="K110" s="38"/>
      <c r="Z110" s="7">
        <f>IF(AQ110="5",BJ110,0)</f>
        <v>0</v>
      </c>
      <c r="AB110" s="7">
        <f>IF(AQ110="1",BH110,0)</f>
        <v>0</v>
      </c>
      <c r="AC110" s="7">
        <f>IF(AQ110="1",BI110,0)</f>
        <v>0</v>
      </c>
      <c r="AD110" s="7">
        <f>IF(AQ110="7",BH110,0)</f>
        <v>0</v>
      </c>
      <c r="AE110" s="7">
        <f>IF(AQ110="7",BI110,0)</f>
        <v>0</v>
      </c>
      <c r="AF110" s="7">
        <f>IF(AQ110="2",BH110,0)</f>
        <v>0</v>
      </c>
      <c r="AG110" s="7">
        <f>IF(AQ110="2",BI110,0)</f>
        <v>0</v>
      </c>
      <c r="AH110" s="7">
        <f>IF(AQ110="0",BJ110,0)</f>
        <v>0</v>
      </c>
      <c r="AI110" s="5" t="s">
        <v>204</v>
      </c>
      <c r="AJ110" s="7">
        <f>IF(AN110=0,J110,0)</f>
        <v>0</v>
      </c>
      <c r="AK110" s="7">
        <f>IF(AN110=12,J110,0)</f>
        <v>0</v>
      </c>
      <c r="AL110" s="7">
        <f>IF(AN110=21,J110,0)</f>
        <v>0</v>
      </c>
      <c r="AN110" s="7">
        <v>21</v>
      </c>
      <c r="AO110" s="7">
        <f>G110*0.402397973</f>
        <v>0</v>
      </c>
      <c r="AP110" s="7">
        <f>G110*(1-0.402397973)</f>
        <v>0</v>
      </c>
      <c r="AQ110" s="8" t="s">
        <v>87</v>
      </c>
      <c r="AV110" s="7">
        <f>AW110+AX110</f>
        <v>0</v>
      </c>
      <c r="AW110" s="7">
        <f>F110*AO110</f>
        <v>0</v>
      </c>
      <c r="AX110" s="7">
        <f>F110*AP110</f>
        <v>0</v>
      </c>
      <c r="AY110" s="8" t="s">
        <v>273</v>
      </c>
      <c r="AZ110" s="8" t="s">
        <v>267</v>
      </c>
      <c r="BA110" s="5" t="s">
        <v>207</v>
      </c>
      <c r="BC110" s="7">
        <f>AW110+AX110</f>
        <v>0</v>
      </c>
      <c r="BD110" s="7">
        <f>G110/(100-BE110)*100</f>
        <v>0</v>
      </c>
      <c r="BE110" s="7">
        <v>0</v>
      </c>
      <c r="BF110" s="7">
        <f>110</f>
        <v>110</v>
      </c>
      <c r="BH110" s="7">
        <f>F110*AO110</f>
        <v>0</v>
      </c>
      <c r="BI110" s="7">
        <f>F110*AP110</f>
        <v>0</v>
      </c>
      <c r="BJ110" s="7">
        <f>F110*G110</f>
        <v>0</v>
      </c>
      <c r="BK110" s="7"/>
      <c r="BL110" s="7">
        <v>784</v>
      </c>
      <c r="BW110" s="7">
        <v>21</v>
      </c>
      <c r="BX110" s="2" t="s">
        <v>275</v>
      </c>
    </row>
    <row r="111" spans="1:76" x14ac:dyDescent="0.2">
      <c r="H111" s="53" t="s">
        <v>276</v>
      </c>
      <c r="I111" s="53"/>
      <c r="J111" s="43"/>
    </row>
    <row r="112" spans="1:76" x14ac:dyDescent="0.2">
      <c r="A112" s="9"/>
    </row>
    <row r="113" spans="1:11" ht="67.5" customHeight="1" x14ac:dyDescent="0.2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</sheetData>
  <mergeCells count="129"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8:D9"/>
    <mergeCell ref="G2:G3"/>
    <mergeCell ref="G4:G5"/>
    <mergeCell ref="G6:G7"/>
    <mergeCell ref="C18:D18"/>
    <mergeCell ref="C19:D19"/>
    <mergeCell ref="C11:D11"/>
    <mergeCell ref="H10:J10"/>
    <mergeCell ref="C12:D12"/>
    <mergeCell ref="C13:D13"/>
    <mergeCell ref="C14:D14"/>
    <mergeCell ref="C25:D25"/>
    <mergeCell ref="C26:D26"/>
    <mergeCell ref="C10:D10"/>
    <mergeCell ref="C15:D15"/>
    <mergeCell ref="C16:D16"/>
    <mergeCell ref="C17:D17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110:D110"/>
    <mergeCell ref="H111:I111"/>
    <mergeCell ref="A113:K113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</mergeCells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C27" sqref="C27"/>
    </sheetView>
  </sheetViews>
  <sheetFormatPr baseColWidth="10" defaultColWidth="12.1640625" defaultRowHeight="15" customHeight="1" x14ac:dyDescent="0.2"/>
  <cols>
    <col min="1" max="1" width="9.1640625" customWidth="1"/>
    <col min="2" max="2" width="12.83203125" customWidth="1"/>
    <col min="3" max="3" width="27.1640625" customWidth="1"/>
    <col min="4" max="4" width="10" customWidth="1"/>
    <col min="5" max="5" width="14" customWidth="1"/>
    <col min="6" max="6" width="27.1640625" customWidth="1"/>
    <col min="7" max="7" width="9.1640625" customWidth="1"/>
    <col min="8" max="8" width="12.83203125" customWidth="1"/>
    <col min="9" max="9" width="27.1640625" customWidth="1"/>
  </cols>
  <sheetData>
    <row r="1" spans="1:9" ht="54.75" customHeight="1" x14ac:dyDescent="0.2">
      <c r="A1" s="110" t="s">
        <v>277</v>
      </c>
      <c r="B1" s="66"/>
      <c r="C1" s="66"/>
      <c r="D1" s="66"/>
      <c r="E1" s="66"/>
      <c r="F1" s="66"/>
      <c r="G1" s="66"/>
      <c r="H1" s="66"/>
      <c r="I1" s="66"/>
    </row>
    <row r="2" spans="1:9" x14ac:dyDescent="0.2">
      <c r="A2" s="67" t="s">
        <v>1</v>
      </c>
      <c r="B2" s="68"/>
      <c r="C2" s="73" t="str">
        <f>'Stavební rozpočet'!C2</f>
        <v>Snížení energetické náročnosti výrobního objektu</v>
      </c>
      <c r="D2" s="74"/>
      <c r="E2" s="72" t="s">
        <v>5</v>
      </c>
      <c r="F2" s="72" t="str">
        <f>'Stavební rozpočet'!I2</f>
        <v>Aleš Kastl, dřevovýroba</v>
      </c>
      <c r="G2" s="68"/>
      <c r="H2" s="72" t="s">
        <v>278</v>
      </c>
      <c r="I2" s="76" t="s">
        <v>51</v>
      </c>
    </row>
    <row r="3" spans="1:9" ht="15" customHeight="1" x14ac:dyDescent="0.2">
      <c r="A3" s="69"/>
      <c r="B3" s="55"/>
      <c r="C3" s="75"/>
      <c r="D3" s="75"/>
      <c r="E3" s="55"/>
      <c r="F3" s="55"/>
      <c r="G3" s="55"/>
      <c r="H3" s="55"/>
      <c r="I3" s="77"/>
    </row>
    <row r="4" spans="1:9" x14ac:dyDescent="0.2">
      <c r="A4" s="70" t="s">
        <v>7</v>
      </c>
      <c r="B4" s="55"/>
      <c r="C4" s="54" t="str">
        <f>'Stavební rozpočet'!C4</f>
        <v>Zateplení objektů firmy Kastl</v>
      </c>
      <c r="D4" s="55"/>
      <c r="E4" s="54" t="s">
        <v>10</v>
      </c>
      <c r="F4" s="54" t="str">
        <f>'Stavební rozpočet'!I4</f>
        <v>Voldan s.r.o.</v>
      </c>
      <c r="G4" s="55"/>
      <c r="H4" s="54" t="s">
        <v>278</v>
      </c>
      <c r="I4" s="77" t="s">
        <v>51</v>
      </c>
    </row>
    <row r="5" spans="1:9" ht="15" customHeight="1" x14ac:dyDescent="0.2">
      <c r="A5" s="69"/>
      <c r="B5" s="55"/>
      <c r="C5" s="55"/>
      <c r="D5" s="55"/>
      <c r="E5" s="55"/>
      <c r="F5" s="55"/>
      <c r="G5" s="55"/>
      <c r="H5" s="55"/>
      <c r="I5" s="77"/>
    </row>
    <row r="6" spans="1:9" x14ac:dyDescent="0.2">
      <c r="A6" s="70" t="s">
        <v>12</v>
      </c>
      <c r="B6" s="55"/>
      <c r="C6" s="54" t="str">
        <f>'Stavební rozpočet'!C6</f>
        <v>Nový Kostel</v>
      </c>
      <c r="D6" s="55"/>
      <c r="E6" s="54" t="s">
        <v>15</v>
      </c>
      <c r="F6" s="54" t="str">
        <f>'Stavební rozpočet'!I6</f>
        <v>bude vybrán ve výběrovém řízen</v>
      </c>
      <c r="G6" s="55"/>
      <c r="H6" s="54" t="s">
        <v>278</v>
      </c>
      <c r="I6" s="77" t="s">
        <v>51</v>
      </c>
    </row>
    <row r="7" spans="1:9" ht="15" customHeight="1" x14ac:dyDescent="0.2">
      <c r="A7" s="69"/>
      <c r="B7" s="55"/>
      <c r="C7" s="55"/>
      <c r="D7" s="55"/>
      <c r="E7" s="55"/>
      <c r="F7" s="55"/>
      <c r="G7" s="55"/>
      <c r="H7" s="55"/>
      <c r="I7" s="77"/>
    </row>
    <row r="8" spans="1:9" x14ac:dyDescent="0.2">
      <c r="A8" s="70" t="s">
        <v>9</v>
      </c>
      <c r="B8" s="55"/>
      <c r="C8" s="54" t="str">
        <f>'Stavební rozpočet'!G4</f>
        <v xml:space="preserve"> </v>
      </c>
      <c r="D8" s="55"/>
      <c r="E8" s="54" t="s">
        <v>14</v>
      </c>
      <c r="F8" s="54" t="str">
        <f>'Stavební rozpočet'!G6</f>
        <v xml:space="preserve"> </v>
      </c>
      <c r="G8" s="55"/>
      <c r="H8" s="55" t="s">
        <v>279</v>
      </c>
      <c r="I8" s="111">
        <v>74</v>
      </c>
    </row>
    <row r="9" spans="1:9" x14ac:dyDescent="0.2">
      <c r="A9" s="69"/>
      <c r="B9" s="55"/>
      <c r="C9" s="55"/>
      <c r="D9" s="55"/>
      <c r="E9" s="55"/>
      <c r="F9" s="55"/>
      <c r="G9" s="55"/>
      <c r="H9" s="55"/>
      <c r="I9" s="77"/>
    </row>
    <row r="10" spans="1:9" x14ac:dyDescent="0.2">
      <c r="A10" s="70" t="s">
        <v>17</v>
      </c>
      <c r="B10" s="55"/>
      <c r="C10" s="54" t="str">
        <f>'Stavební rozpočet'!C8</f>
        <v>801</v>
      </c>
      <c r="D10" s="55"/>
      <c r="E10" s="54" t="s">
        <v>20</v>
      </c>
      <c r="F10" s="54" t="str">
        <f>'Stavební rozpočet'!I8</f>
        <v> </v>
      </c>
      <c r="G10" s="55"/>
      <c r="H10" s="55" t="s">
        <v>280</v>
      </c>
      <c r="I10" s="103" t="str">
        <f>'Stavební rozpočet'!G8</f>
        <v xml:space="preserve"> </v>
      </c>
    </row>
    <row r="11" spans="1:9" x14ac:dyDescent="0.2">
      <c r="A11" s="109"/>
      <c r="B11" s="108"/>
      <c r="C11" s="108"/>
      <c r="D11" s="108"/>
      <c r="E11" s="108"/>
      <c r="F11" s="108"/>
      <c r="G11" s="108"/>
      <c r="H11" s="108"/>
      <c r="I11" s="104"/>
    </row>
    <row r="12" spans="1:9" ht="23" x14ac:dyDescent="0.2">
      <c r="A12" s="105" t="s">
        <v>281</v>
      </c>
      <c r="B12" s="105"/>
      <c r="C12" s="105"/>
      <c r="D12" s="105"/>
      <c r="E12" s="105"/>
      <c r="F12" s="105"/>
      <c r="G12" s="105"/>
      <c r="H12" s="105"/>
      <c r="I12" s="105"/>
    </row>
    <row r="13" spans="1:9" ht="26.25" customHeight="1" x14ac:dyDescent="0.2">
      <c r="A13" s="10" t="s">
        <v>282</v>
      </c>
      <c r="B13" s="106" t="s">
        <v>283</v>
      </c>
      <c r="C13" s="107"/>
      <c r="D13" s="11" t="s">
        <v>284</v>
      </c>
      <c r="E13" s="106" t="s">
        <v>285</v>
      </c>
      <c r="F13" s="107"/>
      <c r="G13" s="11" t="s">
        <v>286</v>
      </c>
      <c r="H13" s="106" t="s">
        <v>287</v>
      </c>
      <c r="I13" s="107"/>
    </row>
    <row r="14" spans="1:9" ht="16" x14ac:dyDescent="0.2">
      <c r="A14" s="12" t="s">
        <v>288</v>
      </c>
      <c r="B14" s="39" t="s">
        <v>289</v>
      </c>
      <c r="C14" s="44">
        <f>SUM('Stavební rozpočet'!AB12:AB110)</f>
        <v>0</v>
      </c>
      <c r="D14" s="94" t="s">
        <v>290</v>
      </c>
      <c r="E14" s="95"/>
      <c r="F14" s="44">
        <f>VORN!I15</f>
        <v>0</v>
      </c>
      <c r="G14" s="94" t="s">
        <v>291</v>
      </c>
      <c r="H14" s="95"/>
      <c r="I14" s="45">
        <f>VORN!I21</f>
        <v>0</v>
      </c>
    </row>
    <row r="15" spans="1:9" ht="16" x14ac:dyDescent="0.2">
      <c r="A15" s="13" t="s">
        <v>51</v>
      </c>
      <c r="B15" s="39" t="s">
        <v>36</v>
      </c>
      <c r="C15" s="44">
        <f>SUM('Stavební rozpočet'!AC12:AC110)</f>
        <v>0</v>
      </c>
      <c r="D15" s="94" t="s">
        <v>292</v>
      </c>
      <c r="E15" s="95"/>
      <c r="F15" s="44">
        <f>VORN!I16</f>
        <v>0</v>
      </c>
      <c r="G15" s="94" t="s">
        <v>293</v>
      </c>
      <c r="H15" s="95"/>
      <c r="I15" s="45">
        <f>VORN!I22</f>
        <v>0</v>
      </c>
    </row>
    <row r="16" spans="1:9" ht="16" x14ac:dyDescent="0.2">
      <c r="A16" s="12" t="s">
        <v>294</v>
      </c>
      <c r="B16" s="39" t="s">
        <v>289</v>
      </c>
      <c r="C16" s="44">
        <f>SUM('Stavební rozpočet'!AD12:AD110)</f>
        <v>0</v>
      </c>
      <c r="D16" s="94" t="s">
        <v>295</v>
      </c>
      <c r="E16" s="95"/>
      <c r="F16" s="44">
        <f>VORN!I17</f>
        <v>0</v>
      </c>
      <c r="G16" s="94" t="s">
        <v>296</v>
      </c>
      <c r="H16" s="95"/>
      <c r="I16" s="45">
        <f>VORN!I23</f>
        <v>0</v>
      </c>
    </row>
    <row r="17" spans="1:9" ht="16" x14ac:dyDescent="0.2">
      <c r="A17" s="13" t="s">
        <v>51</v>
      </c>
      <c r="B17" s="39" t="s">
        <v>36</v>
      </c>
      <c r="C17" s="44">
        <f>SUM('Stavební rozpočet'!AE12:AE110)</f>
        <v>0</v>
      </c>
      <c r="D17" s="94" t="s">
        <v>51</v>
      </c>
      <c r="E17" s="95"/>
      <c r="F17" s="45" t="s">
        <v>51</v>
      </c>
      <c r="G17" s="94" t="s">
        <v>297</v>
      </c>
      <c r="H17" s="95"/>
      <c r="I17" s="45">
        <f>VORN!I24</f>
        <v>0</v>
      </c>
    </row>
    <row r="18" spans="1:9" ht="16" x14ac:dyDescent="0.2">
      <c r="A18" s="12" t="s">
        <v>298</v>
      </c>
      <c r="B18" s="39" t="s">
        <v>289</v>
      </c>
      <c r="C18" s="44">
        <f>SUM('Stavební rozpočet'!AF12:AF110)</f>
        <v>0</v>
      </c>
      <c r="D18" s="94" t="s">
        <v>51</v>
      </c>
      <c r="E18" s="95"/>
      <c r="F18" s="45" t="s">
        <v>51</v>
      </c>
      <c r="G18" s="94" t="s">
        <v>299</v>
      </c>
      <c r="H18" s="95"/>
      <c r="I18" s="45">
        <f>VORN!I25</f>
        <v>0</v>
      </c>
    </row>
    <row r="19" spans="1:9" ht="16" x14ac:dyDescent="0.2">
      <c r="A19" s="13" t="s">
        <v>51</v>
      </c>
      <c r="B19" s="39" t="s">
        <v>36</v>
      </c>
      <c r="C19" s="44">
        <f>SUM('Stavební rozpočet'!AG12:AG110)</f>
        <v>0</v>
      </c>
      <c r="D19" s="94" t="s">
        <v>51</v>
      </c>
      <c r="E19" s="95"/>
      <c r="F19" s="45" t="s">
        <v>51</v>
      </c>
      <c r="G19" s="94" t="s">
        <v>300</v>
      </c>
      <c r="H19" s="95"/>
      <c r="I19" s="45">
        <f>VORN!I26</f>
        <v>0</v>
      </c>
    </row>
    <row r="20" spans="1:9" ht="16" x14ac:dyDescent="0.2">
      <c r="A20" s="88" t="s">
        <v>190</v>
      </c>
      <c r="B20" s="89"/>
      <c r="C20" s="44">
        <f>SUM('Stavební rozpočet'!AH12:AH110)</f>
        <v>0</v>
      </c>
      <c r="D20" s="94" t="s">
        <v>51</v>
      </c>
      <c r="E20" s="95"/>
      <c r="F20" s="45" t="s">
        <v>51</v>
      </c>
      <c r="G20" s="94" t="s">
        <v>51</v>
      </c>
      <c r="H20" s="95"/>
      <c r="I20" s="45" t="s">
        <v>51</v>
      </c>
    </row>
    <row r="21" spans="1:9" ht="16" x14ac:dyDescent="0.2">
      <c r="A21" s="100" t="s">
        <v>301</v>
      </c>
      <c r="B21" s="101"/>
      <c r="C21" s="46">
        <f>SUM('Stavební rozpočet'!Z12:Z110)</f>
        <v>0</v>
      </c>
      <c r="D21" s="80" t="s">
        <v>51</v>
      </c>
      <c r="E21" s="96"/>
      <c r="F21" s="47" t="s">
        <v>51</v>
      </c>
      <c r="G21" s="80" t="s">
        <v>51</v>
      </c>
      <c r="H21" s="96"/>
      <c r="I21" s="47" t="s">
        <v>51</v>
      </c>
    </row>
    <row r="22" spans="1:9" ht="16.5" customHeight="1" x14ac:dyDescent="0.2">
      <c r="A22" s="102" t="s">
        <v>302</v>
      </c>
      <c r="B22" s="98"/>
      <c r="C22" s="14">
        <f>SUM(C14:C21)</f>
        <v>0</v>
      </c>
      <c r="D22" s="97" t="s">
        <v>303</v>
      </c>
      <c r="E22" s="98"/>
      <c r="F22" s="14">
        <f>SUM(F14:F21)</f>
        <v>0</v>
      </c>
      <c r="G22" s="97" t="s">
        <v>304</v>
      </c>
      <c r="H22" s="98"/>
      <c r="I22" s="14">
        <f>SUM(I14:I21)</f>
        <v>0</v>
      </c>
    </row>
    <row r="23" spans="1:9" ht="16" x14ac:dyDescent="0.2">
      <c r="D23" s="88" t="s">
        <v>305</v>
      </c>
      <c r="E23" s="89"/>
      <c r="F23" s="15">
        <v>0</v>
      </c>
      <c r="G23" s="99" t="s">
        <v>306</v>
      </c>
      <c r="H23" s="89"/>
      <c r="I23" s="44">
        <v>0</v>
      </c>
    </row>
    <row r="24" spans="1:9" ht="16" x14ac:dyDescent="0.2">
      <c r="G24" s="88" t="s">
        <v>307</v>
      </c>
      <c r="H24" s="89"/>
      <c r="I24" s="46">
        <f>vorn_sum</f>
        <v>0</v>
      </c>
    </row>
    <row r="25" spans="1:9" ht="16" x14ac:dyDescent="0.2">
      <c r="G25" s="88" t="s">
        <v>308</v>
      </c>
      <c r="H25" s="89"/>
      <c r="I25" s="14">
        <v>0</v>
      </c>
    </row>
    <row r="27" spans="1:9" ht="16" x14ac:dyDescent="0.2">
      <c r="A27" s="90" t="s">
        <v>309</v>
      </c>
      <c r="B27" s="91"/>
      <c r="C27" s="48">
        <f>SUM('Stavební rozpočet'!AJ12:AJ110)</f>
        <v>0</v>
      </c>
    </row>
    <row r="28" spans="1:9" ht="16" x14ac:dyDescent="0.2">
      <c r="A28" s="92" t="s">
        <v>310</v>
      </c>
      <c r="B28" s="93"/>
      <c r="C28" s="16">
        <f>SUM('Stavební rozpočet'!AK12:AK110)</f>
        <v>0</v>
      </c>
      <c r="D28" s="91" t="s">
        <v>311</v>
      </c>
      <c r="E28" s="91"/>
      <c r="F28" s="48">
        <f>ROUND(C28*(12/100),2)</f>
        <v>0</v>
      </c>
      <c r="G28" s="91" t="s">
        <v>312</v>
      </c>
      <c r="H28" s="91"/>
      <c r="I28" s="48">
        <f>SUM(C27:C29)</f>
        <v>0</v>
      </c>
    </row>
    <row r="29" spans="1:9" ht="16" x14ac:dyDescent="0.2">
      <c r="A29" s="92" t="s">
        <v>313</v>
      </c>
      <c r="B29" s="93"/>
      <c r="C29" s="16">
        <f>SUM('Stavební rozpočet'!AL12:AL110)+(F22+I22+F23+I23+I24+I25)</f>
        <v>0</v>
      </c>
      <c r="D29" s="93" t="s">
        <v>314</v>
      </c>
      <c r="E29" s="93"/>
      <c r="F29" s="16">
        <f>ROUND(C29*(21/100),2)</f>
        <v>0</v>
      </c>
      <c r="G29" s="93" t="s">
        <v>315</v>
      </c>
      <c r="H29" s="93"/>
      <c r="I29" s="16">
        <f>SUM(F28:F29)+I28</f>
        <v>0</v>
      </c>
    </row>
    <row r="31" spans="1:9" ht="16" x14ac:dyDescent="0.2">
      <c r="A31" s="85" t="s">
        <v>316</v>
      </c>
      <c r="B31" s="78"/>
      <c r="C31" s="79"/>
      <c r="D31" s="78" t="s">
        <v>317</v>
      </c>
      <c r="E31" s="78"/>
      <c r="F31" s="79"/>
      <c r="G31" s="78" t="s">
        <v>318</v>
      </c>
      <c r="H31" s="78"/>
      <c r="I31" s="79"/>
    </row>
    <row r="32" spans="1:9" ht="16" x14ac:dyDescent="0.2">
      <c r="A32" s="86" t="s">
        <v>51</v>
      </c>
      <c r="B32" s="81"/>
      <c r="C32" s="82"/>
      <c r="D32" s="80" t="s">
        <v>51</v>
      </c>
      <c r="E32" s="81"/>
      <c r="F32" s="82"/>
      <c r="G32" s="80" t="s">
        <v>51</v>
      </c>
      <c r="H32" s="81"/>
      <c r="I32" s="82"/>
    </row>
    <row r="33" spans="1:9" ht="16" x14ac:dyDescent="0.2">
      <c r="A33" s="86" t="s">
        <v>51</v>
      </c>
      <c r="B33" s="81"/>
      <c r="C33" s="82"/>
      <c r="D33" s="80" t="s">
        <v>51</v>
      </c>
      <c r="E33" s="81"/>
      <c r="F33" s="82"/>
      <c r="G33" s="80" t="s">
        <v>51</v>
      </c>
      <c r="H33" s="81"/>
      <c r="I33" s="82"/>
    </row>
    <row r="34" spans="1:9" ht="16" x14ac:dyDescent="0.2">
      <c r="A34" s="86" t="s">
        <v>51</v>
      </c>
      <c r="B34" s="81"/>
      <c r="C34" s="82"/>
      <c r="D34" s="80" t="s">
        <v>51</v>
      </c>
      <c r="E34" s="81"/>
      <c r="F34" s="82"/>
      <c r="G34" s="80" t="s">
        <v>51</v>
      </c>
      <c r="H34" s="81"/>
      <c r="I34" s="82"/>
    </row>
    <row r="35" spans="1:9" ht="16" x14ac:dyDescent="0.2">
      <c r="A35" s="87" t="s">
        <v>319</v>
      </c>
      <c r="B35" s="83"/>
      <c r="C35" s="84"/>
      <c r="D35" s="83" t="s">
        <v>319</v>
      </c>
      <c r="E35" s="83"/>
      <c r="F35" s="84"/>
      <c r="G35" s="83" t="s">
        <v>319</v>
      </c>
      <c r="H35" s="83"/>
      <c r="I35" s="84"/>
    </row>
    <row r="36" spans="1:9" x14ac:dyDescent="0.2">
      <c r="A36" s="49" t="s">
        <v>320</v>
      </c>
    </row>
    <row r="37" spans="1:9" ht="81" customHeight="1" x14ac:dyDescent="0.2">
      <c r="A37" s="54" t="s">
        <v>321</v>
      </c>
      <c r="B37" s="55"/>
      <c r="C37" s="55"/>
      <c r="D37" s="55"/>
      <c r="E37" s="55"/>
      <c r="F37" s="55"/>
      <c r="G37" s="55"/>
      <c r="H37" s="55"/>
      <c r="I37" s="55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baseColWidth="10" defaultColWidth="12.1640625" defaultRowHeight="15" customHeight="1" x14ac:dyDescent="0.2"/>
  <cols>
    <col min="1" max="1" width="9.1640625" customWidth="1"/>
    <col min="2" max="2" width="12.83203125" customWidth="1"/>
    <col min="3" max="3" width="22.83203125" customWidth="1"/>
    <col min="4" max="4" width="10" customWidth="1"/>
    <col min="5" max="5" width="14" customWidth="1"/>
    <col min="6" max="6" width="22.83203125" customWidth="1"/>
    <col min="7" max="7" width="9.1640625" customWidth="1"/>
    <col min="8" max="8" width="17.1640625" customWidth="1"/>
    <col min="9" max="9" width="22.83203125" customWidth="1"/>
  </cols>
  <sheetData>
    <row r="1" spans="1:9" ht="54.75" customHeight="1" x14ac:dyDescent="0.2">
      <c r="A1" s="110" t="s">
        <v>322</v>
      </c>
      <c r="B1" s="66"/>
      <c r="C1" s="66"/>
      <c r="D1" s="66"/>
      <c r="E1" s="66"/>
      <c r="F1" s="66"/>
      <c r="G1" s="66"/>
      <c r="H1" s="66"/>
      <c r="I1" s="66"/>
    </row>
    <row r="2" spans="1:9" x14ac:dyDescent="0.2">
      <c r="A2" s="67" t="s">
        <v>1</v>
      </c>
      <c r="B2" s="68"/>
      <c r="C2" s="73" t="str">
        <f>'Stavební rozpočet'!C2</f>
        <v>Snížení energetické náročnosti výrobního objektu</v>
      </c>
      <c r="D2" s="74"/>
      <c r="E2" s="72" t="s">
        <v>5</v>
      </c>
      <c r="F2" s="72" t="str">
        <f>'Stavební rozpočet'!I2</f>
        <v>Aleš Kastl, dřevovýroba</v>
      </c>
      <c r="G2" s="68"/>
      <c r="H2" s="72" t="s">
        <v>278</v>
      </c>
      <c r="I2" s="76" t="s">
        <v>51</v>
      </c>
    </row>
    <row r="3" spans="1:9" ht="15" customHeight="1" x14ac:dyDescent="0.2">
      <c r="A3" s="69"/>
      <c r="B3" s="55"/>
      <c r="C3" s="75"/>
      <c r="D3" s="75"/>
      <c r="E3" s="55"/>
      <c r="F3" s="55"/>
      <c r="G3" s="55"/>
      <c r="H3" s="55"/>
      <c r="I3" s="77"/>
    </row>
    <row r="4" spans="1:9" x14ac:dyDescent="0.2">
      <c r="A4" s="70" t="s">
        <v>7</v>
      </c>
      <c r="B4" s="55"/>
      <c r="C4" s="54" t="str">
        <f>'Stavební rozpočet'!C4</f>
        <v>Zateplení objektů firmy Kastl</v>
      </c>
      <c r="D4" s="55"/>
      <c r="E4" s="54" t="s">
        <v>10</v>
      </c>
      <c r="F4" s="54" t="str">
        <f>'Stavební rozpočet'!I4</f>
        <v>Voldan s.r.o.</v>
      </c>
      <c r="G4" s="55"/>
      <c r="H4" s="54" t="s">
        <v>278</v>
      </c>
      <c r="I4" s="77" t="s">
        <v>51</v>
      </c>
    </row>
    <row r="5" spans="1:9" ht="15" customHeight="1" x14ac:dyDescent="0.2">
      <c r="A5" s="69"/>
      <c r="B5" s="55"/>
      <c r="C5" s="55"/>
      <c r="D5" s="55"/>
      <c r="E5" s="55"/>
      <c r="F5" s="55"/>
      <c r="G5" s="55"/>
      <c r="H5" s="55"/>
      <c r="I5" s="77"/>
    </row>
    <row r="6" spans="1:9" x14ac:dyDescent="0.2">
      <c r="A6" s="70" t="s">
        <v>12</v>
      </c>
      <c r="B6" s="55"/>
      <c r="C6" s="54" t="str">
        <f>'Stavební rozpočet'!C6</f>
        <v>Nový Kostel</v>
      </c>
      <c r="D6" s="55"/>
      <c r="E6" s="54" t="s">
        <v>15</v>
      </c>
      <c r="F6" s="54" t="str">
        <f>'Stavební rozpočet'!I6</f>
        <v>bude vybrán ve výběrovém řízen</v>
      </c>
      <c r="G6" s="55"/>
      <c r="H6" s="54" t="s">
        <v>278</v>
      </c>
      <c r="I6" s="77" t="s">
        <v>51</v>
      </c>
    </row>
    <row r="7" spans="1:9" ht="15" customHeight="1" x14ac:dyDescent="0.2">
      <c r="A7" s="69"/>
      <c r="B7" s="55"/>
      <c r="C7" s="55"/>
      <c r="D7" s="55"/>
      <c r="E7" s="55"/>
      <c r="F7" s="55"/>
      <c r="G7" s="55"/>
      <c r="H7" s="55"/>
      <c r="I7" s="77"/>
    </row>
    <row r="8" spans="1:9" x14ac:dyDescent="0.2">
      <c r="A8" s="70" t="s">
        <v>9</v>
      </c>
      <c r="B8" s="55"/>
      <c r="C8" s="54" t="str">
        <f>'Stavební rozpočet'!G4</f>
        <v xml:space="preserve"> </v>
      </c>
      <c r="D8" s="55"/>
      <c r="E8" s="54" t="s">
        <v>14</v>
      </c>
      <c r="F8" s="54" t="str">
        <f>'Stavební rozpočet'!G6</f>
        <v xml:space="preserve"> </v>
      </c>
      <c r="G8" s="55"/>
      <c r="H8" s="55" t="s">
        <v>279</v>
      </c>
      <c r="I8" s="111">
        <v>74</v>
      </c>
    </row>
    <row r="9" spans="1:9" x14ac:dyDescent="0.2">
      <c r="A9" s="69"/>
      <c r="B9" s="55"/>
      <c r="C9" s="55"/>
      <c r="D9" s="55"/>
      <c r="E9" s="55"/>
      <c r="F9" s="55"/>
      <c r="G9" s="55"/>
      <c r="H9" s="55"/>
      <c r="I9" s="77"/>
    </row>
    <row r="10" spans="1:9" x14ac:dyDescent="0.2">
      <c r="A10" s="70" t="s">
        <v>17</v>
      </c>
      <c r="B10" s="55"/>
      <c r="C10" s="54" t="str">
        <f>'Stavební rozpočet'!C8</f>
        <v>801</v>
      </c>
      <c r="D10" s="55"/>
      <c r="E10" s="54" t="s">
        <v>20</v>
      </c>
      <c r="F10" s="54" t="str">
        <f>'Stavební rozpočet'!I8</f>
        <v> </v>
      </c>
      <c r="G10" s="55"/>
      <c r="H10" s="55" t="s">
        <v>280</v>
      </c>
      <c r="I10" s="103" t="str">
        <f>'Stavební rozpočet'!G8</f>
        <v xml:space="preserve"> </v>
      </c>
    </row>
    <row r="11" spans="1:9" x14ac:dyDescent="0.2">
      <c r="A11" s="109"/>
      <c r="B11" s="108"/>
      <c r="C11" s="108"/>
      <c r="D11" s="108"/>
      <c r="E11" s="108"/>
      <c r="F11" s="108"/>
      <c r="G11" s="108"/>
      <c r="H11" s="108"/>
      <c r="I11" s="104"/>
    </row>
    <row r="13" spans="1:9" ht="16" x14ac:dyDescent="0.2">
      <c r="A13" s="121" t="s">
        <v>323</v>
      </c>
      <c r="B13" s="121"/>
      <c r="C13" s="121"/>
      <c r="D13" s="121"/>
      <c r="E13" s="121"/>
    </row>
    <row r="14" spans="1:9" x14ac:dyDescent="0.2">
      <c r="A14" s="122" t="s">
        <v>324</v>
      </c>
      <c r="B14" s="123"/>
      <c r="C14" s="123"/>
      <c r="D14" s="123"/>
      <c r="E14" s="124"/>
      <c r="F14" s="17" t="s">
        <v>325</v>
      </c>
      <c r="G14" s="17" t="s">
        <v>326</v>
      </c>
      <c r="H14" s="17" t="s">
        <v>327</v>
      </c>
      <c r="I14" s="17" t="s">
        <v>325</v>
      </c>
    </row>
    <row r="15" spans="1:9" x14ac:dyDescent="0.2">
      <c r="A15" s="109" t="s">
        <v>290</v>
      </c>
      <c r="B15" s="108"/>
      <c r="C15" s="108"/>
      <c r="D15" s="108"/>
      <c r="E15" s="104"/>
      <c r="F15" s="50">
        <v>0</v>
      </c>
      <c r="G15" s="40" t="s">
        <v>51</v>
      </c>
      <c r="H15" s="40" t="s">
        <v>51</v>
      </c>
      <c r="I15" s="50">
        <f>F15</f>
        <v>0</v>
      </c>
    </row>
    <row r="16" spans="1:9" x14ac:dyDescent="0.2">
      <c r="A16" s="109" t="s">
        <v>292</v>
      </c>
      <c r="B16" s="108"/>
      <c r="C16" s="108"/>
      <c r="D16" s="108"/>
      <c r="E16" s="104"/>
      <c r="F16" s="50">
        <v>0</v>
      </c>
      <c r="G16" s="40" t="s">
        <v>51</v>
      </c>
      <c r="H16" s="40" t="s">
        <v>51</v>
      </c>
      <c r="I16" s="50">
        <f>F16</f>
        <v>0</v>
      </c>
    </row>
    <row r="17" spans="1:9" x14ac:dyDescent="0.2">
      <c r="A17" s="69" t="s">
        <v>295</v>
      </c>
      <c r="B17" s="71"/>
      <c r="C17" s="71"/>
      <c r="D17" s="71"/>
      <c r="E17" s="77"/>
      <c r="F17" s="18">
        <v>0</v>
      </c>
      <c r="G17" s="19" t="s">
        <v>51</v>
      </c>
      <c r="H17" s="19" t="s">
        <v>51</v>
      </c>
      <c r="I17" s="18">
        <f>F17</f>
        <v>0</v>
      </c>
    </row>
    <row r="18" spans="1:9" x14ac:dyDescent="0.2">
      <c r="A18" s="112" t="s">
        <v>328</v>
      </c>
      <c r="B18" s="113"/>
      <c r="C18" s="113"/>
      <c r="D18" s="113"/>
      <c r="E18" s="114"/>
      <c r="F18" s="20" t="s">
        <v>51</v>
      </c>
      <c r="G18" s="21" t="s">
        <v>51</v>
      </c>
      <c r="H18" s="21" t="s">
        <v>51</v>
      </c>
      <c r="I18" s="22">
        <f>SUM(I15:I17)</f>
        <v>0</v>
      </c>
    </row>
    <row r="20" spans="1:9" x14ac:dyDescent="0.2">
      <c r="A20" s="122" t="s">
        <v>287</v>
      </c>
      <c r="B20" s="123"/>
      <c r="C20" s="123"/>
      <c r="D20" s="123"/>
      <c r="E20" s="124"/>
      <c r="F20" s="17" t="s">
        <v>325</v>
      </c>
      <c r="G20" s="17" t="s">
        <v>326</v>
      </c>
      <c r="H20" s="17" t="s">
        <v>327</v>
      </c>
      <c r="I20" s="17" t="s">
        <v>325</v>
      </c>
    </row>
    <row r="21" spans="1:9" x14ac:dyDescent="0.2">
      <c r="A21" s="109" t="s">
        <v>291</v>
      </c>
      <c r="B21" s="108"/>
      <c r="C21" s="108"/>
      <c r="D21" s="108"/>
      <c r="E21" s="104"/>
      <c r="F21" s="50">
        <v>0</v>
      </c>
      <c r="G21" s="40" t="s">
        <v>51</v>
      </c>
      <c r="H21" s="40" t="s">
        <v>51</v>
      </c>
      <c r="I21" s="50">
        <f t="shared" ref="I21:I26" si="0">F21</f>
        <v>0</v>
      </c>
    </row>
    <row r="22" spans="1:9" x14ac:dyDescent="0.2">
      <c r="A22" s="109" t="s">
        <v>293</v>
      </c>
      <c r="B22" s="108"/>
      <c r="C22" s="108"/>
      <c r="D22" s="108"/>
      <c r="E22" s="104"/>
      <c r="F22" s="50">
        <v>0</v>
      </c>
      <c r="G22" s="40" t="s">
        <v>51</v>
      </c>
      <c r="H22" s="40" t="s">
        <v>51</v>
      </c>
      <c r="I22" s="50">
        <f t="shared" si="0"/>
        <v>0</v>
      </c>
    </row>
    <row r="23" spans="1:9" x14ac:dyDescent="0.2">
      <c r="A23" s="109" t="s">
        <v>296</v>
      </c>
      <c r="B23" s="108"/>
      <c r="C23" s="108"/>
      <c r="D23" s="108"/>
      <c r="E23" s="104"/>
      <c r="F23" s="50">
        <v>0</v>
      </c>
      <c r="G23" s="40" t="s">
        <v>51</v>
      </c>
      <c r="H23" s="40" t="s">
        <v>51</v>
      </c>
      <c r="I23" s="50">
        <f t="shared" si="0"/>
        <v>0</v>
      </c>
    </row>
    <row r="24" spans="1:9" x14ac:dyDescent="0.2">
      <c r="A24" s="109" t="s">
        <v>297</v>
      </c>
      <c r="B24" s="108"/>
      <c r="C24" s="108"/>
      <c r="D24" s="108"/>
      <c r="E24" s="104"/>
      <c r="F24" s="50">
        <v>0</v>
      </c>
      <c r="G24" s="40" t="s">
        <v>51</v>
      </c>
      <c r="H24" s="40" t="s">
        <v>51</v>
      </c>
      <c r="I24" s="50">
        <f t="shared" si="0"/>
        <v>0</v>
      </c>
    </row>
    <row r="25" spans="1:9" x14ac:dyDescent="0.2">
      <c r="A25" s="109" t="s">
        <v>299</v>
      </c>
      <c r="B25" s="108"/>
      <c r="C25" s="108"/>
      <c r="D25" s="108"/>
      <c r="E25" s="104"/>
      <c r="F25" s="50">
        <v>0</v>
      </c>
      <c r="G25" s="40" t="s">
        <v>51</v>
      </c>
      <c r="H25" s="40" t="s">
        <v>51</v>
      </c>
      <c r="I25" s="50">
        <f t="shared" si="0"/>
        <v>0</v>
      </c>
    </row>
    <row r="26" spans="1:9" x14ac:dyDescent="0.2">
      <c r="A26" s="69" t="s">
        <v>300</v>
      </c>
      <c r="B26" s="71"/>
      <c r="C26" s="71"/>
      <c r="D26" s="71"/>
      <c r="E26" s="77"/>
      <c r="F26" s="18">
        <v>0</v>
      </c>
      <c r="G26" s="19" t="s">
        <v>51</v>
      </c>
      <c r="H26" s="19" t="s">
        <v>51</v>
      </c>
      <c r="I26" s="18">
        <f t="shared" si="0"/>
        <v>0</v>
      </c>
    </row>
    <row r="27" spans="1:9" x14ac:dyDescent="0.2">
      <c r="A27" s="112" t="s">
        <v>329</v>
      </c>
      <c r="B27" s="113"/>
      <c r="C27" s="113"/>
      <c r="D27" s="113"/>
      <c r="E27" s="114"/>
      <c r="F27" s="20" t="s">
        <v>51</v>
      </c>
      <c r="G27" s="21" t="s">
        <v>51</v>
      </c>
      <c r="H27" s="21" t="s">
        <v>51</v>
      </c>
      <c r="I27" s="22">
        <f>SUM(I21:I26)</f>
        <v>0</v>
      </c>
    </row>
    <row r="29" spans="1:9" ht="16" x14ac:dyDescent="0.2">
      <c r="A29" s="115" t="s">
        <v>330</v>
      </c>
      <c r="B29" s="116"/>
      <c r="C29" s="116"/>
      <c r="D29" s="116"/>
      <c r="E29" s="117"/>
      <c r="F29" s="118">
        <f>I18+I27</f>
        <v>0</v>
      </c>
      <c r="G29" s="119"/>
      <c r="H29" s="119"/>
      <c r="I29" s="120"/>
    </row>
    <row r="33" spans="1:9" ht="16" x14ac:dyDescent="0.2">
      <c r="A33" s="121" t="s">
        <v>331</v>
      </c>
      <c r="B33" s="121"/>
      <c r="C33" s="121"/>
      <c r="D33" s="121"/>
      <c r="E33" s="121"/>
    </row>
    <row r="34" spans="1:9" x14ac:dyDescent="0.2">
      <c r="A34" s="122" t="s">
        <v>332</v>
      </c>
      <c r="B34" s="123"/>
      <c r="C34" s="123"/>
      <c r="D34" s="123"/>
      <c r="E34" s="124"/>
      <c r="F34" s="17" t="s">
        <v>325</v>
      </c>
      <c r="G34" s="17" t="s">
        <v>326</v>
      </c>
      <c r="H34" s="17" t="s">
        <v>327</v>
      </c>
      <c r="I34" s="17" t="s">
        <v>325</v>
      </c>
    </row>
    <row r="35" spans="1:9" x14ac:dyDescent="0.2">
      <c r="A35" s="69" t="s">
        <v>51</v>
      </c>
      <c r="B35" s="71"/>
      <c r="C35" s="71"/>
      <c r="D35" s="71"/>
      <c r="E35" s="77"/>
      <c r="F35" s="18">
        <v>0</v>
      </c>
      <c r="G35" s="19" t="s">
        <v>51</v>
      </c>
      <c r="H35" s="19" t="s">
        <v>51</v>
      </c>
      <c r="I35" s="18">
        <f>F35</f>
        <v>0</v>
      </c>
    </row>
    <row r="36" spans="1:9" x14ac:dyDescent="0.2">
      <c r="A36" s="112" t="s">
        <v>333</v>
      </c>
      <c r="B36" s="113"/>
      <c r="C36" s="113"/>
      <c r="D36" s="113"/>
      <c r="E36" s="114"/>
      <c r="F36" s="20" t="s">
        <v>51</v>
      </c>
      <c r="G36" s="21" t="s">
        <v>51</v>
      </c>
      <c r="H36" s="21" t="s">
        <v>51</v>
      </c>
      <c r="I36" s="22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David Kudýn</cp:lastModifiedBy>
  <cp:revision/>
  <dcterms:created xsi:type="dcterms:W3CDTF">2021-06-10T20:06:38Z</dcterms:created>
  <dcterms:modified xsi:type="dcterms:W3CDTF">2024-12-20T10:36:35Z</dcterms:modified>
  <cp:category/>
  <cp:contentStatus/>
</cp:coreProperties>
</file>