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tables/table4.xml" ContentType="application/vnd.openxmlformats-officedocument.spreadsheetml.table+xml"/>
  <Override PartName="/xl/comments4.xml" ContentType="application/vnd.openxmlformats-officedocument.spreadsheetml.comments+xml"/>
  <Override PartName="/xl/tables/table5.xml" ContentType="application/vnd.openxmlformats-officedocument.spreadsheetml.table+xml"/>
  <Override PartName="/xl/comments5.xml" ContentType="application/vnd.openxmlformats-officedocument.spreadsheetml.comments+xml"/>
  <Override PartName="/xl/tables/table6.xml" ContentType="application/vnd.openxmlformats-officedocument.spreadsheetml.table+xml"/>
  <Override PartName="/xl/comments6.xml" ContentType="application/vnd.openxmlformats-officedocument.spreadsheetml.comments+xml"/>
  <Override PartName="/xl/tables/table7.xml" ContentType="application/vnd.openxmlformats-officedocument.spreadsheetml.table+xml"/>
  <Override PartName="/xl/comments7.xml" ContentType="application/vnd.openxmlformats-officedocument.spreadsheetml.comments+xml"/>
  <Override PartName="/xl/tables/table8.xml" ContentType="application/vnd.openxmlformats-officedocument.spreadsheetml.table+xml"/>
  <Override PartName="/xl/comments8.xml" ContentType="application/vnd.openxmlformats-officedocument.spreadsheetml.comments+xml"/>
  <Override PartName="/xl/tables/table9.xml" ContentType="application/vnd.openxmlformats-officedocument.spreadsheetml.table+xml"/>
  <Override PartName="/xl/comments9.xml" ContentType="application/vnd.openxmlformats-officedocument.spreadsheetml.comments+xml"/>
  <Override PartName="/xl/tables/table10.xml" ContentType="application/vnd.openxmlformats-officedocument.spreadsheetml.table+xml"/>
  <Override PartName="/xl/comments10.xml" ContentType="application/vnd.openxmlformats-officedocument.spreadsheetml.comments+xml"/>
  <Override PartName="/xl/tables/table11.xml" ContentType="application/vnd.openxmlformats-officedocument.spreadsheetml.table+xml"/>
  <Override PartName="/xl/comments11.xml" ContentType="application/vnd.openxmlformats-officedocument.spreadsheetml.comments+xml"/>
  <Override PartName="/xl/tables/table12.xml" ContentType="application/vnd.openxmlformats-officedocument.spreadsheetml.table+xml"/>
  <Override PartName="/xl/comments12.xml" ContentType="application/vnd.openxmlformats-officedocument.spreadsheetml.comments+xml"/>
  <Override PartName="/xl/tables/table13.xml" ContentType="application/vnd.openxmlformats-officedocument.spreadsheetml.table+xml"/>
  <Override PartName="/xl/comments13.xml" ContentType="application/vnd.openxmlformats-officedocument.spreadsheetml.comments+xml"/>
  <Override PartName="/xl/tables/table14.xml" ContentType="application/vnd.openxmlformats-officedocument.spreadsheetml.table+xml"/>
  <Override PartName="/xl/comments14.xml" ContentType="application/vnd.openxmlformats-officedocument.spreadsheetml.comments+xml"/>
  <Override PartName="/xl/tables/table15.xml" ContentType="application/vnd.openxmlformats-officedocument.spreadsheetml.table+xml"/>
  <Override PartName="/xl/comments15.xml" ContentType="application/vnd.openxmlformats-officedocument.spreadsheetml.comments+xml"/>
  <Override PartName="/xl/tables/table16.xml" ContentType="application/vnd.openxmlformats-officedocument.spreadsheetml.table+xml"/>
  <Override PartName="/xl/comments16.xml" ContentType="application/vnd.openxmlformats-officedocument.spreadsheetml.comments+xml"/>
  <Override PartName="/xl/tables/table17.xml" ContentType="application/vnd.openxmlformats-officedocument.spreadsheetml.table+xml"/>
  <Override PartName="/xl/comments17.xml" ContentType="application/vnd.openxmlformats-officedocument.spreadsheetml.comments+xml"/>
  <Override PartName="/xl/tables/table18.xml" ContentType="application/vnd.openxmlformats-officedocument.spreadsheetml.table+xml"/>
  <Override PartName="/xl/comments18.xml" ContentType="application/vnd.openxmlformats-officedocument.spreadsheetml.comments+xml"/>
  <Override PartName="/xl/tables/table19.xml" ContentType="application/vnd.openxmlformats-officedocument.spreadsheetml.table+xml"/>
  <Override PartName="/xl/comments19.xml" ContentType="application/vnd.openxmlformats-officedocument.spreadsheetml.comments+xml"/>
  <Override PartName="/xl/tables/table20.xml" ContentType="application/vnd.openxmlformats-officedocument.spreadsheetml.table+xml"/>
  <Override PartName="/xl/comments20.xml" ContentType="application/vnd.openxmlformats-officedocument.spreadsheetml.comments+xml"/>
  <Override PartName="/xl/tables/table21.xml" ContentType="application/vnd.openxmlformats-officedocument.spreadsheetml.table+xml"/>
  <Override PartName="/xl/comments21.xml" ContentType="application/vnd.openxmlformats-officedocument.spreadsheetml.comments+xml"/>
  <Override PartName="/xl/tables/table22.xml" ContentType="application/vnd.openxmlformats-officedocument.spreadsheetml.table+xml"/>
  <Override PartName="/xl/comments22.xml" ContentType="application/vnd.openxmlformats-officedocument.spreadsheetml.comments+xml"/>
  <Override PartName="/xl/tables/table23.xml" ContentType="application/vnd.openxmlformats-officedocument.spreadsheetml.table+xml"/>
  <Override PartName="/xl/comments23.xml" ContentType="application/vnd.openxmlformats-officedocument.spreadsheetml.comments+xml"/>
  <Override PartName="/xl/tables/table24.xml" ContentType="application/vnd.openxmlformats-officedocument.spreadsheetml.table+xml"/>
  <Override PartName="/xl/comments24.xml" ContentType="application/vnd.openxmlformats-officedocument.spreadsheetml.comments+xml"/>
  <Override PartName="/xl/tables/table25.xml" ContentType="application/vnd.openxmlformats-officedocument.spreadsheetml.table+xml"/>
  <Override PartName="/xl/comments25.xml" ContentType="application/vnd.openxmlformats-officedocument.spreadsheetml.comments+xml"/>
  <Override PartName="/xl/tables/table26.xml" ContentType="application/vnd.openxmlformats-officedocument.spreadsheetml.table+xml"/>
  <Override PartName="/xl/comments26.xml" ContentType="application/vnd.openxmlformats-officedocument.spreadsheetml.comments+xml"/>
  <Override PartName="/xl/tables/table27.xml" ContentType="application/vnd.openxmlformats-officedocument.spreadsheetml.table+xml"/>
  <Override PartName="/xl/comments27.xml" ContentType="application/vnd.openxmlformats-officedocument.spreadsheetml.comments+xml"/>
  <Override PartName="/xl/tables/table28.xml" ContentType="application/vnd.openxmlformats-officedocument.spreadsheetml.table+xml"/>
  <Override PartName="/xl/comments28.xml" ContentType="application/vnd.openxmlformats-officedocument.spreadsheetml.comments+xml"/>
  <Override PartName="/xl/tables/table29.xml" ContentType="application/vnd.openxmlformats-officedocument.spreadsheetml.table+xml"/>
  <Override PartName="/xl/comments29.xml" ContentType="application/vnd.openxmlformats-officedocument.spreadsheetml.comments+xml"/>
  <Override PartName="/xl/tables/table30.xml" ContentType="application/vnd.openxmlformats-officedocument.spreadsheetml.table+xml"/>
  <Override PartName="/xl/comments30.xml" ContentType="application/vnd.openxmlformats-officedocument.spreadsheetml.comments+xml"/>
  <Override PartName="/xl/tables/table31.xml" ContentType="application/vnd.openxmlformats-officedocument.spreadsheetml.table+xml"/>
  <Override PartName="/xl/comments31.xml" ContentType="application/vnd.openxmlformats-officedocument.spreadsheetml.comments+xml"/>
  <Override PartName="/xl/tables/table32.xml" ContentType="application/vnd.openxmlformats-officedocument.spreadsheetml.table+xml"/>
  <Override PartName="/xl/comments32.xml" ContentType="application/vnd.openxmlformats-officedocument.spreadsheetml.comments+xml"/>
  <Override PartName="/xl/tables/table33.xml" ContentType="application/vnd.openxmlformats-officedocument.spreadsheetml.table+xml"/>
  <Override PartName="/xl/comments33.xml" ContentType="application/vnd.openxmlformats-officedocument.spreadsheetml.comments+xml"/>
  <Override PartName="/xl/tables/table34.xml" ContentType="application/vnd.openxmlformats-officedocument.spreadsheetml.table+xml"/>
  <Override PartName="/xl/comments34.xml" ContentType="application/vnd.openxmlformats-officedocument.spreadsheetml.comments+xml"/>
  <Override PartName="/xl/tables/table35.xml" ContentType="application/vnd.openxmlformats-officedocument.spreadsheetml.table+xml"/>
  <Override PartName="/xl/comments35.xml" ContentType="application/vnd.openxmlformats-officedocument.spreadsheetml.comments+xml"/>
  <Override PartName="/xl/tables/table36.xml" ContentType="application/vnd.openxmlformats-officedocument.spreadsheetml.table+xml"/>
  <Override PartName="/xl/comments36.xml" ContentType="application/vnd.openxmlformats-officedocument.spreadsheetml.comments+xml"/>
  <Override PartName="/xl/tables/table37.xml" ContentType="application/vnd.openxmlformats-officedocument.spreadsheetml.table+xml"/>
  <Override PartName="/xl/comments37.xml" ContentType="application/vnd.openxmlformats-officedocument.spreadsheetml.comments+xml"/>
  <Override PartName="/xl/tables/table38.xml" ContentType="application/vnd.openxmlformats-officedocument.spreadsheetml.table+xml"/>
  <Override PartName="/xl/comments38.xml" ContentType="application/vnd.openxmlformats-officedocument.spreadsheetml.comments+xml"/>
  <Override PartName="/xl/tables/table39.xml" ContentType="application/vnd.openxmlformats-officedocument.spreadsheetml.table+xml"/>
  <Override PartName="/xl/comments39.xml" ContentType="application/vnd.openxmlformats-officedocument.spreadsheetml.comments+xml"/>
  <Override PartName="/xl/tables/table40.xml" ContentType="application/vnd.openxmlformats-officedocument.spreadsheetml.table+xml"/>
  <Override PartName="/xl/comments40.xml" ContentType="application/vnd.openxmlformats-officedocument.spreadsheetml.comments+xml"/>
  <Override PartName="/xl/tables/table41.xml" ContentType="application/vnd.openxmlformats-officedocument.spreadsheetml.table+xml"/>
  <Override PartName="/xl/comments41.xml" ContentType="application/vnd.openxmlformats-officedocument.spreadsheetml.comments+xml"/>
  <Override PartName="/xl/tables/table42.xml" ContentType="application/vnd.openxmlformats-officedocument.spreadsheetml.table+xml"/>
  <Override PartName="/xl/comments42.xml" ContentType="application/vnd.openxmlformats-officedocument.spreadsheetml.comments+xml"/>
  <Override PartName="/xl/tables/table43.xml" ContentType="application/vnd.openxmlformats-officedocument.spreadsheetml.table+xml"/>
  <Override PartName="/xl/comments4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5230" windowHeight="6180" firstSheet="32" activeTab="37"/>
  </bookViews>
  <sheets>
    <sheet name="část1" sheetId="14" r:id="rId1"/>
    <sheet name="část2" sheetId="20" r:id="rId2"/>
    <sheet name="část3" sheetId="21" r:id="rId3"/>
    <sheet name="část4" sheetId="22" r:id="rId4"/>
    <sheet name="část5" sheetId="23" r:id="rId5"/>
    <sheet name="část6" sheetId="24" r:id="rId6"/>
    <sheet name="část7" sheetId="25" r:id="rId7"/>
    <sheet name="část8" sheetId="26" r:id="rId8"/>
    <sheet name="část9" sheetId="27" r:id="rId9"/>
    <sheet name="část10" sheetId="28" r:id="rId10"/>
    <sheet name="část11" sheetId="29" r:id="rId11"/>
    <sheet name="část12" sheetId="30" r:id="rId12"/>
    <sheet name="část13" sheetId="31" r:id="rId13"/>
    <sheet name="část14" sheetId="32" r:id="rId14"/>
    <sheet name="část15" sheetId="33" r:id="rId15"/>
    <sheet name="část16" sheetId="34" r:id="rId16"/>
    <sheet name="část17" sheetId="35" r:id="rId17"/>
    <sheet name="část18" sheetId="36" r:id="rId18"/>
    <sheet name="část19" sheetId="37" r:id="rId19"/>
    <sheet name="část20" sheetId="38" r:id="rId20"/>
    <sheet name="část21" sheetId="39" r:id="rId21"/>
    <sheet name="část22" sheetId="40" r:id="rId22"/>
    <sheet name="část23" sheetId="41" r:id="rId23"/>
    <sheet name="část24" sheetId="42" r:id="rId24"/>
    <sheet name="část25" sheetId="43" r:id="rId25"/>
    <sheet name="část26" sheetId="15" r:id="rId26"/>
    <sheet name="část27" sheetId="16" r:id="rId27"/>
    <sheet name="část28" sheetId="17" r:id="rId28"/>
    <sheet name="část29" sheetId="18" r:id="rId29"/>
    <sheet name="část30" sheetId="19" r:id="rId30"/>
    <sheet name="část31" sheetId="47" r:id="rId31"/>
    <sheet name="část32" sheetId="48" r:id="rId32"/>
    <sheet name="část33" sheetId="49" r:id="rId33"/>
    <sheet name="část34" sheetId="50" r:id="rId34"/>
    <sheet name="část35" sheetId="51" r:id="rId35"/>
    <sheet name="část36" sheetId="52" r:id="rId36"/>
    <sheet name="část37" sheetId="53" r:id="rId37"/>
    <sheet name="část38" sheetId="54" r:id="rId38"/>
    <sheet name="část39" sheetId="46" r:id="rId39"/>
    <sheet name="část40" sheetId="55" r:id="rId40"/>
    <sheet name="část41" sheetId="45" r:id="rId41"/>
    <sheet name="část42" sheetId="44" r:id="rId42"/>
    <sheet name="část43" sheetId="56" r:id="rId43"/>
  </sheets>
  <definedNames>
    <definedName name="NázvySkupin" localSheetId="30">#REF!</definedName>
    <definedName name="NázvySkupin" localSheetId="31">#REF!</definedName>
    <definedName name="NázvySkupin" localSheetId="32">#REF!</definedName>
    <definedName name="NázvySkupin" localSheetId="33">#REF!</definedName>
    <definedName name="NázvySkupin" localSheetId="34">#REF!</definedName>
    <definedName name="NázvySkupin" localSheetId="35">#REF!</definedName>
    <definedName name="NázvySkupin" localSheetId="36">#REF!</definedName>
    <definedName name="NázvySkupin" localSheetId="37">#REF!</definedName>
    <definedName name="NázvySkupin" localSheetId="38">#REF!</definedName>
    <definedName name="NázvySkupin" localSheetId="39">#REF!</definedName>
    <definedName name="NázvySkupin" localSheetId="40">#REF!</definedName>
    <definedName name="NázvySkupin" localSheetId="41">#REF!</definedName>
    <definedName name="NázvySkupin" localSheetId="42">#REF!</definedName>
    <definedName name="NázvySkupin">#REF!</definedName>
    <definedName name="Váhy_ověřitelné" localSheetId="30">#REF!</definedName>
    <definedName name="Váhy_ověřitelné" localSheetId="31">#REF!</definedName>
    <definedName name="Váhy_ověřitelné" localSheetId="32">#REF!</definedName>
    <definedName name="Váhy_ověřitelné" localSheetId="33">#REF!</definedName>
    <definedName name="Váhy_ověřitelné" localSheetId="34">#REF!</definedName>
    <definedName name="Váhy_ověřitelné" localSheetId="35">#REF!</definedName>
    <definedName name="Váhy_ověřitelné" localSheetId="36">#REF!</definedName>
    <definedName name="Váhy_ověřitelné" localSheetId="37">#REF!</definedName>
    <definedName name="Váhy_ověřitelné" localSheetId="38">#REF!</definedName>
    <definedName name="Váhy_ověřitelné" localSheetId="39">#REF!</definedName>
    <definedName name="Váhy_ověřitelné" localSheetId="40">#REF!</definedName>
    <definedName name="Váhy_ověřitelné" localSheetId="41">#REF!</definedName>
    <definedName name="Váhy_ověřitelné" localSheetId="42">#REF!</definedName>
    <definedName name="Váhy_ověřitelné">#REF!</definedName>
  </definedNames>
  <calcPr calcId="145621" iterateDelta="1E-4"/>
</workbook>
</file>

<file path=xl/calcChain.xml><?xml version="1.0" encoding="utf-8"?>
<calcChain xmlns="http://schemas.openxmlformats.org/spreadsheetml/2006/main">
  <c r="D9" i="56" l="1"/>
  <c r="E8" i="56"/>
  <c r="E9" i="56" s="1"/>
  <c r="C8" i="56"/>
  <c r="C9" i="56" s="1"/>
  <c r="C9" i="55"/>
  <c r="E9" i="55"/>
  <c r="G9" i="55"/>
  <c r="D10" i="55"/>
  <c r="E8" i="55"/>
  <c r="C8" i="55"/>
  <c r="C10" i="55" s="1"/>
  <c r="D9" i="54"/>
  <c r="E8" i="54"/>
  <c r="E9" i="54" s="1"/>
  <c r="C8" i="54"/>
  <c r="C9" i="54" s="1"/>
  <c r="D9" i="53"/>
  <c r="E8" i="53"/>
  <c r="E9" i="53" s="1"/>
  <c r="C8" i="53"/>
  <c r="G8" i="53" s="1"/>
  <c r="G9" i="53" s="1"/>
  <c r="D9" i="52"/>
  <c r="C9" i="52"/>
  <c r="G8" i="52"/>
  <c r="G9" i="52" s="1"/>
  <c r="E8" i="52"/>
  <c r="E9" i="52" s="1"/>
  <c r="C8" i="52"/>
  <c r="C8" i="51"/>
  <c r="G8" i="51" s="1"/>
  <c r="G9" i="51" s="1"/>
  <c r="E8" i="51"/>
  <c r="E9" i="51" s="1"/>
  <c r="D9" i="51"/>
  <c r="C9" i="51"/>
  <c r="C8" i="50"/>
  <c r="G8" i="50" s="1"/>
  <c r="E8" i="50"/>
  <c r="D10" i="50"/>
  <c r="E9" i="50"/>
  <c r="E10" i="50" s="1"/>
  <c r="C9" i="50"/>
  <c r="C10" i="50" s="1"/>
  <c r="C9" i="49"/>
  <c r="C8" i="49"/>
  <c r="E8" i="49"/>
  <c r="E9" i="49" s="1"/>
  <c r="G8" i="49"/>
  <c r="G9" i="49" s="1"/>
  <c r="D9" i="49"/>
  <c r="D10" i="48"/>
  <c r="E9" i="48"/>
  <c r="E10" i="48" s="1"/>
  <c r="C9" i="48"/>
  <c r="C10" i="48" s="1"/>
  <c r="E8" i="48"/>
  <c r="C8" i="48"/>
  <c r="G8" i="48" s="1"/>
  <c r="C8" i="47"/>
  <c r="G8" i="47" s="1"/>
  <c r="E8" i="47"/>
  <c r="D10" i="47"/>
  <c r="E9" i="47"/>
  <c r="E10" i="47" s="1"/>
  <c r="C9" i="47"/>
  <c r="C10" i="47" s="1"/>
  <c r="D19" i="46"/>
  <c r="E17" i="46"/>
  <c r="C17" i="46"/>
  <c r="G17" i="46" s="1"/>
  <c r="E9" i="46"/>
  <c r="C9" i="46"/>
  <c r="G9" i="46" s="1"/>
  <c r="E15" i="46"/>
  <c r="C15" i="46"/>
  <c r="G15" i="46" s="1"/>
  <c r="E14" i="46"/>
  <c r="C14" i="46"/>
  <c r="G14" i="46" s="1"/>
  <c r="E13" i="46"/>
  <c r="C13" i="46"/>
  <c r="G13" i="46" s="1"/>
  <c r="E16" i="46"/>
  <c r="C16" i="46"/>
  <c r="G16" i="46" s="1"/>
  <c r="E12" i="46"/>
  <c r="C12" i="46"/>
  <c r="G12" i="46" s="1"/>
  <c r="E11" i="46"/>
  <c r="C11" i="46"/>
  <c r="G11" i="46" s="1"/>
  <c r="E10" i="46"/>
  <c r="C10" i="46"/>
  <c r="G10" i="46" s="1"/>
  <c r="E8" i="46"/>
  <c r="C8" i="46"/>
  <c r="G8" i="46" s="1"/>
  <c r="E18" i="46"/>
  <c r="C18" i="46"/>
  <c r="G18" i="46" s="1"/>
  <c r="G8" i="56" l="1"/>
  <c r="G9" i="56" s="1"/>
  <c r="E10" i="55"/>
  <c r="G8" i="55"/>
  <c r="G10" i="55" s="1"/>
  <c r="E19" i="46"/>
  <c r="C19" i="46"/>
  <c r="G8" i="54"/>
  <c r="G9" i="54" s="1"/>
  <c r="C9" i="53"/>
  <c r="G9" i="50"/>
  <c r="G10" i="50" s="1"/>
  <c r="G9" i="48"/>
  <c r="G10" i="48" s="1"/>
  <c r="G9" i="47"/>
  <c r="G10" i="47" s="1"/>
  <c r="G19" i="46"/>
  <c r="K16" i="45"/>
  <c r="D11" i="45"/>
  <c r="E10" i="45"/>
  <c r="C10" i="45"/>
  <c r="G10" i="45" s="1"/>
  <c r="E9" i="45"/>
  <c r="C9" i="45"/>
  <c r="G9" i="45" s="1"/>
  <c r="E8" i="45"/>
  <c r="C8" i="45"/>
  <c r="G8" i="45" s="1"/>
  <c r="D11" i="44"/>
  <c r="E10" i="44"/>
  <c r="C10" i="44"/>
  <c r="G10" i="44" s="1"/>
  <c r="E9" i="44"/>
  <c r="C9" i="44"/>
  <c r="G9" i="44" s="1"/>
  <c r="E8" i="44"/>
  <c r="C8" i="44"/>
  <c r="G8" i="44" s="1"/>
  <c r="E11" i="44"/>
  <c r="C9" i="23"/>
  <c r="G9" i="23" s="1"/>
  <c r="E9" i="23"/>
  <c r="C11" i="44" l="1"/>
  <c r="E11" i="45"/>
  <c r="G11" i="45"/>
  <c r="C11" i="45"/>
  <c r="G11" i="44"/>
  <c r="C19" i="28"/>
  <c r="G19" i="28" s="1"/>
  <c r="E19" i="28"/>
  <c r="C8" i="17"/>
  <c r="G8" i="17" s="1"/>
  <c r="E8" i="17"/>
  <c r="C9" i="28" l="1"/>
  <c r="G9" i="28" s="1"/>
  <c r="E9" i="28"/>
  <c r="C9" i="30" l="1"/>
  <c r="E9" i="30"/>
  <c r="G9" i="30"/>
  <c r="C10" i="30"/>
  <c r="E10" i="30"/>
  <c r="G10" i="30"/>
  <c r="C12" i="28"/>
  <c r="G12" i="28" s="1"/>
  <c r="E12" i="28"/>
  <c r="C13" i="28"/>
  <c r="G13" i="28" s="1"/>
  <c r="E13" i="28"/>
  <c r="C10" i="28"/>
  <c r="G10" i="28" s="1"/>
  <c r="E10" i="28"/>
  <c r="C8" i="23" l="1"/>
  <c r="G8" i="23" s="1"/>
  <c r="E8" i="23"/>
  <c r="C8" i="19" l="1"/>
  <c r="C9" i="19" s="1"/>
  <c r="C8" i="18"/>
  <c r="C9" i="17"/>
  <c r="C9" i="16"/>
  <c r="C8" i="16"/>
  <c r="C8" i="15"/>
  <c r="C9" i="15" s="1"/>
  <c r="C8" i="43"/>
  <c r="C9" i="43" s="1"/>
  <c r="C9" i="42"/>
  <c r="C8" i="42"/>
  <c r="C11" i="41"/>
  <c r="G11" i="41" s="1"/>
  <c r="C12" i="41"/>
  <c r="G12" i="41" s="1"/>
  <c r="C13" i="41"/>
  <c r="G13" i="41" s="1"/>
  <c r="C8" i="41"/>
  <c r="C10" i="41"/>
  <c r="G10" i="41" s="1"/>
  <c r="C9" i="41"/>
  <c r="G9" i="41" s="1"/>
  <c r="C8" i="40"/>
  <c r="G8" i="40" s="1"/>
  <c r="C10" i="40"/>
  <c r="C9" i="40"/>
  <c r="G9" i="40" s="1"/>
  <c r="C8" i="39"/>
  <c r="C9" i="39" s="1"/>
  <c r="C12" i="38"/>
  <c r="C11" i="38"/>
  <c r="G11" i="38" s="1"/>
  <c r="C10" i="38"/>
  <c r="C9" i="38"/>
  <c r="C8" i="38"/>
  <c r="C8" i="37"/>
  <c r="C9" i="37" s="1"/>
  <c r="C9" i="36"/>
  <c r="C12" i="36"/>
  <c r="G12" i="36" s="1"/>
  <c r="C13" i="36"/>
  <c r="C11" i="36"/>
  <c r="C8" i="36"/>
  <c r="C14" i="36" s="1"/>
  <c r="C10" i="36"/>
  <c r="C9" i="35"/>
  <c r="C8" i="35"/>
  <c r="C8" i="34"/>
  <c r="C11" i="34"/>
  <c r="G11" i="34" s="1"/>
  <c r="C10" i="34"/>
  <c r="C9" i="34"/>
  <c r="C10" i="33"/>
  <c r="C9" i="33"/>
  <c r="C8" i="33"/>
  <c r="G8" i="33" s="1"/>
  <c r="C8" i="32"/>
  <c r="C9" i="31"/>
  <c r="C11" i="30"/>
  <c r="C8" i="30"/>
  <c r="C15" i="28"/>
  <c r="G15" i="28" s="1"/>
  <c r="C14" i="28"/>
  <c r="G14" i="28" s="1"/>
  <c r="C18" i="28"/>
  <c r="G18" i="28" s="1"/>
  <c r="C20" i="28"/>
  <c r="G20" i="28" s="1"/>
  <c r="C17" i="28"/>
  <c r="C16" i="28"/>
  <c r="G16" i="28" s="1"/>
  <c r="C11" i="28"/>
  <c r="G11" i="28" s="1"/>
  <c r="C8" i="28"/>
  <c r="G8" i="28" s="1"/>
  <c r="C8" i="27"/>
  <c r="G8" i="27" s="1"/>
  <c r="C9" i="26"/>
  <c r="C8" i="26"/>
  <c r="C11" i="26" s="1"/>
  <c r="C10" i="26"/>
  <c r="C10" i="25"/>
  <c r="C9" i="25"/>
  <c r="C8" i="25"/>
  <c r="C11" i="25" s="1"/>
  <c r="C13" i="24"/>
  <c r="C12" i="24"/>
  <c r="C11" i="24"/>
  <c r="C10" i="24"/>
  <c r="C9" i="24"/>
  <c r="C8" i="24"/>
  <c r="C10" i="23"/>
  <c r="C13" i="22"/>
  <c r="G13" i="22" s="1"/>
  <c r="C12" i="22"/>
  <c r="C8" i="22"/>
  <c r="C17" i="22"/>
  <c r="C16" i="22"/>
  <c r="G16" i="22" s="1"/>
  <c r="C15" i="22"/>
  <c r="C14" i="22"/>
  <c r="C11" i="22"/>
  <c r="C10" i="22"/>
  <c r="C19" i="22" s="1"/>
  <c r="C18" i="22"/>
  <c r="C9" i="22"/>
  <c r="C9" i="21"/>
  <c r="G9" i="21" s="1"/>
  <c r="C8" i="21"/>
  <c r="C8" i="20"/>
  <c r="C14" i="24"/>
  <c r="C12" i="30"/>
  <c r="C12" i="34"/>
  <c r="C10" i="35"/>
  <c r="C10" i="42"/>
  <c r="C10" i="16"/>
  <c r="C9" i="18"/>
  <c r="C10" i="17"/>
  <c r="E8" i="16"/>
  <c r="E10" i="16" s="1"/>
  <c r="G8" i="16"/>
  <c r="E9" i="16"/>
  <c r="G9" i="16"/>
  <c r="C9" i="32"/>
  <c r="E10" i="26"/>
  <c r="G10" i="26"/>
  <c r="G8" i="26"/>
  <c r="E8" i="26"/>
  <c r="G9" i="26"/>
  <c r="E9" i="26"/>
  <c r="C9" i="20"/>
  <c r="C8" i="14"/>
  <c r="G8" i="14" s="1"/>
  <c r="G9" i="14" s="1"/>
  <c r="D9" i="19"/>
  <c r="G8" i="19"/>
  <c r="G9" i="19" s="1"/>
  <c r="E8" i="19"/>
  <c r="E9" i="19" s="1"/>
  <c r="D9" i="18"/>
  <c r="D10" i="17"/>
  <c r="D9" i="15"/>
  <c r="G8" i="15"/>
  <c r="G9" i="15" s="1"/>
  <c r="E8" i="15"/>
  <c r="E9" i="15" s="1"/>
  <c r="D9" i="43"/>
  <c r="G8" i="43"/>
  <c r="G9" i="43" s="1"/>
  <c r="E8" i="43"/>
  <c r="E9" i="43" s="1"/>
  <c r="D10" i="42"/>
  <c r="G9" i="42"/>
  <c r="E9" i="42"/>
  <c r="G8" i="42"/>
  <c r="G10" i="42" s="1"/>
  <c r="E8" i="42"/>
  <c r="D14" i="41"/>
  <c r="E11" i="41"/>
  <c r="E12" i="41"/>
  <c r="E13" i="41"/>
  <c r="G8" i="41"/>
  <c r="E8" i="41"/>
  <c r="E10" i="41"/>
  <c r="E9" i="41"/>
  <c r="D11" i="40"/>
  <c r="E8" i="40"/>
  <c r="G10" i="40"/>
  <c r="E10" i="40"/>
  <c r="E9" i="40"/>
  <c r="D9" i="39"/>
  <c r="G8" i="39"/>
  <c r="G9" i="39" s="1"/>
  <c r="E8" i="39"/>
  <c r="E9" i="39" s="1"/>
  <c r="D13" i="38"/>
  <c r="G12" i="38"/>
  <c r="E12" i="38"/>
  <c r="E11" i="38"/>
  <c r="G10" i="38"/>
  <c r="E10" i="38"/>
  <c r="G9" i="38"/>
  <c r="E9" i="38"/>
  <c r="G8" i="38"/>
  <c r="E8" i="38"/>
  <c r="D9" i="37"/>
  <c r="G8" i="37"/>
  <c r="G9" i="37" s="1"/>
  <c r="E8" i="37"/>
  <c r="E9" i="37" s="1"/>
  <c r="D14" i="36"/>
  <c r="G9" i="36"/>
  <c r="E9" i="36"/>
  <c r="E12" i="36"/>
  <c r="G13" i="36"/>
  <c r="E13" i="36"/>
  <c r="G11" i="36"/>
  <c r="E11" i="36"/>
  <c r="G8" i="36"/>
  <c r="E8" i="36"/>
  <c r="G10" i="36"/>
  <c r="E10" i="36"/>
  <c r="D10" i="35"/>
  <c r="G9" i="35"/>
  <c r="G8" i="35"/>
  <c r="G10" i="35" s="1"/>
  <c r="E10" i="35"/>
  <c r="D12" i="34"/>
  <c r="G8" i="34"/>
  <c r="E8" i="34"/>
  <c r="E11" i="34"/>
  <c r="G10" i="34"/>
  <c r="E10" i="34"/>
  <c r="G9" i="34"/>
  <c r="E9" i="34"/>
  <c r="K16" i="33"/>
  <c r="D11" i="33"/>
  <c r="G10" i="33"/>
  <c r="E10" i="33"/>
  <c r="E9" i="33"/>
  <c r="E8" i="33"/>
  <c r="D9" i="32"/>
  <c r="G8" i="32"/>
  <c r="G9" i="32" s="1"/>
  <c r="E8" i="32"/>
  <c r="E9" i="32" s="1"/>
  <c r="K15" i="31"/>
  <c r="D10" i="31"/>
  <c r="G9" i="31"/>
  <c r="E9" i="31"/>
  <c r="D12" i="30"/>
  <c r="G11" i="30"/>
  <c r="E11" i="30"/>
  <c r="G8" i="30"/>
  <c r="E8" i="30"/>
  <c r="K18" i="29"/>
  <c r="D13" i="29"/>
  <c r="K26" i="28"/>
  <c r="D21" i="28"/>
  <c r="E15" i="28"/>
  <c r="E14" i="28"/>
  <c r="E18" i="28"/>
  <c r="E20" i="28"/>
  <c r="G17" i="28"/>
  <c r="E17" i="28"/>
  <c r="E16" i="28"/>
  <c r="E11" i="28"/>
  <c r="E8" i="28"/>
  <c r="D9" i="27"/>
  <c r="E8" i="27"/>
  <c r="K16" i="25"/>
  <c r="D11" i="25"/>
  <c r="G10" i="25"/>
  <c r="E10" i="25"/>
  <c r="G9" i="25"/>
  <c r="K19" i="24"/>
  <c r="D14" i="24"/>
  <c r="G13" i="24"/>
  <c r="E13" i="24"/>
  <c r="G12" i="24"/>
  <c r="E12" i="24"/>
  <c r="G11" i="24"/>
  <c r="E11" i="24"/>
  <c r="G10" i="24"/>
  <c r="E10" i="24"/>
  <c r="G9" i="24"/>
  <c r="E9" i="24"/>
  <c r="G8" i="24"/>
  <c r="E8" i="24"/>
  <c r="D10" i="23"/>
  <c r="D19" i="22"/>
  <c r="E13" i="22"/>
  <c r="G12" i="22"/>
  <c r="E12" i="22"/>
  <c r="G8" i="22"/>
  <c r="E8" i="22"/>
  <c r="G17" i="22"/>
  <c r="E17" i="22"/>
  <c r="E16" i="22"/>
  <c r="G15" i="22"/>
  <c r="E15" i="22"/>
  <c r="G14" i="22"/>
  <c r="E14" i="22"/>
  <c r="G11" i="22"/>
  <c r="E11" i="22"/>
  <c r="G10" i="22"/>
  <c r="E10" i="22"/>
  <c r="G18" i="22"/>
  <c r="E18" i="22"/>
  <c r="G9" i="22"/>
  <c r="E9" i="22"/>
  <c r="K15" i="21"/>
  <c r="D10" i="21"/>
  <c r="E9" i="21"/>
  <c r="E8" i="21"/>
  <c r="D9" i="20"/>
  <c r="G8" i="20"/>
  <c r="G9" i="20" s="1"/>
  <c r="E8" i="20"/>
  <c r="E9" i="20" s="1"/>
  <c r="D9" i="14"/>
  <c r="C14" i="41" l="1"/>
  <c r="C11" i="40"/>
  <c r="C13" i="38"/>
  <c r="C21" i="28"/>
  <c r="C11" i="33"/>
  <c r="G9" i="33"/>
  <c r="G11" i="33" s="1"/>
  <c r="G21" i="28"/>
  <c r="G12" i="30"/>
  <c r="E10" i="21"/>
  <c r="G8" i="21"/>
  <c r="G10" i="21" s="1"/>
  <c r="C10" i="21"/>
  <c r="G10" i="16"/>
  <c r="E10" i="42"/>
  <c r="G14" i="41"/>
  <c r="E11" i="40"/>
  <c r="E13" i="38"/>
  <c r="G13" i="38"/>
  <c r="E14" i="36"/>
  <c r="G14" i="36"/>
  <c r="E12" i="34"/>
  <c r="G12" i="34"/>
  <c r="E12" i="30"/>
  <c r="E21" i="28"/>
  <c r="E9" i="27"/>
  <c r="E11" i="26"/>
  <c r="G11" i="26"/>
  <c r="E14" i="24"/>
  <c r="G14" i="24"/>
  <c r="E19" i="22"/>
  <c r="G19" i="22"/>
  <c r="G9" i="27"/>
  <c r="E11" i="33"/>
  <c r="G11" i="40"/>
  <c r="E14" i="41"/>
  <c r="C9" i="27"/>
  <c r="G8" i="25"/>
  <c r="G11" i="25" s="1"/>
  <c r="G10" i="23"/>
  <c r="D10" i="16"/>
  <c r="D11" i="26"/>
  <c r="C9" i="14"/>
  <c r="E8" i="14"/>
  <c r="E9" i="14" s="1"/>
  <c r="E8" i="25"/>
  <c r="E11" i="25" s="1"/>
  <c r="E10" i="23"/>
  <c r="E8" i="18" l="1"/>
  <c r="E9" i="18" s="1"/>
  <c r="G8" i="18"/>
  <c r="G9" i="18" s="1"/>
  <c r="E9" i="17"/>
  <c r="E10" i="17" s="1"/>
  <c r="G9" i="17" l="1"/>
  <c r="G10" i="17" s="1"/>
  <c r="G12" i="29"/>
  <c r="E12" i="29"/>
  <c r="C12" i="29"/>
  <c r="E10" i="29"/>
  <c r="E11" i="29"/>
  <c r="C11" i="29"/>
  <c r="G11" i="29"/>
  <c r="C13" i="29"/>
  <c r="C10" i="29"/>
  <c r="G10" i="29"/>
  <c r="E9" i="29"/>
  <c r="C9" i="29"/>
  <c r="G9" i="29" s="1"/>
  <c r="C8" i="29"/>
  <c r="G8" i="29" s="1"/>
  <c r="E8" i="29"/>
  <c r="E13" i="29" l="1"/>
  <c r="G13" i="29"/>
  <c r="E8" i="31"/>
  <c r="E10" i="31" s="1"/>
  <c r="C8" i="31"/>
  <c r="C10" i="31" s="1"/>
  <c r="G8" i="31"/>
  <c r="G10" i="31" s="1"/>
</calcChain>
</file>

<file path=xl/comments1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10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11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12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13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14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15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16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17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18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19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2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20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21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22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23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24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25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26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27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28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29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3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30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31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32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33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34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35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36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37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38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39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4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40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41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42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43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5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6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7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8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comments9.xml><?xml version="1.0" encoding="utf-8"?>
<comments xmlns="http://schemas.openxmlformats.org/spreadsheetml/2006/main">
  <authors>
    <author>Štěpán Kortus</author>
    <author>Klubalová Markéta Ing.</author>
  </authors>
  <commentLis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Štěpán Kortus: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1">
      <text>
        <r>
          <rPr>
            <b/>
            <sz val="9"/>
            <color indexed="81"/>
            <rFont val="Tahoma"/>
            <family val="2"/>
            <charset val="238"/>
          </rPr>
          <t>Klubalová Markéta Ing.:</t>
        </r>
        <r>
          <rPr>
            <sz val="9"/>
            <color indexed="81"/>
            <rFont val="Tahoma"/>
            <family val="2"/>
            <charset val="238"/>
          </rPr>
          <t xml:space="preserve">
Uvádějte cenu v Kč včetně DPH</t>
        </r>
      </text>
    </comment>
  </commentList>
</comments>
</file>

<file path=xl/sharedStrings.xml><?xml version="1.0" encoding="utf-8"?>
<sst xmlns="http://schemas.openxmlformats.org/spreadsheetml/2006/main" count="1323" uniqueCount="233">
  <si>
    <t>Název přístroje</t>
  </si>
  <si>
    <t>Obnova/nový přístroj</t>
  </si>
  <si>
    <t>nový přístroj</t>
  </si>
  <si>
    <t>obnova</t>
  </si>
  <si>
    <t>Stáří původního přístroje</t>
  </si>
  <si>
    <t>Obor návazné péče</t>
  </si>
  <si>
    <t>Počet kusů</t>
  </si>
  <si>
    <t>Celkem</t>
  </si>
  <si>
    <t>X</t>
  </si>
  <si>
    <t>Celková předpokládaná PC (v Kč včetně DPH)</t>
  </si>
  <si>
    <t>Nebulizátor tepelný</t>
  </si>
  <si>
    <t>Obnova</t>
  </si>
  <si>
    <t>Oxymetr pulsní</t>
  </si>
  <si>
    <t xml:space="preserve">Přístroj narkotizační </t>
  </si>
  <si>
    <t>Ventilátor plicní</t>
  </si>
  <si>
    <t>Base infuzní</t>
  </si>
  <si>
    <t>Dávkovač injekční</t>
  </si>
  <si>
    <t>Bronchofibroskop intubační</t>
  </si>
  <si>
    <t>Matrace antidekubitní aktivní</t>
  </si>
  <si>
    <t>Pumpa infuzní</t>
  </si>
  <si>
    <t>Ohřívač plazmy a krve</t>
  </si>
  <si>
    <t>Nový přístroj</t>
  </si>
  <si>
    <t>Systém ohřevu pacienta</t>
  </si>
  <si>
    <t>Motomed pro horní i dolní končetiny</t>
  </si>
  <si>
    <t>Vozík anesteziologický</t>
  </si>
  <si>
    <t>Rozmrazovač plazmy</t>
  </si>
  <si>
    <t>Elektrokoagulace</t>
  </si>
  <si>
    <t>Inhalátor ultrazvukový</t>
  </si>
  <si>
    <t>Odsávačka elektrická, pojízdná</t>
  </si>
  <si>
    <t>Vozík transportní, výšk.stavitelný, hydraul.</t>
  </si>
  <si>
    <t>Instrumentárium - chirurgie</t>
  </si>
  <si>
    <t>LPSK instrumentárium vč. kontejnerů</t>
  </si>
  <si>
    <t>Video-rhinolaryngoskop</t>
  </si>
  <si>
    <t>Radiofrekvenční elektrochir.jednotka</t>
  </si>
  <si>
    <t xml:space="preserve">Vyšetřovací jednotka </t>
  </si>
  <si>
    <t>Propusť pacientská/přesun pacienta</t>
  </si>
  <si>
    <t>Sterilizátor parní 100 l</t>
  </si>
  <si>
    <t>Holter EKG</t>
  </si>
  <si>
    <t>Videokolonoskop HD</t>
  </si>
  <si>
    <t>Videogastroskop HD</t>
  </si>
  <si>
    <t>Automatický desinfektor endoskopů</t>
  </si>
  <si>
    <t>Videoduodenoskop terapeutický</t>
  </si>
  <si>
    <t>Bedside monitor EKG, SpO2, TK</t>
  </si>
  <si>
    <t>Chladnička laboratorní</t>
  </si>
  <si>
    <t xml:space="preserve">Chladnička převozní </t>
  </si>
  <si>
    <t>Termostat</t>
  </si>
  <si>
    <t>Svářečka na krevní vaky</t>
  </si>
  <si>
    <t>Mrazák na uchovávání plazmy</t>
  </si>
  <si>
    <t>Chladnička laboratorní kombinovaná</t>
  </si>
  <si>
    <t>Analyzátor krevních plynů</t>
  </si>
  <si>
    <t>Analyzátor glukózy (glukometr)</t>
  </si>
  <si>
    <t>Automat mycí</t>
  </si>
  <si>
    <t>Sušárna laboratorního skla</t>
  </si>
  <si>
    <t>Box mrazící do -40°C</t>
  </si>
  <si>
    <t>Chladnička laboratorní 600 l</t>
  </si>
  <si>
    <t>Míchačka</t>
  </si>
  <si>
    <t>Automat barvící</t>
  </si>
  <si>
    <t>pH metr</t>
  </si>
  <si>
    <t xml:space="preserve">Stolní lupa </t>
  </si>
  <si>
    <t>Autotechnikon</t>
  </si>
  <si>
    <t>Mikrotom sáňkový</t>
  </si>
  <si>
    <t>Linka parafínová zalévací</t>
  </si>
  <si>
    <t xml:space="preserve">Montovací automat </t>
  </si>
  <si>
    <t>Tiskárna kazet</t>
  </si>
  <si>
    <t>Tiskárna mikroskopických skel</t>
  </si>
  <si>
    <t>Matrace antidekubitní pasivní</t>
  </si>
  <si>
    <t>Stimulátor magnetický</t>
  </si>
  <si>
    <t>Lůžko pro pacienty elektrické, vč. matrace</t>
  </si>
  <si>
    <t>Turniket - přístroj pro bezkrevní operace</t>
  </si>
  <si>
    <t>Vyšetřovací lehátko</t>
  </si>
  <si>
    <t>Motodlaha kolenního a kyčelního kloubu</t>
  </si>
  <si>
    <t>Motodlaha ramenního kloubu</t>
  </si>
  <si>
    <t>Myčka podložních mís</t>
  </si>
  <si>
    <t>Vrtačka RTG nekontrastní</t>
  </si>
  <si>
    <t>Kombinovaná terapie rázovou vlnou a
vysokovýkonným laserem</t>
  </si>
  <si>
    <t>Motomed DK vč. židle pevné</t>
  </si>
  <si>
    <t>Motomed HK vč. židle pevné</t>
  </si>
  <si>
    <t>Rotoped</t>
  </si>
  <si>
    <t>Lehátko 2-segm.el.polohovatelné, pojízdné</t>
  </si>
  <si>
    <t>Stolička pro pac., výšk.stavitelná, pevná</t>
  </si>
  <si>
    <t xml:space="preserve">Robotický systém  pro rehabilitaci horní končetiny </t>
  </si>
  <si>
    <t xml:space="preserve">Přístroj elektrostimulační pro nácvik motorických funkcí pomocí funkční elektrické stimulace </t>
  </si>
  <si>
    <t>Instrumentárium urologie</t>
  </si>
  <si>
    <t>Lithotriptor pro semirigidní
ureteroskopy a nefroskopy</t>
  </si>
  <si>
    <t>Uretrotom optický</t>
  </si>
  <si>
    <t>Cystoskop flexibilní</t>
  </si>
  <si>
    <t>Myčka endoskopů</t>
  </si>
  <si>
    <t>Rozvěrač mechanický operační</t>
  </si>
  <si>
    <t>ARO</t>
  </si>
  <si>
    <t>DET</t>
  </si>
  <si>
    <t>CHIR</t>
  </si>
  <si>
    <t>INT</t>
  </si>
  <si>
    <t>LAB</t>
  </si>
  <si>
    <t>NEUROL.</t>
  </si>
  <si>
    <t>ORT.TRAUM.</t>
  </si>
  <si>
    <t>RADIOLOGIE</t>
  </si>
  <si>
    <t>REH.</t>
  </si>
  <si>
    <t>UROL.</t>
  </si>
  <si>
    <t>Skupina</t>
  </si>
  <si>
    <t>Výrobce/dodavatel</t>
  </si>
  <si>
    <t>Materiál</t>
  </si>
  <si>
    <t>Sloupec2</t>
  </si>
  <si>
    <t>Dovybavení op. Sálů</t>
  </si>
  <si>
    <t>Počet skupin</t>
  </si>
  <si>
    <t>ARO/CHIR</t>
  </si>
  <si>
    <t>ARO/CHIR/JIP</t>
  </si>
  <si>
    <t>ARO/CHIR/JIP/NEUR/ORT</t>
  </si>
  <si>
    <t>ORT.TRAUM./UROL</t>
  </si>
  <si>
    <t>ARO/CHIR/INT</t>
  </si>
  <si>
    <t>DET/NEUROL</t>
  </si>
  <si>
    <t>MULTI</t>
  </si>
  <si>
    <t>CHIR/INT</t>
  </si>
  <si>
    <t>Celková předpokládaná PC (v Kč bez DPH)</t>
  </si>
  <si>
    <t>dph</t>
  </si>
  <si>
    <t>Poznámka</t>
  </si>
  <si>
    <t>Tech. Spec.</t>
  </si>
  <si>
    <t>ano</t>
  </si>
  <si>
    <t>Analyzátor bilirubinu, neinvazivní pro novorozence</t>
  </si>
  <si>
    <t>Předpokládaná pořizovací cena / ks (v Kč bez DPH)</t>
  </si>
  <si>
    <t>Předpokládaná pořizovací cena / ks (v Kč včetně DPH)</t>
  </si>
  <si>
    <t>Název projektu: Zdravotnická technika pro návaznou péči</t>
  </si>
  <si>
    <t>Část 1 Analyzátor glukózy</t>
  </si>
  <si>
    <t>Sloupec1</t>
  </si>
  <si>
    <t>Sloupec3</t>
  </si>
  <si>
    <t>Výrobce</t>
  </si>
  <si>
    <t>Sloupec4</t>
  </si>
  <si>
    <t xml:space="preserve"> pořizovací cena / ks (v Kč včetně DPH)</t>
  </si>
  <si>
    <t>Celková  PC (v Kč bez DPH)</t>
  </si>
  <si>
    <t>Část 2 Analyzátor krevních plynů</t>
  </si>
  <si>
    <t>Název poskytovatele zdravotních služeb: Oblastní nemocnice Příbram, a.s.</t>
  </si>
  <si>
    <t xml:space="preserve"> pořizovací cena / ks (v Kč bez DPH)</t>
  </si>
  <si>
    <t>Celková á PC (v Kč bez DPH)</t>
  </si>
  <si>
    <t>Celková  PC (v Kč včetně DPH)</t>
  </si>
  <si>
    <t>Část 3 Dovybavení operačních sálů</t>
  </si>
  <si>
    <t>Část 4 Dovybavení operačních sálů</t>
  </si>
  <si>
    <t>Část 5 Hygiena a mobilita pacientů</t>
  </si>
  <si>
    <t>Část 6 Chladící a mrazící technika</t>
  </si>
  <si>
    <t>Část 7 Infuzní technika</t>
  </si>
  <si>
    <t>P pořizovací cena / ks (v Kč bez DPH)</t>
  </si>
  <si>
    <t>Část 8 Instrumentárium</t>
  </si>
  <si>
    <t>Část 12 Laparoskopické věže</t>
  </si>
  <si>
    <t>Část 13 Lehátka transportní</t>
  </si>
  <si>
    <t>Celková PC (v Kč bez DPH)</t>
  </si>
  <si>
    <t>Celková á PC (v Kč včetně DPH)</t>
  </si>
  <si>
    <t>část 14 LPSK instrumentárium</t>
  </si>
  <si>
    <t>část 15 Lůžka a matrace</t>
  </si>
  <si>
    <t>á pořizovací cena / ks (v Kč včetně DPH)</t>
  </si>
  <si>
    <t>Část 16 Monitorovací technika</t>
  </si>
  <si>
    <t>Část 17 Narkotizační přístroj</t>
  </si>
  <si>
    <t>pořizovací cena / ks (v Kč bez DPH)</t>
  </si>
  <si>
    <t>Celková PC (v Kč včetně DPH)</t>
  </si>
  <si>
    <t>Část 18 Vybavení ortopedie</t>
  </si>
  <si>
    <t>Část 20 Přístrojová technika k LJ</t>
  </si>
  <si>
    <t>Část 21 Radiofrekvenční elektrochirurgická jednotka</t>
  </si>
  <si>
    <t>CelkováPC (v Kč včetně DPH)</t>
  </si>
  <si>
    <t>pořizovací cena / ks (v Kč včetně DPH)</t>
  </si>
  <si>
    <t>Část 24 Sterilizace</t>
  </si>
  <si>
    <t>Část 25 Systém ohřevu pacienta</t>
  </si>
  <si>
    <t>Část 26 Tromboelastometr</t>
  </si>
  <si>
    <t xml:space="preserve">Tromboelastometr </t>
  </si>
  <si>
    <t>Část 28 Váha osobní nášlapná</t>
  </si>
  <si>
    <t>Část 29 Vyšetřovací jednotka</t>
  </si>
  <si>
    <t>Zvedák pro pacienty - s váhou</t>
  </si>
  <si>
    <t>Zvedák pro pacienty - kolejnicový</t>
  </si>
  <si>
    <t>Elektrokoagulace - cévní</t>
  </si>
  <si>
    <t>Věž laparoskopická 3D</t>
  </si>
  <si>
    <t>Věž laparoskopická 4K</t>
  </si>
  <si>
    <t>Odstředivka laboratorní - chlazená</t>
  </si>
  <si>
    <t>Odstředivka laboratorní - programovatelná</t>
  </si>
  <si>
    <t>Odstředivka laboratorní - 90ml</t>
  </si>
  <si>
    <t>Odstředivka laboratorní - 800 ml</t>
  </si>
  <si>
    <t>Odstředivka laboratorní - 500 ml</t>
  </si>
  <si>
    <t xml:space="preserve">LCD monitor </t>
  </si>
  <si>
    <t>Transportní monitor</t>
  </si>
  <si>
    <t>Vrtačka kostní - malá, vč.příslušenství</t>
  </si>
  <si>
    <t>Vrtačka kostní - velká, vč.příslušenství</t>
  </si>
  <si>
    <t>Věž trakční</t>
  </si>
  <si>
    <t>Přístroj RTG s C ramenem - ortopedický</t>
  </si>
  <si>
    <t>Přístroj RTG s C ramenem - kardiologocký</t>
  </si>
  <si>
    <t>Přístroj ultrazvukový - gynekologický</t>
  </si>
  <si>
    <t>Váha osobní nášlapná ověřitelná do 150 kg</t>
  </si>
  <si>
    <t>Váha osobní nášlapná ověřitelná do 250 kg</t>
  </si>
  <si>
    <t>Třepačka laboratorní - válcová</t>
  </si>
  <si>
    <t>Třepačka laboratorní - vortex</t>
  </si>
  <si>
    <t>Závesný rehabilitační systém</t>
  </si>
  <si>
    <t>Jednoduchý závěsný rehabilitační systém</t>
  </si>
  <si>
    <t>Kombinovaný přístroj pro elektroterapii s ultrazvukem a vakuovou jednotkou</t>
  </si>
  <si>
    <t>Elektroterap. přístroj s lymfoterapií</t>
  </si>
  <si>
    <t>Přístroj magnetoterapeutický + posuvné lehátko s velkým solenoidem</t>
  </si>
  <si>
    <t>Svítidlo operační LED</t>
  </si>
  <si>
    <t>Skříň na sušení a skladování flexibilních endoskopů</t>
  </si>
  <si>
    <t>Třepačka laboratorní - kyvná</t>
  </si>
  <si>
    <t>Upgrade monitor.systému</t>
  </si>
  <si>
    <t>Stanice dobíjecí k bateriovému systému</t>
  </si>
  <si>
    <t>Přístroj RTG pojízdný</t>
  </si>
  <si>
    <t>Část 23 Rehabilitace - fyzikální terapie</t>
  </si>
  <si>
    <t>Přístroj elektroterapeutický</t>
  </si>
  <si>
    <t>Svářečka průběžná na steril.obaly, včetně tiskárny</t>
  </si>
  <si>
    <t>Přístroj ultrazvukový - ortopedický na UTZ kyčlí</t>
  </si>
  <si>
    <t>Flat panel k RTG</t>
  </si>
  <si>
    <t>Příslušenství k operačnímu stolu Jupiter</t>
  </si>
  <si>
    <t>Stůl operační se dvěma vyměnitelnými deskami, vč. příslušenství</t>
  </si>
  <si>
    <t>Polygraf pro spánkovou laboratoř</t>
  </si>
  <si>
    <t>Pumpa infuzní por řízenou analgézii</t>
  </si>
  <si>
    <t>Pumpa infuzní por řízenou analgézii - přenosná</t>
  </si>
  <si>
    <t>Videolaryngoskop</t>
  </si>
  <si>
    <t xml:space="preserve">Motodlaha kolenního a kyčelního kloubu, vč. lehátka </t>
  </si>
  <si>
    <t>Část 40 Rehabilitace - pokročilé rehabilitační systémy</t>
  </si>
  <si>
    <t>Rehabilitační chodník</t>
  </si>
  <si>
    <t>Část 42 Laboratorní technika - transfuziologie</t>
  </si>
  <si>
    <t>Část 43 Ventilátor plicní</t>
  </si>
  <si>
    <t>Část 9 Holter EKG</t>
  </si>
  <si>
    <t>Část 10 Laboratorní technika - obecná</t>
  </si>
  <si>
    <t>Část 39 Rehabilitace - pohybová terapie</t>
  </si>
  <si>
    <t>Část 38 Čtečka RTG kazet</t>
  </si>
  <si>
    <t>Část 37 Analyzátor bilirubinu</t>
  </si>
  <si>
    <t>Část 36 Vydeolaryngoskop</t>
  </si>
  <si>
    <t>Část 35 Stimulátor magnetický</t>
  </si>
  <si>
    <t>Část 34 Pumpa infuzní pro řízenou analgezii</t>
  </si>
  <si>
    <t>Část 41 Laboratorní technika - histologie</t>
  </si>
  <si>
    <t>Část 11 Laboratorní technika PAO</t>
  </si>
  <si>
    <t>Část 19 Přístroj dialyzační</t>
  </si>
  <si>
    <t>Část 22 Radiologie</t>
  </si>
  <si>
    <t>Část 27 Ultrazvuk</t>
  </si>
  <si>
    <t>Část 30 FLAT panel k  RTG</t>
  </si>
  <si>
    <t>Část 31 Stůl operační</t>
  </si>
  <si>
    <t>Část 32 Zvedák pro pacienty</t>
  </si>
  <si>
    <t>Část 33 Polygraf pro spánkovou laboratoř</t>
  </si>
  <si>
    <t>Název poskytovatele zdravotních služeb: Oblastní nemocnice Příbram, a.s</t>
  </si>
  <si>
    <t>Sprchovací lehátko</t>
  </si>
  <si>
    <t>Systém monitorovací</t>
  </si>
  <si>
    <t xml:space="preserve">Přístroj dialyzační </t>
  </si>
  <si>
    <t>Digitizer - čtečka RTG kazet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</si>
</sst>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_-* #,##0\ &quot;Kč&quot;_-;\-* #,##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333333"/>
      <name val="Trebuchet MS"/>
      <family val="2"/>
      <charset val="238"/>
    </font>
    <font>
      <sz val="11"/>
      <color theme="1"/>
      <name val="Calibri"/>
      <family val="2"/>
      <charset val="238"/>
    </font>
    <font>
      <b/>
      <sz val="10"/>
      <color rgb="FF333333"/>
      <name val="Trebuchet MS"/>
      <family val="2"/>
      <charset val="238"/>
    </font>
    <font>
      <sz val="11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E850E"/>
        <bgColor indexed="64"/>
      </patternFill>
    </fill>
    <fill>
      <patternFill patternType="solid">
        <fgColor rgb="FFD96D7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166" fontId="6" fillId="0" borderId="0" xfId="2" applyNumberFormat="1" applyFont="1" applyFill="1"/>
    <xf numFmtId="0" fontId="0" fillId="0" borderId="0" xfId="0" applyFill="1"/>
    <xf numFmtId="0" fontId="6" fillId="0" borderId="0" xfId="5" applyFont="1" applyFill="1"/>
    <xf numFmtId="0" fontId="0" fillId="0" borderId="1" xfId="0" applyFill="1" applyBorder="1"/>
    <xf numFmtId="0" fontId="0" fillId="3" borderId="0" xfId="0" applyFill="1" applyAlignment="1">
      <alignment horizontal="center" vertical="center" wrapText="1"/>
    </xf>
    <xf numFmtId="0" fontId="0" fillId="0" borderId="0" xfId="0" applyFill="1" applyBorder="1"/>
    <xf numFmtId="0" fontId="6" fillId="0" borderId="0" xfId="5" applyFont="1" applyFill="1" applyAlignment="1">
      <alignment wrapText="1"/>
    </xf>
    <xf numFmtId="164" fontId="0" fillId="0" borderId="0" xfId="0" applyNumberFormat="1" applyFill="1" applyProtection="1"/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6" fillId="0" borderId="0" xfId="0" applyFont="1" applyFill="1" applyAlignment="1">
      <alignment horizontal="left" wrapText="1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6" fillId="0" borderId="1" xfId="0" applyFont="1" applyFill="1" applyBorder="1"/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5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4" fillId="0" borderId="0" xfId="0" applyFont="1" applyFill="1" applyAlignment="1">
      <alignment horizontal="left" wrapText="1"/>
    </xf>
    <xf numFmtId="0" fontId="0" fillId="0" borderId="0" xfId="0" applyFill="1" applyAlignment="1">
      <alignment horizontal="left"/>
    </xf>
    <xf numFmtId="0" fontId="5" fillId="0" borderId="0" xfId="5" applyFont="1" applyFill="1"/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wrapText="1"/>
    </xf>
    <xf numFmtId="0" fontId="10" fillId="0" borderId="0" xfId="0" applyFont="1"/>
    <xf numFmtId="0" fontId="9" fillId="0" borderId="0" xfId="0" applyFont="1"/>
    <xf numFmtId="0" fontId="12" fillId="0" borderId="0" xfId="0" applyFont="1"/>
    <xf numFmtId="164" fontId="9" fillId="0" borderId="0" xfId="0" applyNumberFormat="1" applyFont="1" applyFill="1" applyProtection="1"/>
    <xf numFmtId="0" fontId="9" fillId="0" borderId="0" xfId="0" applyFont="1" applyFill="1"/>
    <xf numFmtId="0" fontId="9" fillId="0" borderId="1" xfId="0" applyFont="1" applyFill="1" applyBorder="1"/>
    <xf numFmtId="164" fontId="0" fillId="2" borderId="0" xfId="0" applyNumberFormat="1" applyFill="1" applyAlignment="1">
      <alignment horizontal="center" vertical="center" wrapText="1"/>
    </xf>
    <xf numFmtId="9" fontId="0" fillId="2" borderId="0" xfId="0" applyNumberFormat="1" applyFill="1" applyAlignment="1">
      <alignment horizontal="center" vertical="center" wrapText="1"/>
    </xf>
    <xf numFmtId="9" fontId="0" fillId="0" borderId="0" xfId="0" applyNumberFormat="1"/>
    <xf numFmtId="0" fontId="0" fillId="3" borderId="0" xfId="0" applyFill="1" applyBorder="1"/>
    <xf numFmtId="0" fontId="0" fillId="10" borderId="0" xfId="0" applyFill="1" applyBorder="1"/>
    <xf numFmtId="0" fontId="9" fillId="0" borderId="0" xfId="0" applyFont="1" applyFill="1" applyBorder="1"/>
    <xf numFmtId="0" fontId="0" fillId="9" borderId="0" xfId="0" applyFill="1" applyBorder="1"/>
    <xf numFmtId="0" fontId="0" fillId="8" borderId="0" xfId="0" applyFill="1" applyBorder="1"/>
    <xf numFmtId="0" fontId="0" fillId="7" borderId="0" xfId="0" applyFill="1" applyBorder="1"/>
    <xf numFmtId="0" fontId="0" fillId="4" borderId="0" xfId="0" applyFill="1" applyBorder="1"/>
    <xf numFmtId="0" fontId="0" fillId="11" borderId="0" xfId="0" applyFill="1" applyBorder="1"/>
    <xf numFmtId="0" fontId="0" fillId="5" borderId="0" xfId="0" applyFill="1" applyBorder="1"/>
    <xf numFmtId="0" fontId="0" fillId="6" borderId="0" xfId="0" applyFill="1" applyBorder="1"/>
    <xf numFmtId="165" fontId="0" fillId="2" borderId="0" xfId="0" applyNumberFormat="1" applyFill="1" applyAlignment="1">
      <alignment horizontal="center" vertical="center" wrapText="1"/>
    </xf>
    <xf numFmtId="165" fontId="0" fillId="0" borderId="0" xfId="0" applyNumberFormat="1" applyAlignment="1">
      <alignment horizontal="right"/>
    </xf>
    <xf numFmtId="0" fontId="7" fillId="0" borderId="0" xfId="5" applyFont="1" applyFill="1"/>
    <xf numFmtId="0" fontId="11" fillId="0" borderId="0" xfId="0" applyFont="1" applyFill="1" applyAlignment="1">
      <alignment wrapText="1"/>
    </xf>
    <xf numFmtId="0" fontId="0" fillId="0" borderId="0" xfId="0" applyFont="1" applyFill="1"/>
    <xf numFmtId="9" fontId="6" fillId="0" borderId="0" xfId="0" applyNumberFormat="1" applyFont="1" applyFill="1"/>
    <xf numFmtId="164" fontId="0" fillId="0" borderId="0" xfId="0" applyNumberFormat="1" applyFont="1" applyFill="1" applyProtection="1"/>
    <xf numFmtId="0" fontId="11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0" fillId="0" borderId="0" xfId="0" applyFont="1" applyFill="1" applyBorder="1"/>
    <xf numFmtId="9" fontId="4" fillId="0" borderId="0" xfId="5" applyNumberFormat="1" applyFont="1" applyFill="1"/>
    <xf numFmtId="9" fontId="6" fillId="0" borderId="0" xfId="5" applyNumberFormat="1" applyFont="1" applyFill="1"/>
    <xf numFmtId="0" fontId="6" fillId="0" borderId="1" xfId="5" applyFont="1" applyFill="1" applyBorder="1"/>
    <xf numFmtId="165" fontId="0" fillId="0" borderId="0" xfId="0" applyNumberFormat="1" applyFill="1" applyAlignment="1">
      <alignment horizontal="right"/>
    </xf>
    <xf numFmtId="165" fontId="0" fillId="0" borderId="0" xfId="0" applyNumberFormat="1" applyFill="1"/>
    <xf numFmtId="9" fontId="0" fillId="0" borderId="0" xfId="0" applyNumberFormat="1" applyFill="1"/>
    <xf numFmtId="0" fontId="0" fillId="0" borderId="0" xfId="0" applyFill="1" applyAlignment="1">
      <alignment horizontal="center" vertical="center"/>
    </xf>
    <xf numFmtId="164" fontId="0" fillId="0" borderId="0" xfId="0" applyNumberFormat="1" applyFill="1"/>
    <xf numFmtId="0" fontId="4" fillId="0" borderId="0" xfId="0" applyFont="1" applyFill="1" applyAlignment="1">
      <alignment wrapText="1"/>
    </xf>
    <xf numFmtId="166" fontId="4" fillId="0" borderId="0" xfId="2" applyNumberFormat="1" applyFont="1" applyFill="1"/>
    <xf numFmtId="9" fontId="4" fillId="0" borderId="0" xfId="0" applyNumberFormat="1" applyFont="1" applyFill="1"/>
    <xf numFmtId="0" fontId="4" fillId="0" borderId="0" xfId="0" applyFont="1" applyFill="1" applyBorder="1" applyAlignment="1">
      <alignment wrapText="1"/>
    </xf>
    <xf numFmtId="0" fontId="4" fillId="0" borderId="0" xfId="5" applyFont="1" applyFill="1"/>
    <xf numFmtId="0" fontId="4" fillId="0" borderId="1" xfId="5" applyFont="1" applyFill="1" applyBorder="1"/>
    <xf numFmtId="9" fontId="6" fillId="0" borderId="0" xfId="2" applyNumberFormat="1" applyFont="1" applyFill="1"/>
    <xf numFmtId="0" fontId="7" fillId="0" borderId="0" xfId="0" applyFont="1" applyFill="1"/>
    <xf numFmtId="166" fontId="7" fillId="0" borderId="0" xfId="2" applyNumberFormat="1" applyFont="1" applyFill="1"/>
    <xf numFmtId="9" fontId="7" fillId="0" borderId="0" xfId="0" applyNumberFormat="1" applyFont="1" applyFill="1"/>
    <xf numFmtId="0" fontId="4" fillId="0" borderId="1" xfId="0" applyFont="1" applyFill="1" applyBorder="1"/>
    <xf numFmtId="0" fontId="10" fillId="0" borderId="0" xfId="0" applyFont="1" applyFill="1"/>
    <xf numFmtId="0" fontId="14" fillId="0" borderId="0" xfId="0" applyFont="1"/>
    <xf numFmtId="0" fontId="15" fillId="0" borderId="0" xfId="0" applyFont="1" applyFill="1"/>
    <xf numFmtId="165" fontId="13" fillId="0" borderId="0" xfId="0" applyNumberFormat="1" applyFont="1" applyAlignment="1">
      <alignment horizontal="right"/>
    </xf>
    <xf numFmtId="0" fontId="0" fillId="0" borderId="2" xfId="0" applyFill="1" applyBorder="1"/>
    <xf numFmtId="0" fontId="0" fillId="0" borderId="0" xfId="0" applyFill="1" applyAlignment="1">
      <alignment horizontal="center" vertical="center" wrapText="1"/>
    </xf>
    <xf numFmtId="165" fontId="6" fillId="0" borderId="0" xfId="2" applyNumberFormat="1" applyFont="1" applyFill="1" applyAlignment="1">
      <alignment horizontal="right"/>
    </xf>
    <xf numFmtId="0" fontId="4" fillId="0" borderId="0" xfId="5" applyFont="1" applyFill="1" applyBorder="1" applyAlignment="1">
      <alignment wrapText="1"/>
    </xf>
    <xf numFmtId="0" fontId="4" fillId="0" borderId="0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</cellXfs>
  <cellStyles count="9">
    <cellStyle name="Měna 2" xfId="1"/>
    <cellStyle name="Měna 3" xfId="2"/>
    <cellStyle name="Měna 3 2" xfId="3"/>
    <cellStyle name="Normální" xfId="0" builtinId="0"/>
    <cellStyle name="Normální 13" xfId="4"/>
    <cellStyle name="Normální 2" xfId="5"/>
    <cellStyle name="Normální 9" xfId="6"/>
    <cellStyle name="Procenta 2" xfId="7"/>
    <cellStyle name="Procenta 2 2" xfId="8"/>
  </cellStyles>
  <dxfs count="404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b/>
        <color indexed="8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</font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</dxf>
    <dxf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b/>
        <color indexed="8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  <fill>
        <patternFill patternType="none">
          <fgColor indexed="64"/>
          <bgColor auto="1"/>
        </patternFill>
      </fill>
    </dxf>
    <dxf>
      <font>
        <b/>
        <color indexed="8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ont>
        <b val="0"/>
      </font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b/>
        <color indexed="8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</font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b/>
        <color indexed="8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</font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b/>
        <color indexed="8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</font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b/>
        <color indexed="8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</font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numFmt numFmtId="164" formatCode="#,##0.00\ &quot;Kč&quot;"/>
      <fill>
        <patternFill patternType="none">
          <fgColor indexed="64"/>
          <bgColor indexed="65"/>
        </patternFill>
      </fill>
      <protection locked="1" hidden="0"/>
    </dxf>
    <dxf>
      <numFmt numFmtId="13" formatCode="0%"/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indexed="65"/>
        </patternFill>
      </fill>
    </dxf>
    <dxf>
      <numFmt numFmtId="165" formatCode="#,##0\ &quot;Kč&quot;"/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numFmt numFmtId="164" formatCode="#,##0.00\ &quot;Kč&quot;"/>
      <fill>
        <patternFill patternType="none">
          <fgColor indexed="64"/>
          <bgColor indexed="65"/>
        </patternFill>
      </fill>
      <protection locked="1" hidden="0"/>
    </dxf>
    <dxf>
      <numFmt numFmtId="13" formatCode="0%"/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indexed="65"/>
        </patternFill>
      </fill>
    </dxf>
    <dxf>
      <numFmt numFmtId="165" formatCode="#,##0\ &quot;Kč&quot;"/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numFmt numFmtId="164" formatCode="#,##0.00\ &quot;Kč&quot;"/>
      <fill>
        <patternFill patternType="none">
          <fgColor indexed="64"/>
          <bgColor indexed="65"/>
        </patternFill>
      </fill>
      <protection locked="1" hidden="0"/>
    </dxf>
    <dxf>
      <numFmt numFmtId="13" formatCode="0%"/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indexed="65"/>
        </patternFill>
      </fill>
    </dxf>
    <dxf>
      <numFmt numFmtId="165" formatCode="#,##0\ &quot;Kč&quot;"/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numFmt numFmtId="164" formatCode="#,##0.00\ &quot;Kč&quot;"/>
      <fill>
        <patternFill patternType="none">
          <fgColor indexed="64"/>
          <bgColor indexed="65"/>
        </patternFill>
      </fill>
      <protection locked="1" hidden="0"/>
    </dxf>
    <dxf>
      <numFmt numFmtId="13" formatCode="0%"/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indexed="65"/>
        </patternFill>
      </fill>
    </dxf>
    <dxf>
      <numFmt numFmtId="165" formatCode="#,##0\ &quot;Kč&quot;"/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b/>
        <color indexed="8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</font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indexed="8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numFmt numFmtId="164" formatCode="#,##0.00\ &quot;Kč&quot;"/>
      <fill>
        <patternFill patternType="none">
          <fgColor indexed="64"/>
          <bgColor indexed="65"/>
        </patternFill>
      </fill>
      <protection locked="1" hidden="0"/>
    </dxf>
    <dxf>
      <numFmt numFmtId="13" formatCode="0%"/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indexed="8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1"/>
        <color rgb="FF00B050"/>
        <name val="Calibri"/>
        <scheme val="none"/>
      </font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indexed="65"/>
        </patternFill>
      </fill>
    </dxf>
    <dxf>
      <numFmt numFmtId="165" formatCode="#,##0\ &quot;Kč&quot;"/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</dxf>
    <dxf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numFmt numFmtId="164" formatCode="#,##0.00\ &quot;Kč&quot;"/>
      <fill>
        <patternFill patternType="none">
          <fgColor indexed="64"/>
          <bgColor indexed="65"/>
        </patternFill>
      </fill>
      <protection locked="1" hidden="0"/>
    </dxf>
    <dxf>
      <numFmt numFmtId="13" formatCode="0%"/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numFmt numFmtId="164" formatCode="#,##0.00\ &quot;Kč&quot;"/>
      <fill>
        <patternFill patternType="none">
          <fgColor indexed="64"/>
          <bgColor indexed="65"/>
        </patternFill>
      </fill>
      <protection locked="1" hidden="0"/>
    </dxf>
    <dxf>
      <numFmt numFmtId="13" formatCode="0%"/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indexed="65"/>
        </patternFill>
      </fill>
    </dxf>
    <dxf>
      <numFmt numFmtId="165" formatCode="#,##0\ &quot;Kč&quot;"/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numFmt numFmtId="164" formatCode="#,##0.00\ &quot;Kč&quot;"/>
      <fill>
        <patternFill patternType="none">
          <fgColor indexed="64"/>
          <bgColor indexed="65"/>
        </patternFill>
      </fill>
      <protection locked="1" hidden="0"/>
    </dxf>
    <dxf>
      <numFmt numFmtId="13" formatCode="0%"/>
    </dxf>
    <dxf>
      <numFmt numFmtId="13" formatCode="0%"/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solid">
          <fgColor indexed="64"/>
          <bgColor theme="0" tint="-0.249977111117893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indexed="65"/>
        </patternFill>
      </fill>
    </dxf>
    <dxf>
      <numFmt numFmtId="165" formatCode="#,##0\ &quot;Kč&quot;"/>
      <alignment horizontal="right" vertical="bottom" textRotation="0" wrapText="0" indent="0" justifyLastLine="0" shrinkToFit="0" readingOrder="0"/>
    </dxf>
    <dxf>
      <numFmt numFmtId="165" formatCode="#,##0\ &quot;Kč&quot;"/>
      <alignment horizontal="right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4" formatCode="#,##0.00\ &quot;Kč&quot;"/>
      <fill>
        <patternFill patternType="none">
          <fgColor indexed="64"/>
          <bgColor indexed="65"/>
        </patternFill>
      </fill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auto="1"/>
        </patternFill>
      </fill>
    </dxf>
    <dxf>
      <numFmt numFmtId="164" formatCode="#,##0.0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numFmt numFmtId="164" formatCode="#,##0.00\ &quot;Kč&quot;"/>
      <fill>
        <patternFill patternType="none">
          <fgColor indexed="64"/>
          <bgColor indexed="65"/>
        </patternFill>
      </fill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numFmt numFmtId="164" formatCode="#,##0.00\ &quot;Kč&quot;"/>
      <fill>
        <patternFill patternType="none">
          <fgColor indexed="64"/>
          <bgColor auto="1"/>
        </patternFill>
      </fill>
      <protection locked="1" hidden="0"/>
    </dxf>
    <dxf>
      <numFmt numFmtId="13" formatCode="0%"/>
    </dxf>
    <dxf>
      <numFmt numFmtId="13" formatCode="0%"/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5" formatCode="#,##0\ &quot;Kč&quot;"/>
    </dxf>
    <dxf>
      <font>
        <color auto="1"/>
      </font>
      <numFmt numFmtId="166" formatCode="_-* #,##0\ &quot;Kč&quot;_-;\-* #,##0\ &quot;Kč&quot;_-;_-* &quot;-&quot;??\ &quot;Kč&quot;_-;_-@_-"/>
      <fill>
        <patternFill patternType="none">
          <fgColor indexed="64"/>
          <bgColor auto="1"/>
        </patternFill>
      </fill>
    </dxf>
    <dxf>
      <numFmt numFmtId="165" formatCode="#,##0\ &quot;Kč&quot;"/>
      <alignment horizontal="right" vertical="bottom" textRotation="0" wrapText="0" indent="0" justifyLastLine="0" shrinkToFit="0" readingOrder="0"/>
    </dxf>
    <dxf>
      <numFmt numFmtId="165" formatCode="#,##0\ &quot;Kč&quot;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DE850E"/>
        </patternFill>
      </fill>
    </dxf>
    <dxf>
      <fill>
        <patternFill>
          <bgColor rgb="FFFF99FF"/>
        </patternFill>
      </fill>
    </dxf>
    <dxf>
      <fill>
        <patternFill>
          <bgColor theme="0" tint="-0.499984740745262"/>
        </patternFill>
      </fill>
    </dxf>
    <dxf>
      <fill>
        <patternFill>
          <bgColor rgb="FF76A60A"/>
        </patternFill>
      </fill>
    </dxf>
    <dxf>
      <fill>
        <patternFill>
          <bgColor rgb="FFF999C2"/>
        </patternFill>
      </fill>
    </dxf>
    <dxf>
      <fill>
        <patternFill>
          <bgColor rgb="FFFFCC00"/>
        </patternFill>
      </fill>
    </dxf>
    <dxf>
      <fill>
        <patternFill>
          <bgColor rgb="FFD96D70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8"/>
        </patternFill>
      </fill>
    </dxf>
    <dxf>
      <font>
        <color theme="7" tint="-0.499984740745262"/>
      </font>
      <fill>
        <patternFill>
          <bgColor theme="9" tint="0.79998168889431442"/>
        </patternFill>
      </fill>
    </dxf>
    <dxf>
      <fill>
        <patternFill patternType="gray0625">
          <bgColor theme="6" tint="0.79998168889431442"/>
        </patternFill>
      </fill>
    </dxf>
    <dxf>
      <font>
        <strike val="0"/>
        <color theme="6" tint="-0.499984740745262"/>
      </font>
      <fill>
        <patternFill>
          <bgColor theme="0" tint="-4.9989318521683403E-2"/>
        </patternFill>
      </fill>
    </dxf>
    <dxf>
      <font>
        <color theme="9" tint="-0.499984740745262"/>
      </font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3" tint="-0.24994659260841701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D96D70"/>
      <color rgb="FFFF99FF"/>
      <color rgb="FFDE850E"/>
      <color rgb="FFFFCC00"/>
      <color rgb="FFF999C2"/>
      <color rgb="FF76A60A"/>
      <color rgb="FFFF33CC"/>
      <color rgb="FF8FE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ables/table1.xml><?xml version="1.0" encoding="utf-8"?>
<table xmlns="http://schemas.openxmlformats.org/spreadsheetml/2006/main" id="4" name="Tabulka1345" displayName="Tabulka1345" ref="A7:N9" totalsRowCount="1" headerRowDxfId="3983" dataDxfId="3982">
  <autoFilter ref="A7:N8"/>
  <tableColumns count="14">
    <tableColumn id="1" name="Název přístroje" totalsRowLabel="Celkem" dataDxfId="3981"/>
    <tableColumn id="14" name=" pořizovací cena / ks (v Kč bez DPH)" dataDxfId="3980" totalsRowDxfId="3979"/>
    <tableColumn id="2" name=" pořizovací cena / ks (v Kč včetně DPH)" totalsRowFunction="custom" dataDxfId="3978" totalsRowDxfId="3977" dataCellStyle="Měna 3">
      <calculatedColumnFormula>B8*(F8+1)</calculatedColumnFormula>
      <totalsRowFormula>SUM(C8)</totalsRowFormula>
    </tableColumn>
    <tableColumn id="6" name="Počet kusů" totalsRowFunction="sum" dataDxfId="3976"/>
    <tableColumn id="13" name="Celková á PC (v Kč bez DPH)" totalsRowFunction="custom" dataDxfId="3975" totalsRowDxfId="3974" dataCellStyle="Měna 3">
      <calculatedColumnFormula>Tabulka1345[ pořizovací cena / ks (v Kč včetně DPH)]*Tabulka1345[Počet kusů]</calculatedColumnFormula>
      <totalsRowFormula>SUM(E8)</totalsRowFormula>
    </tableColumn>
    <tableColumn id="12" name="dph" dataDxfId="3973" totalsRowDxfId="3972"/>
    <tableColumn id="8" name="Celková  PC (v Kč včetně DPH)" totalsRowFunction="custom" dataDxfId="3971" totalsRowDxfId="3970">
      <calculatedColumnFormula>Tabulka1345[ pořizovací cena / ks (v Kč včetně DPH)]*Tabulka1345[Počet kusů]</calculatedColumnFormula>
      <totalsRowFormula>SUM(G8)</totalsRowFormula>
    </tableColumn>
    <tableColumn id="3" name="Obnova/nový přístroj" totalsRowLabel="X" dataDxfId="3969" totalsRowDxfId="3968"/>
    <tableColumn id="4" name="Stáří původního přístroje" totalsRowLabel="X" dataDxfId="3967" totalsRowDxfId="3966"/>
    <tableColumn id="5" name="Obor návazné péče" totalsRowLabel="X" dataDxfId="3965" totalsRowDxfId="3964"/>
    <tableColumn id="9" name="Výrobce/dodavatel" dataDxfId="3963" totalsRowDxfId="3962"/>
    <tableColumn id="15" name="Tech. Spec." totalsRowDxfId="3961"/>
    <tableColumn id="10" name="Poznámka" dataDxfId="3960" totalsRowDxfId="3959"/>
    <tableColumn id="11" name="Sloupec2" dataDxfId="3958" totalsRowDxfId="3957"/>
  </tableColumns>
  <tableStyleInfo name="TableStyleLight15" showFirstColumn="0" showLastColumn="0" showRowStripes="0" showColumnStripes="0"/>
</table>
</file>

<file path=xl/tables/table10.xml><?xml version="1.0" encoding="utf-8"?>
<table xmlns="http://schemas.openxmlformats.org/spreadsheetml/2006/main" id="13" name="Tabulka13414" displayName="Tabulka13414" ref="A7:O21" totalsRowCount="1" headerRowDxfId="3200" dataDxfId="3199">
  <autoFilter ref="A7:O20"/>
  <sortState ref="A8:O20">
    <sortCondition ref="A7:A20"/>
  </sortState>
  <tableColumns count="15">
    <tableColumn id="1" name="Název přístroje" totalsRowLabel="Celkem" dataDxfId="3198" totalsRowDxfId="3197"/>
    <tableColumn id="14" name=" pořizovací cena / ks (v Kč bez DPH)" dataDxfId="3196" totalsRowDxfId="3195"/>
    <tableColumn id="2" name=" pořizovací cena / ks (v Kč včetně DPH)" totalsRowFunction="custom" dataDxfId="3194" totalsRowDxfId="3193" dataCellStyle="Měna 3">
      <calculatedColumnFormula>B8*(F8+1)</calculatedColumnFormula>
      <totalsRowFormula>SUM(C8:C20)</totalsRowFormula>
    </tableColumn>
    <tableColumn id="6" name="Počet kusů" totalsRowFunction="sum" dataDxfId="3192" totalsRowDxfId="3191"/>
    <tableColumn id="13" name="Celková  PC (v Kč bez DPH)" totalsRowFunction="custom" dataDxfId="3190" totalsRowDxfId="3189" dataCellStyle="Měna 3">
      <calculatedColumnFormula>Tabulka13414[[#This Row],[ pořizovací cena / ks (v Kč bez DPH)]]*Tabulka13414[[#This Row],[Počet kusů]]</calculatedColumnFormula>
      <totalsRowFormula>SUM(E8:E20)</totalsRowFormula>
    </tableColumn>
    <tableColumn id="12" name="dph" dataDxfId="3188" totalsRowDxfId="3187"/>
    <tableColumn id="8" name="Celková  PC (v Kč včetně DPH)" totalsRowFunction="custom" dataDxfId="3186" totalsRowDxfId="3185">
      <calculatedColumnFormula>Tabulka13414[[#This Row],[ pořizovací cena / ks (v Kč včetně DPH)]]*Tabulka13414[[#This Row],[Počet kusů]]</calculatedColumnFormula>
      <totalsRowFormula>SUM(G8:G20)</totalsRowFormula>
    </tableColumn>
    <tableColumn id="3" name="Obnova/nový přístroj" totalsRowLabel="X" dataDxfId="3184" totalsRowDxfId="3183"/>
    <tableColumn id="4" name="Stáří původního přístroje" totalsRowLabel="X" dataDxfId="3182" totalsRowDxfId="3181"/>
    <tableColumn id="5" name="Obor návazné péče" totalsRowLabel="X" dataDxfId="3180" totalsRowDxfId="3179"/>
    <tableColumn id="7" name="Skupina" dataDxfId="3178" totalsRowDxfId="3177"/>
    <tableColumn id="9" name="Výrobce/dodavatel" dataDxfId="3176" totalsRowDxfId="3175"/>
    <tableColumn id="15" name="Tech. Spec." totalsRowDxfId="3174"/>
    <tableColumn id="10" name="Poznámka" dataDxfId="3173" totalsRowDxfId="3172"/>
    <tableColumn id="11" name="Sloupec2" dataDxfId="3171" totalsRowDxfId="3170"/>
  </tableColumns>
  <tableStyleInfo name="TableStyleLight15" showFirstColumn="0" showLastColumn="0" showRowStripes="0" showColumnStripes="0"/>
</table>
</file>

<file path=xl/tables/table11.xml><?xml version="1.0" encoding="utf-8"?>
<table xmlns="http://schemas.openxmlformats.org/spreadsheetml/2006/main" id="14" name="Tabulka13415" displayName="Tabulka13415" ref="A7:O13" totalsRowCount="1" headerRowDxfId="3111" dataDxfId="3110">
  <autoFilter ref="A7:O12"/>
  <sortState ref="A8:O12">
    <sortCondition ref="K7:K12"/>
  </sortState>
  <tableColumns count="15">
    <tableColumn id="1" name="Název přístroje" totalsRowLabel="Celkem" dataDxfId="3109" totalsRowDxfId="3108"/>
    <tableColumn id="14" name=" pořizovací cena / ks (v Kč bez DPH)" dataDxfId="3107" totalsRowDxfId="3106"/>
    <tableColumn id="2" name=" pořizovací cena / ks (v Kč včetně DPH)" totalsRowFunction="custom" dataDxfId="3105" totalsRowDxfId="3104" dataCellStyle="Měna 3">
      <calculatedColumnFormula>B8*(F8+1)</calculatedColumnFormula>
      <totalsRowFormula>SUM(C8:C12)</totalsRowFormula>
    </tableColumn>
    <tableColumn id="6" name="Počet kusů" totalsRowFunction="sum" dataDxfId="3103" totalsRowDxfId="3102"/>
    <tableColumn id="13" name="Celková  PC (v Kč bez DPH)" totalsRowFunction="custom" dataDxfId="3101" totalsRowDxfId="3100" dataCellStyle="Měna 3">
      <calculatedColumnFormula>Tabulka13415[[#This Row],[ pořizovací cena / ks (v Kč bez DPH)]]*Tabulka13415[[#This Row],[Počet kusů]]</calculatedColumnFormula>
      <totalsRowFormula>SUM(E8:E12)</totalsRowFormula>
    </tableColumn>
    <tableColumn id="12" name="dph" dataDxfId="3099" totalsRowDxfId="3098"/>
    <tableColumn id="8" name="Celková  PC (v Kč včetně DPH)" totalsRowFunction="custom" dataDxfId="3097" totalsRowDxfId="3096">
      <calculatedColumnFormula>Tabulka13415[[#This Row],[ pořizovací cena / ks (v Kč včetně DPH)]]*Tabulka13415[[#This Row],[Počet kusů]]</calculatedColumnFormula>
      <totalsRowFormula>SUM(G8:G12)</totalsRowFormula>
    </tableColumn>
    <tableColumn id="3" name="Obnova/nový přístroj" totalsRowLabel="X" dataDxfId="3095" totalsRowDxfId="3094"/>
    <tableColumn id="4" name="Stáří původního přístroje" totalsRowLabel="X" dataDxfId="3093" totalsRowDxfId="3092"/>
    <tableColumn id="5" name="Obor návazné péče" totalsRowLabel="X" dataDxfId="3091" totalsRowDxfId="3090"/>
    <tableColumn id="7" name="Skupina" dataDxfId="3089" totalsRowDxfId="3088"/>
    <tableColumn id="9" name="Výrobce/dodavatel" dataDxfId="3087" totalsRowDxfId="3086"/>
    <tableColumn id="15" name="Tech. Spec." totalsRowDxfId="3085"/>
    <tableColumn id="10" name="Poznámka" dataDxfId="3084" totalsRowDxfId="3083"/>
    <tableColumn id="11" name="Sloupec2" dataDxfId="3082" totalsRowDxfId="3081"/>
  </tableColumns>
  <tableStyleInfo name="TableStyleLight15" showFirstColumn="0" showLastColumn="0" showRowStripes="0" showColumnStripes="0"/>
</table>
</file>

<file path=xl/tables/table12.xml><?xml version="1.0" encoding="utf-8"?>
<table xmlns="http://schemas.openxmlformats.org/spreadsheetml/2006/main" id="15" name="Tabulka13416" displayName="Tabulka13416" ref="A7:O12" totalsRowCount="1" headerRowDxfId="3022" dataDxfId="3021">
  <autoFilter ref="A7:O11"/>
  <sortState ref="A8:O9">
    <sortCondition ref="K7:K9"/>
  </sortState>
  <tableColumns count="15">
    <tableColumn id="1" name="Název přístroje" totalsRowLabel="Celkem" dataDxfId="3020"/>
    <tableColumn id="14" name="Předpokládaná pořizovací cena / ks (v Kč bez DPH)" dataDxfId="3019" totalsRowDxfId="3018"/>
    <tableColumn id="2" name="Předpokládaná pořizovací cena / ks (v Kč včetně DPH)" totalsRowFunction="custom" dataDxfId="3017" totalsRowDxfId="3016" dataCellStyle="Měna 3">
      <calculatedColumnFormula>B8*(F8+1)</calculatedColumnFormula>
      <totalsRowFormula>SUM(C8:C11)</totalsRowFormula>
    </tableColumn>
    <tableColumn id="6" name="Počet kusů" totalsRowFunction="sum" dataDxfId="3015"/>
    <tableColumn id="13" name="Celková předpokládaná PC (v Kč bez DPH)" totalsRowFunction="custom" dataDxfId="3014" totalsRowDxfId="3013" dataCellStyle="Měna 3">
      <calculatedColumnFormula>Tabulka13416[[#This Row],[Předpokládaná pořizovací cena / ks (v Kč bez DPH)]]*Tabulka13416[[#This Row],[Počet kusů]]</calculatedColumnFormula>
      <totalsRowFormula>SUM(E8:E11)</totalsRowFormula>
    </tableColumn>
    <tableColumn id="12" name="dph" dataDxfId="3012" totalsRowDxfId="3011"/>
    <tableColumn id="8" name="Celková předpokládaná PC (v Kč včetně DPH)" totalsRowFunction="custom" dataDxfId="3010" totalsRowDxfId="3009">
      <calculatedColumnFormula>Tabulka13416[[#This Row],[Předpokládaná pořizovací cena / ks (v Kč včetně DPH)]]*Tabulka13416[[#This Row],[Počet kusů]]</calculatedColumnFormula>
      <totalsRowFormula>SUM(G8:G11)</totalsRowFormula>
    </tableColumn>
    <tableColumn id="3" name="Obnova/nový přístroj" totalsRowLabel="X" dataDxfId="3008" totalsRowDxfId="3007"/>
    <tableColumn id="4" name="Stáří původního přístroje" totalsRowLabel="X" dataDxfId="3006" totalsRowDxfId="3005"/>
    <tableColumn id="5" name="Obor návazné péče" totalsRowLabel="X" dataDxfId="3004" totalsRowDxfId="3003"/>
    <tableColumn id="7" name="Skupina" dataDxfId="3002" totalsRowDxfId="3001"/>
    <tableColumn id="9" name="Výrobce/dodavatel" dataDxfId="3000" totalsRowDxfId="2999"/>
    <tableColumn id="15" name="Tech. Spec." totalsRowDxfId="2998"/>
    <tableColumn id="10" name="Poznámka" dataDxfId="2997" totalsRowDxfId="2996"/>
    <tableColumn id="11" name="Sloupec2" dataDxfId="2995" totalsRowDxfId="2994"/>
  </tableColumns>
  <tableStyleInfo name="TableStyleLight15" showFirstColumn="0" showLastColumn="0" showRowStripes="0" showColumnStripes="0"/>
</table>
</file>

<file path=xl/tables/table13.xml><?xml version="1.0" encoding="utf-8"?>
<table xmlns="http://schemas.openxmlformats.org/spreadsheetml/2006/main" id="16" name="Tabulka13417" displayName="Tabulka13417" ref="A7:O10" totalsRowCount="1" headerRowDxfId="2906" dataDxfId="2905">
  <autoFilter ref="A7:O9"/>
  <sortState ref="A8:O9">
    <sortCondition ref="K7:K9"/>
  </sortState>
  <tableColumns count="15">
    <tableColumn id="1" name="Název přístroje" totalsRowLabel="Celkem" dataDxfId="2904" totalsRowDxfId="2903"/>
    <tableColumn id="14" name=" pořizovací cena / ks (v Kč bez DPH)" dataDxfId="2902" totalsRowDxfId="2901">
      <calculatedColumnFormula>Tabulka13417[[#This Row],[ pořizovací cena / ks (v Kč včetně DPH)]]/(Tabulka13417[[#This Row],[dph]]+1)</calculatedColumnFormula>
    </tableColumn>
    <tableColumn id="2" name=" pořizovací cena / ks (v Kč včetně DPH)" totalsRowFunction="custom" dataDxfId="2900" totalsRowDxfId="2899" dataCellStyle="Měna 3">
      <totalsRowFormula>SUM(C8:C9)</totalsRowFormula>
    </tableColumn>
    <tableColumn id="6" name="Počet kusů" totalsRowFunction="sum" dataDxfId="2898" totalsRowDxfId="2897"/>
    <tableColumn id="13" name="Celková PC (v Kč bez DPH)" totalsRowFunction="custom" dataDxfId="2896" totalsRowDxfId="2895" dataCellStyle="Měna 3">
      <calculatedColumnFormula>Tabulka13417[[#This Row],[ pořizovací cena / ks (v Kč bez DPH)]]*Tabulka13417[[#This Row],[Počet kusů]]</calculatedColumnFormula>
      <totalsRowFormula>SUM(E8:E9)</totalsRowFormula>
    </tableColumn>
    <tableColumn id="12" name="dph" dataDxfId="2894" totalsRowDxfId="2893"/>
    <tableColumn id="8" name="Celková  PC (v Kč včetně DPH)" totalsRowFunction="custom" dataDxfId="2892" totalsRowDxfId="2891">
      <calculatedColumnFormula>Tabulka13417[[#This Row],[ pořizovací cena / ks (v Kč včetně DPH)]]*Tabulka13417[[#This Row],[Počet kusů]]</calculatedColumnFormula>
      <totalsRowFormula>SUM(G8:G9)</totalsRowFormula>
    </tableColumn>
    <tableColumn id="3" name="Obnova/nový přístroj" totalsRowLabel="X" dataDxfId="2890" totalsRowDxfId="2889"/>
    <tableColumn id="4" name="Stáří původního přístroje" totalsRowLabel="X" dataDxfId="2888" totalsRowDxfId="2887"/>
    <tableColumn id="5" name="Obor návazné péče" totalsRowLabel="X" dataDxfId="2886" totalsRowDxfId="2885"/>
    <tableColumn id="7" name="Skupina" dataDxfId="2884" totalsRowDxfId="2883"/>
    <tableColumn id="9" name="Výrobce/dodavatel" dataDxfId="2882" totalsRowDxfId="2881"/>
    <tableColumn id="15" name="Tech. Spec." totalsRowDxfId="2880"/>
    <tableColumn id="10" name="Poznámka" dataDxfId="2879" totalsRowDxfId="2878"/>
    <tableColumn id="11" name="Sloupec2" dataDxfId="2877" totalsRowDxfId="2876"/>
  </tableColumns>
  <tableStyleInfo name="TableStyleLight15" showFirstColumn="0" showLastColumn="0" showRowStripes="0" showColumnStripes="0"/>
</table>
</file>

<file path=xl/tables/table14.xml><?xml version="1.0" encoding="utf-8"?>
<table xmlns="http://schemas.openxmlformats.org/spreadsheetml/2006/main" id="17" name="Tabulka13418" displayName="Tabulka13418" ref="A7:O9" totalsRowCount="1" headerRowDxfId="2817" dataDxfId="2816">
  <autoFilter ref="A7:O8"/>
  <sortState ref="A8:O8">
    <sortCondition ref="K7:K8"/>
  </sortState>
  <tableColumns count="15">
    <tableColumn id="1" name="Název přístroje" totalsRowLabel="Celkem" dataDxfId="2815"/>
    <tableColumn id="14" name=" pořizovací cena / ks (v Kč bez DPH)" dataDxfId="2814" totalsRowDxfId="2813"/>
    <tableColumn id="2" name="á pořizovací cena / ks (v Kč včetně DPH)" totalsRowFunction="custom" dataDxfId="2812" totalsRowDxfId="2811" dataCellStyle="Měna 3">
      <calculatedColumnFormula>B8*(F8+1)</calculatedColumnFormula>
      <totalsRowFormula>SUM(C8)</totalsRowFormula>
    </tableColumn>
    <tableColumn id="6" name="Počet kusů" totalsRowFunction="sum" dataDxfId="2810"/>
    <tableColumn id="13" name="Celková  PC (v Kč bez DPH)" totalsRowFunction="custom" dataDxfId="2809" totalsRowDxfId="2808" dataCellStyle="Měna 3">
      <calculatedColumnFormula>Tabulka13418[[#This Row],[ pořizovací cena / ks (v Kč bez DPH)]]*Tabulka13418[[#This Row],[Počet kusů]]</calculatedColumnFormula>
      <totalsRowFormula>SUM(E8)</totalsRowFormula>
    </tableColumn>
    <tableColumn id="12" name="dph" dataDxfId="2807" totalsRowDxfId="2806"/>
    <tableColumn id="8" name="Celková  PC (v Kč včetně DPH)" totalsRowFunction="custom" dataDxfId="2805" totalsRowDxfId="2804">
      <calculatedColumnFormula>Tabulka13418[[#This Row],[á pořizovací cena / ks (v Kč včetně DPH)]]*Tabulka13418[[#This Row],[Počet kusů]]</calculatedColumnFormula>
      <totalsRowFormula>SUM(G8)</totalsRowFormula>
    </tableColumn>
    <tableColumn id="3" name="Obnova/nový přístroj" totalsRowLabel="X" dataDxfId="2803" totalsRowDxfId="2802"/>
    <tableColumn id="4" name="Stáří původního přístroje" totalsRowLabel="X" dataDxfId="2801" totalsRowDxfId="2800"/>
    <tableColumn id="5" name="Obor návazné péče" totalsRowLabel="X" dataDxfId="2799" totalsRowDxfId="2798"/>
    <tableColumn id="7" name="Skupina" dataDxfId="2797" totalsRowDxfId="2796"/>
    <tableColumn id="9" name="Výrobce/dodavatel" dataDxfId="2795" totalsRowDxfId="2794"/>
    <tableColumn id="15" name="Tech. Spec." totalsRowDxfId="2793"/>
    <tableColumn id="10" name="Poznámka" dataDxfId="2792" totalsRowDxfId="2791"/>
    <tableColumn id="11" name="Sloupec2" dataDxfId="2790" totalsRowDxfId="2789"/>
  </tableColumns>
  <tableStyleInfo name="TableStyleLight15" showFirstColumn="0" showLastColumn="0" showRowStripes="0" showColumnStripes="0"/>
</table>
</file>

<file path=xl/tables/table15.xml><?xml version="1.0" encoding="utf-8"?>
<table xmlns="http://schemas.openxmlformats.org/spreadsheetml/2006/main" id="18" name="Tabulka13419" displayName="Tabulka13419" ref="A7:O11" totalsRowCount="1" headerRowDxfId="2730" dataDxfId="2729">
  <autoFilter ref="A7:O10"/>
  <sortState ref="A8:O12">
    <sortCondition ref="K7:K12"/>
  </sortState>
  <tableColumns count="15">
    <tableColumn id="1" name="Název přístroje" totalsRowLabel="Celkem" dataDxfId="2728"/>
    <tableColumn id="14" name=" pořizovací cena / ks (v Kč bez DPH)" dataDxfId="2727" totalsRowDxfId="2726"/>
    <tableColumn id="2" name=" pořizovací cena / ks (v Kč včetně DPH)" totalsRowFunction="custom" dataDxfId="2725" totalsRowDxfId="2724" dataCellStyle="Měna 3">
      <calculatedColumnFormula>B8*(F8+1)</calculatedColumnFormula>
      <totalsRowFormula>SUM(C8:C10)</totalsRowFormula>
    </tableColumn>
    <tableColumn id="6" name="Počet kusů" totalsRowFunction="sum" dataDxfId="2723" totalsRowDxfId="2722"/>
    <tableColumn id="13" name="Celková á PC (v Kč bez DPH)" totalsRowFunction="custom" dataDxfId="2721" totalsRowDxfId="2720" dataCellStyle="Měna 3">
      <calculatedColumnFormula>Tabulka13419[[#This Row],[ pořizovací cena / ks (v Kč bez DPH)]]*Tabulka13419[[#This Row],[Počet kusů]]</calculatedColumnFormula>
      <totalsRowFormula>SUM(E8:E10)</totalsRowFormula>
    </tableColumn>
    <tableColumn id="12" name="dph" dataDxfId="2719" totalsRowDxfId="2718"/>
    <tableColumn id="8" name="Celková á PC (v Kč včetně DPH)" totalsRowFunction="custom" dataDxfId="2717" totalsRowDxfId="2716">
      <calculatedColumnFormula>Tabulka13419[[#This Row],[ pořizovací cena / ks (v Kč včetně DPH)]]*Tabulka13419[[#This Row],[Počet kusů]]</calculatedColumnFormula>
      <totalsRowFormula>SUM(G8:G10)</totalsRowFormula>
    </tableColumn>
    <tableColumn id="3" name="Obnova/nový přístroj" totalsRowLabel="X" dataDxfId="2715" totalsRowDxfId="2714"/>
    <tableColumn id="4" name="Stáří původního přístroje" totalsRowLabel="X" dataDxfId="2713" totalsRowDxfId="2712"/>
    <tableColumn id="5" name="Obor návazné péče" totalsRowLabel="X" dataDxfId="2711" totalsRowDxfId="2710"/>
    <tableColumn id="7" name="Skupina" dataDxfId="2709" totalsRowDxfId="2708"/>
    <tableColumn id="9" name="Výrobce/dodavatel" dataDxfId="2707" totalsRowDxfId="2706"/>
    <tableColumn id="15" name="Tech. Spec." totalsRowDxfId="2705"/>
    <tableColumn id="10" name="Poznámka" dataDxfId="2704" totalsRowDxfId="2703"/>
    <tableColumn id="11" name="Sloupec2" dataDxfId="2702" totalsRowDxfId="2701"/>
  </tableColumns>
  <tableStyleInfo name="TableStyleLight15" showFirstColumn="0" showLastColumn="0" showRowStripes="0" showColumnStripes="0"/>
</table>
</file>

<file path=xl/tables/table16.xml><?xml version="1.0" encoding="utf-8"?>
<table xmlns="http://schemas.openxmlformats.org/spreadsheetml/2006/main" id="19" name="Tabulka13420" displayName="Tabulka13420" ref="A7:O12" totalsRowCount="1" headerRowDxfId="2642" dataDxfId="2641">
  <autoFilter ref="A7:O11"/>
  <sortState ref="A8:O11">
    <sortCondition ref="A7:A11"/>
  </sortState>
  <tableColumns count="15">
    <tableColumn id="1" name="Název přístroje" totalsRowLabel="Celkem" dataDxfId="2640"/>
    <tableColumn id="14" name=" pořizovací cena / ks (v Kč bez DPH)" dataDxfId="2639" totalsRowDxfId="2638"/>
    <tableColumn id="2" name=" pořizovací cena / ks (v Kč včetně DPH)" totalsRowFunction="custom" dataDxfId="2637" totalsRowDxfId="2636" dataCellStyle="Měna 3">
      <calculatedColumnFormula>B8*(F8+1)</calculatedColumnFormula>
      <totalsRowFormula>SUM(C8:C11)</totalsRowFormula>
    </tableColumn>
    <tableColumn id="6" name="Počet kusů" totalsRowFunction="sum" dataDxfId="2635"/>
    <tableColumn id="13" name="Celková  PC (v Kč bez DPH)" totalsRowFunction="custom" dataDxfId="2634" totalsRowDxfId="2633" dataCellStyle="Měna 3">
      <calculatedColumnFormula>Tabulka13420[[#This Row],[ pořizovací cena / ks (v Kč bez DPH)]]*Tabulka13420[[#This Row],[Počet kusů]]</calculatedColumnFormula>
      <totalsRowFormula>SUM(E8:E11)</totalsRowFormula>
    </tableColumn>
    <tableColumn id="12" name="dph" dataDxfId="2632" totalsRowDxfId="2631"/>
    <tableColumn id="8" name="Celková  PC (v Kč včetně DPH)" totalsRowFunction="custom" dataDxfId="2630" totalsRowDxfId="2629">
      <calculatedColumnFormula>Tabulka13420[[#This Row],[ pořizovací cena / ks (v Kč včetně DPH)]]*Tabulka13420[[#This Row],[Počet kusů]]</calculatedColumnFormula>
      <totalsRowFormula>SUM(G8:G11)</totalsRowFormula>
    </tableColumn>
    <tableColumn id="3" name="Obnova/nový přístroj" totalsRowLabel="X" dataDxfId="2628" totalsRowDxfId="2627"/>
    <tableColumn id="4" name="Stáří původního přístroje" totalsRowLabel="X" dataDxfId="2626" totalsRowDxfId="2625"/>
    <tableColumn id="5" name="Obor návazné péče" totalsRowLabel="X" dataDxfId="2624" totalsRowDxfId="2623"/>
    <tableColumn id="7" name="Skupina" dataDxfId="2622" totalsRowDxfId="2621"/>
    <tableColumn id="9" name="Výrobce/dodavatel" dataDxfId="2620" totalsRowDxfId="2619"/>
    <tableColumn id="15" name="Tech. Spec." totalsRowDxfId="2618"/>
    <tableColumn id="10" name="Poznámka" dataDxfId="2617" totalsRowDxfId="2616"/>
    <tableColumn id="11" name="Sloupec2" dataDxfId="2615" totalsRowDxfId="2614"/>
  </tableColumns>
  <tableStyleInfo name="TableStyleLight15" showFirstColumn="0" showLastColumn="0" showRowStripes="0" showColumnStripes="0"/>
</table>
</file>

<file path=xl/tables/table17.xml><?xml version="1.0" encoding="utf-8"?>
<table xmlns="http://schemas.openxmlformats.org/spreadsheetml/2006/main" id="20" name="Tabulka13421" displayName="Tabulka13421" ref="A7:O10" totalsRowCount="1" headerRowDxfId="2555" dataDxfId="2554">
  <autoFilter ref="A7:O9"/>
  <sortState ref="A8:O9">
    <sortCondition ref="K7:K9"/>
  </sortState>
  <tableColumns count="15">
    <tableColumn id="1" name="Název přístroje" totalsRowLabel="Celkem" dataDxfId="2553"/>
    <tableColumn id="14" name="pořizovací cena / ks (v Kč bez DPH)" dataDxfId="2552" totalsRowDxfId="2551"/>
    <tableColumn id="2" name=" pořizovací cena / ks (v Kč včetně DPH)" totalsRowFunction="custom" dataDxfId="2550" totalsRowDxfId="2549" dataCellStyle="Měna 3">
      <calculatedColumnFormula>B8*(F8+1)</calculatedColumnFormula>
      <totalsRowFormula>SUM(C8:C9)</totalsRowFormula>
    </tableColumn>
    <tableColumn id="6" name="Počet kusů" totalsRowFunction="sum" dataDxfId="2548"/>
    <tableColumn id="13" name="Celková  PC (v Kč bez DPH)" totalsRowFunction="custom" dataDxfId="2547" totalsRowDxfId="2546" dataCellStyle="Měna 3">
      <calculatedColumnFormula>Tabulka13421[[#This Row],[pořizovací cena / ks (v Kč bez DPH)]]*Tabulka13421[[#This Row],[Počet kusů]]</calculatedColumnFormula>
      <totalsRowFormula>SUM(E8:E9)</totalsRowFormula>
    </tableColumn>
    <tableColumn id="12" name="dph" dataDxfId="2545" totalsRowDxfId="2544"/>
    <tableColumn id="8" name="Celková PC (v Kč včetně DPH)" totalsRowFunction="custom" dataDxfId="2543" totalsRowDxfId="2542">
      <calculatedColumnFormula>Tabulka13421[[#This Row],[ pořizovací cena / ks (v Kč včetně DPH)]]*Tabulka13421[[#This Row],[Počet kusů]]</calculatedColumnFormula>
      <totalsRowFormula>SUM(G8:G9)</totalsRowFormula>
    </tableColumn>
    <tableColumn id="3" name="Obnova/nový přístroj" totalsRowLabel="X" dataDxfId="2541" totalsRowDxfId="2540"/>
    <tableColumn id="4" name="Stáří původního přístroje" totalsRowLabel="X" dataDxfId="2539" totalsRowDxfId="2538"/>
    <tableColumn id="5" name="Obor návazné péče" totalsRowLabel="X" dataDxfId="2537" totalsRowDxfId="2536"/>
    <tableColumn id="7" name="Skupina" dataDxfId="2535" totalsRowDxfId="2534"/>
    <tableColumn id="9" name="Výrobce/dodavatel" dataDxfId="2533" totalsRowDxfId="2532"/>
    <tableColumn id="15" name="Tech. Spec." totalsRowDxfId="2531"/>
    <tableColumn id="10" name="Poznámka" dataDxfId="2530" totalsRowDxfId="2529"/>
    <tableColumn id="11" name="Sloupec2" dataDxfId="2528" totalsRowDxfId="2527"/>
  </tableColumns>
  <tableStyleInfo name="TableStyleLight15" showFirstColumn="0" showLastColumn="0" showRowStripes="0" showColumnStripes="0"/>
</table>
</file>

<file path=xl/tables/table18.xml><?xml version="1.0" encoding="utf-8"?>
<table xmlns="http://schemas.openxmlformats.org/spreadsheetml/2006/main" id="21" name="Tabulka13422" displayName="Tabulka13422" ref="A7:O14" totalsRowCount="1" headerRowDxfId="2468" dataDxfId="2467">
  <autoFilter ref="A7:O13"/>
  <sortState ref="A8:O13">
    <sortCondition ref="A7:A13"/>
  </sortState>
  <tableColumns count="15">
    <tableColumn id="1" name="Název přístroje" totalsRowLabel="Celkem" dataDxfId="2466"/>
    <tableColumn id="14" name=" pořizovací cena / ks (v Kč bez DPH)" dataDxfId="2465" totalsRowDxfId="2464"/>
    <tableColumn id="2" name=" pořizovací cena / ks (v Kč včetně DPH)" totalsRowFunction="custom" dataDxfId="2463" totalsRowDxfId="2462" dataCellStyle="Měna 3">
      <calculatedColumnFormula>B8*(F8+1)</calculatedColumnFormula>
      <totalsRowFormula>SUM(C8:C13)</totalsRowFormula>
    </tableColumn>
    <tableColumn id="6" name="Počet kusů" totalsRowFunction="sum" dataDxfId="2461" totalsRowDxfId="2460"/>
    <tableColumn id="13" name="Celková  PC (v Kč bez DPH)" totalsRowFunction="custom" dataDxfId="2459" totalsRowDxfId="2458" dataCellStyle="Měna 3">
      <calculatedColumnFormula>Tabulka13422[[#This Row],[ pořizovací cena / ks (v Kč bez DPH)]]*Tabulka13422[[#This Row],[Počet kusů]]</calculatedColumnFormula>
      <totalsRowFormula>SUM(E8:E13)</totalsRowFormula>
    </tableColumn>
    <tableColumn id="12" name="dph" dataDxfId="2457" totalsRowDxfId="2456"/>
    <tableColumn id="8" name="Celková á PC (v Kč včetně DPH)" totalsRowFunction="custom" dataDxfId="2455" totalsRowDxfId="2454">
      <calculatedColumnFormula>Tabulka13422[[#This Row],[ pořizovací cena / ks (v Kč včetně DPH)]]*Tabulka13422[[#This Row],[Počet kusů]]</calculatedColumnFormula>
      <totalsRowFormula>SUM(G8:G13)</totalsRowFormula>
    </tableColumn>
    <tableColumn id="3" name="Obnova/nový přístroj" totalsRowLabel="X" dataDxfId="2453" totalsRowDxfId="2452"/>
    <tableColumn id="4" name="Stáří původního přístroje" totalsRowLabel="X" dataDxfId="2451" totalsRowDxfId="2450"/>
    <tableColumn id="5" name="Obor návazné péče" totalsRowLabel="X" dataDxfId="2449" totalsRowDxfId="2448"/>
    <tableColumn id="7" name="Skupina" dataDxfId="2447" totalsRowDxfId="2446"/>
    <tableColumn id="9" name="Výrobce/dodavatel" dataDxfId="2445" totalsRowDxfId="2444"/>
    <tableColumn id="15" name="Tech. Spec." totalsRowDxfId="2443"/>
    <tableColumn id="10" name="Poznámka" dataDxfId="2442" totalsRowDxfId="2441"/>
    <tableColumn id="11" name="Sloupec2" dataDxfId="2440" totalsRowDxfId="2439"/>
  </tableColumns>
  <tableStyleInfo name="TableStyleLight15" showFirstColumn="0" showLastColumn="0" showRowStripes="0" showColumnStripes="0"/>
</table>
</file>

<file path=xl/tables/table19.xml><?xml version="1.0" encoding="utf-8"?>
<table xmlns="http://schemas.openxmlformats.org/spreadsheetml/2006/main" id="22" name="Tabulka13423" displayName="Tabulka13423" ref="A7:O9" totalsRowCount="1" headerRowDxfId="2380" dataDxfId="2379">
  <autoFilter ref="A7:O8"/>
  <sortState ref="A8:O8">
    <sortCondition ref="K7:K8"/>
  </sortState>
  <tableColumns count="15">
    <tableColumn id="1" name="Název přístroje" totalsRowLabel="Celkem" dataDxfId="2378"/>
    <tableColumn id="14" name="Předpokládaná pořizovací cena / ks (v Kč bez DPH)" dataDxfId="2377" totalsRowDxfId="2376"/>
    <tableColumn id="2" name="Předpokládaná pořizovací cena / ks (v Kč včetně DPH)" totalsRowFunction="custom" dataDxfId="2375" totalsRowDxfId="2374" dataCellStyle="Měna 3">
      <calculatedColumnFormula>B8*(F8+1)</calculatedColumnFormula>
      <totalsRowFormula>SUM(C8)</totalsRowFormula>
    </tableColumn>
    <tableColumn id="6" name="Počet kusů" totalsRowFunction="sum" dataDxfId="2373" totalsRowDxfId="2372"/>
    <tableColumn id="13" name="Celková předpokládaná PC (v Kč bez DPH)" totalsRowFunction="custom" dataDxfId="2371" totalsRowDxfId="2370" dataCellStyle="Měna 3">
      <calculatedColumnFormula>Tabulka13423[[#This Row],[Předpokládaná pořizovací cena / ks (v Kč bez DPH)]]*Tabulka13423[[#This Row],[Počet kusů]]</calculatedColumnFormula>
      <totalsRowFormula>SUM(E8)</totalsRowFormula>
    </tableColumn>
    <tableColumn id="12" name="dph" dataDxfId="2369" totalsRowDxfId="2368"/>
    <tableColumn id="8" name="Celková předpokládaná PC (v Kč včetně DPH)" totalsRowFunction="custom" dataDxfId="2367" totalsRowDxfId="2366">
      <calculatedColumnFormula>Tabulka13423[[#This Row],[Předpokládaná pořizovací cena / ks (v Kč včetně DPH)]]*Tabulka13423[[#This Row],[Počet kusů]]</calculatedColumnFormula>
      <totalsRowFormula>SUM(G8)</totalsRowFormula>
    </tableColumn>
    <tableColumn id="3" name="Obnova/nový přístroj" totalsRowLabel="X" dataDxfId="2365" totalsRowDxfId="2364"/>
    <tableColumn id="4" name="Stáří původního přístroje" totalsRowLabel="X" dataDxfId="2363" totalsRowDxfId="2362"/>
    <tableColumn id="5" name="Obor návazné péče" totalsRowLabel="X" dataDxfId="2361" totalsRowDxfId="2360"/>
    <tableColumn id="7" name="Skupina" dataDxfId="2359" totalsRowDxfId="2358"/>
    <tableColumn id="9" name="Výrobce/dodavatel" dataDxfId="2357" totalsRowDxfId="2356"/>
    <tableColumn id="15" name="Tech. Spec." totalsRowDxfId="2355"/>
    <tableColumn id="10" name="Poznámka" dataDxfId="2354" totalsRowDxfId="2353"/>
    <tableColumn id="11" name="Sloupec2" dataDxfId="2352" totalsRowDxfId="235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id="5" name="Tabulka1346" displayName="Tabulka1346" ref="A7:O9" totalsRowCount="1" headerRowDxfId="3898" dataDxfId="3897">
  <autoFilter ref="A7:O8"/>
  <sortState ref="A8:O8">
    <sortCondition ref="K7:K8"/>
  </sortState>
  <tableColumns count="15">
    <tableColumn id="1" name="Název přístroje" totalsRowLabel="Celkem" dataDxfId="3896" totalsRowDxfId="3895"/>
    <tableColumn id="14" name=" pořizovací cena / ks (v Kč bez DPH)" dataDxfId="3894" totalsRowDxfId="3893"/>
    <tableColumn id="2" name=" pořizovací cena / ks (v Kč včetně DPH)" totalsRowFunction="custom" dataDxfId="3892" totalsRowDxfId="3891" dataCellStyle="Měna 3">
      <calculatedColumnFormula>B8*(F8+1)</calculatedColumnFormula>
      <totalsRowFormula>SUM(C8)</totalsRowFormula>
    </tableColumn>
    <tableColumn id="6" name="Počet kusů" totalsRowFunction="sum" dataDxfId="3890" totalsRowDxfId="3889"/>
    <tableColumn id="13" name="Celková  PC (v Kč bez DPH)" totalsRowFunction="custom" dataDxfId="3888" totalsRowDxfId="3887" dataCellStyle="Měna 3">
      <calculatedColumnFormula>Tabulka1346[[#This Row],[ pořizovací cena / ks (v Kč bez DPH)]]*Tabulka1346[[#This Row],[Počet kusů]]</calculatedColumnFormula>
      <totalsRowFormula>SUM(E8)</totalsRowFormula>
    </tableColumn>
    <tableColumn id="12" name="dph" dataDxfId="3886" totalsRowDxfId="3885"/>
    <tableColumn id="8" name="Celková předpokládaná PC (v Kč včetně DPH)" totalsRowFunction="custom" dataDxfId="3884" totalsRowDxfId="3883">
      <calculatedColumnFormula>Tabulka1346[[#This Row],[ pořizovací cena / ks (v Kč včetně DPH)]]*Tabulka1346[[#This Row],[Počet kusů]]</calculatedColumnFormula>
      <totalsRowFormula>SUM(G8)</totalsRowFormula>
    </tableColumn>
    <tableColumn id="3" name="Obnova/nový přístroj" totalsRowLabel="X" dataDxfId="3882" totalsRowDxfId="3881"/>
    <tableColumn id="4" name="Stáří původního přístroje" totalsRowLabel="X" dataDxfId="3880" totalsRowDxfId="3879"/>
    <tableColumn id="5" name="Obor návazné péče" totalsRowLabel="X" dataDxfId="3878" totalsRowDxfId="3877"/>
    <tableColumn id="7" name="Sloupec4" dataDxfId="3876" totalsRowDxfId="3875"/>
    <tableColumn id="9" name="Výrobce" dataDxfId="3874" totalsRowDxfId="3873"/>
    <tableColumn id="15" name="Sloupec3" totalsRowDxfId="3872"/>
    <tableColumn id="10" name="Sloupec2" dataDxfId="3871" totalsRowDxfId="3870"/>
    <tableColumn id="11" name="Sloupec1" dataDxfId="3869" totalsRowDxfId="3868"/>
  </tableColumns>
  <tableStyleInfo name="TableStyleLight15" showFirstColumn="0" showLastColumn="0" showRowStripes="0" showColumnStripes="0"/>
</table>
</file>

<file path=xl/tables/table20.xml><?xml version="1.0" encoding="utf-8"?>
<table xmlns="http://schemas.openxmlformats.org/spreadsheetml/2006/main" id="23" name="Tabulka13424" displayName="Tabulka13424" ref="A7:O13" totalsRowCount="1" headerRowDxfId="2292" dataDxfId="2291">
  <autoFilter ref="A7:O12"/>
  <sortState ref="A8:O13">
    <sortCondition ref="K7:K13"/>
  </sortState>
  <tableColumns count="15">
    <tableColumn id="1" name="Název přístroje" totalsRowLabel="Celkem" dataDxfId="2290"/>
    <tableColumn id="14" name=" pořizovací cena / ks (v Kč bez DPH)" dataDxfId="2289" totalsRowDxfId="2288"/>
    <tableColumn id="2" name=" pořizovací cena / ks (v Kč včetně DPH)" totalsRowFunction="custom" dataDxfId="2287" totalsRowDxfId="2286" dataCellStyle="Měna 3">
      <calculatedColumnFormula>B8*(F8+1)</calculatedColumnFormula>
      <totalsRowFormula>SUM(C8:C12)</totalsRowFormula>
    </tableColumn>
    <tableColumn id="6" name="Počet kusů" totalsRowFunction="sum" dataDxfId="2285"/>
    <tableColumn id="13" name="Celková  PC (v Kč bez DPH)" totalsRowFunction="custom" dataDxfId="2284" totalsRowDxfId="2283" dataCellStyle="Měna 3">
      <calculatedColumnFormula>Tabulka13424[[#This Row],[ pořizovací cena / ks (v Kč bez DPH)]]*Tabulka13424[[#This Row],[Počet kusů]]</calculatedColumnFormula>
      <totalsRowFormula>SUM(E8:E12)</totalsRowFormula>
    </tableColumn>
    <tableColumn id="12" name="dph" dataDxfId="2282" totalsRowDxfId="2281"/>
    <tableColumn id="8" name="Celková  PC (v Kč včetně DPH)" totalsRowFunction="custom" dataDxfId="2280" totalsRowDxfId="2279">
      <calculatedColumnFormula>Tabulka13424[[#This Row],[ pořizovací cena / ks (v Kč včetně DPH)]]*Tabulka13424[[#This Row],[Počet kusů]]</calculatedColumnFormula>
      <totalsRowFormula>SUM(G8:G12)</totalsRowFormula>
    </tableColumn>
    <tableColumn id="3" name="Obnova/nový přístroj" totalsRowLabel="X" dataDxfId="2278" totalsRowDxfId="2277"/>
    <tableColumn id="4" name="Stáří původního přístroje" totalsRowLabel="X" dataDxfId="2276" totalsRowDxfId="2275"/>
    <tableColumn id="5" name="Obor návazné péče" totalsRowLabel="X" dataDxfId="2274" totalsRowDxfId="2273"/>
    <tableColumn id="7" name="Skupina" dataDxfId="2272" totalsRowDxfId="2271"/>
    <tableColumn id="9" name="Výrobce/dodavatel" dataDxfId="2270" totalsRowDxfId="2269"/>
    <tableColumn id="15" name="Tech. Spec." totalsRowDxfId="2268"/>
    <tableColumn id="10" name="Poznámka" dataDxfId="2267" totalsRowDxfId="2266"/>
    <tableColumn id="11" name="Sloupec2" dataDxfId="2265" totalsRowDxfId="2264"/>
  </tableColumns>
  <tableStyleInfo name="TableStyleLight15" showFirstColumn="0" showLastColumn="0" showRowStripes="0" showColumnStripes="0"/>
</table>
</file>

<file path=xl/tables/table21.xml><?xml version="1.0" encoding="utf-8"?>
<table xmlns="http://schemas.openxmlformats.org/spreadsheetml/2006/main" id="24" name="Tabulka13425" displayName="Tabulka13425" ref="A7:O9" totalsRowCount="1" headerRowDxfId="2205" dataDxfId="2204">
  <autoFilter ref="A7:O8"/>
  <sortState ref="A8:O8">
    <sortCondition ref="K7:K8"/>
  </sortState>
  <tableColumns count="15">
    <tableColumn id="1" name="Název přístroje" totalsRowLabel="Celkem" dataDxfId="2203" totalsRowDxfId="2202"/>
    <tableColumn id="14" name=" pořizovací cena / ks (v Kč bez DPH)" dataDxfId="2201" totalsRowDxfId="2200"/>
    <tableColumn id="2" name="pořizovací cena / ks (v Kč včetně DPH)" totalsRowFunction="custom" dataDxfId="2199" totalsRowDxfId="2198" dataCellStyle="Měna 3">
      <calculatedColumnFormula>B8*(F8+1)</calculatedColumnFormula>
      <totalsRowFormula>SUM(C8)</totalsRowFormula>
    </tableColumn>
    <tableColumn id="6" name="Počet kusů" totalsRowFunction="sum" dataDxfId="2197" totalsRowDxfId="2196"/>
    <tableColumn id="13" name="Celková  PC (v Kč bez DPH)" totalsRowFunction="custom" dataDxfId="2195" totalsRowDxfId="2194" dataCellStyle="Měna 3">
      <calculatedColumnFormula>Tabulka13425[[#This Row],[ pořizovací cena / ks (v Kč bez DPH)]]*Tabulka13425[[#This Row],[Počet kusů]]</calculatedColumnFormula>
      <totalsRowFormula>SUM(E8)</totalsRowFormula>
    </tableColumn>
    <tableColumn id="12" name="dph" dataDxfId="2193" totalsRowDxfId="2192"/>
    <tableColumn id="8" name="CelkováPC (v Kč včetně DPH)" totalsRowFunction="custom" dataDxfId="2191" totalsRowDxfId="2190">
      <calculatedColumnFormula>Tabulka13425[[#This Row],[pořizovací cena / ks (v Kč včetně DPH)]]*Tabulka13425[[#This Row],[Počet kusů]]</calculatedColumnFormula>
      <totalsRowFormula>SUM(G8)</totalsRowFormula>
    </tableColumn>
    <tableColumn id="3" name="Obnova/nový přístroj" totalsRowLabel="X" dataDxfId="2189" totalsRowDxfId="2188"/>
    <tableColumn id="4" name="Stáří původního přístroje" totalsRowLabel="X" dataDxfId="2187" totalsRowDxfId="2186"/>
    <tableColumn id="5" name="Obor návazné péče" totalsRowLabel="X" dataDxfId="2185" totalsRowDxfId="2184"/>
    <tableColumn id="7" name="Skupina" dataDxfId="2183" totalsRowDxfId="2182"/>
    <tableColumn id="9" name="Výrobce/dodavatel" dataDxfId="2181" totalsRowDxfId="2180"/>
    <tableColumn id="15" name="Tech. Spec." dataDxfId="2179" totalsRowDxfId="2178"/>
    <tableColumn id="10" name="Poznámka" dataDxfId="2177" totalsRowDxfId="2176"/>
    <tableColumn id="11" name="Sloupec2" dataDxfId="2175" totalsRowDxfId="2174"/>
  </tableColumns>
  <tableStyleInfo name="TableStyleLight15" showFirstColumn="0" showLastColumn="0" showRowStripes="0" showColumnStripes="0"/>
</table>
</file>

<file path=xl/tables/table22.xml><?xml version="1.0" encoding="utf-8"?>
<table xmlns="http://schemas.openxmlformats.org/spreadsheetml/2006/main" id="25" name="Tabulka13426" displayName="Tabulka13426" ref="A7:O11" totalsRowCount="1" headerRowDxfId="2115" dataDxfId="2114">
  <autoFilter ref="A7:O10"/>
  <sortState ref="A8:O10">
    <sortCondition ref="A7:A10"/>
  </sortState>
  <tableColumns count="15">
    <tableColumn id="1" name="Název přístroje" totalsRowLabel="Celkem" dataDxfId="2113"/>
    <tableColumn id="14" name=" pořizovací cena / ks (v Kč bez DPH)" dataDxfId="2112" totalsRowDxfId="2111"/>
    <tableColumn id="2" name=" pořizovací cena / ks (v Kč včetně DPH)" totalsRowFunction="custom" dataDxfId="2110" totalsRowDxfId="2109" dataCellStyle="Měna 3">
      <calculatedColumnFormula>B8*(F8+1)</calculatedColumnFormula>
      <totalsRowFormula>SUM(C8:C10)</totalsRowFormula>
    </tableColumn>
    <tableColumn id="6" name="Počet kusů" totalsRowFunction="sum" dataDxfId="2108" totalsRowDxfId="2107"/>
    <tableColumn id="13" name="Celková á PC (v Kč bez DPH)" totalsRowFunction="custom" dataDxfId="2106" totalsRowDxfId="2105" dataCellStyle="Měna 3">
      <calculatedColumnFormula>Tabulka13426[[#This Row],[ pořizovací cena / ks (v Kč bez DPH)]]*Tabulka13426[[#This Row],[Počet kusů]]</calculatedColumnFormula>
      <totalsRowFormula>SUM(E8:E10)</totalsRowFormula>
    </tableColumn>
    <tableColumn id="12" name="dph" dataDxfId="2104" totalsRowDxfId="2103"/>
    <tableColumn id="8" name="Celková  PC (v Kč včetně DPH)" totalsRowFunction="custom" dataDxfId="2102" totalsRowDxfId="2101">
      <calculatedColumnFormula>Tabulka13426[[#This Row],[ pořizovací cena / ks (v Kč včetně DPH)]]*Tabulka13426[[#This Row],[Počet kusů]]</calculatedColumnFormula>
      <totalsRowFormula>SUM(G8:G10)</totalsRowFormula>
    </tableColumn>
    <tableColumn id="3" name="Obnova/nový přístroj" totalsRowLabel="X" dataDxfId="2100" totalsRowDxfId="2099"/>
    <tableColumn id="4" name="Stáří původního přístroje" totalsRowLabel="X" dataDxfId="2098" totalsRowDxfId="2097"/>
    <tableColumn id="5" name="Obor návazné péče" totalsRowLabel="X" dataDxfId="2096" totalsRowDxfId="2095"/>
    <tableColumn id="7" name="Skupina" dataDxfId="2094" totalsRowDxfId="2093"/>
    <tableColumn id="9" name="Výrobce/dodavatel" dataDxfId="2092" totalsRowDxfId="2091"/>
    <tableColumn id="15" name="Tech. Spec." totalsRowDxfId="2090"/>
    <tableColumn id="10" name="Poznámka" dataDxfId="2089" totalsRowDxfId="2088"/>
    <tableColumn id="11" name="Sloupec2" dataDxfId="2087" totalsRowDxfId="2086"/>
  </tableColumns>
  <tableStyleInfo name="TableStyleLight15" showFirstColumn="0" showLastColumn="0" showRowStripes="0" showColumnStripes="0"/>
</table>
</file>

<file path=xl/tables/table23.xml><?xml version="1.0" encoding="utf-8"?>
<table xmlns="http://schemas.openxmlformats.org/spreadsheetml/2006/main" id="26" name="Tabulka13427" displayName="Tabulka13427" ref="A7:O14" totalsRowCount="1" headerRowDxfId="2027" dataDxfId="2026">
  <autoFilter ref="A7:O13"/>
  <sortState ref="A8:O26">
    <sortCondition ref="A7:A26"/>
  </sortState>
  <tableColumns count="15">
    <tableColumn id="1" name="Název přístroje" totalsRowLabel="Celkem" dataDxfId="2025"/>
    <tableColumn id="14" name=" pořizovací cena / ks (v Kč bez DPH)" dataDxfId="2024" totalsRowDxfId="2023"/>
    <tableColumn id="2" name=" pořizovací cena / ks (v Kč včetně DPH)" totalsRowFunction="custom" dataDxfId="2022" totalsRowDxfId="2021" dataCellStyle="Měna 3">
      <calculatedColumnFormula>B8*(F8+1)</calculatedColumnFormula>
      <totalsRowFormula>SUM(C8:C13)</totalsRowFormula>
    </tableColumn>
    <tableColumn id="6" name="Počet kusů" totalsRowFunction="sum" dataDxfId="2020" totalsRowDxfId="2019"/>
    <tableColumn id="13" name="Celková  PC (v Kč bez DPH)" totalsRowFunction="custom" dataDxfId="2018" totalsRowDxfId="2017" dataCellStyle="Měna 3">
      <calculatedColumnFormula>Tabulka13427[[#This Row],[ pořizovací cena / ks (v Kč bez DPH)]]*Tabulka13427[[#This Row],[Počet kusů]]</calculatedColumnFormula>
      <totalsRowFormula>SUM(E8:E13)</totalsRowFormula>
    </tableColumn>
    <tableColumn id="12" name="dph" dataDxfId="2016" totalsRowDxfId="2015"/>
    <tableColumn id="8" name="Celková  PC (v Kč včetně DPH)" totalsRowFunction="custom" dataDxfId="2014" totalsRowDxfId="2013">
      <calculatedColumnFormula>Tabulka13427[[#This Row],[ pořizovací cena / ks (v Kč včetně DPH)]]*Tabulka13427[[#This Row],[Počet kusů]]</calculatedColumnFormula>
      <totalsRowFormula>SUM(G8:G13)</totalsRowFormula>
    </tableColumn>
    <tableColumn id="3" name="Obnova/nový přístroj" totalsRowLabel="X" dataDxfId="2012" totalsRowDxfId="2011"/>
    <tableColumn id="4" name="Stáří původního přístroje" totalsRowLabel="X" dataDxfId="2010" totalsRowDxfId="2009"/>
    <tableColumn id="5" name="Obor návazné péče" totalsRowLabel="X" dataDxfId="2008" totalsRowDxfId="2007"/>
    <tableColumn id="7" name="Skupina" dataDxfId="2006" totalsRowDxfId="2005"/>
    <tableColumn id="9" name="Výrobce/dodavatel" dataDxfId="2004" totalsRowDxfId="2003"/>
    <tableColumn id="15" name="Tech. Spec." totalsRowDxfId="2002"/>
    <tableColumn id="10" name="Poznámka" dataDxfId="2001" totalsRowDxfId="2000"/>
    <tableColumn id="11" name="Sloupec2" dataDxfId="1999" totalsRowDxfId="1998"/>
  </tableColumns>
  <tableStyleInfo name="TableStyleLight15" showFirstColumn="0" showLastColumn="0" showRowStripes="0" showColumnStripes="0"/>
</table>
</file>

<file path=xl/tables/table24.xml><?xml version="1.0" encoding="utf-8"?>
<table xmlns="http://schemas.openxmlformats.org/spreadsheetml/2006/main" id="27" name="Tabulka13428" displayName="Tabulka13428" ref="A7:O10" totalsRowCount="1" headerRowDxfId="1939" dataDxfId="1938">
  <autoFilter ref="A7:O9"/>
  <sortState ref="A8:O9">
    <sortCondition ref="K7:K9"/>
  </sortState>
  <tableColumns count="15">
    <tableColumn id="1" name="Název přístroje" totalsRowLabel="Celkem" dataDxfId="1937"/>
    <tableColumn id="14" name=" pořizovací cena / ks (v Kč bez DPH)" dataDxfId="1936" totalsRowDxfId="1935"/>
    <tableColumn id="2" name=" pořizovací cena / ks (v Kč včetně DPH)" totalsRowFunction="custom" dataDxfId="1934" totalsRowDxfId="1933" dataCellStyle="Měna 3">
      <calculatedColumnFormula>B8*(F8+1)</calculatedColumnFormula>
      <totalsRowFormula>SUM(C8:C9)</totalsRowFormula>
    </tableColumn>
    <tableColumn id="6" name="Počet kusů" totalsRowFunction="sum" dataDxfId="1932" totalsRowDxfId="1931"/>
    <tableColumn id="13" name="Celková  PC (v Kč bez DPH)" totalsRowFunction="custom" dataDxfId="1930" totalsRowDxfId="1929" dataCellStyle="Měna 3">
      <calculatedColumnFormula>Tabulka13428[[#This Row],[ pořizovací cena / ks (v Kč bez DPH)]]*Tabulka13428[[#This Row],[Počet kusů]]</calculatedColumnFormula>
      <totalsRowFormula>SUM(E8:E9)</totalsRowFormula>
    </tableColumn>
    <tableColumn id="12" name="dph" dataDxfId="1928" totalsRowDxfId="1927"/>
    <tableColumn id="8" name="Celková  PC (v Kč včetně DPH)" totalsRowFunction="custom" dataDxfId="1926" totalsRowDxfId="1925">
      <calculatedColumnFormula>Tabulka13428[[#This Row],[ pořizovací cena / ks (v Kč včetně DPH)]]*Tabulka13428[[#This Row],[Počet kusů]]</calculatedColumnFormula>
      <totalsRowFormula>SUM(G8:G9)</totalsRowFormula>
    </tableColumn>
    <tableColumn id="3" name="Obnova/nový přístroj" totalsRowLabel="X" dataDxfId="1924" totalsRowDxfId="1923"/>
    <tableColumn id="4" name="Stáří původního přístroje" totalsRowLabel="X" dataDxfId="1922" totalsRowDxfId="1921"/>
    <tableColumn id="5" name="Obor návazné péče" totalsRowLabel="X" dataDxfId="1920" totalsRowDxfId="1919"/>
    <tableColumn id="7" name="Skupina" dataDxfId="1918" totalsRowDxfId="1917"/>
    <tableColumn id="9" name="Výrobce/dodavatel" dataDxfId="1916" totalsRowDxfId="1915"/>
    <tableColumn id="15" name="Tech. Spec." totalsRowDxfId="1914"/>
    <tableColumn id="10" name="Poznámka" dataDxfId="1913" totalsRowDxfId="1912"/>
    <tableColumn id="11" name="Sloupec2" dataDxfId="1911" totalsRowDxfId="1910"/>
  </tableColumns>
  <tableStyleInfo name="TableStyleLight15" showFirstColumn="0" showLastColumn="0" showRowStripes="0" showColumnStripes="0"/>
</table>
</file>

<file path=xl/tables/table25.xml><?xml version="1.0" encoding="utf-8"?>
<table xmlns="http://schemas.openxmlformats.org/spreadsheetml/2006/main" id="28" name="Tabulka13429" displayName="Tabulka13429" ref="A7:O9" totalsRowCount="1" headerRowDxfId="1851" dataDxfId="1850">
  <autoFilter ref="A7:O8"/>
  <sortState ref="A8:O8">
    <sortCondition ref="K7:K8"/>
  </sortState>
  <tableColumns count="15">
    <tableColumn id="1" name="Název přístroje" totalsRowLabel="Celkem" dataDxfId="1849" totalsRowDxfId="1848"/>
    <tableColumn id="14" name=" pořizovací cena / ks (v Kč bez DPH)" dataDxfId="1847" totalsRowDxfId="1846"/>
    <tableColumn id="2" name=" pořizovací cena / ks (v Kč včetně DPH)" totalsRowFunction="custom" dataDxfId="1845" totalsRowDxfId="1844" dataCellStyle="Měna 3">
      <calculatedColumnFormula>B8*(F8+1)</calculatedColumnFormula>
      <totalsRowFormula>SUM(C8)</totalsRowFormula>
    </tableColumn>
    <tableColumn id="6" name="Počet kusů" totalsRowFunction="sum" dataDxfId="1843" totalsRowDxfId="1842"/>
    <tableColumn id="13" name="Celková  PC (v Kč bez DPH)" totalsRowFunction="custom" dataDxfId="1841" totalsRowDxfId="1840" dataCellStyle="Měna 3">
      <calculatedColumnFormula>Tabulka13429[[#This Row],[ pořizovací cena / ks (v Kč bez DPH)]]*Tabulka13429[[#This Row],[Počet kusů]]</calculatedColumnFormula>
      <totalsRowFormula>SUM(E8)</totalsRowFormula>
    </tableColumn>
    <tableColumn id="12" name="dph" dataDxfId="1839" totalsRowDxfId="1838"/>
    <tableColumn id="8" name="Celková  PC (v Kč včetně DPH)" totalsRowFunction="custom" dataDxfId="1837" totalsRowDxfId="1836">
      <calculatedColumnFormula>Tabulka13429[[#This Row],[ pořizovací cena / ks (v Kč včetně DPH)]]*Tabulka13429[[#This Row],[Počet kusů]]</calculatedColumnFormula>
      <totalsRowFormula>SUM(G8)</totalsRowFormula>
    </tableColumn>
    <tableColumn id="3" name="Obnova/nový přístroj" totalsRowLabel="X" dataDxfId="1835" totalsRowDxfId="1834"/>
    <tableColumn id="4" name="Stáří původního přístroje" totalsRowLabel="X" dataDxfId="1833" totalsRowDxfId="1832"/>
    <tableColumn id="5" name="Obor návazné péče" totalsRowLabel="X" dataDxfId="1831" totalsRowDxfId="1830"/>
    <tableColumn id="7" name="Skupina" dataDxfId="1829" totalsRowDxfId="1828"/>
    <tableColumn id="9" name="Výrobce/dodavatel" dataDxfId="1827" totalsRowDxfId="1826"/>
    <tableColumn id="15" name="Tech. Spec." totalsRowDxfId="1825"/>
    <tableColumn id="10" name="Poznámka" dataDxfId="1824" totalsRowDxfId="1823"/>
    <tableColumn id="11" name="Sloupec2" dataDxfId="1822" totalsRowDxfId="1821"/>
  </tableColumns>
  <tableStyleInfo name="TableStyleLight15" showFirstColumn="0" showLastColumn="0" showRowStripes="0" showColumnStripes="0"/>
</table>
</file>

<file path=xl/tables/table26.xml><?xml version="1.0" encoding="utf-8"?>
<table xmlns="http://schemas.openxmlformats.org/spreadsheetml/2006/main" id="29" name="Tabulka13430" displayName="Tabulka13430" ref="A7:O9" totalsRowCount="1" headerRowDxfId="1762" dataDxfId="1761">
  <autoFilter ref="A7:O8"/>
  <sortState ref="A8:O8">
    <sortCondition ref="K7:K8"/>
  </sortState>
  <tableColumns count="15">
    <tableColumn id="1" name="Název přístroje" totalsRowLabel="Celkem" dataDxfId="1760" totalsRowDxfId="1759"/>
    <tableColumn id="14" name=" pořizovací cena / ks (v Kč bez DPH)" dataDxfId="1758" totalsRowDxfId="1757"/>
    <tableColumn id="2" name=" pořizovací cena / ks (v Kč včetně DPH)" totalsRowFunction="custom" dataDxfId="1756" totalsRowDxfId="1755" dataCellStyle="Měna 3">
      <calculatedColumnFormula>B8*(F8+1)</calculatedColumnFormula>
      <totalsRowFormula>SUM(C8)</totalsRowFormula>
    </tableColumn>
    <tableColumn id="6" name="Počet kusů" totalsRowFunction="sum" dataDxfId="1754" totalsRowDxfId="1753"/>
    <tableColumn id="13" name="Celková  PC (v Kč bez DPH)" totalsRowFunction="custom" dataDxfId="1752" totalsRowDxfId="1751" dataCellStyle="Měna 3">
      <calculatedColumnFormula>Tabulka13430[[#This Row],[ pořizovací cena / ks (v Kč bez DPH)]]*Tabulka13430[[#This Row],[Počet kusů]]</calculatedColumnFormula>
      <totalsRowFormula>SUM(E8)</totalsRowFormula>
    </tableColumn>
    <tableColumn id="12" name="dph" dataDxfId="1750" totalsRowDxfId="1749"/>
    <tableColumn id="8" name="Celková  PC (v Kč včetně DPH)" totalsRowFunction="custom" dataDxfId="1748" totalsRowDxfId="1747">
      <calculatedColumnFormula>Tabulka13430[[#This Row],[ pořizovací cena / ks (v Kč včetně DPH)]]*Tabulka13430[[#This Row],[Počet kusů]]</calculatedColumnFormula>
      <totalsRowFormula>SUM(G8)</totalsRowFormula>
    </tableColumn>
    <tableColumn id="3" name="Obnova/nový přístroj" totalsRowLabel="X" dataDxfId="1746" totalsRowDxfId="1745"/>
    <tableColumn id="4" name="Stáří původního přístroje" totalsRowLabel="X" dataDxfId="1744" totalsRowDxfId="1743"/>
    <tableColumn id="5" name="Obor návazné péče" totalsRowLabel="X" dataDxfId="1742" totalsRowDxfId="1741"/>
    <tableColumn id="7" name="Skupina" dataDxfId="1740" totalsRowDxfId="1739"/>
    <tableColumn id="9" name="Výrobce/dodavatel" dataDxfId="1738" totalsRowDxfId="1737"/>
    <tableColumn id="15" name="Tech. Spec." totalsRowDxfId="1736"/>
    <tableColumn id="10" name="Poznámka" dataDxfId="1735" totalsRowDxfId="1734"/>
    <tableColumn id="11" name="Sloupec2" dataDxfId="1733" totalsRowDxfId="1732"/>
  </tableColumns>
  <tableStyleInfo name="TableStyleLight15" showFirstColumn="0" showLastColumn="0" showRowStripes="0" showColumnStripes="0"/>
</table>
</file>

<file path=xl/tables/table27.xml><?xml version="1.0" encoding="utf-8"?>
<table xmlns="http://schemas.openxmlformats.org/spreadsheetml/2006/main" id="30" name="Tabulka13431" displayName="Tabulka13431" ref="A7:O10" totalsRowCount="1" headerRowDxfId="1673" dataDxfId="1672">
  <autoFilter ref="A7:O9"/>
  <sortState ref="A8:O9">
    <sortCondition ref="K7:K9"/>
  </sortState>
  <tableColumns count="15">
    <tableColumn id="1" name="Název přístroje" totalsRowLabel="Celkem" dataDxfId="1671"/>
    <tableColumn id="14" name=" pořizovací cena / ks (v Kč bez DPH)" dataDxfId="1670" totalsRowDxfId="1669"/>
    <tableColumn id="2" name=" pořizovací cena / ks (v Kč včetně DPH)" totalsRowFunction="custom" dataDxfId="1668" totalsRowDxfId="1667" dataCellStyle="Měna 3">
      <calculatedColumnFormula>B8*(F8+1)</calculatedColumnFormula>
      <totalsRowFormula>SUM(C8:C9)</totalsRowFormula>
    </tableColumn>
    <tableColumn id="6" name="Počet kusů" totalsRowFunction="sum" dataDxfId="1666" totalsRowDxfId="1665"/>
    <tableColumn id="13" name="Celková  PC (v Kč bez DPH)" totalsRowFunction="custom" dataDxfId="1664" totalsRowDxfId="1663" dataCellStyle="Měna 3">
      <calculatedColumnFormula>Tabulka13431[[#This Row],[ pořizovací cena / ks (v Kč bez DPH)]]*Tabulka13431[[#This Row],[Počet kusů]]</calculatedColumnFormula>
      <totalsRowFormula>SUM(E8:E9)</totalsRowFormula>
    </tableColumn>
    <tableColumn id="12" name="dph" dataDxfId="1662" totalsRowDxfId="1661"/>
    <tableColumn id="8" name="Celková  PC (v Kč včetně DPH)" totalsRowFunction="custom" dataDxfId="1660" totalsRowDxfId="1659">
      <calculatedColumnFormula>Tabulka13431[[#This Row],[ pořizovací cena / ks (v Kč včetně DPH)]]*Tabulka13431[[#This Row],[Počet kusů]]</calculatedColumnFormula>
      <totalsRowFormula>SUM(G8:G9)</totalsRowFormula>
    </tableColumn>
    <tableColumn id="3" name="Obnova/nový přístroj" totalsRowLabel="X" dataDxfId="1658" totalsRowDxfId="1657"/>
    <tableColumn id="4" name="Stáří původního přístroje" totalsRowLabel="X" dataDxfId="1656" totalsRowDxfId="1655"/>
    <tableColumn id="5" name="Obor návazné péče" totalsRowLabel="X" dataDxfId="1654" totalsRowDxfId="1653"/>
    <tableColumn id="7" name="Skupina" dataDxfId="1652" totalsRowDxfId="1651"/>
    <tableColumn id="9" name="Výrobce/dodavatel" dataDxfId="1650" totalsRowDxfId="1649"/>
    <tableColumn id="15" name="Tech. Spec." totalsRowDxfId="1648"/>
    <tableColumn id="10" name="Poznámka" dataDxfId="1647" totalsRowDxfId="1646"/>
    <tableColumn id="11" name="Sloupec2" dataDxfId="1645" totalsRowDxfId="1644"/>
  </tableColumns>
  <tableStyleInfo name="TableStyleLight15" showFirstColumn="0" showLastColumn="0" showRowStripes="0" showColumnStripes="0"/>
</table>
</file>

<file path=xl/tables/table28.xml><?xml version="1.0" encoding="utf-8"?>
<table xmlns="http://schemas.openxmlformats.org/spreadsheetml/2006/main" id="31" name="Tabulka13432" displayName="Tabulka13432" ref="A7:O10" totalsRowCount="1" headerRowDxfId="1527" dataDxfId="1526">
  <autoFilter ref="A7:O9"/>
  <sortState ref="A8:O8">
    <sortCondition ref="K7:K8"/>
  </sortState>
  <tableColumns count="15">
    <tableColumn id="1" name="Název přístroje" totalsRowLabel="Celkem" dataDxfId="1525"/>
    <tableColumn id="14" name=" pořizovací cena / ks (v Kč bez DPH)" dataDxfId="1524" totalsRowDxfId="1523"/>
    <tableColumn id="2" name=" pořizovací cena / ks (v Kč včetně DPH)" totalsRowFunction="custom" dataDxfId="1522" totalsRowDxfId="1521" dataCellStyle="Měna 3">
      <calculatedColumnFormula>B8*(F8+1)</calculatedColumnFormula>
      <totalsRowFormula>SUM(C9)</totalsRowFormula>
    </tableColumn>
    <tableColumn id="6" name="Počet kusů" totalsRowFunction="sum" dataDxfId="1520" totalsRowDxfId="1519"/>
    <tableColumn id="13" name="Celková  PC (v Kč bez DPH)" totalsRowFunction="custom" dataDxfId="1518" totalsRowDxfId="1517" dataCellStyle="Měna 3">
      <calculatedColumnFormula>Tabulka13432[[#This Row],[ pořizovací cena / ks (v Kč bez DPH)]]*Tabulka13432[[#This Row],[Počet kusů]]</calculatedColumnFormula>
      <totalsRowFormula>SUM(E9)</totalsRowFormula>
    </tableColumn>
    <tableColumn id="12" name="dph" dataDxfId="1516" totalsRowDxfId="1515"/>
    <tableColumn id="8" name="Celková  PC (v Kč včetně DPH)" totalsRowFunction="custom" dataDxfId="1514" totalsRowDxfId="1513">
      <calculatedColumnFormula>Tabulka13432[[#This Row],[ pořizovací cena / ks (v Kč včetně DPH)]]*Tabulka13432[[#This Row],[Počet kusů]]</calculatedColumnFormula>
      <totalsRowFormula>SUM(G9)</totalsRowFormula>
    </tableColumn>
    <tableColumn id="3" name="Obnova/nový přístroj" totalsRowLabel="X" dataDxfId="1512" totalsRowDxfId="1511"/>
    <tableColumn id="4" name="Stáří původního přístroje" totalsRowLabel="X" dataDxfId="1510" totalsRowDxfId="1509"/>
    <tableColumn id="5" name="Obor návazné péče" totalsRowLabel="X" dataDxfId="1508" totalsRowDxfId="1507"/>
    <tableColumn id="7" name="Skupina" dataDxfId="1506" totalsRowDxfId="1505"/>
    <tableColumn id="9" name="Výrobce/dodavatel" dataDxfId="1504" totalsRowDxfId="1503"/>
    <tableColumn id="15" name="Tech. Spec." totalsRowDxfId="1502"/>
    <tableColumn id="10" name="Poznámka" dataDxfId="1501" totalsRowDxfId="1500"/>
    <tableColumn id="11" name="Sloupec2" dataDxfId="1499" totalsRowDxfId="1498"/>
  </tableColumns>
  <tableStyleInfo name="TableStyleLight15" showFirstColumn="0" showLastColumn="0" showRowStripes="0" showColumnStripes="0"/>
</table>
</file>

<file path=xl/tables/table29.xml><?xml version="1.0" encoding="utf-8"?>
<table xmlns="http://schemas.openxmlformats.org/spreadsheetml/2006/main" id="32" name="Tabulka13433" displayName="Tabulka13433" ref="A7:O9" totalsRowCount="1" headerRowDxfId="1439" dataDxfId="1438">
  <autoFilter ref="A7:O8"/>
  <sortState ref="A8:O8">
    <sortCondition ref="K7:K8"/>
  </sortState>
  <tableColumns count="15">
    <tableColumn id="1" name="Název přístroje" totalsRowLabel="Celkem" dataDxfId="1437" totalsRowDxfId="1436"/>
    <tableColumn id="14" name=" pořizovací cena / ks (v Kč bez DPH)" dataDxfId="1435" totalsRowDxfId="1434"/>
    <tableColumn id="2" name=" pořizovací cena / ks (v Kč včetně DPH)" totalsRowFunction="custom" dataDxfId="1433" totalsRowDxfId="1432" dataCellStyle="Měna 3">
      <calculatedColumnFormula>B8*(F8+1)</calculatedColumnFormula>
      <totalsRowFormula>SUM(C8)</totalsRowFormula>
    </tableColumn>
    <tableColumn id="6" name="Počet kusů" totalsRowFunction="sum" dataDxfId="1431" totalsRowDxfId="1430"/>
    <tableColumn id="13" name="Celková  PC (v Kč bez DPH)" totalsRowFunction="custom" dataDxfId="1429" totalsRowDxfId="1428" dataCellStyle="Měna 3">
      <calculatedColumnFormula>Tabulka13433[[#This Row],[ pořizovací cena / ks (v Kč bez DPH)]]*Tabulka13433[[#This Row],[Počet kusů]]</calculatedColumnFormula>
      <totalsRowFormula>SUM(E8)</totalsRowFormula>
    </tableColumn>
    <tableColumn id="12" name="dph" dataDxfId="1427" totalsRowDxfId="1426"/>
    <tableColumn id="8" name="Celková PC (v Kč včetně DPH)" totalsRowFunction="custom" dataDxfId="1425" totalsRowDxfId="1424">
      <calculatedColumnFormula>Tabulka13433[[#This Row],[ pořizovací cena / ks (v Kč včetně DPH)]]*Tabulka13433[[#This Row],[Počet kusů]]</calculatedColumnFormula>
      <totalsRowFormula>SUM(G8)</totalsRowFormula>
    </tableColumn>
    <tableColumn id="3" name="Obnova/nový přístroj" totalsRowLabel="X" dataDxfId="1423" totalsRowDxfId="1422"/>
    <tableColumn id="4" name="Stáří původního přístroje" totalsRowLabel="X" dataDxfId="1421" totalsRowDxfId="1420"/>
    <tableColumn id="5" name="Obor návazné péče" totalsRowLabel="X" dataDxfId="1419" totalsRowDxfId="1418"/>
    <tableColumn id="7" name="Skupina" dataDxfId="1417" totalsRowDxfId="1416"/>
    <tableColumn id="9" name="Výrobce/dodavatel" dataDxfId="1415" totalsRowDxfId="1414"/>
    <tableColumn id="15" name="Tech. Spec." totalsRowDxfId="1413"/>
    <tableColumn id="10" name="Poznámka" dataDxfId="1412" totalsRowDxfId="1411"/>
    <tableColumn id="11" name="Sloupec2" dataDxfId="1410" totalsRowDxfId="1409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id="6" name="Tabulka1347" displayName="Tabulka1347" ref="A7:O10" totalsRowCount="1" headerRowDxfId="3809" dataDxfId="3808">
  <autoFilter ref="A7:O9"/>
  <sortState ref="A8:O11">
    <sortCondition ref="K7:K11"/>
  </sortState>
  <tableColumns count="15">
    <tableColumn id="1" name="Název přístroje" totalsRowLabel="Celkem" dataDxfId="3807"/>
    <tableColumn id="14" name=" pořizovací cena / ks (v Kč bez DPH)" dataDxfId="3806" totalsRowDxfId="3805"/>
    <tableColumn id="2" name=" pořizovací cena / ks (v Kč včetně DPH)" totalsRowFunction="custom" dataDxfId="3804" totalsRowDxfId="3803" dataCellStyle="Měna 3">
      <calculatedColumnFormula>B8*(F8+1)</calculatedColumnFormula>
      <totalsRowFormula>SUM(C8:C9)</totalsRowFormula>
    </tableColumn>
    <tableColumn id="6" name="Počet kusů" totalsRowFunction="sum" dataDxfId="3802"/>
    <tableColumn id="13" name="Celková  PC (v Kč bez DPH)" totalsRowFunction="custom" dataDxfId="3801" totalsRowDxfId="3800" dataCellStyle="Měna 3">
      <calculatedColumnFormula>Tabulka1347[[#This Row],[ pořizovací cena / ks (v Kč bez DPH)]]*Tabulka1347[[#This Row],[Počet kusů]]</calculatedColumnFormula>
      <totalsRowFormula>SUM(E8:E9)</totalsRowFormula>
    </tableColumn>
    <tableColumn id="12" name="dph" dataDxfId="3799" totalsRowDxfId="3798"/>
    <tableColumn id="8" name="Celková  PC (v Kč včetně DPH)" totalsRowFunction="custom" dataDxfId="3797" totalsRowDxfId="3796">
      <calculatedColumnFormula>Tabulka1347[[#This Row],[ pořizovací cena / ks (v Kč včetně DPH)]]*Tabulka1347[[#This Row],[Počet kusů]]</calculatedColumnFormula>
      <totalsRowFormula>SUM(G8:G9)</totalsRowFormula>
    </tableColumn>
    <tableColumn id="3" name="Obnova/nový přístroj" totalsRowLabel="X" dataDxfId="3795" totalsRowDxfId="3794"/>
    <tableColumn id="4" name="Stáří původního přístroje" totalsRowLabel="X" dataDxfId="3793" totalsRowDxfId="3792"/>
    <tableColumn id="5" name="Obor návazné péče" totalsRowLabel="X" dataDxfId="3791" totalsRowDxfId="3790"/>
    <tableColumn id="7" name="Skupina" dataDxfId="3789" totalsRowDxfId="3788"/>
    <tableColumn id="9" name="Výrobce/dodavatel" dataDxfId="3787" totalsRowDxfId="3786"/>
    <tableColumn id="15" name="Tech. Spec." totalsRowDxfId="3785"/>
    <tableColumn id="10" name="Poznámka" dataDxfId="3784" totalsRowDxfId="3783"/>
    <tableColumn id="11" name="Sloupec2" dataDxfId="3782" totalsRowDxfId="3781"/>
  </tableColumns>
  <tableStyleInfo name="TableStyleLight15" showFirstColumn="0" showLastColumn="0" showRowStripes="0" showColumnStripes="0"/>
</table>
</file>

<file path=xl/tables/table30.xml><?xml version="1.0" encoding="utf-8"?>
<table xmlns="http://schemas.openxmlformats.org/spreadsheetml/2006/main" id="33" name="Tabulka13434" displayName="Tabulka13434" ref="A7:O9" totalsRowCount="1" headerRowDxfId="1350" dataDxfId="1349">
  <autoFilter ref="A7:O8"/>
  <sortState ref="A8:O8">
    <sortCondition ref="K7:K8"/>
  </sortState>
  <tableColumns count="15">
    <tableColumn id="1" name="Název přístroje" totalsRowLabel="Celkem" dataDxfId="1348"/>
    <tableColumn id="14" name=" pořizovací cena / ks (v Kč bez DPH)" dataDxfId="1347" totalsRowDxfId="1346"/>
    <tableColumn id="2" name="pořizovací cena / ks (v Kč včetně DPH)" totalsRowFunction="custom" dataDxfId="1345" totalsRowDxfId="1344" dataCellStyle="Měna 3">
      <calculatedColumnFormula>B8*(F8+1)</calculatedColumnFormula>
      <totalsRowFormula>SUM(C8)</totalsRowFormula>
    </tableColumn>
    <tableColumn id="6" name="Počet kusů" totalsRowFunction="sum" dataDxfId="1343"/>
    <tableColumn id="13" name="Celková  PC (v Kč bez DPH)" totalsRowFunction="custom" dataDxfId="1342" totalsRowDxfId="1341" dataCellStyle="Měna 3">
      <calculatedColumnFormula>Tabulka13434[[#This Row],[ pořizovací cena / ks (v Kč bez DPH)]]*Tabulka13434[[#This Row],[Počet kusů]]</calculatedColumnFormula>
      <totalsRowFormula>SUM(E8)</totalsRowFormula>
    </tableColumn>
    <tableColumn id="12" name="dph" dataDxfId="1340" totalsRowDxfId="1339"/>
    <tableColumn id="8" name="Celková PC (v Kč včetně DPH)" totalsRowFunction="custom" dataDxfId="1338" totalsRowDxfId="1337">
      <calculatedColumnFormula>Tabulka13434[[#This Row],[pořizovací cena / ks (v Kč včetně DPH)]]*Tabulka13434[[#This Row],[Počet kusů]]</calculatedColumnFormula>
      <totalsRowFormula>SUM(G8)</totalsRowFormula>
    </tableColumn>
    <tableColumn id="3" name="Obnova/nový přístroj" totalsRowLabel="X" dataDxfId="1336" totalsRowDxfId="1335"/>
    <tableColumn id="4" name="Stáří původního přístroje" totalsRowLabel="X" dataDxfId="1334" totalsRowDxfId="1333"/>
    <tableColumn id="5" name="Obor návazné péče" totalsRowLabel="X" dataDxfId="1332" totalsRowDxfId="1331"/>
    <tableColumn id="7" name="Skupina" dataDxfId="1330" totalsRowDxfId="1329"/>
    <tableColumn id="9" name="Výrobce/dodavatel" dataDxfId="1328" totalsRowDxfId="1327"/>
    <tableColumn id="15" name="Tech. Spec." totalsRowDxfId="1326"/>
    <tableColumn id="10" name="Poznámka" dataDxfId="1325" totalsRowDxfId="1324"/>
    <tableColumn id="11" name="Sloupec2" dataDxfId="1323" totalsRowDxfId="1322"/>
  </tableColumns>
  <tableStyleInfo name="TableStyleLight15" showFirstColumn="0" showLastColumn="0" showRowStripes="0" showColumnStripes="0"/>
</table>
</file>

<file path=xl/tables/table31.xml><?xml version="1.0" encoding="utf-8"?>
<table xmlns="http://schemas.openxmlformats.org/spreadsheetml/2006/main" id="34" name="Tabulka1343435" displayName="Tabulka1343435" ref="A7:O10" totalsRowCount="1" headerRowDxfId="1205" dataDxfId="1204">
  <autoFilter ref="A7:O9"/>
  <sortState ref="A8:O8">
    <sortCondition ref="K7:K8"/>
  </sortState>
  <tableColumns count="15">
    <tableColumn id="1" name="Název přístroje" totalsRowLabel="Celkem" dataDxfId="1203"/>
    <tableColumn id="14" name=" pořizovací cena / ks (v Kč bez DPH)" dataDxfId="1202" totalsRowDxfId="1201"/>
    <tableColumn id="2" name="pořizovací cena / ks (v Kč včetně DPH)" totalsRowFunction="custom" dataDxfId="1200" totalsRowDxfId="1199" dataCellStyle="Měna 3">
      <calculatedColumnFormula>B8*(F8+1)</calculatedColumnFormula>
      <totalsRowFormula>SUM(C9)</totalsRowFormula>
    </tableColumn>
    <tableColumn id="6" name="Počet kusů" totalsRowFunction="sum" dataDxfId="1198"/>
    <tableColumn id="13" name="Celková  PC (v Kč bez DPH)" totalsRowFunction="custom" dataDxfId="1197" totalsRowDxfId="1196" dataCellStyle="Měna 3">
      <calculatedColumnFormula>Tabulka1343435[[#This Row],[ pořizovací cena / ks (v Kč bez DPH)]]*Tabulka1343435[[#This Row],[Počet kusů]]</calculatedColumnFormula>
      <totalsRowFormula>SUM(E9)</totalsRowFormula>
    </tableColumn>
    <tableColumn id="12" name="dph" dataDxfId="1195" totalsRowDxfId="1194"/>
    <tableColumn id="8" name="Celková PC (v Kč včetně DPH)" totalsRowFunction="custom" dataDxfId="1193" totalsRowDxfId="1192">
      <calculatedColumnFormula>Tabulka1343435[[#This Row],[pořizovací cena / ks (v Kč včetně DPH)]]*Tabulka1343435[[#This Row],[Počet kusů]]</calculatedColumnFormula>
      <totalsRowFormula>SUM(G9)</totalsRowFormula>
    </tableColumn>
    <tableColumn id="3" name="Obnova/nový přístroj" totalsRowLabel="X" dataDxfId="1191" totalsRowDxfId="1190"/>
    <tableColumn id="4" name="Stáří původního přístroje" totalsRowLabel="X" dataDxfId="1189" totalsRowDxfId="1188"/>
    <tableColumn id="5" name="Obor návazné péče" totalsRowLabel="X" dataDxfId="1187" totalsRowDxfId="1186"/>
    <tableColumn id="7" name="Skupina" dataDxfId="1185" totalsRowDxfId="1184"/>
    <tableColumn id="9" name="Výrobce/dodavatel" dataDxfId="1183" totalsRowDxfId="1182"/>
    <tableColumn id="15" name="Tech. Spec." totalsRowDxfId="1181"/>
    <tableColumn id="10" name="Poznámka" dataDxfId="1180" totalsRowDxfId="1179"/>
    <tableColumn id="11" name="Sloupec2" dataDxfId="1178" totalsRowDxfId="1177"/>
  </tableColumns>
  <tableStyleInfo name="TableStyleLight15" showFirstColumn="0" showLastColumn="0" showRowStripes="0" showColumnStripes="0"/>
</table>
</file>

<file path=xl/tables/table32.xml><?xml version="1.0" encoding="utf-8"?>
<table xmlns="http://schemas.openxmlformats.org/spreadsheetml/2006/main" id="35" name="Tabulka134343536" displayName="Tabulka134343536" ref="A7:O10" totalsRowCount="1" headerRowDxfId="1060" dataDxfId="1059">
  <autoFilter ref="A7:O9"/>
  <sortState ref="A8:O8">
    <sortCondition ref="K7:K8"/>
  </sortState>
  <tableColumns count="15">
    <tableColumn id="1" name="Název přístroje" totalsRowLabel="Celkem" dataDxfId="1058"/>
    <tableColumn id="14" name=" pořizovací cena / ks (v Kč bez DPH)" dataDxfId="1057" totalsRowDxfId="1056"/>
    <tableColumn id="2" name="pořizovací cena / ks (v Kč včetně DPH)" totalsRowFunction="custom" dataDxfId="1055" totalsRowDxfId="1054" dataCellStyle="Měna 3">
      <calculatedColumnFormula>B8*(F8+1)</calculatedColumnFormula>
      <totalsRowFormula>SUM(C9)</totalsRowFormula>
    </tableColumn>
    <tableColumn id="6" name="Počet kusů" totalsRowFunction="sum" dataDxfId="1053"/>
    <tableColumn id="13" name="Celková  PC (v Kč bez DPH)" totalsRowFunction="custom" dataDxfId="1052" totalsRowDxfId="1051" dataCellStyle="Měna 3">
      <calculatedColumnFormula>Tabulka134343536[[#This Row],[ pořizovací cena / ks (v Kč bez DPH)]]*Tabulka134343536[[#This Row],[Počet kusů]]</calculatedColumnFormula>
      <totalsRowFormula>SUM(E9)</totalsRowFormula>
    </tableColumn>
    <tableColumn id="12" name="dph" dataDxfId="1050" totalsRowDxfId="1049"/>
    <tableColumn id="8" name="Celková PC (v Kč včetně DPH)" totalsRowFunction="custom" dataDxfId="1048" totalsRowDxfId="1047">
      <calculatedColumnFormula>Tabulka134343536[[#This Row],[pořizovací cena / ks (v Kč včetně DPH)]]*Tabulka134343536[[#This Row],[Počet kusů]]</calculatedColumnFormula>
      <totalsRowFormula>SUM(G9)</totalsRowFormula>
    </tableColumn>
    <tableColumn id="3" name="Obnova/nový přístroj" totalsRowLabel="X" dataDxfId="1046" totalsRowDxfId="1045"/>
    <tableColumn id="4" name="Stáří původního přístroje" totalsRowLabel="X" dataDxfId="1044" totalsRowDxfId="1043"/>
    <tableColumn id="5" name="Obor návazné péče" totalsRowLabel="X" dataDxfId="1042" totalsRowDxfId="1041"/>
    <tableColumn id="7" name="Skupina" dataDxfId="1040" totalsRowDxfId="1039"/>
    <tableColumn id="9" name="Výrobce/dodavatel" dataDxfId="1038" totalsRowDxfId="1037"/>
    <tableColumn id="15" name="Tech. Spec." totalsRowDxfId="1036"/>
    <tableColumn id="10" name="Poznámka" dataDxfId="1035" totalsRowDxfId="1034"/>
    <tableColumn id="11" name="Sloupec2" dataDxfId="1033" totalsRowDxfId="1032"/>
  </tableColumns>
  <tableStyleInfo name="TableStyleLight15" showFirstColumn="0" showLastColumn="0" showRowStripes="0" showColumnStripes="0"/>
</table>
</file>

<file path=xl/tables/table33.xml><?xml version="1.0" encoding="utf-8"?>
<table xmlns="http://schemas.openxmlformats.org/spreadsheetml/2006/main" id="36" name="Tabulka13434353637" displayName="Tabulka13434353637" ref="A7:O9" totalsRowCount="1" headerRowDxfId="973" dataDxfId="972">
  <autoFilter ref="A7:O8"/>
  <sortState ref="A8:O8">
    <sortCondition ref="K7:K8"/>
  </sortState>
  <tableColumns count="15">
    <tableColumn id="1" name="Název přístroje" totalsRowLabel="Celkem" dataDxfId="971"/>
    <tableColumn id="14" name=" pořizovací cena / ks (v Kč bez DPH)" dataDxfId="970" totalsRowDxfId="969"/>
    <tableColumn id="2" name="pořizovací cena / ks (v Kč včetně DPH)" totalsRowFunction="sum" dataDxfId="968" totalsRowDxfId="967" dataCellStyle="Měna 3">
      <calculatedColumnFormula>B8*(F8+1)</calculatedColumnFormula>
    </tableColumn>
    <tableColumn id="6" name="Počet kusů" totalsRowFunction="sum" dataDxfId="966"/>
    <tableColumn id="13" name="Celková  PC (v Kč bez DPH)" totalsRowFunction="custom" dataDxfId="965" totalsRowDxfId="964" dataCellStyle="Měna 3">
      <calculatedColumnFormula>Tabulka13434353637[[#This Row],[ pořizovací cena / ks (v Kč bez DPH)]]*Tabulka13434353637[[#This Row],[Počet kusů]]</calculatedColumnFormula>
      <totalsRowFormula>SUM(E8)</totalsRowFormula>
    </tableColumn>
    <tableColumn id="12" name="dph" dataDxfId="963" totalsRowDxfId="962"/>
    <tableColumn id="8" name="Celková PC (v Kč včetně DPH)" totalsRowFunction="custom" dataDxfId="961" totalsRowDxfId="960">
      <calculatedColumnFormula>Tabulka13434353637[[#This Row],[pořizovací cena / ks (v Kč včetně DPH)]]*Tabulka13434353637[[#This Row],[Počet kusů]]</calculatedColumnFormula>
      <totalsRowFormula>SUM(G8)</totalsRowFormula>
    </tableColumn>
    <tableColumn id="3" name="Obnova/nový přístroj" totalsRowLabel="X" dataDxfId="959" totalsRowDxfId="958"/>
    <tableColumn id="4" name="Stáří původního přístroje" totalsRowLabel="X" dataDxfId="957" totalsRowDxfId="956"/>
    <tableColumn id="5" name="Obor návazné péče" totalsRowLabel="X" dataDxfId="955" totalsRowDxfId="954"/>
    <tableColumn id="7" name="Skupina" dataDxfId="953" totalsRowDxfId="952"/>
    <tableColumn id="9" name="Výrobce/dodavatel" dataDxfId="951" totalsRowDxfId="950"/>
    <tableColumn id="15" name="Tech. Spec." totalsRowDxfId="949"/>
    <tableColumn id="10" name="Poznámka" dataDxfId="948" totalsRowDxfId="947"/>
    <tableColumn id="11" name="Sloupec2" dataDxfId="946" totalsRowDxfId="945"/>
  </tableColumns>
  <tableStyleInfo name="TableStyleLight15" showFirstColumn="0" showLastColumn="0" showRowStripes="0" showColumnStripes="0"/>
</table>
</file>

<file path=xl/tables/table34.xml><?xml version="1.0" encoding="utf-8"?>
<table xmlns="http://schemas.openxmlformats.org/spreadsheetml/2006/main" id="37" name="Tabulka1343338" displayName="Tabulka1343338" ref="A7:O10" totalsRowCount="1" headerRowDxfId="828" dataDxfId="827">
  <autoFilter ref="A7:O9"/>
  <sortState ref="A8:O8">
    <sortCondition ref="K7:K8"/>
  </sortState>
  <tableColumns count="15">
    <tableColumn id="1" name="Název přístroje" totalsRowLabel="Celkem" dataDxfId="826" totalsRowDxfId="825"/>
    <tableColumn id="14" name=" pořizovací cena / ks (v Kč bez DPH)" dataDxfId="824" totalsRowDxfId="823"/>
    <tableColumn id="2" name=" pořizovací cena / ks (v Kč včetně DPH)" totalsRowFunction="custom" dataDxfId="822" totalsRowDxfId="821" dataCellStyle="Měna 3">
      <calculatedColumnFormula>B8*(F8+1)</calculatedColumnFormula>
      <totalsRowFormula>SUM(C9)</totalsRowFormula>
    </tableColumn>
    <tableColumn id="6" name="Počet kusů" totalsRowFunction="sum" dataDxfId="820" totalsRowDxfId="819"/>
    <tableColumn id="13" name="Celková  PC (v Kč bez DPH)" totalsRowFunction="custom" dataDxfId="818" totalsRowDxfId="817" dataCellStyle="Měna 3">
      <calculatedColumnFormula>Tabulka1343338[[#This Row],[ pořizovací cena / ks (v Kč bez DPH)]]*Tabulka1343338[[#This Row],[Počet kusů]]</calculatedColumnFormula>
      <totalsRowFormula>SUM(E9)</totalsRowFormula>
    </tableColumn>
    <tableColumn id="12" name="dph" dataDxfId="816" totalsRowDxfId="815"/>
    <tableColumn id="8" name="Celková PC (v Kč včetně DPH)" totalsRowFunction="custom" dataDxfId="814" totalsRowDxfId="813">
      <calculatedColumnFormula>Tabulka1343338[[#This Row],[ pořizovací cena / ks (v Kč včetně DPH)]]*Tabulka1343338[[#This Row],[Počet kusů]]</calculatedColumnFormula>
      <totalsRowFormula>SUM(G9)</totalsRowFormula>
    </tableColumn>
    <tableColumn id="3" name="Obnova/nový přístroj" totalsRowLabel="X" dataDxfId="812" totalsRowDxfId="811"/>
    <tableColumn id="4" name="Stáří původního přístroje" totalsRowLabel="X" dataDxfId="810" totalsRowDxfId="809"/>
    <tableColumn id="5" name="Obor návazné péče" totalsRowLabel="X" dataDxfId="808" totalsRowDxfId="807"/>
    <tableColumn id="7" name="Skupina" dataDxfId="806" totalsRowDxfId="805"/>
    <tableColumn id="9" name="Výrobce/dodavatel" dataDxfId="804" totalsRowDxfId="803"/>
    <tableColumn id="15" name="Tech. Spec." totalsRowDxfId="802"/>
    <tableColumn id="10" name="Poznámka" dataDxfId="801" totalsRowDxfId="800"/>
    <tableColumn id="11" name="Sloupec2" dataDxfId="799" totalsRowDxfId="798"/>
  </tableColumns>
  <tableStyleInfo name="TableStyleLight15" showFirstColumn="0" showLastColumn="0" showRowStripes="0" showColumnStripes="0"/>
</table>
</file>

<file path=xl/tables/table35.xml><?xml version="1.0" encoding="utf-8"?>
<table xmlns="http://schemas.openxmlformats.org/spreadsheetml/2006/main" id="38" name="Tabulka134333839" displayName="Tabulka134333839" ref="A7:O9" totalsRowCount="1" headerRowDxfId="739" dataDxfId="738">
  <autoFilter ref="A7:O8"/>
  <sortState ref="A8:O8">
    <sortCondition ref="K7:K8"/>
  </sortState>
  <tableColumns count="15">
    <tableColumn id="1" name="Název přístroje" totalsRowLabel="Celkem" dataDxfId="737" totalsRowDxfId="736"/>
    <tableColumn id="14" name=" pořizovací cena / ks (v Kč bez DPH)" dataDxfId="735" totalsRowDxfId="734"/>
    <tableColumn id="2" name=" pořizovací cena / ks (v Kč včetně DPH)" totalsRowFunction="custom" dataDxfId="733" totalsRowDxfId="732" dataCellStyle="Měna 3">
      <calculatedColumnFormula>B8*(F8+1)</calculatedColumnFormula>
      <totalsRowFormula>SUM(C8)</totalsRowFormula>
    </tableColumn>
    <tableColumn id="6" name="Počet kusů" totalsRowFunction="sum" dataDxfId="731" totalsRowDxfId="730"/>
    <tableColumn id="13" name="Celková  PC (v Kč bez DPH)" totalsRowFunction="custom" dataDxfId="729" totalsRowDxfId="728" dataCellStyle="Měna 3">
      <calculatedColumnFormula>Tabulka134333839[[#This Row],[ pořizovací cena / ks (v Kč bez DPH)]]*Tabulka134333839[[#This Row],[Počet kusů]]</calculatedColumnFormula>
      <totalsRowFormula>SUM(E8)</totalsRowFormula>
    </tableColumn>
    <tableColumn id="12" name="dph" dataDxfId="727" totalsRowDxfId="726"/>
    <tableColumn id="8" name="Celková PC (v Kč včetně DPH)" totalsRowFunction="custom" dataDxfId="725" totalsRowDxfId="724">
      <calculatedColumnFormula>Tabulka134333839[[#This Row],[ pořizovací cena / ks (v Kč včetně DPH)]]*Tabulka134333839[[#This Row],[Počet kusů]]</calculatedColumnFormula>
      <totalsRowFormula>SUM(G8)</totalsRowFormula>
    </tableColumn>
    <tableColumn id="3" name="Obnova/nový přístroj" totalsRowLabel="X" dataDxfId="723" totalsRowDxfId="722"/>
    <tableColumn id="4" name="Stáří původního přístroje" totalsRowLabel="X" dataDxfId="721" totalsRowDxfId="720"/>
    <tableColumn id="5" name="Obor návazné péče" totalsRowLabel="X" dataDxfId="719" totalsRowDxfId="718"/>
    <tableColumn id="7" name="Skupina" dataDxfId="717" totalsRowDxfId="716"/>
    <tableColumn id="9" name="Výrobce/dodavatel" dataDxfId="715" totalsRowDxfId="714"/>
    <tableColumn id="15" name="Tech. Spec." totalsRowDxfId="713"/>
    <tableColumn id="10" name="Poznámka" dataDxfId="712" totalsRowDxfId="711"/>
    <tableColumn id="11" name="Sloupec2" dataDxfId="710" totalsRowDxfId="709"/>
  </tableColumns>
  <tableStyleInfo name="TableStyleLight15" showFirstColumn="0" showLastColumn="0" showRowStripes="0" showColumnStripes="0"/>
</table>
</file>

<file path=xl/tables/table36.xml><?xml version="1.0" encoding="utf-8"?>
<table xmlns="http://schemas.openxmlformats.org/spreadsheetml/2006/main" id="39" name="Tabulka1343340" displayName="Tabulka1343340" ref="A7:O9" totalsRowCount="1" headerRowDxfId="650" dataDxfId="649">
  <autoFilter ref="A7:O8"/>
  <sortState ref="A8:O8">
    <sortCondition ref="K7:K8"/>
  </sortState>
  <tableColumns count="15">
    <tableColumn id="1" name="Název přístroje" totalsRowLabel="Celkem" dataDxfId="648" totalsRowDxfId="647"/>
    <tableColumn id="14" name=" pořizovací cena / ks (v Kč bez DPH)" dataDxfId="646" totalsRowDxfId="645"/>
    <tableColumn id="2" name=" pořizovací cena / ks (v Kč včetně DPH)" totalsRowFunction="custom" dataDxfId="644" totalsRowDxfId="643" dataCellStyle="Měna 3">
      <calculatedColumnFormula>B8*(F8+1)</calculatedColumnFormula>
      <totalsRowFormula>SUM(C8)</totalsRowFormula>
    </tableColumn>
    <tableColumn id="6" name="Počet kusů" totalsRowFunction="sum" dataDxfId="642" totalsRowDxfId="641"/>
    <tableColumn id="13" name="Celková  PC (v Kč bez DPH)" totalsRowFunction="custom" dataDxfId="640" totalsRowDxfId="639" dataCellStyle="Měna 3">
      <calculatedColumnFormula>Tabulka1343340[[#This Row],[ pořizovací cena / ks (v Kč bez DPH)]]*Tabulka1343340[[#This Row],[Počet kusů]]</calculatedColumnFormula>
      <totalsRowFormula>SUM(E8)</totalsRowFormula>
    </tableColumn>
    <tableColumn id="12" name="dph" dataDxfId="638" totalsRowDxfId="637"/>
    <tableColumn id="8" name="Celková PC (v Kč včetně DPH)" totalsRowFunction="custom" dataDxfId="636" totalsRowDxfId="635">
      <calculatedColumnFormula>Tabulka1343340[[#This Row],[ pořizovací cena / ks (v Kč včetně DPH)]]*Tabulka1343340[[#This Row],[Počet kusů]]</calculatedColumnFormula>
      <totalsRowFormula>SUM(G8)</totalsRowFormula>
    </tableColumn>
    <tableColumn id="3" name="Obnova/nový přístroj" totalsRowLabel="X" dataDxfId="634" totalsRowDxfId="633"/>
    <tableColumn id="4" name="Stáří původního přístroje" totalsRowLabel="X" dataDxfId="632" totalsRowDxfId="631"/>
    <tableColumn id="5" name="Obor návazné péče" totalsRowLabel="X" dataDxfId="630" totalsRowDxfId="629"/>
    <tableColumn id="7" name="Skupina" dataDxfId="628" totalsRowDxfId="627"/>
    <tableColumn id="9" name="Výrobce/dodavatel" dataDxfId="626" totalsRowDxfId="625"/>
    <tableColumn id="15" name="Tech. Spec." totalsRowDxfId="624"/>
    <tableColumn id="10" name="Poznámka" dataDxfId="623" totalsRowDxfId="622"/>
    <tableColumn id="11" name="Sloupec2" dataDxfId="621" totalsRowDxfId="620"/>
  </tableColumns>
  <tableStyleInfo name="TableStyleLight15" showFirstColumn="0" showLastColumn="0" showRowStripes="0" showColumnStripes="0"/>
</table>
</file>

<file path=xl/tables/table37.xml><?xml version="1.0" encoding="utf-8"?>
<table xmlns="http://schemas.openxmlformats.org/spreadsheetml/2006/main" id="40" name="Tabulka1343341" displayName="Tabulka1343341" ref="A7:O9" totalsRowCount="1" headerRowDxfId="561" dataDxfId="560">
  <autoFilter ref="A7:O8"/>
  <sortState ref="A8:O8">
    <sortCondition ref="K7:K8"/>
  </sortState>
  <tableColumns count="15">
    <tableColumn id="1" name="Název přístroje" totalsRowLabel="Celkem" dataDxfId="559" totalsRowDxfId="558"/>
    <tableColumn id="14" name=" pořizovací cena / ks (v Kč bez DPH)" dataDxfId="557" totalsRowDxfId="556"/>
    <tableColumn id="2" name=" pořizovací cena / ks (v Kč včetně DPH)" totalsRowFunction="custom" dataDxfId="555" totalsRowDxfId="554" dataCellStyle="Měna 3">
      <calculatedColumnFormula>B8*(F8+1)</calculatedColumnFormula>
      <totalsRowFormula>SUM(C8)</totalsRowFormula>
    </tableColumn>
    <tableColumn id="6" name="Počet kusů" totalsRowFunction="sum" dataDxfId="553" totalsRowDxfId="552"/>
    <tableColumn id="13" name="Celková  PC (v Kč bez DPH)" totalsRowFunction="custom" dataDxfId="551" totalsRowDxfId="550" dataCellStyle="Měna 3">
      <calculatedColumnFormula>Tabulka1343341[[#This Row],[ pořizovací cena / ks (v Kč bez DPH)]]*Tabulka1343341[[#This Row],[Počet kusů]]</calculatedColumnFormula>
      <totalsRowFormula>SUM(E8)</totalsRowFormula>
    </tableColumn>
    <tableColumn id="12" name="dph" dataDxfId="549" totalsRowDxfId="548"/>
    <tableColumn id="8" name="Celková PC (v Kč včetně DPH)" totalsRowFunction="custom" dataDxfId="547" totalsRowDxfId="546">
      <calculatedColumnFormula>Tabulka1343341[[#This Row],[ pořizovací cena / ks (v Kč včetně DPH)]]*Tabulka1343341[[#This Row],[Počet kusů]]</calculatedColumnFormula>
      <totalsRowFormula>SUM(G8)</totalsRowFormula>
    </tableColumn>
    <tableColumn id="3" name="Obnova/nový přístroj" totalsRowLabel="X" dataDxfId="545" totalsRowDxfId="544"/>
    <tableColumn id="4" name="Stáří původního přístroje" totalsRowLabel="X" dataDxfId="543" totalsRowDxfId="542"/>
    <tableColumn id="5" name="Obor návazné péče" totalsRowLabel="X" dataDxfId="541" totalsRowDxfId="540"/>
    <tableColumn id="7" name="Skupina" dataDxfId="539" totalsRowDxfId="538"/>
    <tableColumn id="9" name="Výrobce/dodavatel" dataDxfId="537" totalsRowDxfId="536"/>
    <tableColumn id="15" name="Tech. Spec." totalsRowDxfId="535"/>
    <tableColumn id="10" name="Poznámka" dataDxfId="534" totalsRowDxfId="533"/>
    <tableColumn id="11" name="Sloupec2" dataDxfId="532" totalsRowDxfId="531"/>
  </tableColumns>
  <tableStyleInfo name="TableStyleLight15" showFirstColumn="0" showLastColumn="0" showRowStripes="0" showColumnStripes="0"/>
</table>
</file>

<file path=xl/tables/table38.xml><?xml version="1.0" encoding="utf-8"?>
<table xmlns="http://schemas.openxmlformats.org/spreadsheetml/2006/main" id="41" name="Tabulka1343342" displayName="Tabulka1343342" ref="A7:O9" totalsRowCount="1" headerRowDxfId="472" dataDxfId="471">
  <autoFilter ref="A7:O8"/>
  <sortState ref="A8:O8">
    <sortCondition ref="K7:K8"/>
  </sortState>
  <tableColumns count="15">
    <tableColumn id="1" name="Název přístroje" totalsRowLabel="Celkem" dataDxfId="470" totalsRowDxfId="14"/>
    <tableColumn id="14" name=" pořizovací cena / ks (v Kč bez DPH)" dataDxfId="469" totalsRowDxfId="13"/>
    <tableColumn id="2" name=" pořizovací cena / ks (v Kč včetně DPH)" totalsRowFunction="custom" dataDxfId="468" totalsRowDxfId="12" dataCellStyle="Měna 3">
      <calculatedColumnFormula>B8*(F8+1)</calculatedColumnFormula>
      <totalsRowFormula>SUM(C8)</totalsRowFormula>
    </tableColumn>
    <tableColumn id="6" name="Počet kusů" totalsRowFunction="sum" dataDxfId="467" totalsRowDxfId="11"/>
    <tableColumn id="13" name="Celková  PC (v Kč bez DPH)" totalsRowFunction="custom" dataDxfId="466" totalsRowDxfId="10" dataCellStyle="Měna 3">
      <calculatedColumnFormula>Tabulka1343342[[#This Row],[ pořizovací cena / ks (v Kč bez DPH)]]*Tabulka1343342[[#This Row],[Počet kusů]]</calculatedColumnFormula>
      <totalsRowFormula>SUM(E8)</totalsRowFormula>
    </tableColumn>
    <tableColumn id="12" name="dph" dataDxfId="465" totalsRowDxfId="9"/>
    <tableColumn id="8" name="Celková PC (v Kč včetně DPH)" totalsRowFunction="custom" dataDxfId="464" totalsRowDxfId="8">
      <calculatedColumnFormula>Tabulka1343342[[#This Row],[ pořizovací cena / ks (v Kč včetně DPH)]]*Tabulka1343342[[#This Row],[Počet kusů]]</calculatedColumnFormula>
      <totalsRowFormula>SUM(G8)</totalsRowFormula>
    </tableColumn>
    <tableColumn id="3" name="Obnova/nový přístroj" totalsRowLabel="X" dataDxfId="463" totalsRowDxfId="7"/>
    <tableColumn id="4" name="Stáří původního přístroje" totalsRowLabel="X" dataDxfId="462" totalsRowDxfId="6"/>
    <tableColumn id="5" name="Obor návazné péče" totalsRowLabel="X" dataDxfId="461" totalsRowDxfId="5"/>
    <tableColumn id="7" name="Skupina" dataDxfId="460" totalsRowDxfId="4"/>
    <tableColumn id="9" name="Výrobce/dodavatel" dataDxfId="459" totalsRowDxfId="3"/>
    <tableColumn id="15" name="Tech. Spec." totalsRowDxfId="2"/>
    <tableColumn id="10" name="Poznámka" dataDxfId="458" totalsRowDxfId="1"/>
    <tableColumn id="11" name="Sloupec2" dataDxfId="457" totalsRowDxfId="0"/>
  </tableColumns>
  <tableStyleInfo name="TableStyleLight15" showFirstColumn="0" showLastColumn="0" showRowStripes="0" showColumnStripes="0"/>
</table>
</file>

<file path=xl/tables/table39.xml><?xml version="1.0" encoding="utf-8"?>
<table xmlns="http://schemas.openxmlformats.org/spreadsheetml/2006/main" id="3" name="Tabulka134274" displayName="Tabulka134274" ref="A7:O19" totalsRowCount="1" headerRowDxfId="398" dataDxfId="397">
  <autoFilter ref="A7:O18"/>
  <sortState ref="A8:O26">
    <sortCondition ref="A7:A26"/>
  </sortState>
  <tableColumns count="15">
    <tableColumn id="1" name="Název přístroje" totalsRowLabel="Celkem" dataDxfId="396"/>
    <tableColumn id="14" name=" pořizovací cena / ks (v Kč bez DPH)" dataDxfId="395" totalsRowDxfId="394"/>
    <tableColumn id="2" name=" pořizovací cena / ks (v Kč včetně DPH)" totalsRowFunction="custom" dataDxfId="393" totalsRowDxfId="392" dataCellStyle="Měna 3">
      <calculatedColumnFormula>B8*(F8+1)</calculatedColumnFormula>
      <totalsRowFormula>SUM(C8:C18)</totalsRowFormula>
    </tableColumn>
    <tableColumn id="6" name="Počet kusů" totalsRowFunction="sum" dataDxfId="391" totalsRowDxfId="390"/>
    <tableColumn id="13" name="Celková  PC (v Kč bez DPH)" totalsRowFunction="custom" dataDxfId="389" totalsRowDxfId="388" dataCellStyle="Měna 3">
      <calculatedColumnFormula>Tabulka134274[[#This Row],[ pořizovací cena / ks (v Kč bez DPH)]]*Tabulka134274[[#This Row],[Počet kusů]]</calculatedColumnFormula>
      <totalsRowFormula>SUM(E8:E18)</totalsRowFormula>
    </tableColumn>
    <tableColumn id="12" name="dph" dataDxfId="387" totalsRowDxfId="386"/>
    <tableColumn id="8" name="Celková  PC (v Kč včetně DPH)" totalsRowFunction="custom" dataDxfId="385" totalsRowDxfId="384">
      <calculatedColumnFormula>Tabulka134274[[#This Row],[ pořizovací cena / ks (v Kč včetně DPH)]]*Tabulka134274[[#This Row],[Počet kusů]]</calculatedColumnFormula>
      <totalsRowFormula>SUM(G8:G18)</totalsRowFormula>
    </tableColumn>
    <tableColumn id="3" name="Obnova/nový přístroj" totalsRowLabel="X" dataDxfId="383" totalsRowDxfId="382"/>
    <tableColumn id="4" name="Stáří původního přístroje" totalsRowLabel="X" dataDxfId="381" totalsRowDxfId="380"/>
    <tableColumn id="5" name="Obor návazné péče" totalsRowLabel="X" dataDxfId="379" totalsRowDxfId="378"/>
    <tableColumn id="7" name="Skupina" dataDxfId="377" totalsRowDxfId="376"/>
    <tableColumn id="9" name="Výrobce/dodavatel" dataDxfId="375" totalsRowDxfId="374"/>
    <tableColumn id="15" name="Tech. Spec." totalsRowDxfId="373"/>
    <tableColumn id="10" name="Poznámka" dataDxfId="372" totalsRowDxfId="371"/>
    <tableColumn id="11" name="Sloupec2" dataDxfId="370" totalsRowDxfId="369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id="7" name="Tabulka1348" displayName="Tabulka1348" ref="A7:O19" totalsRowCount="1" headerRowDxfId="3722" dataDxfId="3721">
  <autoFilter ref="A7:O18"/>
  <sortState ref="A8:O18">
    <sortCondition ref="A7:A18"/>
  </sortState>
  <tableColumns count="15">
    <tableColumn id="1" name="Název přístroje" totalsRowLabel="Celkem" dataDxfId="3720"/>
    <tableColumn id="14" name="Předpokládaná pořizovací cena / ks (v Kč bez DPH)" dataDxfId="3719" totalsRowDxfId="3718"/>
    <tableColumn id="2" name="Předpokládaná pořizovací cena / ks (v Kč včetně DPH)" totalsRowFunction="custom" dataDxfId="3717" totalsRowDxfId="3716" dataCellStyle="Měna 3">
      <calculatedColumnFormula>B8*(F8+1)</calculatedColumnFormula>
      <totalsRowFormula>SUM(C8:C18)</totalsRowFormula>
    </tableColumn>
    <tableColumn id="6" name="Počet kusů" totalsRowFunction="sum" dataDxfId="3715"/>
    <tableColumn id="13" name="Celková předpokládaná PC (v Kč bez DPH)" totalsRowFunction="custom" dataDxfId="3714" totalsRowDxfId="3713" dataCellStyle="Měna 3">
      <calculatedColumnFormula>Tabulka1348[[#This Row],[Předpokládaná pořizovací cena / ks (v Kč bez DPH)]]*Tabulka1348[[#This Row],[Počet kusů]]</calculatedColumnFormula>
      <totalsRowFormula>SUM(E8:E18)</totalsRowFormula>
    </tableColumn>
    <tableColumn id="12" name="dph" dataDxfId="3712" totalsRowDxfId="3711"/>
    <tableColumn id="8" name="Celková předpokládaná PC (v Kč včetně DPH)" totalsRowFunction="custom" dataDxfId="3710" totalsRowDxfId="3709">
      <calculatedColumnFormula>Tabulka1348[[#This Row],[Předpokládaná pořizovací cena / ks (v Kč včetně DPH)]]*Tabulka1348[[#This Row],[Počet kusů]]</calculatedColumnFormula>
      <totalsRowFormula>SUM(G8:G18)</totalsRowFormula>
    </tableColumn>
    <tableColumn id="3" name="Obnova/nový přístroj" totalsRowLabel="X" dataDxfId="3708" totalsRowDxfId="3707"/>
    <tableColumn id="4" name="Stáří původního přístroje" totalsRowLabel="X" dataDxfId="3706" totalsRowDxfId="3705"/>
    <tableColumn id="5" name="Obor návazné péče" totalsRowLabel="X" dataDxfId="3704" totalsRowDxfId="3703"/>
    <tableColumn id="7" name="Skupina" dataDxfId="3702" totalsRowDxfId="3701"/>
    <tableColumn id="9" name="Výrobce/dodavatel" dataDxfId="3700" totalsRowDxfId="3699"/>
    <tableColumn id="15" name="Tech. Spec." totalsRowDxfId="3698"/>
    <tableColumn id="10" name="Poznámka" dataDxfId="3697" totalsRowDxfId="3696"/>
    <tableColumn id="11" name="Sloupec2" dataDxfId="3695" totalsRowDxfId="3694"/>
  </tableColumns>
  <tableStyleInfo name="TableStyleLight15" showFirstColumn="0" showLastColumn="0" showRowStripes="0" showColumnStripes="0"/>
</table>
</file>

<file path=xl/tables/table40.xml><?xml version="1.0" encoding="utf-8"?>
<table xmlns="http://schemas.openxmlformats.org/spreadsheetml/2006/main" id="42" name="Tabulka1343343" displayName="Tabulka1343343" ref="A7:O10" totalsRowCount="1" headerRowDxfId="310" dataDxfId="309">
  <autoFilter ref="A7:O9"/>
  <sortState ref="A8:O9">
    <sortCondition ref="A7:A9"/>
  </sortState>
  <tableColumns count="15">
    <tableColumn id="1" name="Název přístroje" totalsRowLabel="Celkem" dataDxfId="308" totalsRowDxfId="307"/>
    <tableColumn id="14" name=" pořizovací cena / ks (v Kč bez DPH)" dataDxfId="306" totalsRowDxfId="305"/>
    <tableColumn id="2" name=" pořizovací cena / ks (v Kč včetně DPH)" totalsRowFunction="custom" dataDxfId="304" totalsRowDxfId="303" dataCellStyle="Měna 3">
      <calculatedColumnFormula>B8*(F8+1)</calculatedColumnFormula>
      <totalsRowFormula>SUM(C9)</totalsRowFormula>
    </tableColumn>
    <tableColumn id="6" name="Počet kusů" totalsRowFunction="sum" dataDxfId="302" totalsRowDxfId="301"/>
    <tableColumn id="13" name="Celková  PC (v Kč bez DPH)" totalsRowFunction="custom" dataDxfId="300" totalsRowDxfId="299" dataCellStyle="Měna 3">
      <calculatedColumnFormula>Tabulka1343343[[#This Row],[ pořizovací cena / ks (v Kč bez DPH)]]*Tabulka1343343[[#This Row],[Počet kusů]]</calculatedColumnFormula>
      <totalsRowFormula>SUM(E9)</totalsRowFormula>
    </tableColumn>
    <tableColumn id="12" name="dph" dataDxfId="298" totalsRowDxfId="297"/>
    <tableColumn id="8" name="Celková PC (v Kč včetně DPH)" totalsRowFunction="custom" dataDxfId="296" totalsRowDxfId="295">
      <calculatedColumnFormula>Tabulka1343343[[#This Row],[ pořizovací cena / ks (v Kč včetně DPH)]]*Tabulka1343343[[#This Row],[Počet kusů]]</calculatedColumnFormula>
      <totalsRowFormula>SUM(G9)</totalsRowFormula>
    </tableColumn>
    <tableColumn id="3" name="Obnova/nový přístroj" totalsRowLabel="X" dataDxfId="294" totalsRowDxfId="293"/>
    <tableColumn id="4" name="Stáří původního přístroje" totalsRowLabel="X" dataDxfId="292" totalsRowDxfId="291"/>
    <tableColumn id="5" name="Obor návazné péče" totalsRowLabel="X" dataDxfId="290" totalsRowDxfId="289"/>
    <tableColumn id="7" name="Skupina" dataDxfId="288" totalsRowDxfId="287"/>
    <tableColumn id="9" name="Výrobce/dodavatel" dataDxfId="286" totalsRowDxfId="285"/>
    <tableColumn id="15" name="Tech. Spec." totalsRowDxfId="284"/>
    <tableColumn id="10" name="Poznámka" dataDxfId="283" totalsRowDxfId="282"/>
    <tableColumn id="11" name="Sloupec2" dataDxfId="281" totalsRowDxfId="280"/>
  </tableColumns>
  <tableStyleInfo name="TableStyleLight15" showFirstColumn="0" showLastColumn="0" showRowStripes="0" showColumnStripes="0"/>
</table>
</file>

<file path=xl/tables/table41.xml><?xml version="1.0" encoding="utf-8"?>
<table xmlns="http://schemas.openxmlformats.org/spreadsheetml/2006/main" id="2" name="Tabulka134143" displayName="Tabulka134143" ref="A7:O11" totalsRowCount="1" headerRowDxfId="221" dataDxfId="220">
  <autoFilter ref="A7:O10"/>
  <sortState ref="A8:O27">
    <sortCondition ref="A7:A27"/>
  </sortState>
  <tableColumns count="15">
    <tableColumn id="1" name="Název přístroje" totalsRowLabel="Celkem" dataDxfId="219" totalsRowDxfId="218"/>
    <tableColumn id="14" name=" pořizovací cena / ks (v Kč bez DPH)" dataDxfId="217" totalsRowDxfId="216"/>
    <tableColumn id="2" name=" pořizovací cena / ks (v Kč včetně DPH)" totalsRowFunction="custom" dataDxfId="215" totalsRowDxfId="214" dataCellStyle="Měna 3">
      <calculatedColumnFormula>B8*(F8+1)</calculatedColumnFormula>
      <totalsRowFormula>SUM(C8:C10)</totalsRowFormula>
    </tableColumn>
    <tableColumn id="6" name="Počet kusů" totalsRowFunction="sum" dataDxfId="213" totalsRowDxfId="212"/>
    <tableColumn id="13" name="Celková  PC (v Kč bez DPH)" totalsRowFunction="custom" dataDxfId="211" totalsRowDxfId="210" dataCellStyle="Měna 3">
      <calculatedColumnFormula>Tabulka134143[[#This Row],[ pořizovací cena / ks (v Kč bez DPH)]]*Tabulka134143[[#This Row],[Počet kusů]]</calculatedColumnFormula>
      <totalsRowFormula>SUM(E8:E10)</totalsRowFormula>
    </tableColumn>
    <tableColumn id="12" name="dph" dataDxfId="209" totalsRowDxfId="208"/>
    <tableColumn id="8" name="Celková  PC (v Kč včetně DPH)" totalsRowFunction="custom" dataDxfId="207" totalsRowDxfId="206">
      <calculatedColumnFormula>Tabulka134143[[#This Row],[ pořizovací cena / ks (v Kč včetně DPH)]]*Tabulka134143[[#This Row],[Počet kusů]]</calculatedColumnFormula>
      <totalsRowFormula>SUM(G8:G10)</totalsRowFormula>
    </tableColumn>
    <tableColumn id="3" name="Obnova/nový přístroj" totalsRowLabel="X" dataDxfId="205" totalsRowDxfId="204"/>
    <tableColumn id="4" name="Stáří původního přístroje" totalsRowLabel="X" dataDxfId="203" totalsRowDxfId="202"/>
    <tableColumn id="5" name="Obor návazné péče" totalsRowLabel="X" dataDxfId="201" totalsRowDxfId="200"/>
    <tableColumn id="7" name="Skupina" dataDxfId="199" totalsRowDxfId="198"/>
    <tableColumn id="9" name="Výrobce/dodavatel" dataDxfId="197" totalsRowDxfId="196"/>
    <tableColumn id="15" name="Tech. Spec." totalsRowDxfId="195"/>
    <tableColumn id="10" name="Poznámka" dataDxfId="194" totalsRowDxfId="193"/>
    <tableColumn id="11" name="Sloupec2" dataDxfId="192" totalsRowDxfId="191"/>
  </tableColumns>
  <tableStyleInfo name="TableStyleLight15" showFirstColumn="0" showLastColumn="0" showRowStripes="0" showColumnStripes="0"/>
</table>
</file>

<file path=xl/tables/table42.xml><?xml version="1.0" encoding="utf-8"?>
<table xmlns="http://schemas.openxmlformats.org/spreadsheetml/2006/main" id="1" name="Tabulka134132" displayName="Tabulka134132" ref="A7:O11" totalsRowCount="1" headerRowDxfId="132" dataDxfId="131">
  <autoFilter ref="A7:O10"/>
  <sortState ref="A8:O12">
    <sortCondition ref="K7:K12"/>
  </sortState>
  <tableColumns count="15">
    <tableColumn id="1" name="Název přístroje" totalsRowLabel="Celkem" dataDxfId="130"/>
    <tableColumn id="14" name=" pořizovací cena / ks (v Kč bez DPH)" dataDxfId="129" totalsRowDxfId="128"/>
    <tableColumn id="2" name=" pořizovací cena / ks (v Kč včetně DPH)" totalsRowFunction="custom" dataDxfId="127" totalsRowDxfId="126" dataCellStyle="Měna 3">
      <calculatedColumnFormula>B8*(F8+1)</calculatedColumnFormula>
      <totalsRowFormula>SUM(C8:C10)</totalsRowFormula>
    </tableColumn>
    <tableColumn id="6" name="Počet kusů" totalsRowFunction="sum" dataDxfId="125"/>
    <tableColumn id="13" name="Celková  PC (v Kč bez DPH)" totalsRowFunction="custom" dataDxfId="124" totalsRowDxfId="123">
      <calculatedColumnFormula>Tabulka134132[[#This Row],[ pořizovací cena / ks (v Kč bez DPH)]]*Tabulka134132[[#This Row],[Počet kusů]]</calculatedColumnFormula>
      <totalsRowFormula>SUM(E8:E10)</totalsRowFormula>
    </tableColumn>
    <tableColumn id="12" name="dph" dataDxfId="122" totalsRowDxfId="121"/>
    <tableColumn id="8" name="Celková  PC (v Kč včetně DPH)" totalsRowFunction="custom" dataDxfId="120" totalsRowDxfId="119">
      <calculatedColumnFormula>Tabulka134132[[#This Row],[ pořizovací cena / ks (v Kč včetně DPH)]]*Tabulka134132[[#This Row],[Počet kusů]]</calculatedColumnFormula>
      <totalsRowFormula>SUM(G8:G10)</totalsRowFormula>
    </tableColumn>
    <tableColumn id="3" name="Obnova/nový přístroj" totalsRowLabel="X" dataDxfId="118" totalsRowDxfId="117"/>
    <tableColumn id="4" name="Stáří původního přístroje" totalsRowLabel="X" dataDxfId="116" totalsRowDxfId="115"/>
    <tableColumn id="5" name="Obor návazné péče" totalsRowLabel="X" dataDxfId="114" totalsRowDxfId="113"/>
    <tableColumn id="7" name="Skupina" dataDxfId="112" totalsRowDxfId="111"/>
    <tableColumn id="9" name="Výrobce/dodavatel" dataDxfId="110" totalsRowDxfId="109"/>
    <tableColumn id="15" name="Tech. Spec." totalsRowDxfId="108"/>
    <tableColumn id="10" name="Poznámka" dataDxfId="107" totalsRowDxfId="106"/>
    <tableColumn id="11" name="Sloupec2" dataDxfId="105" totalsRowDxfId="104"/>
  </tableColumns>
  <tableStyleInfo name="TableStyleLight15" showFirstColumn="0" showLastColumn="0" showRowStripes="0" showColumnStripes="0"/>
</table>
</file>

<file path=xl/tables/table43.xml><?xml version="1.0" encoding="utf-8"?>
<table xmlns="http://schemas.openxmlformats.org/spreadsheetml/2006/main" id="43" name="Tabulka1343344" displayName="Tabulka1343344" ref="A7:O9" totalsRowCount="1" headerRowDxfId="45" dataDxfId="44">
  <autoFilter ref="A7:O8"/>
  <sortState ref="A8:O8">
    <sortCondition ref="K7:K8"/>
  </sortState>
  <tableColumns count="15">
    <tableColumn id="1" name="Název přístroje" totalsRowLabel="Celkem" dataDxfId="43" totalsRowDxfId="42"/>
    <tableColumn id="14" name=" pořizovací cena / ks (v Kč bez DPH)" dataDxfId="41" totalsRowDxfId="40"/>
    <tableColumn id="2" name=" pořizovací cena / ks (v Kč včetně DPH)" totalsRowFunction="custom" dataDxfId="39" totalsRowDxfId="38" dataCellStyle="Měna 3">
      <calculatedColumnFormula>B8*(F8+1)</calculatedColumnFormula>
      <totalsRowFormula>SUM(C8)</totalsRowFormula>
    </tableColumn>
    <tableColumn id="6" name="Počet kusů" totalsRowFunction="sum" dataDxfId="37" totalsRowDxfId="36"/>
    <tableColumn id="13" name="Celková  PC (v Kč bez DPH)" totalsRowFunction="custom" dataDxfId="35" totalsRowDxfId="34" dataCellStyle="Měna 3">
      <calculatedColumnFormula>Tabulka1343344[[#This Row],[ pořizovací cena / ks (v Kč bez DPH)]]*Tabulka1343344[[#This Row],[Počet kusů]]</calculatedColumnFormula>
      <totalsRowFormula>SUM(E8)</totalsRowFormula>
    </tableColumn>
    <tableColumn id="12" name="dph" dataDxfId="33" totalsRowDxfId="32"/>
    <tableColumn id="8" name="Celková PC (v Kč včetně DPH)" totalsRowFunction="custom" dataDxfId="31" totalsRowDxfId="30">
      <calculatedColumnFormula>Tabulka1343344[[#This Row],[ pořizovací cena / ks (v Kč včetně DPH)]]*Tabulka1343344[[#This Row],[Počet kusů]]</calculatedColumnFormula>
      <totalsRowFormula>SUM(G8)</totalsRowFormula>
    </tableColumn>
    <tableColumn id="3" name="Obnova/nový přístroj" totalsRowLabel="X" dataDxfId="29" totalsRowDxfId="28"/>
    <tableColumn id="4" name="Stáří původního přístroje" totalsRowLabel="X" dataDxfId="27" totalsRowDxfId="26"/>
    <tableColumn id="5" name="Obor návazné péče" totalsRowLabel="X" dataDxfId="25" totalsRowDxfId="24"/>
    <tableColumn id="7" name="Skupina" dataDxfId="23" totalsRowDxfId="22"/>
    <tableColumn id="9" name="Výrobce/dodavatel" dataDxfId="21" totalsRowDxfId="20"/>
    <tableColumn id="15" name="Tech. Spec." totalsRowDxfId="19"/>
    <tableColumn id="10" name="Poznámka" dataDxfId="18" totalsRowDxfId="17"/>
    <tableColumn id="11" name="Sloupec2" dataDxfId="16" totalsRowDxfId="15"/>
  </tableColumns>
  <tableStyleInfo name="TableStyleLight15" showFirstColumn="0" showLastColumn="0" showRowStripes="0" showColumnStripes="0"/>
</table>
</file>

<file path=xl/tables/table5.xml><?xml version="1.0" encoding="utf-8"?>
<table xmlns="http://schemas.openxmlformats.org/spreadsheetml/2006/main" id="8" name="Tabulka1349" displayName="Tabulka1349" ref="A7:O10" totalsRowCount="1" headerRowDxfId="3635" dataDxfId="3634">
  <autoFilter ref="A7:O9"/>
  <sortState ref="A8:O10">
    <sortCondition ref="K7:K10"/>
  </sortState>
  <tableColumns count="15">
    <tableColumn id="1" name="Název přístroje" totalsRowLabel="Celkem" dataDxfId="3633"/>
    <tableColumn id="14" name=" pořizovací cena / ks (v Kč bez DPH)" dataDxfId="3632" totalsRowDxfId="3631"/>
    <tableColumn id="2" name=" pořizovací cena / ks (v Kč včetně DPH)" totalsRowFunction="custom" dataDxfId="3630" totalsRowDxfId="3629" dataCellStyle="Měna 3">
      <calculatedColumnFormula>B8*(F8+1)</calculatedColumnFormula>
      <totalsRowFormula>SUM(C8:C9)</totalsRowFormula>
    </tableColumn>
    <tableColumn id="6" name="Počet kusů" totalsRowFunction="sum" dataDxfId="3628"/>
    <tableColumn id="13" name="Celková  PC (v Kč bez DPH)" totalsRowFunction="custom" dataDxfId="3627" totalsRowDxfId="3626" dataCellStyle="Měna 3">
      <calculatedColumnFormula>Tabulka1349[[#This Row],[ pořizovací cena / ks (v Kč bez DPH)]]*Tabulka1349[[#This Row],[Počet kusů]]</calculatedColumnFormula>
      <totalsRowFormula>SUM(E8:E9)</totalsRowFormula>
    </tableColumn>
    <tableColumn id="12" name="dph" dataDxfId="3625" totalsRowDxfId="3624"/>
    <tableColumn id="8" name="Celková  PC (v Kč včetně DPH)" totalsRowFunction="custom" dataDxfId="3623" totalsRowDxfId="3622">
      <calculatedColumnFormula>Tabulka1349[[#This Row],[ pořizovací cena / ks (v Kč včetně DPH)]]*Tabulka1349[[#This Row],[Počet kusů]]</calculatedColumnFormula>
      <totalsRowFormula>SUM(G8:G9)</totalsRowFormula>
    </tableColumn>
    <tableColumn id="3" name="Obnova/nový přístroj" totalsRowLabel="X" dataDxfId="3621" totalsRowDxfId="3620"/>
    <tableColumn id="4" name="Stáří původního přístroje" totalsRowLabel="X" dataDxfId="3619" totalsRowDxfId="3618"/>
    <tableColumn id="5" name="Obor návazné péče" totalsRowLabel="X" dataDxfId="3617" totalsRowDxfId="3616"/>
    <tableColumn id="7" name="Skupina" dataDxfId="3615" totalsRowDxfId="3614"/>
    <tableColumn id="9" name="Výrobce/dodavatel" dataDxfId="3613" totalsRowDxfId="3612"/>
    <tableColumn id="15" name="Tech. Spec." totalsRowDxfId="3611"/>
    <tableColumn id="10" name="Poznámka" dataDxfId="3610" totalsRowDxfId="3609"/>
    <tableColumn id="11" name="Sloupec2" dataDxfId="3608" totalsRowDxfId="3607"/>
  </tableColumns>
  <tableStyleInfo name="TableStyleLight15" showFirstColumn="0" showLastColumn="0" showRowStripes="0" showColumnStripes="0"/>
</table>
</file>

<file path=xl/tables/table6.xml><?xml version="1.0" encoding="utf-8"?>
<table xmlns="http://schemas.openxmlformats.org/spreadsheetml/2006/main" id="9" name="Tabulka13410" displayName="Tabulka13410" ref="A7:O14" totalsRowCount="1" headerRowDxfId="3548" dataDxfId="3547">
  <autoFilter ref="A7:O13"/>
  <sortState ref="A8:O13">
    <sortCondition ref="K7:K13"/>
  </sortState>
  <tableColumns count="15">
    <tableColumn id="1" name="Název přístroje" totalsRowLabel="Celkem" dataDxfId="3546"/>
    <tableColumn id="14" name=" pořizovací cena / ks (v Kč bez DPH)" dataDxfId="3545" totalsRowDxfId="3544"/>
    <tableColumn id="2" name=" pořizovací cena / ks (v Kč včetně DPH)" totalsRowFunction="custom" dataDxfId="3543" totalsRowDxfId="3542" dataCellStyle="Měna 3">
      <calculatedColumnFormula>B8*(F8+1)</calculatedColumnFormula>
      <totalsRowFormula>SUM(C8:C13)</totalsRowFormula>
    </tableColumn>
    <tableColumn id="6" name="Počet kusů" totalsRowFunction="sum" dataDxfId="3541"/>
    <tableColumn id="13" name="Celková  PC (v Kč bez DPH)" totalsRowFunction="custom" dataDxfId="3540" totalsRowDxfId="3539" dataCellStyle="Měna 3">
      <calculatedColumnFormula>Tabulka13410[[#This Row],[ pořizovací cena / ks (v Kč bez DPH)]]*Tabulka13410[[#This Row],[Počet kusů]]</calculatedColumnFormula>
      <totalsRowFormula>SUM(E8:E13)</totalsRowFormula>
    </tableColumn>
    <tableColumn id="12" name="dph" dataDxfId="3538" totalsRowDxfId="3537"/>
    <tableColumn id="8" name="Celková  PC (v Kč včetně DPH)" totalsRowFunction="custom" dataDxfId="3536" totalsRowDxfId="3535">
      <calculatedColumnFormula>Tabulka13410[[#This Row],[ pořizovací cena / ks (v Kč včetně DPH)]]*Tabulka13410[[#This Row],[Počet kusů]]</calculatedColumnFormula>
      <totalsRowFormula>SUM(G8:G13)</totalsRowFormula>
    </tableColumn>
    <tableColumn id="3" name="Obnova/nový přístroj" totalsRowLabel="X" dataDxfId="3534" totalsRowDxfId="3533"/>
    <tableColumn id="4" name="Stáří původního přístroje" totalsRowLabel="X" dataDxfId="3532" totalsRowDxfId="3531"/>
    <tableColumn id="5" name="Obor návazné péče" totalsRowLabel="X" dataDxfId="3530" totalsRowDxfId="3529"/>
    <tableColumn id="7" name="Skupina" dataDxfId="3528" totalsRowDxfId="3527"/>
    <tableColumn id="9" name="Výrobce/dodavatel" dataDxfId="3526" totalsRowDxfId="3525"/>
    <tableColumn id="15" name="Tech. Spec." totalsRowDxfId="3524"/>
    <tableColumn id="10" name="Poznámka" dataDxfId="3523" totalsRowDxfId="3522"/>
    <tableColumn id="11" name="Sloupec2" dataDxfId="3521" totalsRowDxfId="3520"/>
  </tableColumns>
  <tableStyleInfo name="TableStyleLight15" showFirstColumn="0" showLastColumn="0" showRowStripes="0" showColumnStripes="0"/>
</table>
</file>

<file path=xl/tables/table7.xml><?xml version="1.0" encoding="utf-8"?>
<table xmlns="http://schemas.openxmlformats.org/spreadsheetml/2006/main" id="10" name="Tabulka13411" displayName="Tabulka13411" ref="A7:O11" totalsRowCount="1" headerRowDxfId="3461" dataDxfId="3460">
  <autoFilter ref="A7:O10"/>
  <sortState ref="A8:O11">
    <sortCondition ref="K7:K11"/>
  </sortState>
  <tableColumns count="15">
    <tableColumn id="1" name="Název přístroje" totalsRowLabel="Celkem" dataDxfId="3459"/>
    <tableColumn id="14" name="P pořizovací cena / ks (v Kč bez DPH)" dataDxfId="3458" totalsRowDxfId="3457"/>
    <tableColumn id="2" name=" pořizovací cena / ks (v Kč včetně DPH)" totalsRowFunction="custom" dataDxfId="3456" totalsRowDxfId="3455" dataCellStyle="Měna 3">
      <calculatedColumnFormula>B8*(F8+1)</calculatedColumnFormula>
      <totalsRowFormula>SUM(C8:C10)</totalsRowFormula>
    </tableColumn>
    <tableColumn id="6" name="Počet kusů" totalsRowFunction="sum" dataDxfId="3454"/>
    <tableColumn id="13" name="Celková  PC (v Kč bez DPH)" totalsRowFunction="custom" dataDxfId="3453" totalsRowDxfId="3452" dataCellStyle="Měna 3">
      <calculatedColumnFormula>Tabulka13411[[#This Row],[P pořizovací cena / ks (v Kč bez DPH)]]*Tabulka13411[[#This Row],[Počet kusů]]</calculatedColumnFormula>
      <totalsRowFormula>SUM(E8:E10)</totalsRowFormula>
    </tableColumn>
    <tableColumn id="12" name="dph" dataDxfId="3451" totalsRowDxfId="3450"/>
    <tableColumn id="8" name="Celková  PC (v Kč včetně DPH)" totalsRowFunction="custom" dataDxfId="3449" totalsRowDxfId="3448">
      <calculatedColumnFormula>Tabulka13411[[#This Row],[ pořizovací cena / ks (v Kč včetně DPH)]]*Tabulka13411[[#This Row],[Počet kusů]]</calculatedColumnFormula>
      <totalsRowFormula>SUM(G8:G10)</totalsRowFormula>
    </tableColumn>
    <tableColumn id="3" name="Obnova/nový přístroj" totalsRowLabel="X" dataDxfId="3447" totalsRowDxfId="3446"/>
    <tableColumn id="4" name="Stáří původního přístroje" totalsRowLabel="X" dataDxfId="3445" totalsRowDxfId="3444"/>
    <tableColumn id="5" name="Obor návazné péče" totalsRowLabel="X" dataDxfId="3443" totalsRowDxfId="3442"/>
    <tableColumn id="7" name="Skupina" dataDxfId="3441" totalsRowDxfId="3440"/>
    <tableColumn id="9" name="Výrobce/dodavatel" dataDxfId="3439" totalsRowDxfId="3438"/>
    <tableColumn id="15" name="Tech. Spec." totalsRowDxfId="3437"/>
    <tableColumn id="10" name="Poznámka" dataDxfId="3436" totalsRowDxfId="3435"/>
    <tableColumn id="11" name="Sloupec2" dataDxfId="3434" totalsRowDxfId="3433"/>
  </tableColumns>
  <tableStyleInfo name="TableStyleLight15" showFirstColumn="0" showLastColumn="0" showRowStripes="0" showColumnStripes="0"/>
</table>
</file>

<file path=xl/tables/table8.xml><?xml version="1.0" encoding="utf-8"?>
<table xmlns="http://schemas.openxmlformats.org/spreadsheetml/2006/main" id="11" name="Tabulka13412" displayName="Tabulka13412" ref="A7:O11" totalsRowCount="1" headerRowDxfId="3374" dataDxfId="3373">
  <autoFilter ref="A7:O10"/>
  <sortState ref="A8:O10">
    <sortCondition ref="A7:A10"/>
  </sortState>
  <tableColumns count="15">
    <tableColumn id="1" name="Název přístroje" totalsRowLabel="Celkem" dataDxfId="3372"/>
    <tableColumn id="14" name=" pořizovací cena / ks (v Kč bez DPH)" dataDxfId="3371" totalsRowDxfId="3370"/>
    <tableColumn id="2" name=" pořizovací cena / ks (v Kč včetně DPH)" totalsRowFunction="custom" dataDxfId="3369" totalsRowDxfId="3368" dataCellStyle="Měna 3">
      <calculatedColumnFormula>B8*(F8+1)</calculatedColumnFormula>
      <totalsRowFormula>SUM(C8:C10)</totalsRowFormula>
    </tableColumn>
    <tableColumn id="6" name="Počet kusů" totalsRowFunction="sum" dataDxfId="3367"/>
    <tableColumn id="13" name="Celková  PC (v Kč bez DPH)" totalsRowFunction="custom" dataDxfId="3366" totalsRowDxfId="3365" dataCellStyle="Měna 3">
      <calculatedColumnFormula>Tabulka13412[[#This Row],[ pořizovací cena / ks (v Kč bez DPH)]]*Tabulka13412[[#This Row],[Počet kusů]]</calculatedColumnFormula>
      <totalsRowFormula>SUM(E8:E10)</totalsRowFormula>
    </tableColumn>
    <tableColumn id="12" name="dph" dataDxfId="3364" totalsRowDxfId="3363"/>
    <tableColumn id="8" name="Celková  PC (v Kč včetně DPH)" totalsRowFunction="custom" dataDxfId="3362" totalsRowDxfId="3361">
      <calculatedColumnFormula>Tabulka13412[[#This Row],[ pořizovací cena / ks (v Kč včetně DPH)]]*Tabulka13412[[#This Row],[Počet kusů]]</calculatedColumnFormula>
      <totalsRowFormula>SUM(G8:G10)</totalsRowFormula>
    </tableColumn>
    <tableColumn id="3" name="Obnova/nový přístroj" totalsRowLabel="X" dataDxfId="3360" totalsRowDxfId="3359"/>
    <tableColumn id="4" name="Stáří původního přístroje" totalsRowLabel="X" dataDxfId="3358" totalsRowDxfId="3357"/>
    <tableColumn id="5" name="Obor návazné péče" totalsRowLabel="X" dataDxfId="3356" totalsRowDxfId="3355"/>
    <tableColumn id="7" name="Skupina" dataDxfId="3354" totalsRowDxfId="3353"/>
    <tableColumn id="9" name="Výrobce/dodavatel" dataDxfId="3352" totalsRowDxfId="3351"/>
    <tableColumn id="15" name="Tech. Spec." totalsRowDxfId="3350"/>
    <tableColumn id="10" name="Poznámka" dataDxfId="3349" totalsRowDxfId="3348"/>
    <tableColumn id="11" name="Sloupec2" dataDxfId="3347" totalsRowDxfId="3346"/>
  </tableColumns>
  <tableStyleInfo name="TableStyleLight15" showFirstColumn="0" showLastColumn="0" showRowStripes="0" showColumnStripes="0"/>
</table>
</file>

<file path=xl/tables/table9.xml><?xml version="1.0" encoding="utf-8"?>
<table xmlns="http://schemas.openxmlformats.org/spreadsheetml/2006/main" id="12" name="Tabulka13413" displayName="Tabulka13413" ref="A7:O9" totalsRowCount="1" headerRowDxfId="3287" dataDxfId="3286">
  <autoFilter ref="A7:O8"/>
  <sortState ref="A8:O12">
    <sortCondition ref="K7:K12"/>
  </sortState>
  <tableColumns count="15">
    <tableColumn id="1" name="Název přístroje" totalsRowLabel="Celkem" dataDxfId="3285"/>
    <tableColumn id="14" name=" pořizovací cena / ks (v Kč bez DPH)" dataDxfId="3284" totalsRowDxfId="3283"/>
    <tableColumn id="2" name=" pořizovací cena / ks (v Kč včetně DPH)" totalsRowFunction="custom" dataDxfId="3282" totalsRowDxfId="3281" dataCellStyle="Měna 3">
      <calculatedColumnFormula>B8*(F8+1)</calculatedColumnFormula>
      <totalsRowFormula>SUM(C8:C8)</totalsRowFormula>
    </tableColumn>
    <tableColumn id="6" name="Počet kusů" totalsRowFunction="sum" dataDxfId="3280"/>
    <tableColumn id="13" name="Celková  PC (v Kč bez DPH)" totalsRowFunction="custom" dataDxfId="3279" totalsRowDxfId="3278">
      <calculatedColumnFormula>Tabulka13413[[#This Row],[ pořizovací cena / ks (v Kč bez DPH)]]*Tabulka13413[[#This Row],[Počet kusů]]</calculatedColumnFormula>
      <totalsRowFormula>SUM(E8:E8)</totalsRowFormula>
    </tableColumn>
    <tableColumn id="12" name="dph" dataDxfId="3277" totalsRowDxfId="3276"/>
    <tableColumn id="8" name="Celková  PC (v Kč včetně DPH)" totalsRowFunction="custom" dataDxfId="3275" totalsRowDxfId="3274">
      <calculatedColumnFormula>Tabulka13413[[#This Row],[ pořizovací cena / ks (v Kč včetně DPH)]]*Tabulka13413[[#This Row],[Počet kusů]]</calculatedColumnFormula>
      <totalsRowFormula>SUM(G8:G8)</totalsRowFormula>
    </tableColumn>
    <tableColumn id="3" name="Obnova/nový přístroj" totalsRowLabel="X" dataDxfId="3273" totalsRowDxfId="3272"/>
    <tableColumn id="4" name="Stáří původního přístroje" totalsRowLabel="X" dataDxfId="3271" totalsRowDxfId="3270"/>
    <tableColumn id="5" name="Obor návazné péče" totalsRowLabel="X" dataDxfId="3269" totalsRowDxfId="3268"/>
    <tableColumn id="7" name="Skupina" dataDxfId="3267" totalsRowDxfId="3266"/>
    <tableColumn id="9" name="Výrobce/dodavatel" dataDxfId="3265" totalsRowDxfId="3264"/>
    <tableColumn id="15" name="Tech. Spec." totalsRowDxfId="3263"/>
    <tableColumn id="10" name="Poznámka" dataDxfId="3262" totalsRowDxfId="3261"/>
    <tableColumn id="11" name="Sloupec2" dataDxfId="3260" totalsRowDxfId="3259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table" Target="../tables/table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table" Target="../tables/table13.xml"/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table" Target="../tables/table14.xml"/><Relationship Id="rId1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table" Target="../tables/table15.xml"/><Relationship Id="rId1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table" Target="../tables/table16.xml"/><Relationship Id="rId1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table" Target="../tables/table17.xml"/><Relationship Id="rId1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table" Target="../tables/table18.xml"/><Relationship Id="rId1" Type="http://schemas.openxmlformats.org/officeDocument/2006/relationships/vmlDrawing" Target="../drawings/vmlDrawing18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table" Target="../tables/table19.xml"/><Relationship Id="rId1" Type="http://schemas.openxmlformats.org/officeDocument/2006/relationships/vmlDrawing" Target="../drawings/vmlDrawing19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table" Target="../tables/table20.xml"/><Relationship Id="rId1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table" Target="../tables/table21.xml"/><Relationship Id="rId1" Type="http://schemas.openxmlformats.org/officeDocument/2006/relationships/vmlDrawing" Target="../drawings/vmlDrawing21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table" Target="../tables/table22.xml"/><Relationship Id="rId1" Type="http://schemas.openxmlformats.org/officeDocument/2006/relationships/vmlDrawing" Target="../drawings/vmlDrawing22.v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table" Target="../tables/table23.xml"/><Relationship Id="rId1" Type="http://schemas.openxmlformats.org/officeDocument/2006/relationships/vmlDrawing" Target="../drawings/vmlDrawing23.v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table" Target="../tables/table24.xml"/><Relationship Id="rId1" Type="http://schemas.openxmlformats.org/officeDocument/2006/relationships/vmlDrawing" Target="../drawings/vmlDrawing24.v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table" Target="../tables/table25.xml"/><Relationship Id="rId1" Type="http://schemas.openxmlformats.org/officeDocument/2006/relationships/vmlDrawing" Target="../drawings/vmlDrawing25.v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table" Target="../tables/table26.xml"/><Relationship Id="rId1" Type="http://schemas.openxmlformats.org/officeDocument/2006/relationships/vmlDrawing" Target="../drawings/vmlDrawing26.v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table" Target="../tables/table27.xml"/><Relationship Id="rId1" Type="http://schemas.openxmlformats.org/officeDocument/2006/relationships/vmlDrawing" Target="../drawings/vmlDrawing27.v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table" Target="../tables/table28.xml"/><Relationship Id="rId1" Type="http://schemas.openxmlformats.org/officeDocument/2006/relationships/vmlDrawing" Target="../drawings/vmlDrawing28.v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table" Target="../tables/table29.xml"/><Relationship Id="rId1" Type="http://schemas.openxmlformats.org/officeDocument/2006/relationships/vmlDrawing" Target="../drawings/vmlDrawing29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3.v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table" Target="../tables/table30.xml"/><Relationship Id="rId1" Type="http://schemas.openxmlformats.org/officeDocument/2006/relationships/vmlDrawing" Target="../drawings/vmlDrawing30.v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table" Target="../tables/table31.xml"/><Relationship Id="rId1" Type="http://schemas.openxmlformats.org/officeDocument/2006/relationships/vmlDrawing" Target="../drawings/vmlDrawing31.v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table" Target="../tables/table32.xml"/><Relationship Id="rId1" Type="http://schemas.openxmlformats.org/officeDocument/2006/relationships/vmlDrawing" Target="../drawings/vmlDrawing32.v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table" Target="../tables/table33.xml"/><Relationship Id="rId1" Type="http://schemas.openxmlformats.org/officeDocument/2006/relationships/vmlDrawing" Target="../drawings/vmlDrawing33.v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table" Target="../tables/table34.xml"/><Relationship Id="rId1" Type="http://schemas.openxmlformats.org/officeDocument/2006/relationships/vmlDrawing" Target="../drawings/vmlDrawing34.v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table" Target="../tables/table35.xml"/><Relationship Id="rId1" Type="http://schemas.openxmlformats.org/officeDocument/2006/relationships/vmlDrawing" Target="../drawings/vmlDrawing35.v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table" Target="../tables/table36.xml"/><Relationship Id="rId1" Type="http://schemas.openxmlformats.org/officeDocument/2006/relationships/vmlDrawing" Target="../drawings/vmlDrawing36.v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table" Target="../tables/table37.xml"/><Relationship Id="rId1" Type="http://schemas.openxmlformats.org/officeDocument/2006/relationships/vmlDrawing" Target="../drawings/vmlDrawing37.v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table" Target="../tables/table38.xml"/><Relationship Id="rId1" Type="http://schemas.openxmlformats.org/officeDocument/2006/relationships/vmlDrawing" Target="../drawings/vmlDrawing38.v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table" Target="../tables/table39.xml"/><Relationship Id="rId1" Type="http://schemas.openxmlformats.org/officeDocument/2006/relationships/vmlDrawing" Target="../drawings/vmlDrawing39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table" Target="../tables/table40.xml"/><Relationship Id="rId1" Type="http://schemas.openxmlformats.org/officeDocument/2006/relationships/vmlDrawing" Target="../drawings/vmlDrawing40.v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1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1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table" Target="../tables/table42.xml"/><Relationship Id="rId1" Type="http://schemas.openxmlformats.org/officeDocument/2006/relationships/vmlDrawing" Target="../drawings/vmlDrawing42.v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table" Target="../tables/table43.xml"/><Relationship Id="rId1" Type="http://schemas.openxmlformats.org/officeDocument/2006/relationships/vmlDrawing" Target="../drawings/vmlDrawing4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table" Target="../tables/table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table" Target="../tables/table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table" Target="../tables/table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table" Target="../tables/table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table" Target="../tables/table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10"/>
  <sheetViews>
    <sheetView topLeftCell="C1" workbookViewId="0">
      <selection activeCell="A17" sqref="A17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20.42578125" bestFit="1" customWidth="1"/>
    <col min="8" max="8" width="14.42578125" hidden="1" customWidth="1"/>
    <col min="9" max="9" width="13.42578125" hidden="1" customWidth="1"/>
    <col min="10" max="10" width="1.85546875" hidden="1" customWidth="1"/>
    <col min="11" max="11" width="22.85546875" bestFit="1" customWidth="1"/>
    <col min="12" max="12" width="10.85546875" hidden="1" customWidth="1"/>
    <col min="13" max="13" width="25.7109375" hidden="1" customWidth="1"/>
    <col min="14" max="14" width="9.140625" hidden="1" customWidth="1"/>
  </cols>
  <sheetData>
    <row r="3" spans="1:14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4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4" x14ac:dyDescent="0.25">
      <c r="A6" s="78" t="s">
        <v>121</v>
      </c>
    </row>
    <row r="7" spans="1:14" ht="60.75" customHeight="1" x14ac:dyDescent="0.25">
      <c r="A7" s="2" t="s">
        <v>0</v>
      </c>
      <c r="B7" s="48" t="s">
        <v>130</v>
      </c>
      <c r="C7" s="2" t="s">
        <v>126</v>
      </c>
      <c r="D7" s="2" t="s">
        <v>6</v>
      </c>
      <c r="E7" s="35" t="s">
        <v>131</v>
      </c>
      <c r="F7" s="36" t="s">
        <v>113</v>
      </c>
      <c r="G7" s="2" t="s">
        <v>132</v>
      </c>
      <c r="H7" s="2" t="s">
        <v>1</v>
      </c>
      <c r="I7" s="2" t="s">
        <v>4</v>
      </c>
      <c r="J7" s="2" t="s">
        <v>5</v>
      </c>
      <c r="K7" s="2" t="s">
        <v>99</v>
      </c>
      <c r="L7" s="2" t="s">
        <v>115</v>
      </c>
      <c r="M7" s="9" t="s">
        <v>114</v>
      </c>
      <c r="N7" s="9" t="s">
        <v>101</v>
      </c>
    </row>
    <row r="8" spans="1:14" x14ac:dyDescent="0.25">
      <c r="A8" s="13" t="s">
        <v>50</v>
      </c>
      <c r="B8" s="5"/>
      <c r="C8" s="5">
        <f>B8*(F8+1)</f>
        <v>0</v>
      </c>
      <c r="D8" s="15">
        <v>1</v>
      </c>
      <c r="E8" s="5">
        <f>Tabulka1345[ pořizovací cena / ks (v Kč včetně DPH)]*Tabulka1345[Počet kusů]</f>
        <v>0</v>
      </c>
      <c r="F8" s="53">
        <v>0.21</v>
      </c>
      <c r="G8" s="12">
        <f>Tabulka1345[ pořizovací cena / ks (v Kč včetně DPH)]*Tabulka1345[Počet kusů]</f>
        <v>0</v>
      </c>
      <c r="H8" s="6" t="s">
        <v>11</v>
      </c>
      <c r="I8" s="6">
        <v>2005</v>
      </c>
      <c r="J8" s="6" t="s">
        <v>92</v>
      </c>
      <c r="K8" s="81"/>
      <c r="L8" s="38" t="s">
        <v>116</v>
      </c>
      <c r="M8" s="6" t="s">
        <v>100</v>
      </c>
      <c r="N8" s="6"/>
    </row>
    <row r="9" spans="1:14" x14ac:dyDescent="0.25">
      <c r="A9" s="6" t="s">
        <v>7</v>
      </c>
      <c r="B9" s="61"/>
      <c r="C9" s="62">
        <f>SUM(C8)</f>
        <v>0</v>
      </c>
      <c r="D9" s="6">
        <f>SUBTOTAL(109,Tabulka1345[Počet kusů])</f>
        <v>1</v>
      </c>
      <c r="E9" s="62">
        <f>SUM(E8)</f>
        <v>0</v>
      </c>
      <c r="F9" s="63"/>
      <c r="G9" s="62">
        <f>SUM(G8)</f>
        <v>0</v>
      </c>
      <c r="H9" s="64" t="s">
        <v>8</v>
      </c>
      <c r="I9" s="64" t="s">
        <v>8</v>
      </c>
      <c r="J9" s="64" t="s">
        <v>8</v>
      </c>
      <c r="K9" s="64"/>
      <c r="L9" s="1"/>
      <c r="M9" s="1"/>
      <c r="N9" s="1"/>
    </row>
    <row r="10" spans="1:14" x14ac:dyDescent="0.25">
      <c r="A10" s="6"/>
      <c r="B10" s="61"/>
      <c r="C10" s="6"/>
      <c r="D10" s="6"/>
      <c r="E10" s="65"/>
      <c r="F10" s="63"/>
      <c r="G10" s="6"/>
      <c r="H10" s="6"/>
      <c r="I10" s="6"/>
      <c r="J10" s="6"/>
      <c r="K10" s="6"/>
    </row>
  </sheetData>
  <protectedRanges>
    <protectedRange sqref="K8:L8" name="Oblast1"/>
  </protectedRanges>
  <mergeCells count="4">
    <mergeCell ref="A3:C3"/>
    <mergeCell ref="D3:J3"/>
    <mergeCell ref="A4:C4"/>
    <mergeCell ref="D4:J4"/>
  </mergeCells>
  <conditionalFormatting sqref="A8:B8 D8:L8">
    <cfRule type="expression" dxfId="4041" priority="88">
      <formula>#REF!=#REF!</formula>
    </cfRule>
    <cfRule type="expression" dxfId="4040" priority="89">
      <formula>#REF!=#REF!</formula>
    </cfRule>
    <cfRule type="expression" dxfId="4039" priority="90">
      <formula>#REF!=#REF!</formula>
    </cfRule>
    <cfRule type="expression" dxfId="4038" priority="91">
      <formula>#REF!=#REF!</formula>
    </cfRule>
    <cfRule type="expression" dxfId="4037" priority="92">
      <formula>#REF!=#REF!</formula>
    </cfRule>
    <cfRule type="expression" dxfId="4036" priority="93">
      <formula>#REF!=#REF!</formula>
    </cfRule>
    <cfRule type="expression" dxfId="4035" priority="94">
      <formula>#REF!=#REF!</formula>
    </cfRule>
    <cfRule type="expression" dxfId="4034" priority="95">
      <formula>#REF!=#REF!</formula>
    </cfRule>
    <cfRule type="expression" dxfId="4033" priority="96">
      <formula>#REF!=#REF!</formula>
    </cfRule>
    <cfRule type="expression" dxfId="4032" priority="97">
      <formula>#REF!=#REF!</formula>
    </cfRule>
    <cfRule type="expression" dxfId="4031" priority="98">
      <formula>#REF!=#REF!</formula>
    </cfRule>
    <cfRule type="expression" dxfId="4030" priority="99">
      <formula>#REF!=#REF!</formula>
    </cfRule>
    <cfRule type="expression" dxfId="4029" priority="100">
      <formula>#REF!=#REF!</formula>
    </cfRule>
    <cfRule type="expression" dxfId="4028" priority="101">
      <formula>#REF!=#REF!</formula>
    </cfRule>
    <cfRule type="expression" dxfId="4027" priority="102">
      <formula>#REF!=#REF!</formula>
    </cfRule>
    <cfRule type="expression" dxfId="4026" priority="103">
      <formula>#REF!=#REF!</formula>
    </cfRule>
    <cfRule type="expression" dxfId="4025" priority="104">
      <formula>#REF!=#REF!</formula>
    </cfRule>
    <cfRule type="expression" dxfId="4024" priority="105">
      <formula>#REF!=#REF!</formula>
    </cfRule>
    <cfRule type="expression" dxfId="4023" priority="106">
      <formula>#REF!=#REF!</formula>
    </cfRule>
    <cfRule type="expression" dxfId="4022" priority="107">
      <formula>#REF!=#REF!</formula>
    </cfRule>
    <cfRule type="expression" dxfId="4021" priority="108">
      <formula>#REF!=#REF!</formula>
    </cfRule>
    <cfRule type="expression" dxfId="4020" priority="109">
      <formula>#REF!=#REF!</formula>
    </cfRule>
    <cfRule type="expression" dxfId="4019" priority="110">
      <formula>#REF!=#REF!</formula>
    </cfRule>
    <cfRule type="expression" dxfId="4018" priority="111">
      <formula>#REF!=#REF!</formula>
    </cfRule>
    <cfRule type="expression" dxfId="4017" priority="112">
      <formula>#REF!=#REF!</formula>
    </cfRule>
    <cfRule type="expression" dxfId="4016" priority="113">
      <formula>#REF!=#REF!</formula>
    </cfRule>
    <cfRule type="expression" dxfId="4015" priority="114">
      <formula>#REF!=#REF!</formula>
    </cfRule>
    <cfRule type="expression" dxfId="4014" priority="115">
      <formula>#REF!=#REF!</formula>
    </cfRule>
    <cfRule type="expression" dxfId="4013" priority="116">
      <formula>#REF!=#REF!</formula>
    </cfRule>
  </conditionalFormatting>
  <conditionalFormatting sqref="C8">
    <cfRule type="expression" dxfId="4012" priority="175">
      <formula>#REF!=#REF!</formula>
    </cfRule>
    <cfRule type="expression" dxfId="4011" priority="176">
      <formula>#REF!=#REF!</formula>
    </cfRule>
    <cfRule type="expression" dxfId="4010" priority="177">
      <formula>#REF!=#REF!</formula>
    </cfRule>
    <cfRule type="expression" dxfId="4009" priority="178">
      <formula>#REF!=#REF!</formula>
    </cfRule>
    <cfRule type="expression" dxfId="4008" priority="179">
      <formula>#REF!=#REF!</formula>
    </cfRule>
    <cfRule type="expression" dxfId="4007" priority="180">
      <formula>#REF!=#REF!</formula>
    </cfRule>
    <cfRule type="expression" dxfId="4006" priority="181">
      <formula>#REF!=#REF!</formula>
    </cfRule>
    <cfRule type="expression" dxfId="4005" priority="182">
      <formula>#REF!=#REF!</formula>
    </cfRule>
    <cfRule type="expression" dxfId="4004" priority="183">
      <formula>#REF!=#REF!</formula>
    </cfRule>
    <cfRule type="expression" dxfId="4003" priority="184">
      <formula>#REF!=#REF!</formula>
    </cfRule>
    <cfRule type="expression" dxfId="4002" priority="185">
      <formula>#REF!=#REF!</formula>
    </cfRule>
    <cfRule type="expression" dxfId="4001" priority="186">
      <formula>#REF!=#REF!</formula>
    </cfRule>
    <cfRule type="expression" dxfId="4000" priority="187">
      <formula>#REF!=#REF!</formula>
    </cfRule>
    <cfRule type="expression" dxfId="3999" priority="188">
      <formula>#REF!=#REF!</formula>
    </cfRule>
    <cfRule type="expression" dxfId="3998" priority="189">
      <formula>#REF!=#REF!</formula>
    </cfRule>
    <cfRule type="expression" dxfId="3997" priority="190">
      <formula>#REF!=#REF!</formula>
    </cfRule>
    <cfRule type="expression" dxfId="3996" priority="191">
      <formula>#REF!=#REF!</formula>
    </cfRule>
    <cfRule type="expression" dxfId="3995" priority="192">
      <formula>#REF!=#REF!</formula>
    </cfRule>
    <cfRule type="expression" dxfId="3994" priority="193">
      <formula>#REF!=#REF!</formula>
    </cfRule>
    <cfRule type="expression" dxfId="3993" priority="194">
      <formula>#REF!=#REF!</formula>
    </cfRule>
    <cfRule type="expression" dxfId="3992" priority="195">
      <formula>#REF!=#REF!</formula>
    </cfRule>
    <cfRule type="expression" dxfId="3991" priority="196">
      <formula>#REF!=#REF!</formula>
    </cfRule>
    <cfRule type="expression" dxfId="3990" priority="197">
      <formula>#REF!=#REF!</formula>
    </cfRule>
    <cfRule type="expression" dxfId="3989" priority="198">
      <formula>#REF!=#REF!</formula>
    </cfRule>
    <cfRule type="expression" dxfId="3988" priority="199">
      <formula>#REF!=#REF!</formula>
    </cfRule>
    <cfRule type="expression" dxfId="3987" priority="200">
      <formula>#REF!=#REF!</formula>
    </cfRule>
    <cfRule type="expression" dxfId="3986" priority="201">
      <formula>#REF!=#REF!</formula>
    </cfRule>
    <cfRule type="expression" dxfId="3985" priority="202">
      <formula>#REF!=#REF!</formula>
    </cfRule>
    <cfRule type="expression" dxfId="3984" priority="203">
      <formula>#REF!=#REF!</formula>
    </cfRule>
  </conditionalFormatting>
  <dataValidations xWindow="615" yWindow="488" count="6">
    <dataValidation allowBlank="1" showInputMessage="1" showErrorMessage="1" prompt="Udávejte částku v Kč včetně DPH." sqref="C8"/>
    <dataValidation allowBlank="1" showInputMessage="1" showErrorMessage="1" promptTitle="Obor" prompt="Uveďte pro který obor NP bude přístroj využíván." sqref="J8"/>
    <dataValidation allowBlank="1" showInputMessage="1" showErrorMessage="1" promptTitle="Stáří přístroje" prompt="Vyplňte pokud se jedná o obnovu." sqref="I8"/>
    <dataValidation type="list" allowBlank="1" showInputMessage="1" showErrorMessage="1" sqref="D10:F41 G13:G41 G10:G11">
      <formula1>$M$19:$M$20</formula1>
    </dataValidation>
    <dataValidation type="list" allowBlank="1" showInputMessage="1" showErrorMessage="1" sqref="L8">
      <formula1>#REF!</formula1>
    </dataValidation>
    <dataValidation type="list" allowBlank="1" showInputMessage="1" showErrorMessage="1" sqref="H8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O31"/>
  <sheetViews>
    <sheetView workbookViewId="0">
      <selection activeCell="D20" sqref="D20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42.7109375" hidden="1" customWidth="1"/>
    <col min="12" max="12" width="26.42578125" customWidth="1"/>
    <col min="13" max="13" width="0.140625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212</v>
      </c>
    </row>
    <row r="7" spans="1:15" ht="60.75" customHeight="1" x14ac:dyDescent="0.25">
      <c r="A7" s="2" t="s">
        <v>0</v>
      </c>
      <c r="B7" s="48" t="s">
        <v>130</v>
      </c>
      <c r="C7" s="2" t="s">
        <v>126</v>
      </c>
      <c r="D7" s="2" t="s">
        <v>6</v>
      </c>
      <c r="E7" s="35" t="s">
        <v>127</v>
      </c>
      <c r="F7" s="36" t="s">
        <v>113</v>
      </c>
      <c r="G7" s="2" t="s">
        <v>132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13" t="s">
        <v>55</v>
      </c>
      <c r="B8" s="5"/>
      <c r="C8" s="5">
        <f t="shared" ref="C8:C20" si="0">B8*(F8+1)</f>
        <v>0</v>
      </c>
      <c r="D8" s="15">
        <v>1</v>
      </c>
      <c r="E8" s="5">
        <f>Tabulka13414[[#This Row],[ pořizovací cena / ks (v Kč bez DPH)]]*Tabulka13414[[#This Row],[Počet kusů]]</f>
        <v>0</v>
      </c>
      <c r="F8" s="53">
        <v>0.21</v>
      </c>
      <c r="G8" s="12">
        <f>Tabulka13414[[#This Row],[ pořizovací cena / ks (v Kč včetně DPH)]]*Tabulka13414[[#This Row],[Počet kusů]]</f>
        <v>0</v>
      </c>
      <c r="H8" s="6" t="s">
        <v>11</v>
      </c>
      <c r="I8" s="6">
        <v>2009</v>
      </c>
      <c r="J8" s="6" t="s">
        <v>92</v>
      </c>
      <c r="K8" s="8"/>
      <c r="L8" s="8"/>
      <c r="M8" s="10"/>
      <c r="N8" s="6"/>
      <c r="O8" s="6"/>
    </row>
    <row r="9" spans="1:15" x14ac:dyDescent="0.25">
      <c r="A9" s="14" t="s">
        <v>171</v>
      </c>
      <c r="B9" s="83"/>
      <c r="C9" s="5">
        <f t="shared" si="0"/>
        <v>0</v>
      </c>
      <c r="D9" s="15">
        <v>3</v>
      </c>
      <c r="E9" s="5">
        <f>Tabulka13414[[#This Row],[ pořizovací cena / ks (v Kč bez DPH)]]*Tabulka13414[[#This Row],[Počet kusů]]</f>
        <v>0</v>
      </c>
      <c r="F9" s="53">
        <v>0.21</v>
      </c>
      <c r="G9" s="12">
        <f>Tabulka13414[[#This Row],[ pořizovací cena / ks (v Kč včetně DPH)]]*Tabulka13414[[#This Row],[Počet kusů]]</f>
        <v>0</v>
      </c>
      <c r="H9" s="6"/>
      <c r="I9" s="6"/>
      <c r="J9" s="6"/>
      <c r="K9" s="8"/>
      <c r="L9" s="8"/>
      <c r="M9" s="10"/>
      <c r="N9" s="6"/>
      <c r="O9" s="6"/>
    </row>
    <row r="10" spans="1:15" x14ac:dyDescent="0.25">
      <c r="A10" s="14" t="s">
        <v>170</v>
      </c>
      <c r="B10" s="83"/>
      <c r="C10" s="5">
        <f t="shared" si="0"/>
        <v>0</v>
      </c>
      <c r="D10" s="15">
        <v>5</v>
      </c>
      <c r="E10" s="5">
        <f>Tabulka13414[[#This Row],[ pořizovací cena / ks (v Kč bez DPH)]]*Tabulka13414[[#This Row],[Počet kusů]]</f>
        <v>0</v>
      </c>
      <c r="F10" s="53">
        <v>0.21</v>
      </c>
      <c r="G10" s="12">
        <f>Tabulka13414[[#This Row],[ pořizovací cena / ks (v Kč včetně DPH)]]*Tabulka13414[[#This Row],[Počet kusů]]</f>
        <v>0</v>
      </c>
      <c r="H10" s="6"/>
      <c r="I10" s="6"/>
      <c r="J10" s="6"/>
      <c r="K10" s="10"/>
      <c r="L10" s="8"/>
      <c r="M10" s="10"/>
      <c r="N10" s="6"/>
      <c r="O10" s="6"/>
    </row>
    <row r="11" spans="1:15" x14ac:dyDescent="0.25">
      <c r="A11" s="14" t="s">
        <v>169</v>
      </c>
      <c r="B11" s="5"/>
      <c r="C11" s="5">
        <f t="shared" si="0"/>
        <v>0</v>
      </c>
      <c r="D11" s="15">
        <v>2</v>
      </c>
      <c r="E11" s="5">
        <f>Tabulka13414[[#This Row],[ pořizovací cena / ks (v Kč bez DPH)]]*Tabulka13414[[#This Row],[Počet kusů]]</f>
        <v>0</v>
      </c>
      <c r="F11" s="53">
        <v>0.21</v>
      </c>
      <c r="G11" s="12">
        <f>Tabulka13414[[#This Row],[ pořizovací cena / ks (v Kč včetně DPH)]]*Tabulka13414[[#This Row],[Počet kusů]]</f>
        <v>0</v>
      </c>
      <c r="H11" s="6" t="s">
        <v>11</v>
      </c>
      <c r="I11" s="6">
        <v>2008</v>
      </c>
      <c r="J11" s="6" t="s">
        <v>92</v>
      </c>
      <c r="K11" s="10"/>
      <c r="L11" s="8"/>
      <c r="M11" s="10"/>
      <c r="N11" s="6"/>
      <c r="O11" s="6"/>
    </row>
    <row r="12" spans="1:15" x14ac:dyDescent="0.25">
      <c r="A12" s="14" t="s">
        <v>167</v>
      </c>
      <c r="B12" s="83"/>
      <c r="C12" s="5">
        <f t="shared" si="0"/>
        <v>0</v>
      </c>
      <c r="D12" s="15">
        <v>2</v>
      </c>
      <c r="E12" s="5">
        <f>Tabulka13414[[#This Row],[ pořizovací cena / ks (v Kč bez DPH)]]*Tabulka13414[[#This Row],[Počet kusů]]</f>
        <v>0</v>
      </c>
      <c r="F12" s="53">
        <v>0.21</v>
      </c>
      <c r="G12" s="12">
        <f>Tabulka13414[[#This Row],[ pořizovací cena / ks (v Kč včetně DPH)]]*Tabulka13414[[#This Row],[Počet kusů]]</f>
        <v>0</v>
      </c>
      <c r="H12" s="6"/>
      <c r="I12" s="6"/>
      <c r="J12" s="6"/>
      <c r="K12" s="10"/>
      <c r="L12" s="8"/>
      <c r="M12" s="10"/>
      <c r="N12" s="6"/>
      <c r="O12" s="6"/>
    </row>
    <row r="13" spans="1:15" x14ac:dyDescent="0.25">
      <c r="A13" s="14" t="s">
        <v>168</v>
      </c>
      <c r="B13" s="83"/>
      <c r="C13" s="5">
        <f t="shared" si="0"/>
        <v>0</v>
      </c>
      <c r="D13" s="15">
        <v>2</v>
      </c>
      <c r="E13" s="5">
        <f>Tabulka13414[[#This Row],[ pořizovací cena / ks (v Kč bez DPH)]]*Tabulka13414[[#This Row],[Počet kusů]]</f>
        <v>0</v>
      </c>
      <c r="F13" s="53">
        <v>0.21</v>
      </c>
      <c r="G13" s="12">
        <f>Tabulka13414[[#This Row],[ pořizovací cena / ks (v Kč včetně DPH)]]*Tabulka13414[[#This Row],[Počet kusů]]</f>
        <v>0</v>
      </c>
      <c r="H13" s="6"/>
      <c r="I13" s="6"/>
      <c r="J13" s="6"/>
      <c r="K13" s="10"/>
      <c r="L13" s="8"/>
      <c r="M13" s="10"/>
      <c r="N13" s="6"/>
      <c r="O13" s="6"/>
    </row>
    <row r="14" spans="1:15" x14ac:dyDescent="0.25">
      <c r="A14" s="15" t="s">
        <v>57</v>
      </c>
      <c r="B14" s="5"/>
      <c r="C14" s="5">
        <f t="shared" si="0"/>
        <v>0</v>
      </c>
      <c r="D14" s="15">
        <v>1</v>
      </c>
      <c r="E14" s="5">
        <f>Tabulka13414[[#This Row],[ pořizovací cena / ks (v Kč bez DPH)]]*Tabulka13414[[#This Row],[Počet kusů]]</f>
        <v>0</v>
      </c>
      <c r="F14" s="53">
        <v>0.21</v>
      </c>
      <c r="G14" s="12">
        <f>Tabulka13414[[#This Row],[ pořizovací cena / ks (v Kč včetně DPH)]]*Tabulka13414[[#This Row],[Počet kusů]]</f>
        <v>0</v>
      </c>
      <c r="H14" s="6" t="s">
        <v>21</v>
      </c>
      <c r="I14" s="6"/>
      <c r="J14" s="6" t="s">
        <v>92</v>
      </c>
      <c r="K14" s="10"/>
      <c r="L14" s="8"/>
      <c r="M14" s="10"/>
      <c r="N14" s="6"/>
      <c r="O14" s="6"/>
    </row>
    <row r="15" spans="1:15" x14ac:dyDescent="0.25">
      <c r="A15" s="7" t="s">
        <v>58</v>
      </c>
      <c r="B15" s="5"/>
      <c r="C15" s="5">
        <f t="shared" si="0"/>
        <v>0</v>
      </c>
      <c r="D15" s="15">
        <v>1</v>
      </c>
      <c r="E15" s="5">
        <f>Tabulka13414[[#This Row],[ pořizovací cena / ks (v Kč bez DPH)]]*Tabulka13414[[#This Row],[Počet kusů]]</f>
        <v>0</v>
      </c>
      <c r="F15" s="53">
        <v>0.21</v>
      </c>
      <c r="G15" s="12">
        <f>Tabulka13414[[#This Row],[ pořizovací cena / ks (v Kč včetně DPH)]]*Tabulka13414[[#This Row],[Počet kusů]]</f>
        <v>0</v>
      </c>
      <c r="H15" s="6" t="s">
        <v>21</v>
      </c>
      <c r="I15" s="6"/>
      <c r="J15" s="6" t="s">
        <v>92</v>
      </c>
      <c r="K15" s="8"/>
      <c r="L15" s="8"/>
      <c r="M15" s="10"/>
      <c r="N15" s="6"/>
      <c r="O15" s="6"/>
    </row>
    <row r="16" spans="1:15" x14ac:dyDescent="0.25">
      <c r="A16" s="13" t="s">
        <v>52</v>
      </c>
      <c r="B16" s="5"/>
      <c r="C16" s="5">
        <f t="shared" si="0"/>
        <v>0</v>
      </c>
      <c r="D16" s="15">
        <v>1</v>
      </c>
      <c r="E16" s="5">
        <f>Tabulka13414[[#This Row],[ pořizovací cena / ks (v Kč bez DPH)]]*Tabulka13414[[#This Row],[Počet kusů]]</f>
        <v>0</v>
      </c>
      <c r="F16" s="53">
        <v>0.21</v>
      </c>
      <c r="G16" s="12">
        <f>Tabulka13414[[#This Row],[ pořizovací cena / ks (v Kč včetně DPH)]]*Tabulka13414[[#This Row],[Počet kusů]]</f>
        <v>0</v>
      </c>
      <c r="H16" s="6" t="s">
        <v>11</v>
      </c>
      <c r="I16" s="6">
        <v>2006</v>
      </c>
      <c r="J16" s="6" t="s">
        <v>92</v>
      </c>
      <c r="K16" s="8"/>
      <c r="L16" s="8"/>
      <c r="M16" s="10"/>
      <c r="N16" s="6"/>
      <c r="O16" s="6"/>
    </row>
    <row r="17" spans="1:15" x14ac:dyDescent="0.25">
      <c r="A17" s="14" t="s">
        <v>45</v>
      </c>
      <c r="B17" s="5"/>
      <c r="C17" s="5">
        <f t="shared" si="0"/>
        <v>0</v>
      </c>
      <c r="D17" s="15">
        <v>2</v>
      </c>
      <c r="E17" s="5">
        <f>Tabulka13414[[#This Row],[ pořizovací cena / ks (v Kč bez DPH)]]*Tabulka13414[[#This Row],[Počet kusů]]</f>
        <v>0</v>
      </c>
      <c r="F17" s="53">
        <v>0.21</v>
      </c>
      <c r="G17" s="12">
        <f>Tabulka13414[[#This Row],[ pořizovací cena / ks (v Kč včetně DPH)]]*Tabulka13414[[#This Row],[Počet kusů]]</f>
        <v>0</v>
      </c>
      <c r="H17" s="6" t="s">
        <v>11</v>
      </c>
      <c r="I17" s="6">
        <v>2004</v>
      </c>
      <c r="J17" s="6" t="s">
        <v>92</v>
      </c>
      <c r="K17" s="8"/>
      <c r="L17" s="8"/>
      <c r="M17" s="10"/>
      <c r="N17" s="6"/>
      <c r="O17" s="6"/>
    </row>
    <row r="18" spans="1:15" x14ac:dyDescent="0.25">
      <c r="A18" s="23" t="s">
        <v>191</v>
      </c>
      <c r="B18" s="5"/>
      <c r="C18" s="5">
        <f t="shared" si="0"/>
        <v>0</v>
      </c>
      <c r="D18" s="18">
        <v>1</v>
      </c>
      <c r="E18" s="5">
        <f>Tabulka13414[[#This Row],[ pořizovací cena / ks (v Kč bez DPH)]]*Tabulka13414[[#This Row],[Počet kusů]]</f>
        <v>0</v>
      </c>
      <c r="F18" s="53">
        <v>0.21</v>
      </c>
      <c r="G18" s="12">
        <f>Tabulka13414[[#This Row],[ pořizovací cena / ks (v Kč včetně DPH)]]*Tabulka13414[[#This Row],[Počet kusů]]</f>
        <v>0</v>
      </c>
      <c r="H18" s="6" t="s">
        <v>11</v>
      </c>
      <c r="I18" s="6">
        <v>2007</v>
      </c>
      <c r="J18" s="6" t="s">
        <v>92</v>
      </c>
      <c r="K18" s="8"/>
      <c r="L18" s="8"/>
      <c r="M18" s="10"/>
      <c r="N18" s="6"/>
      <c r="O18" s="6"/>
    </row>
    <row r="19" spans="1:15" x14ac:dyDescent="0.25">
      <c r="A19" s="23" t="s">
        <v>182</v>
      </c>
      <c r="B19" s="83"/>
      <c r="C19" s="5">
        <f t="shared" si="0"/>
        <v>0</v>
      </c>
      <c r="D19" s="15">
        <v>4</v>
      </c>
      <c r="E19" s="5">
        <f>Tabulka13414[[#This Row],[ pořizovací cena / ks (v Kč bez DPH)]]*Tabulka13414[[#This Row],[Počet kusů]]</f>
        <v>0</v>
      </c>
      <c r="F19" s="53">
        <v>0.21</v>
      </c>
      <c r="G19" s="12">
        <f>Tabulka13414[[#This Row],[ pořizovací cena / ks (v Kč včetně DPH)]]*Tabulka13414[[#This Row],[Počet kusů]]</f>
        <v>0</v>
      </c>
      <c r="H19" s="6"/>
      <c r="I19" s="6"/>
      <c r="J19" s="6"/>
      <c r="K19" s="8"/>
      <c r="L19" s="8"/>
      <c r="M19" s="10"/>
      <c r="N19" s="6"/>
      <c r="O19" s="6"/>
    </row>
    <row r="20" spans="1:15" x14ac:dyDescent="0.25">
      <c r="A20" s="23" t="s">
        <v>183</v>
      </c>
      <c r="B20" s="5"/>
      <c r="C20" s="5">
        <f t="shared" si="0"/>
        <v>0</v>
      </c>
      <c r="D20" s="18">
        <v>2</v>
      </c>
      <c r="E20" s="5">
        <f>Tabulka13414[[#This Row],[ pořizovací cena / ks (v Kč bez DPH)]]*Tabulka13414[[#This Row],[Počet kusů]]</f>
        <v>0</v>
      </c>
      <c r="F20" s="53">
        <v>0.21</v>
      </c>
      <c r="G20" s="12">
        <f>Tabulka13414[[#This Row],[ pořizovací cena / ks (v Kč včetně DPH)]]*Tabulka13414[[#This Row],[Počet kusů]]</f>
        <v>0</v>
      </c>
      <c r="H20" s="6" t="s">
        <v>11</v>
      </c>
      <c r="I20" s="6">
        <v>2005</v>
      </c>
      <c r="J20" s="6" t="s">
        <v>92</v>
      </c>
      <c r="K20" s="8"/>
      <c r="L20" s="8"/>
      <c r="M20" s="10"/>
      <c r="N20" s="6"/>
      <c r="O20" s="6"/>
    </row>
    <row r="21" spans="1:15" x14ac:dyDescent="0.25">
      <c r="A21" s="6" t="s">
        <v>7</v>
      </c>
      <c r="B21" s="61"/>
      <c r="C21" s="62">
        <f>SUM(C8:C20)</f>
        <v>0</v>
      </c>
      <c r="D21" s="6">
        <f>SUBTOTAL(109,Tabulka13414[Počet kusů])</f>
        <v>27</v>
      </c>
      <c r="E21" s="62">
        <f>SUM(E8:E20)</f>
        <v>0</v>
      </c>
      <c r="F21" s="63"/>
      <c r="G21" s="62">
        <f>SUM(G8:G20)</f>
        <v>0</v>
      </c>
      <c r="H21" s="64" t="s">
        <v>8</v>
      </c>
      <c r="I21" s="64" t="s">
        <v>8</v>
      </c>
      <c r="J21" s="64" t="s">
        <v>8</v>
      </c>
      <c r="K21" s="64"/>
      <c r="L21" s="64"/>
      <c r="M21" s="1"/>
      <c r="N21" s="1"/>
      <c r="O21" s="1"/>
    </row>
    <row r="23" spans="1:15" ht="15.75" x14ac:dyDescent="0.3">
      <c r="K23" s="29"/>
    </row>
    <row r="25" spans="1:15" x14ac:dyDescent="0.25">
      <c r="K25" s="30" t="s">
        <v>103</v>
      </c>
    </row>
    <row r="26" spans="1:15" ht="15.75" x14ac:dyDescent="0.3">
      <c r="K26" s="31" t="e">
        <f>SUMPRODUCT(1/COUNTIF(Tabulka13414[Skupina],Tabulka13414[Skupina]))</f>
        <v>#DIV/0!</v>
      </c>
    </row>
    <row r="30" spans="1:15" x14ac:dyDescent="0.25">
      <c r="K30" t="s">
        <v>3</v>
      </c>
    </row>
    <row r="31" spans="1:15" x14ac:dyDescent="0.25">
      <c r="K31" t="s">
        <v>2</v>
      </c>
    </row>
  </sheetData>
  <protectedRanges>
    <protectedRange sqref="K8:M9 L10:M14 K15:M20" name="Oblast1"/>
  </protectedRanges>
  <mergeCells count="4">
    <mergeCell ref="A3:C3"/>
    <mergeCell ref="D3:J3"/>
    <mergeCell ref="A4:C4"/>
    <mergeCell ref="D4:J4"/>
  </mergeCells>
  <conditionalFormatting sqref="D8:M20 A8:B20">
    <cfRule type="expression" dxfId="3258" priority="59">
      <formula>$K8=#REF!</formula>
    </cfRule>
    <cfRule type="expression" dxfId="3257" priority="60">
      <formula>$K8=#REF!</formula>
    </cfRule>
    <cfRule type="expression" dxfId="3256" priority="61">
      <formula>$K8=#REF!</formula>
    </cfRule>
    <cfRule type="expression" dxfId="3255" priority="62">
      <formula>$K8=#REF!</formula>
    </cfRule>
    <cfRule type="expression" dxfId="3254" priority="63">
      <formula>$K8=#REF!</formula>
    </cfRule>
    <cfRule type="expression" dxfId="3253" priority="64">
      <formula>$K8=#REF!</formula>
    </cfRule>
    <cfRule type="expression" dxfId="3252" priority="65">
      <formula>$K8=#REF!</formula>
    </cfRule>
    <cfRule type="expression" dxfId="3251" priority="66">
      <formula>$K8=#REF!</formula>
    </cfRule>
    <cfRule type="expression" dxfId="3250" priority="67">
      <formula>$K8=#REF!</formula>
    </cfRule>
    <cfRule type="expression" dxfId="3249" priority="68">
      <formula>$K8=#REF!</formula>
    </cfRule>
    <cfRule type="expression" dxfId="3248" priority="69">
      <formula>$K8=#REF!</formula>
    </cfRule>
    <cfRule type="expression" dxfId="3247" priority="70">
      <formula>$K8=#REF!</formula>
    </cfRule>
    <cfRule type="expression" dxfId="3246" priority="71">
      <formula>$K8=#REF!</formula>
    </cfRule>
    <cfRule type="expression" dxfId="3245" priority="72">
      <formula>$K8=#REF!</formula>
    </cfRule>
    <cfRule type="expression" dxfId="3244" priority="73">
      <formula>$K8=#REF!</formula>
    </cfRule>
    <cfRule type="expression" dxfId="3243" priority="74">
      <formula>$K8=#REF!</formula>
    </cfRule>
    <cfRule type="expression" dxfId="3242" priority="75">
      <formula>$K8=#REF!</formula>
    </cfRule>
    <cfRule type="expression" dxfId="3241" priority="76">
      <formula>$K8=#REF!</formula>
    </cfRule>
    <cfRule type="expression" dxfId="3240" priority="77">
      <formula>$K8=#REF!</formula>
    </cfRule>
    <cfRule type="expression" dxfId="3239" priority="78">
      <formula>$K8=#REF!</formula>
    </cfRule>
    <cfRule type="expression" dxfId="3238" priority="79">
      <formula>$K8=#REF!</formula>
    </cfRule>
    <cfRule type="expression" dxfId="3237" priority="80">
      <formula>$K8=#REF!</formula>
    </cfRule>
    <cfRule type="expression" dxfId="3236" priority="81">
      <formula>$K8=#REF!</formula>
    </cfRule>
    <cfRule type="expression" dxfId="3235" priority="82">
      <formula>$K8=#REF!</formula>
    </cfRule>
    <cfRule type="expression" dxfId="3234" priority="83">
      <formula>$K8=#REF!</formula>
    </cfRule>
    <cfRule type="expression" dxfId="3233" priority="84">
      <formula>$K8=#REF!</formula>
    </cfRule>
    <cfRule type="expression" dxfId="3232" priority="85">
      <formula>$K8=#REF!</formula>
    </cfRule>
    <cfRule type="expression" dxfId="3231" priority="86">
      <formula>$K8=#REF!</formula>
    </cfRule>
    <cfRule type="expression" dxfId="3230" priority="87">
      <formula>$K8=#REF!</formula>
    </cfRule>
  </conditionalFormatting>
  <conditionalFormatting sqref="C8:C20">
    <cfRule type="expression" dxfId="3229" priority="1">
      <formula>$K8=#REF!</formula>
    </cfRule>
    <cfRule type="expression" dxfId="3228" priority="2">
      <formula>$K8=#REF!</formula>
    </cfRule>
    <cfRule type="expression" dxfId="3227" priority="3">
      <formula>$K8=#REF!</formula>
    </cfRule>
    <cfRule type="expression" dxfId="3226" priority="4">
      <formula>$K8=#REF!</formula>
    </cfRule>
    <cfRule type="expression" dxfId="3225" priority="5">
      <formula>$K8=#REF!</formula>
    </cfRule>
    <cfRule type="expression" dxfId="3224" priority="6">
      <formula>$K8=#REF!</formula>
    </cfRule>
    <cfRule type="expression" dxfId="3223" priority="7">
      <formula>$K8=#REF!</formula>
    </cfRule>
    <cfRule type="expression" dxfId="3222" priority="8">
      <formula>$K8=#REF!</formula>
    </cfRule>
    <cfRule type="expression" dxfId="3221" priority="9">
      <formula>$K8=#REF!</formula>
    </cfRule>
    <cfRule type="expression" dxfId="3220" priority="10">
      <formula>$K8=#REF!</formula>
    </cfRule>
    <cfRule type="expression" dxfId="3219" priority="11">
      <formula>$K8=#REF!</formula>
    </cfRule>
    <cfRule type="expression" dxfId="3218" priority="12">
      <formula>$K8=#REF!</formula>
    </cfRule>
    <cfRule type="expression" dxfId="3217" priority="13">
      <formula>$K8=#REF!</formula>
    </cfRule>
    <cfRule type="expression" dxfId="3216" priority="14">
      <formula>$K8=#REF!</formula>
    </cfRule>
    <cfRule type="expression" dxfId="3215" priority="15">
      <formula>$K8=#REF!</formula>
    </cfRule>
    <cfRule type="expression" dxfId="3214" priority="16">
      <formula>$K8=#REF!</formula>
    </cfRule>
    <cfRule type="expression" dxfId="3213" priority="17">
      <formula>$K8=#REF!</formula>
    </cfRule>
    <cfRule type="expression" dxfId="3212" priority="18">
      <formula>$K8=#REF!</formula>
    </cfRule>
    <cfRule type="expression" dxfId="3211" priority="19">
      <formula>$K8=#REF!</formula>
    </cfRule>
    <cfRule type="expression" dxfId="3210" priority="20">
      <formula>$K8=#REF!</formula>
    </cfRule>
    <cfRule type="expression" dxfId="3209" priority="21">
      <formula>$K8=#REF!</formula>
    </cfRule>
    <cfRule type="expression" dxfId="3208" priority="22">
      <formula>$K8=#REF!</formula>
    </cfRule>
    <cfRule type="expression" dxfId="3207" priority="23">
      <formula>$K8=#REF!</formula>
    </cfRule>
    <cfRule type="expression" dxfId="3206" priority="24">
      <formula>$K8=#REF!</formula>
    </cfRule>
    <cfRule type="expression" dxfId="3205" priority="25">
      <formula>$K8=#REF!</formula>
    </cfRule>
    <cfRule type="expression" dxfId="3204" priority="26">
      <formula>$K8=#REF!</formula>
    </cfRule>
    <cfRule type="expression" dxfId="3203" priority="27">
      <formula>$K8=#REF!</formula>
    </cfRule>
    <cfRule type="expression" dxfId="3202" priority="28">
      <formula>$K8=#REF!</formula>
    </cfRule>
    <cfRule type="expression" dxfId="3201" priority="29">
      <formula>$K8=#REF!</formula>
    </cfRule>
  </conditionalFormatting>
  <dataValidations count="7">
    <dataValidation type="list" allowBlank="1" showInputMessage="1" showErrorMessage="1" sqref="D22:F53 G22:G23 G25:G53">
      <formula1>$N$31:$N$32</formula1>
    </dataValidation>
    <dataValidation allowBlank="1" showInputMessage="1" showErrorMessage="1" prompt="Udávejte částku v Kč včetně DPH." sqref="C8:C20"/>
    <dataValidation type="list" allowBlank="1" showInputMessage="1" showErrorMessage="1" sqref="H8:H20">
      <formula1>$K$30:$K$31</formula1>
    </dataValidation>
    <dataValidation allowBlank="1" showInputMessage="1" showErrorMessage="1" promptTitle="Obor" prompt="Uveďte pro který obor NP bude přístroj využíván." sqref="J8:J20"/>
    <dataValidation allowBlank="1" showInputMessage="1" showErrorMessage="1" promptTitle="Stáří přístroje" prompt="Vyplňte pokud se jedná o obnovu." sqref="I8:I20"/>
    <dataValidation type="list" errorStyle="information" allowBlank="1" showInputMessage="1" promptTitle="Vyberte skupinu" prompt="Vyberte skupinu zakázky" sqref="K8:K20">
      <formula1>#REF!</formula1>
    </dataValidation>
    <dataValidation type="list" allowBlank="1" showInputMessage="1" showErrorMessage="1" sqref="M8:M20">
      <formula1>#REF!</formula1>
    </dataValidation>
  </dataValidations>
  <pageMargins left="0.7" right="0.7" top="0.75" bottom="0.75" header="0.3" footer="0.3"/>
  <pageSetup paperSize="9" scale="74" orientation="landscape" r:id="rId1"/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23"/>
  <sheetViews>
    <sheetView workbookViewId="0">
      <selection activeCell="D12" sqref="D12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42.7109375" hidden="1" customWidth="1"/>
    <col min="12" max="12" width="26.28515625" customWidth="1"/>
    <col min="13" max="13" width="10.85546875" hidden="1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220</v>
      </c>
    </row>
    <row r="7" spans="1:15" ht="60.75" customHeight="1" x14ac:dyDescent="0.25">
      <c r="A7" s="2" t="s">
        <v>0</v>
      </c>
      <c r="B7" s="48" t="s">
        <v>130</v>
      </c>
      <c r="C7" s="2" t="s">
        <v>126</v>
      </c>
      <c r="D7" s="2" t="s">
        <v>6</v>
      </c>
      <c r="E7" s="35" t="s">
        <v>127</v>
      </c>
      <c r="F7" s="36" t="s">
        <v>113</v>
      </c>
      <c r="G7" s="2" t="s">
        <v>132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13" t="s">
        <v>59</v>
      </c>
      <c r="B8" s="5"/>
      <c r="C8" s="5">
        <f>B8*(F8+1)</f>
        <v>0</v>
      </c>
      <c r="D8" s="15">
        <v>2</v>
      </c>
      <c r="E8" s="5">
        <f>Tabulka13415[[#This Row],[ pořizovací cena / ks (v Kč bez DPH)]]*Tabulka13415[[#This Row],[Počet kusů]]</f>
        <v>0</v>
      </c>
      <c r="F8" s="53">
        <v>0.21</v>
      </c>
      <c r="G8" s="12">
        <f>Tabulka13415[[#This Row],[ pořizovací cena / ks (v Kč včetně DPH)]]*Tabulka13415[[#This Row],[Počet kusů]]</f>
        <v>0</v>
      </c>
      <c r="H8" s="6" t="s">
        <v>11</v>
      </c>
      <c r="I8" s="6">
        <v>1994</v>
      </c>
      <c r="J8" s="6" t="s">
        <v>92</v>
      </c>
      <c r="K8" s="8"/>
      <c r="L8" s="8"/>
      <c r="M8" s="10"/>
      <c r="N8" s="6"/>
      <c r="O8" s="6"/>
    </row>
    <row r="9" spans="1:15" x14ac:dyDescent="0.25">
      <c r="A9" s="13" t="s">
        <v>60</v>
      </c>
      <c r="B9" s="5"/>
      <c r="C9" s="5">
        <f>B9*(F9+1)</f>
        <v>0</v>
      </c>
      <c r="D9" s="15">
        <v>2</v>
      </c>
      <c r="E9" s="5">
        <f>Tabulka13415[[#This Row],[ pořizovací cena / ks (v Kč bez DPH)]]*Tabulka13415[[#This Row],[Počet kusů]]</f>
        <v>0</v>
      </c>
      <c r="F9" s="53">
        <v>0.21</v>
      </c>
      <c r="G9" s="12">
        <f>Tabulka13415[[#This Row],[ pořizovací cena / ks (v Kč včetně DPH)]]*Tabulka13415[[#This Row],[Počet kusů]]</f>
        <v>0</v>
      </c>
      <c r="H9" s="6" t="s">
        <v>11</v>
      </c>
      <c r="I9" s="6">
        <v>1996</v>
      </c>
      <c r="J9" s="6" t="s">
        <v>92</v>
      </c>
      <c r="K9" s="8"/>
      <c r="L9" s="8"/>
      <c r="M9" s="10"/>
      <c r="N9" s="6"/>
      <c r="O9" s="6"/>
    </row>
    <row r="10" spans="1:15" x14ac:dyDescent="0.25">
      <c r="A10" s="13" t="s">
        <v>62</v>
      </c>
      <c r="B10" s="5"/>
      <c r="C10" s="5">
        <f>B10*(F10+1)</f>
        <v>0</v>
      </c>
      <c r="D10" s="15">
        <v>1</v>
      </c>
      <c r="E10" s="5">
        <f>Tabulka13415[[#This Row],[ pořizovací cena / ks (v Kč bez DPH)]]*Tabulka13415[[#This Row],[Počet kusů]]</f>
        <v>0</v>
      </c>
      <c r="F10" s="53">
        <v>0.21</v>
      </c>
      <c r="G10" s="12">
        <f>Tabulka13415[[#This Row],[ pořizovací cena / ks (v Kč včetně DPH)]]*Tabulka13415[[#This Row],[Počet kusů]]</f>
        <v>0</v>
      </c>
      <c r="H10" s="6" t="s">
        <v>11</v>
      </c>
      <c r="I10" s="6">
        <v>1998</v>
      </c>
      <c r="J10" s="6" t="s">
        <v>92</v>
      </c>
      <c r="K10" s="8"/>
      <c r="L10" s="8"/>
      <c r="M10" s="10"/>
      <c r="N10" s="6"/>
      <c r="O10" s="6"/>
    </row>
    <row r="11" spans="1:15" x14ac:dyDescent="0.25">
      <c r="A11" s="13" t="s">
        <v>63</v>
      </c>
      <c r="B11" s="5"/>
      <c r="C11" s="5">
        <f>B11*(F11+1)</f>
        <v>0</v>
      </c>
      <c r="D11" s="15">
        <v>1</v>
      </c>
      <c r="E11" s="5">
        <f>Tabulka13415[[#This Row],[ pořizovací cena / ks (v Kč bez DPH)]]*Tabulka13415[[#This Row],[Počet kusů]]</f>
        <v>0</v>
      </c>
      <c r="F11" s="53">
        <v>0.21</v>
      </c>
      <c r="G11" s="12">
        <f>Tabulka13415[[#This Row],[ pořizovací cena / ks (v Kč včetně DPH)]]*Tabulka13415[[#This Row],[Počet kusů]]</f>
        <v>0</v>
      </c>
      <c r="H11" s="6" t="s">
        <v>21</v>
      </c>
      <c r="I11" s="6"/>
      <c r="J11" s="6" t="s">
        <v>92</v>
      </c>
      <c r="K11" s="8"/>
      <c r="L11" s="8"/>
      <c r="M11" s="10"/>
      <c r="N11" s="6"/>
      <c r="O11" s="6"/>
    </row>
    <row r="12" spans="1:15" x14ac:dyDescent="0.25">
      <c r="A12" s="23" t="s">
        <v>64</v>
      </c>
      <c r="B12" s="5"/>
      <c r="C12" s="5">
        <f>B12*(F12+1)</f>
        <v>0</v>
      </c>
      <c r="D12" s="18">
        <v>1</v>
      </c>
      <c r="E12" s="5">
        <f>Tabulka13415[[#This Row],[ pořizovací cena / ks (v Kč bez DPH)]]*Tabulka13415[[#This Row],[Počet kusů]]</f>
        <v>0</v>
      </c>
      <c r="F12" s="53">
        <v>0.21</v>
      </c>
      <c r="G12" s="12">
        <f>Tabulka13415[[#This Row],[ pořizovací cena / ks (v Kč včetně DPH)]]*Tabulka13415[[#This Row],[Počet kusů]]</f>
        <v>0</v>
      </c>
      <c r="H12" s="6" t="s">
        <v>21</v>
      </c>
      <c r="I12" s="6"/>
      <c r="J12" s="6" t="s">
        <v>92</v>
      </c>
      <c r="K12" s="8"/>
      <c r="L12" s="8"/>
      <c r="M12" s="10"/>
      <c r="N12" s="6"/>
      <c r="O12" s="6"/>
    </row>
    <row r="13" spans="1:15" x14ac:dyDescent="0.25">
      <c r="A13" s="6" t="s">
        <v>7</v>
      </c>
      <c r="B13" s="61"/>
      <c r="C13" s="62">
        <f>SUM(C8:C12)</f>
        <v>0</v>
      </c>
      <c r="D13" s="6">
        <f>SUBTOTAL(109,Tabulka13415[Počet kusů])</f>
        <v>7</v>
      </c>
      <c r="E13" s="62">
        <f>SUM(E8:E12)</f>
        <v>0</v>
      </c>
      <c r="F13" s="63"/>
      <c r="G13" s="62">
        <f>SUM(G8:G12)</f>
        <v>0</v>
      </c>
      <c r="H13" s="64" t="s">
        <v>8</v>
      </c>
      <c r="I13" s="64" t="s">
        <v>8</v>
      </c>
      <c r="J13" s="64" t="s">
        <v>8</v>
      </c>
      <c r="K13" s="64"/>
      <c r="L13" s="64"/>
      <c r="M13" s="1"/>
      <c r="N13" s="1"/>
      <c r="O13" s="1"/>
    </row>
    <row r="14" spans="1:15" x14ac:dyDescent="0.25">
      <c r="A14" s="6"/>
      <c r="B14" s="61"/>
      <c r="C14" s="6"/>
      <c r="D14" s="6"/>
      <c r="E14" s="65"/>
      <c r="F14" s="63"/>
      <c r="G14" s="6"/>
      <c r="H14" s="6"/>
      <c r="I14" s="6"/>
      <c r="J14" s="6"/>
      <c r="K14" s="6"/>
      <c r="L14" s="6"/>
    </row>
    <row r="15" spans="1:15" ht="15.75" x14ac:dyDescent="0.3">
      <c r="K15" s="29"/>
    </row>
    <row r="17" spans="11:11" x14ac:dyDescent="0.25">
      <c r="K17" s="30" t="s">
        <v>103</v>
      </c>
    </row>
    <row r="18" spans="11:11" ht="15.75" x14ac:dyDescent="0.3">
      <c r="K18" s="31" t="e">
        <f>SUMPRODUCT(1/COUNTIF(Tabulka13415[Skupina],Tabulka13415[Skupina]))</f>
        <v>#DIV/0!</v>
      </c>
    </row>
    <row r="22" spans="11:11" x14ac:dyDescent="0.25">
      <c r="K22" t="s">
        <v>3</v>
      </c>
    </row>
    <row r="23" spans="11:11" x14ac:dyDescent="0.25">
      <c r="K23" t="s">
        <v>2</v>
      </c>
    </row>
  </sheetData>
  <protectedRanges>
    <protectedRange sqref="K8:M12" name="Oblast1"/>
  </protectedRanges>
  <mergeCells count="4">
    <mergeCell ref="A3:C3"/>
    <mergeCell ref="D3:J3"/>
    <mergeCell ref="A4:C4"/>
    <mergeCell ref="D4:J4"/>
  </mergeCells>
  <conditionalFormatting sqref="A8:B12 D8:M12">
    <cfRule type="expression" dxfId="3169" priority="30">
      <formula>$K8=#REF!</formula>
    </cfRule>
    <cfRule type="expression" dxfId="3168" priority="31">
      <formula>$K8=#REF!</formula>
    </cfRule>
    <cfRule type="expression" dxfId="3167" priority="32">
      <formula>$K8=#REF!</formula>
    </cfRule>
    <cfRule type="expression" dxfId="3166" priority="33">
      <formula>$K8=#REF!</formula>
    </cfRule>
    <cfRule type="expression" dxfId="3165" priority="34">
      <formula>$K8=#REF!</formula>
    </cfRule>
    <cfRule type="expression" dxfId="3164" priority="35">
      <formula>$K8=#REF!</formula>
    </cfRule>
    <cfRule type="expression" dxfId="3163" priority="36">
      <formula>$K8=#REF!</formula>
    </cfRule>
    <cfRule type="expression" dxfId="3162" priority="37">
      <formula>$K8=#REF!</formula>
    </cfRule>
    <cfRule type="expression" dxfId="3161" priority="38">
      <formula>$K8=#REF!</formula>
    </cfRule>
    <cfRule type="expression" dxfId="3160" priority="39">
      <formula>$K8=#REF!</formula>
    </cfRule>
    <cfRule type="expression" dxfId="3159" priority="40">
      <formula>$K8=#REF!</formula>
    </cfRule>
    <cfRule type="expression" dxfId="3158" priority="41">
      <formula>$K8=#REF!</formula>
    </cfRule>
    <cfRule type="expression" dxfId="3157" priority="42">
      <formula>$K8=#REF!</formula>
    </cfRule>
    <cfRule type="expression" dxfId="3156" priority="43">
      <formula>$K8=#REF!</formula>
    </cfRule>
    <cfRule type="expression" dxfId="3155" priority="44">
      <formula>$K8=#REF!</formula>
    </cfRule>
    <cfRule type="expression" dxfId="3154" priority="45">
      <formula>$K8=#REF!</formula>
    </cfRule>
    <cfRule type="expression" dxfId="3153" priority="46">
      <formula>$K8=#REF!</formula>
    </cfRule>
    <cfRule type="expression" dxfId="3152" priority="47">
      <formula>$K8=#REF!</formula>
    </cfRule>
    <cfRule type="expression" dxfId="3151" priority="48">
      <formula>$K8=#REF!</formula>
    </cfRule>
    <cfRule type="expression" dxfId="3150" priority="49">
      <formula>$K8=#REF!</formula>
    </cfRule>
    <cfRule type="expression" dxfId="3149" priority="50">
      <formula>$K8=#REF!</formula>
    </cfRule>
    <cfRule type="expression" dxfId="3148" priority="51">
      <formula>$K8=#REF!</formula>
    </cfRule>
    <cfRule type="expression" dxfId="3147" priority="52">
      <formula>$K8=#REF!</formula>
    </cfRule>
    <cfRule type="expression" dxfId="3146" priority="53">
      <formula>$K8=#REF!</formula>
    </cfRule>
    <cfRule type="expression" dxfId="3145" priority="54">
      <formula>$K8=#REF!</formula>
    </cfRule>
    <cfRule type="expression" dxfId="3144" priority="55">
      <formula>$K8=#REF!</formula>
    </cfRule>
    <cfRule type="expression" dxfId="3143" priority="56">
      <formula>$K8=#REF!</formula>
    </cfRule>
    <cfRule type="expression" dxfId="3142" priority="57">
      <formula>$K8=#REF!</formula>
    </cfRule>
    <cfRule type="expression" dxfId="3141" priority="58">
      <formula>$K8=#REF!</formula>
    </cfRule>
  </conditionalFormatting>
  <conditionalFormatting sqref="C8:C12">
    <cfRule type="expression" dxfId="3140" priority="1">
      <formula>$K8=#REF!</formula>
    </cfRule>
    <cfRule type="expression" dxfId="3139" priority="2">
      <formula>$K8=#REF!</formula>
    </cfRule>
    <cfRule type="expression" dxfId="3138" priority="3">
      <formula>$K8=#REF!</formula>
    </cfRule>
    <cfRule type="expression" dxfId="3137" priority="4">
      <formula>$K8=#REF!</formula>
    </cfRule>
    <cfRule type="expression" dxfId="3136" priority="5">
      <formula>$K8=#REF!</formula>
    </cfRule>
    <cfRule type="expression" dxfId="3135" priority="6">
      <formula>$K8=#REF!</formula>
    </cfRule>
    <cfRule type="expression" dxfId="3134" priority="7">
      <formula>$K8=#REF!</formula>
    </cfRule>
    <cfRule type="expression" dxfId="3133" priority="8">
      <formula>$K8=#REF!</formula>
    </cfRule>
    <cfRule type="expression" dxfId="3132" priority="9">
      <formula>$K8=#REF!</formula>
    </cfRule>
    <cfRule type="expression" dxfId="3131" priority="10">
      <formula>$K8=#REF!</formula>
    </cfRule>
    <cfRule type="expression" dxfId="3130" priority="11">
      <formula>$K8=#REF!</formula>
    </cfRule>
    <cfRule type="expression" dxfId="3129" priority="12">
      <formula>$K8=#REF!</formula>
    </cfRule>
    <cfRule type="expression" dxfId="3128" priority="13">
      <formula>$K8=#REF!</formula>
    </cfRule>
    <cfRule type="expression" dxfId="3127" priority="14">
      <formula>$K8=#REF!</formula>
    </cfRule>
    <cfRule type="expression" dxfId="3126" priority="15">
      <formula>$K8=#REF!</formula>
    </cfRule>
    <cfRule type="expression" dxfId="3125" priority="16">
      <formula>$K8=#REF!</formula>
    </cfRule>
    <cfRule type="expression" dxfId="3124" priority="17">
      <formula>$K8=#REF!</formula>
    </cfRule>
    <cfRule type="expression" dxfId="3123" priority="18">
      <formula>$K8=#REF!</formula>
    </cfRule>
    <cfRule type="expression" dxfId="3122" priority="19">
      <formula>$K8=#REF!</formula>
    </cfRule>
    <cfRule type="expression" dxfId="3121" priority="20">
      <formula>$K8=#REF!</formula>
    </cfRule>
    <cfRule type="expression" dxfId="3120" priority="21">
      <formula>$K8=#REF!</formula>
    </cfRule>
    <cfRule type="expression" dxfId="3119" priority="22">
      <formula>$K8=#REF!</formula>
    </cfRule>
    <cfRule type="expression" dxfId="3118" priority="23">
      <formula>$K8=#REF!</formula>
    </cfRule>
    <cfRule type="expression" dxfId="3117" priority="24">
      <formula>$K8=#REF!</formula>
    </cfRule>
    <cfRule type="expression" dxfId="3116" priority="25">
      <formula>$K8=#REF!</formula>
    </cfRule>
    <cfRule type="expression" dxfId="3115" priority="26">
      <formula>$K8=#REF!</formula>
    </cfRule>
    <cfRule type="expression" dxfId="3114" priority="27">
      <formula>$K8=#REF!</formula>
    </cfRule>
    <cfRule type="expression" dxfId="3113" priority="28">
      <formula>$K8=#REF!</formula>
    </cfRule>
    <cfRule type="expression" dxfId="3112" priority="29">
      <formula>$K8=#REF!</formula>
    </cfRule>
  </conditionalFormatting>
  <dataValidations count="7">
    <dataValidation type="list" allowBlank="1" showInputMessage="1" showErrorMessage="1" sqref="D14:F45 G17:G45 G14:G15">
      <formula1>$N$23:$N$24</formula1>
    </dataValidation>
    <dataValidation allowBlank="1" showInputMessage="1" showErrorMessage="1" prompt="Udávejte částku v Kč včetně DPH." sqref="C8:C12"/>
    <dataValidation type="list" allowBlank="1" showInputMessage="1" showErrorMessage="1" sqref="H8:H12">
      <formula1>$K$22:$K$23</formula1>
    </dataValidation>
    <dataValidation allowBlank="1" showInputMessage="1" showErrorMessage="1" promptTitle="Obor" prompt="Uveďte pro který obor NP bude přístroj využíván." sqref="J8:J12"/>
    <dataValidation allowBlank="1" showInputMessage="1" showErrorMessage="1" promptTitle="Stáří přístroje" prompt="Vyplňte pokud se jedná o obnovu." sqref="I8:I12"/>
    <dataValidation type="list" errorStyle="information" allowBlank="1" showInputMessage="1" promptTitle="Vyberte skupinu" prompt="Vyberte skupinu zakázky" sqref="K8:K12">
      <formula1>#REF!</formula1>
    </dataValidation>
    <dataValidation type="list" allowBlank="1" showInputMessage="1" showErrorMessage="1" sqref="M8:M12">
      <formula1>#REF!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7"/>
  <sheetViews>
    <sheetView workbookViewId="0">
      <selection activeCell="D11" sqref="D11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0.140625" customWidth="1"/>
    <col min="12" max="12" width="26.42578125" customWidth="1"/>
    <col min="13" max="13" width="14.140625" hidden="1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140</v>
      </c>
    </row>
    <row r="7" spans="1:15" ht="60.75" customHeight="1" x14ac:dyDescent="0.25">
      <c r="A7" s="2" t="s">
        <v>0</v>
      </c>
      <c r="B7" s="48" t="s">
        <v>118</v>
      </c>
      <c r="C7" s="2" t="s">
        <v>119</v>
      </c>
      <c r="D7" s="2" t="s">
        <v>6</v>
      </c>
      <c r="E7" s="35" t="s">
        <v>112</v>
      </c>
      <c r="F7" s="36" t="s">
        <v>113</v>
      </c>
      <c r="G7" s="2" t="s">
        <v>9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7" t="s">
        <v>26</v>
      </c>
      <c r="B8" s="5"/>
      <c r="C8" s="5">
        <f>B8*(F8+1)</f>
        <v>0</v>
      </c>
      <c r="D8" s="7">
        <v>1</v>
      </c>
      <c r="E8" s="5">
        <f>Tabulka13416[[#This Row],[Předpokládaná pořizovací cena / ks (v Kč bez DPH)]]*Tabulka13416[[#This Row],[Počet kusů]]</f>
        <v>0</v>
      </c>
      <c r="F8" s="53">
        <v>0.21</v>
      </c>
      <c r="G8" s="12">
        <f>Tabulka13416[[#This Row],[Předpokládaná pořizovací cena / ks (v Kč včetně DPH)]]*Tabulka13416[[#This Row],[Počet kusů]]</f>
        <v>0</v>
      </c>
      <c r="H8" s="6" t="s">
        <v>21</v>
      </c>
      <c r="I8" s="6"/>
      <c r="J8" s="6" t="s">
        <v>104</v>
      </c>
      <c r="K8" s="8"/>
      <c r="L8" s="8"/>
      <c r="M8" s="10"/>
      <c r="N8" s="6"/>
      <c r="O8" s="6"/>
    </row>
    <row r="9" spans="1:15" x14ac:dyDescent="0.25">
      <c r="A9" s="7" t="s">
        <v>164</v>
      </c>
      <c r="B9" s="83"/>
      <c r="C9" s="5">
        <f>B9*(F9+1)</f>
        <v>0</v>
      </c>
      <c r="D9" s="7">
        <v>1</v>
      </c>
      <c r="E9" s="5">
        <f>Tabulka13416[[#This Row],[Předpokládaná pořizovací cena / ks (v Kč bez DPH)]]*Tabulka13416[[#This Row],[Počet kusů]]</f>
        <v>0</v>
      </c>
      <c r="F9" s="53"/>
      <c r="G9" s="12">
        <f>Tabulka13416[[#This Row],[Předpokládaná pořizovací cena / ks (v Kč včetně DPH)]]*Tabulka13416[[#This Row],[Počet kusů]]</f>
        <v>0</v>
      </c>
      <c r="H9" s="6"/>
      <c r="I9" s="6"/>
      <c r="J9" s="6"/>
      <c r="K9" s="8"/>
      <c r="L9" s="8"/>
      <c r="M9" s="10"/>
      <c r="N9" s="6"/>
      <c r="O9" s="6"/>
    </row>
    <row r="10" spans="1:15" x14ac:dyDescent="0.25">
      <c r="A10" s="17" t="s">
        <v>165</v>
      </c>
      <c r="B10" s="83"/>
      <c r="C10" s="5">
        <f>B10*(F10+1)</f>
        <v>0</v>
      </c>
      <c r="D10" s="7">
        <v>1</v>
      </c>
      <c r="E10" s="5">
        <f>Tabulka13416[[#This Row],[Předpokládaná pořizovací cena / ks (v Kč bez DPH)]]*Tabulka13416[[#This Row],[Počet kusů]]</f>
        <v>0</v>
      </c>
      <c r="F10" s="53"/>
      <c r="G10" s="12">
        <f>Tabulka13416[[#This Row],[Předpokládaná pořizovací cena / ks (v Kč včetně DPH)]]*Tabulka13416[[#This Row],[Počet kusů]]</f>
        <v>0</v>
      </c>
      <c r="H10" s="6"/>
      <c r="I10" s="6"/>
      <c r="J10" s="6"/>
      <c r="K10" s="8"/>
      <c r="L10" s="8"/>
      <c r="M10" s="10"/>
      <c r="N10" s="6"/>
      <c r="O10" s="6"/>
    </row>
    <row r="11" spans="1:15" x14ac:dyDescent="0.25">
      <c r="A11" s="17" t="s">
        <v>166</v>
      </c>
      <c r="B11" s="5"/>
      <c r="C11" s="5">
        <f>B11*(F11+1)</f>
        <v>0</v>
      </c>
      <c r="D11" s="18">
        <v>1</v>
      </c>
      <c r="E11" s="5">
        <f>Tabulka13416[[#This Row],[Předpokládaná pořizovací cena / ks (v Kč bez DPH)]]*Tabulka13416[[#This Row],[Počet kusů]]</f>
        <v>0</v>
      </c>
      <c r="F11" s="53">
        <v>0.21</v>
      </c>
      <c r="G11" s="12">
        <f>Tabulka13416[[#This Row],[Předpokládaná pořizovací cena / ks (v Kč včetně DPH)]]*Tabulka13416[[#This Row],[Počet kusů]]</f>
        <v>0</v>
      </c>
      <c r="H11" s="15" t="s">
        <v>11</v>
      </c>
      <c r="I11" s="15">
        <v>2008</v>
      </c>
      <c r="J11" s="15" t="s">
        <v>90</v>
      </c>
      <c r="K11" s="19"/>
      <c r="L11" s="8"/>
      <c r="M11" s="10"/>
      <c r="N11" s="6"/>
      <c r="O11" s="6"/>
    </row>
    <row r="12" spans="1:15" x14ac:dyDescent="0.25">
      <c r="A12" t="s">
        <v>7</v>
      </c>
      <c r="C12" s="4">
        <f>SUM(C8:C11)</f>
        <v>0</v>
      </c>
      <c r="D12">
        <f>SUBTOTAL(109,Tabulka13416[Počet kusů])</f>
        <v>4</v>
      </c>
      <c r="E12" s="4">
        <f>SUM(E8:E11)</f>
        <v>0</v>
      </c>
      <c r="G12" s="4">
        <f>SUM(G8:G11)</f>
        <v>0</v>
      </c>
      <c r="H12" s="1" t="s">
        <v>8</v>
      </c>
      <c r="I12" s="1" t="s">
        <v>8</v>
      </c>
      <c r="J12" s="1" t="s">
        <v>8</v>
      </c>
      <c r="K12" s="1"/>
      <c r="L12" s="1"/>
      <c r="M12" s="1"/>
      <c r="N12" s="1"/>
      <c r="O12" s="1"/>
    </row>
    <row r="14" spans="1:15" ht="15.75" x14ac:dyDescent="0.3">
      <c r="K14" s="29"/>
    </row>
    <row r="16" spans="1:15" x14ac:dyDescent="0.25">
      <c r="K16" s="30"/>
    </row>
    <row r="17" spans="11:11" ht="15.75" x14ac:dyDescent="0.3">
      <c r="K17" s="31"/>
    </row>
  </sheetData>
  <protectedRanges>
    <protectedRange sqref="K8:M11" name="Oblast1"/>
  </protectedRanges>
  <mergeCells count="4">
    <mergeCell ref="A3:C3"/>
    <mergeCell ref="D3:J3"/>
    <mergeCell ref="A4:C4"/>
    <mergeCell ref="D4:J4"/>
  </mergeCells>
  <conditionalFormatting sqref="D8:M11 A8:B11">
    <cfRule type="expression" dxfId="3080" priority="30">
      <formula>$K8=#REF!</formula>
    </cfRule>
    <cfRule type="expression" dxfId="3079" priority="31">
      <formula>$K8=#REF!</formula>
    </cfRule>
    <cfRule type="expression" dxfId="3078" priority="32">
      <formula>$K8=#REF!</formula>
    </cfRule>
    <cfRule type="expression" dxfId="3077" priority="33">
      <formula>$K8=#REF!</formula>
    </cfRule>
    <cfRule type="expression" dxfId="3076" priority="34">
      <formula>$K8=#REF!</formula>
    </cfRule>
    <cfRule type="expression" dxfId="3075" priority="35">
      <formula>$K8=#REF!</formula>
    </cfRule>
    <cfRule type="expression" dxfId="3074" priority="36">
      <formula>$K8=#REF!</formula>
    </cfRule>
    <cfRule type="expression" dxfId="3073" priority="37">
      <formula>$K8=#REF!</formula>
    </cfRule>
    <cfRule type="expression" dxfId="3072" priority="38">
      <formula>$K8=#REF!</formula>
    </cfRule>
    <cfRule type="expression" dxfId="3071" priority="39">
      <formula>$K8=#REF!</formula>
    </cfRule>
    <cfRule type="expression" dxfId="3070" priority="40">
      <formula>$K8=#REF!</formula>
    </cfRule>
    <cfRule type="expression" dxfId="3069" priority="41">
      <formula>$K8=#REF!</formula>
    </cfRule>
    <cfRule type="expression" dxfId="3068" priority="42">
      <formula>$K8=#REF!</formula>
    </cfRule>
    <cfRule type="expression" dxfId="3067" priority="43">
      <formula>$K8=#REF!</formula>
    </cfRule>
    <cfRule type="expression" dxfId="3066" priority="44">
      <formula>$K8=#REF!</formula>
    </cfRule>
    <cfRule type="expression" dxfId="3065" priority="45">
      <formula>$K8=#REF!</formula>
    </cfRule>
    <cfRule type="expression" dxfId="3064" priority="46">
      <formula>$K8=#REF!</formula>
    </cfRule>
    <cfRule type="expression" dxfId="3063" priority="47">
      <formula>$K8=#REF!</formula>
    </cfRule>
    <cfRule type="expression" dxfId="3062" priority="48">
      <formula>$K8=#REF!</formula>
    </cfRule>
    <cfRule type="expression" dxfId="3061" priority="49">
      <formula>$K8=#REF!</formula>
    </cfRule>
    <cfRule type="expression" dxfId="3060" priority="50">
      <formula>$K8=#REF!</formula>
    </cfRule>
    <cfRule type="expression" dxfId="3059" priority="51">
      <formula>$K8=#REF!</formula>
    </cfRule>
    <cfRule type="expression" dxfId="3058" priority="52">
      <formula>$K8=#REF!</formula>
    </cfRule>
    <cfRule type="expression" dxfId="3057" priority="53">
      <formula>$K8=#REF!</formula>
    </cfRule>
    <cfRule type="expression" dxfId="3056" priority="54">
      <formula>$K8=#REF!</formula>
    </cfRule>
    <cfRule type="expression" dxfId="3055" priority="55">
      <formula>$K8=#REF!</formula>
    </cfRule>
    <cfRule type="expression" dxfId="3054" priority="56">
      <formula>$K8=#REF!</formula>
    </cfRule>
    <cfRule type="expression" dxfId="3053" priority="57">
      <formula>$K8=#REF!</formula>
    </cfRule>
    <cfRule type="expression" dxfId="3052" priority="58">
      <formula>$K8=#REF!</formula>
    </cfRule>
  </conditionalFormatting>
  <conditionalFormatting sqref="C8:C11">
    <cfRule type="expression" dxfId="3051" priority="1">
      <formula>$K8=#REF!</formula>
    </cfRule>
    <cfRule type="expression" dxfId="3050" priority="2">
      <formula>$K8=#REF!</formula>
    </cfRule>
    <cfRule type="expression" dxfId="3049" priority="3">
      <formula>$K8=#REF!</formula>
    </cfRule>
    <cfRule type="expression" dxfId="3048" priority="4">
      <formula>$K8=#REF!</formula>
    </cfRule>
    <cfRule type="expression" dxfId="3047" priority="5">
      <formula>$K8=#REF!</formula>
    </cfRule>
    <cfRule type="expression" dxfId="3046" priority="6">
      <formula>$K8=#REF!</formula>
    </cfRule>
    <cfRule type="expression" dxfId="3045" priority="7">
      <formula>$K8=#REF!</formula>
    </cfRule>
    <cfRule type="expression" dxfId="3044" priority="8">
      <formula>$K8=#REF!</formula>
    </cfRule>
    <cfRule type="expression" dxfId="3043" priority="9">
      <formula>$K8=#REF!</formula>
    </cfRule>
    <cfRule type="expression" dxfId="3042" priority="10">
      <formula>$K8=#REF!</formula>
    </cfRule>
    <cfRule type="expression" dxfId="3041" priority="11">
      <formula>$K8=#REF!</formula>
    </cfRule>
    <cfRule type="expression" dxfId="3040" priority="12">
      <formula>$K8=#REF!</formula>
    </cfRule>
    <cfRule type="expression" dxfId="3039" priority="13">
      <formula>$K8=#REF!</formula>
    </cfRule>
    <cfRule type="expression" dxfId="3038" priority="14">
      <formula>$K8=#REF!</formula>
    </cfRule>
    <cfRule type="expression" dxfId="3037" priority="15">
      <formula>$K8=#REF!</formula>
    </cfRule>
    <cfRule type="expression" dxfId="3036" priority="16">
      <formula>$K8=#REF!</formula>
    </cfRule>
    <cfRule type="expression" dxfId="3035" priority="17">
      <formula>$K8=#REF!</formula>
    </cfRule>
    <cfRule type="expression" dxfId="3034" priority="18">
      <formula>$K8=#REF!</formula>
    </cfRule>
    <cfRule type="expression" dxfId="3033" priority="19">
      <formula>$K8=#REF!</formula>
    </cfRule>
    <cfRule type="expression" dxfId="3032" priority="20">
      <formula>$K8=#REF!</formula>
    </cfRule>
    <cfRule type="expression" dxfId="3031" priority="21">
      <formula>$K8=#REF!</formula>
    </cfRule>
    <cfRule type="expression" dxfId="3030" priority="22">
      <formula>$K8=#REF!</formula>
    </cfRule>
    <cfRule type="expression" dxfId="3029" priority="23">
      <formula>$K8=#REF!</formula>
    </cfRule>
    <cfRule type="expression" dxfId="3028" priority="24">
      <formula>$K8=#REF!</formula>
    </cfRule>
    <cfRule type="expression" dxfId="3027" priority="25">
      <formula>$K8=#REF!</formula>
    </cfRule>
    <cfRule type="expression" dxfId="3026" priority="26">
      <formula>$K8=#REF!</formula>
    </cfRule>
    <cfRule type="expression" dxfId="3025" priority="27">
      <formula>$K8=#REF!</formula>
    </cfRule>
    <cfRule type="expression" dxfId="3024" priority="28">
      <formula>$K8=#REF!</formula>
    </cfRule>
    <cfRule type="expression" dxfId="3023" priority="29">
      <formula>$K8=#REF!</formula>
    </cfRule>
  </conditionalFormatting>
  <dataValidations count="7">
    <dataValidation type="list" allowBlank="1" showInputMessage="1" showErrorMessage="1" sqref="D13:F44 G16:G44 G13:G14">
      <formula1>$N$22:$N$23</formula1>
    </dataValidation>
    <dataValidation allowBlank="1" showInputMessage="1" showErrorMessage="1" prompt="Udávejte částku v Kč včetně DPH." sqref="C8:C11"/>
    <dataValidation type="list" allowBlank="1" showInputMessage="1" showErrorMessage="1" sqref="H8:H11">
      <formula1>$K$21:$K$22</formula1>
    </dataValidation>
    <dataValidation allowBlank="1" showInputMessage="1" showErrorMessage="1" promptTitle="Obor" prompt="Uveďte pro který obor NP bude přístroj využíván." sqref="J8:J11"/>
    <dataValidation allowBlank="1" showInputMessage="1" showErrorMessage="1" promptTitle="Stáří přístroje" prompt="Vyplňte pokud se jedná o obnovu." sqref="I8:I11"/>
    <dataValidation type="list" errorStyle="information" allowBlank="1" showInputMessage="1" promptTitle="Vyberte skupinu" prompt="Vyberte skupinu zakázky" sqref="K8:K11">
      <formula1>#REF!</formula1>
    </dataValidation>
    <dataValidation type="list" allowBlank="1" showInputMessage="1" showErrorMessage="1" sqref="M8:M11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20"/>
  <sheetViews>
    <sheetView workbookViewId="0">
      <selection activeCell="D9" sqref="D9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6.7109375" customWidth="1"/>
    <col min="8" max="8" width="14.42578125" hidden="1" customWidth="1"/>
    <col min="9" max="9" width="13.42578125" hidden="1" customWidth="1"/>
    <col min="10" max="10" width="1.85546875" hidden="1" customWidth="1"/>
    <col min="11" max="11" width="42.7109375" hidden="1" customWidth="1"/>
    <col min="12" max="12" width="26.42578125" customWidth="1"/>
    <col min="13" max="13" width="10.85546875" hidden="1" customWidth="1"/>
    <col min="14" max="15" width="0.140625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141</v>
      </c>
    </row>
    <row r="7" spans="1:15" ht="60.75" customHeight="1" x14ac:dyDescent="0.25">
      <c r="A7" s="2" t="s">
        <v>0</v>
      </c>
      <c r="B7" s="48" t="s">
        <v>130</v>
      </c>
      <c r="C7" s="2" t="s">
        <v>126</v>
      </c>
      <c r="D7" s="2" t="s">
        <v>6</v>
      </c>
      <c r="E7" s="35" t="s">
        <v>142</v>
      </c>
      <c r="F7" s="36" t="s">
        <v>113</v>
      </c>
      <c r="G7" s="2" t="s">
        <v>132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11" t="s">
        <v>29</v>
      </c>
      <c r="B8" s="5"/>
      <c r="C8" s="5">
        <f>B8*(F8+1)</f>
        <v>0</v>
      </c>
      <c r="D8" s="7">
        <v>1</v>
      </c>
      <c r="E8" s="5">
        <f>Tabulka13417[[#This Row],[ pořizovací cena / ks (v Kč bez DPH)]]*Tabulka13417[[#This Row],[Počet kusů]]</f>
        <v>0</v>
      </c>
      <c r="F8" s="53">
        <v>0.21</v>
      </c>
      <c r="G8" s="12">
        <f>Tabulka13417[[#This Row],[ pořizovací cena / ks (v Kč včetně DPH)]]*Tabulka13417[[#This Row],[Počet kusů]]</f>
        <v>0</v>
      </c>
      <c r="H8" s="6" t="s">
        <v>21</v>
      </c>
      <c r="I8" s="6"/>
      <c r="J8" s="6" t="s">
        <v>89</v>
      </c>
      <c r="K8" s="8"/>
      <c r="L8" s="8"/>
      <c r="M8" s="10"/>
      <c r="N8" s="6"/>
      <c r="O8" s="6"/>
    </row>
    <row r="9" spans="1:15" x14ac:dyDescent="0.25">
      <c r="A9" s="14" t="s">
        <v>69</v>
      </c>
      <c r="B9" s="5"/>
      <c r="C9" s="5">
        <f>B9*(F9+1)</f>
        <v>0</v>
      </c>
      <c r="D9" s="15">
        <v>2</v>
      </c>
      <c r="E9" s="5">
        <f>Tabulka13417[[#This Row],[ pořizovací cena / ks (v Kč bez DPH)]]*Tabulka13417[[#This Row],[Počet kusů]]</f>
        <v>0</v>
      </c>
      <c r="F9" s="53">
        <v>0.21</v>
      </c>
      <c r="G9" s="12">
        <f>Tabulka13417[[#This Row],[ pořizovací cena / ks (v Kč včetně DPH)]]*Tabulka13417[[#This Row],[Počet kusů]]</f>
        <v>0</v>
      </c>
      <c r="H9" s="6" t="s">
        <v>21</v>
      </c>
      <c r="I9" s="6"/>
      <c r="J9" s="6" t="s">
        <v>94</v>
      </c>
      <c r="K9" s="8"/>
      <c r="L9" s="8"/>
      <c r="M9" s="10"/>
      <c r="N9" s="6"/>
      <c r="O9" s="6"/>
    </row>
    <row r="10" spans="1:15" x14ac:dyDescent="0.25">
      <c r="A10" s="6" t="s">
        <v>7</v>
      </c>
      <c r="B10" s="61"/>
      <c r="C10" s="62">
        <f>SUM(C8:C9)</f>
        <v>0</v>
      </c>
      <c r="D10" s="6">
        <f>SUBTOTAL(109,Tabulka13417[Počet kusů])</f>
        <v>3</v>
      </c>
      <c r="E10" s="62">
        <f>SUM(E8:E9)</f>
        <v>0</v>
      </c>
      <c r="F10" s="63"/>
      <c r="G10" s="62">
        <f>SUM(G8:G9)</f>
        <v>0</v>
      </c>
      <c r="H10" s="1" t="s">
        <v>8</v>
      </c>
      <c r="I10" s="1" t="s">
        <v>8</v>
      </c>
      <c r="J10" s="1" t="s">
        <v>8</v>
      </c>
      <c r="K10" s="1"/>
      <c r="L10" s="1"/>
      <c r="M10" s="1"/>
      <c r="N10" s="1"/>
      <c r="O10" s="1"/>
    </row>
    <row r="11" spans="1:15" x14ac:dyDescent="0.25">
      <c r="A11" s="6"/>
      <c r="B11" s="61"/>
      <c r="C11" s="6"/>
      <c r="D11" s="6"/>
      <c r="E11" s="65"/>
      <c r="F11" s="63"/>
      <c r="G11" s="6"/>
    </row>
    <row r="12" spans="1:15" ht="15.75" x14ac:dyDescent="0.3">
      <c r="K12" s="29"/>
    </row>
    <row r="14" spans="1:15" x14ac:dyDescent="0.25">
      <c r="K14" s="30" t="s">
        <v>103</v>
      </c>
    </row>
    <row r="15" spans="1:15" ht="15.75" x14ac:dyDescent="0.3">
      <c r="K15" s="31" t="e">
        <f>SUMPRODUCT(1/COUNTIF(Tabulka13417[Skupina],Tabulka13417[Skupina]))</f>
        <v>#DIV/0!</v>
      </c>
    </row>
    <row r="19" spans="11:11" x14ac:dyDescent="0.25">
      <c r="K19" t="s">
        <v>3</v>
      </c>
    </row>
    <row r="20" spans="11:11" x14ac:dyDescent="0.25">
      <c r="K20" t="s">
        <v>2</v>
      </c>
    </row>
  </sheetData>
  <protectedRanges>
    <protectedRange sqref="K8:M9" name="Oblast1"/>
  </protectedRanges>
  <mergeCells count="4">
    <mergeCell ref="A3:C3"/>
    <mergeCell ref="D3:J3"/>
    <mergeCell ref="A4:C4"/>
    <mergeCell ref="D4:J4"/>
  </mergeCells>
  <conditionalFormatting sqref="A8:B9 D8:M9">
    <cfRule type="expression" dxfId="2993" priority="59">
      <formula>$K8=#REF!</formula>
    </cfRule>
    <cfRule type="expression" dxfId="2992" priority="60">
      <formula>$K8=#REF!</formula>
    </cfRule>
    <cfRule type="expression" dxfId="2991" priority="61">
      <formula>$K8=#REF!</formula>
    </cfRule>
    <cfRule type="expression" dxfId="2990" priority="62">
      <formula>$K8=#REF!</formula>
    </cfRule>
    <cfRule type="expression" dxfId="2989" priority="63">
      <formula>$K8=#REF!</formula>
    </cfRule>
    <cfRule type="expression" dxfId="2988" priority="64">
      <formula>$K8=#REF!</formula>
    </cfRule>
    <cfRule type="expression" dxfId="2987" priority="65">
      <formula>$K8=#REF!</formula>
    </cfRule>
    <cfRule type="expression" dxfId="2986" priority="66">
      <formula>$K8=#REF!</formula>
    </cfRule>
    <cfRule type="expression" dxfId="2985" priority="67">
      <formula>$K8=#REF!</formula>
    </cfRule>
    <cfRule type="expression" dxfId="2984" priority="68">
      <formula>$K8=#REF!</formula>
    </cfRule>
    <cfRule type="expression" dxfId="2983" priority="69">
      <formula>$K8=#REF!</formula>
    </cfRule>
    <cfRule type="expression" dxfId="2982" priority="70">
      <formula>$K8=#REF!</formula>
    </cfRule>
    <cfRule type="expression" dxfId="2981" priority="71">
      <formula>$K8=#REF!</formula>
    </cfRule>
    <cfRule type="expression" dxfId="2980" priority="72">
      <formula>$K8=#REF!</formula>
    </cfRule>
    <cfRule type="expression" dxfId="2979" priority="73">
      <formula>$K8=#REF!</formula>
    </cfRule>
    <cfRule type="expression" dxfId="2978" priority="74">
      <formula>$K8=#REF!</formula>
    </cfRule>
    <cfRule type="expression" dxfId="2977" priority="75">
      <formula>$K8=#REF!</formula>
    </cfRule>
    <cfRule type="expression" dxfId="2976" priority="76">
      <formula>$K8=#REF!</formula>
    </cfRule>
    <cfRule type="expression" dxfId="2975" priority="77">
      <formula>$K8=#REF!</formula>
    </cfRule>
    <cfRule type="expression" dxfId="2974" priority="78">
      <formula>$K8=#REF!</formula>
    </cfRule>
    <cfRule type="expression" dxfId="2973" priority="79">
      <formula>$K8=#REF!</formula>
    </cfRule>
    <cfRule type="expression" dxfId="2972" priority="80">
      <formula>$K8=#REF!</formula>
    </cfRule>
    <cfRule type="expression" dxfId="2971" priority="81">
      <formula>$K8=#REF!</formula>
    </cfRule>
    <cfRule type="expression" dxfId="2970" priority="82">
      <formula>$K8=#REF!</formula>
    </cfRule>
    <cfRule type="expression" dxfId="2969" priority="83">
      <formula>$K8=#REF!</formula>
    </cfRule>
    <cfRule type="expression" dxfId="2968" priority="84">
      <formula>$K8=#REF!</formula>
    </cfRule>
    <cfRule type="expression" dxfId="2967" priority="85">
      <formula>$K8=#REF!</formula>
    </cfRule>
    <cfRule type="expression" dxfId="2966" priority="86">
      <formula>$K8=#REF!</formula>
    </cfRule>
    <cfRule type="expression" dxfId="2965" priority="87">
      <formula>$K8=#REF!</formula>
    </cfRule>
  </conditionalFormatting>
  <conditionalFormatting sqref="C8">
    <cfRule type="expression" dxfId="2964" priority="30">
      <formula>$K8=#REF!</formula>
    </cfRule>
    <cfRule type="expression" dxfId="2963" priority="31">
      <formula>$K8=#REF!</formula>
    </cfRule>
    <cfRule type="expression" dxfId="2962" priority="32">
      <formula>$K8=#REF!</formula>
    </cfRule>
    <cfRule type="expression" dxfId="2961" priority="33">
      <formula>$K8=#REF!</formula>
    </cfRule>
    <cfRule type="expression" dxfId="2960" priority="34">
      <formula>$K8=#REF!</formula>
    </cfRule>
    <cfRule type="expression" dxfId="2959" priority="35">
      <formula>$K8=#REF!</formula>
    </cfRule>
    <cfRule type="expression" dxfId="2958" priority="36">
      <formula>$K8=#REF!</formula>
    </cfRule>
    <cfRule type="expression" dxfId="2957" priority="37">
      <formula>$K8=#REF!</formula>
    </cfRule>
    <cfRule type="expression" dxfId="2956" priority="38">
      <formula>$K8=#REF!</formula>
    </cfRule>
    <cfRule type="expression" dxfId="2955" priority="39">
      <formula>$K8=#REF!</formula>
    </cfRule>
    <cfRule type="expression" dxfId="2954" priority="40">
      <formula>$K8=#REF!</formula>
    </cfRule>
    <cfRule type="expression" dxfId="2953" priority="41">
      <formula>$K8=#REF!</formula>
    </cfRule>
    <cfRule type="expression" dxfId="2952" priority="42">
      <formula>$K8=#REF!</formula>
    </cfRule>
    <cfRule type="expression" dxfId="2951" priority="43">
      <formula>$K8=#REF!</formula>
    </cfRule>
    <cfRule type="expression" dxfId="2950" priority="44">
      <formula>$K8=#REF!</formula>
    </cfRule>
    <cfRule type="expression" dxfId="2949" priority="45">
      <formula>$K8=#REF!</formula>
    </cfRule>
    <cfRule type="expression" dxfId="2948" priority="46">
      <formula>$K8=#REF!</formula>
    </cfRule>
    <cfRule type="expression" dxfId="2947" priority="47">
      <formula>$K8=#REF!</formula>
    </cfRule>
    <cfRule type="expression" dxfId="2946" priority="48">
      <formula>$K8=#REF!</formula>
    </cfRule>
    <cfRule type="expression" dxfId="2945" priority="49">
      <formula>$K8=#REF!</formula>
    </cfRule>
    <cfRule type="expression" dxfId="2944" priority="50">
      <formula>$K8=#REF!</formula>
    </cfRule>
    <cfRule type="expression" dxfId="2943" priority="51">
      <formula>$K8=#REF!</formula>
    </cfRule>
    <cfRule type="expression" dxfId="2942" priority="52">
      <formula>$K8=#REF!</formula>
    </cfRule>
    <cfRule type="expression" dxfId="2941" priority="53">
      <formula>$K8=#REF!</formula>
    </cfRule>
    <cfRule type="expression" dxfId="2940" priority="54">
      <formula>$K8=#REF!</formula>
    </cfRule>
    <cfRule type="expression" dxfId="2939" priority="55">
      <formula>$K8=#REF!</formula>
    </cfRule>
    <cfRule type="expression" dxfId="2938" priority="56">
      <formula>$K8=#REF!</formula>
    </cfRule>
    <cfRule type="expression" dxfId="2937" priority="57">
      <formula>$K8=#REF!</formula>
    </cfRule>
    <cfRule type="expression" dxfId="2936" priority="58">
      <formula>$K8=#REF!</formula>
    </cfRule>
  </conditionalFormatting>
  <conditionalFormatting sqref="C9">
    <cfRule type="expression" dxfId="2935" priority="1">
      <formula>$K9=#REF!</formula>
    </cfRule>
    <cfRule type="expression" dxfId="2934" priority="2">
      <formula>$K9=#REF!</formula>
    </cfRule>
    <cfRule type="expression" dxfId="2933" priority="3">
      <formula>$K9=#REF!</formula>
    </cfRule>
    <cfRule type="expression" dxfId="2932" priority="4">
      <formula>$K9=#REF!</formula>
    </cfRule>
    <cfRule type="expression" dxfId="2931" priority="5">
      <formula>$K9=#REF!</formula>
    </cfRule>
    <cfRule type="expression" dxfId="2930" priority="6">
      <formula>$K9=#REF!</formula>
    </cfRule>
    <cfRule type="expression" dxfId="2929" priority="7">
      <formula>$K9=#REF!</formula>
    </cfRule>
    <cfRule type="expression" dxfId="2928" priority="8">
      <formula>$K9=#REF!</formula>
    </cfRule>
    <cfRule type="expression" dxfId="2927" priority="9">
      <formula>$K9=#REF!</formula>
    </cfRule>
    <cfRule type="expression" dxfId="2926" priority="10">
      <formula>$K9=#REF!</formula>
    </cfRule>
    <cfRule type="expression" dxfId="2925" priority="11">
      <formula>$K9=#REF!</formula>
    </cfRule>
    <cfRule type="expression" dxfId="2924" priority="12">
      <formula>$K9=#REF!</formula>
    </cfRule>
    <cfRule type="expression" dxfId="2923" priority="13">
      <formula>$K9=#REF!</formula>
    </cfRule>
    <cfRule type="expression" dxfId="2922" priority="14">
      <formula>$K9=#REF!</formula>
    </cfRule>
    <cfRule type="expression" dxfId="2921" priority="15">
      <formula>$K9=#REF!</formula>
    </cfRule>
    <cfRule type="expression" dxfId="2920" priority="16">
      <formula>$K9=#REF!</formula>
    </cfRule>
    <cfRule type="expression" dxfId="2919" priority="17">
      <formula>$K9=#REF!</formula>
    </cfRule>
    <cfRule type="expression" dxfId="2918" priority="18">
      <formula>$K9=#REF!</formula>
    </cfRule>
    <cfRule type="expression" dxfId="2917" priority="19">
      <formula>$K9=#REF!</formula>
    </cfRule>
    <cfRule type="expression" dxfId="2916" priority="20">
      <formula>$K9=#REF!</formula>
    </cfRule>
    <cfRule type="expression" dxfId="2915" priority="21">
      <formula>$K9=#REF!</formula>
    </cfRule>
    <cfRule type="expression" dxfId="2914" priority="22">
      <formula>$K9=#REF!</formula>
    </cfRule>
    <cfRule type="expression" dxfId="2913" priority="23">
      <formula>$K9=#REF!</formula>
    </cfRule>
    <cfRule type="expression" dxfId="2912" priority="24">
      <formula>$K9=#REF!</formula>
    </cfRule>
    <cfRule type="expression" dxfId="2911" priority="25">
      <formula>$K9=#REF!</formula>
    </cfRule>
    <cfRule type="expression" dxfId="2910" priority="26">
      <formula>$K9=#REF!</formula>
    </cfRule>
    <cfRule type="expression" dxfId="2909" priority="27">
      <formula>$K9=#REF!</formula>
    </cfRule>
    <cfRule type="expression" dxfId="2908" priority="28">
      <formula>$K9=#REF!</formula>
    </cfRule>
    <cfRule type="expression" dxfId="2907" priority="29">
      <formula>$K9=#REF!</formula>
    </cfRule>
  </conditionalFormatting>
  <dataValidations count="7">
    <dataValidation type="list" allowBlank="1" showInputMessage="1" showErrorMessage="1" sqref="D11:F42 G14:G42 G11:G12">
      <formula1>$N$20:$N$21</formula1>
    </dataValidation>
    <dataValidation allowBlank="1" showInputMessage="1" showErrorMessage="1" prompt="Udávejte částku v Kč včetně DPH." sqref="C8:C9"/>
    <dataValidation type="list" allowBlank="1" showInputMessage="1" showErrorMessage="1" sqref="H8:H9">
      <formula1>$K$19:$K$20</formula1>
    </dataValidation>
    <dataValidation allowBlank="1" showInputMessage="1" showErrorMessage="1" promptTitle="Obor" prompt="Uveďte pro který obor NP bude přístroj využíván." sqref="J8:J9"/>
    <dataValidation allowBlank="1" showInputMessage="1" showErrorMessage="1" promptTitle="Stáří přístroje" prompt="Vyplňte pokud se jedná o obnovu." sqref="I8:I9"/>
    <dataValidation type="list" errorStyle="information" allowBlank="1" showInputMessage="1" promptTitle="Vyberte skupinu" prompt="Vyberte skupinu zakázky" sqref="K8:K9">
      <formula1>#REF!</formula1>
    </dataValidation>
    <dataValidation type="list" allowBlank="1" showInputMessage="1" showErrorMessage="1" sqref="M8:M9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4"/>
  <sheetViews>
    <sheetView workbookViewId="0">
      <selection activeCell="A19" sqref="A19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42.7109375" hidden="1" customWidth="1"/>
    <col min="12" max="12" width="26.28515625" customWidth="1"/>
    <col min="13" max="13" width="10.85546875" hidden="1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144</v>
      </c>
    </row>
    <row r="7" spans="1:15" ht="60.75" customHeight="1" x14ac:dyDescent="0.25">
      <c r="A7" s="2" t="s">
        <v>0</v>
      </c>
      <c r="B7" s="48" t="s">
        <v>130</v>
      </c>
      <c r="C7" s="2" t="s">
        <v>146</v>
      </c>
      <c r="D7" s="2" t="s">
        <v>6</v>
      </c>
      <c r="E7" s="35" t="s">
        <v>127</v>
      </c>
      <c r="F7" s="36" t="s">
        <v>113</v>
      </c>
      <c r="G7" s="2" t="s">
        <v>132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66" t="s">
        <v>31</v>
      </c>
      <c r="B8" s="67"/>
      <c r="C8" s="5">
        <f>B8*(F8+1)</f>
        <v>0</v>
      </c>
      <c r="D8" s="79">
        <v>1</v>
      </c>
      <c r="E8" s="67">
        <f>Tabulka13418[[#This Row],[ pořizovací cena / ks (v Kč bez DPH)]]*Tabulka13418[[#This Row],[Počet kusů]]</f>
        <v>0</v>
      </c>
      <c r="F8" s="68">
        <v>0.21</v>
      </c>
      <c r="G8" s="12">
        <f>Tabulka13418[[#This Row],[á pořizovací cena / ks (v Kč včetně DPH)]]*Tabulka13418[[#This Row],[Počet kusů]]</f>
        <v>0</v>
      </c>
      <c r="H8" s="6" t="s">
        <v>11</v>
      </c>
      <c r="I8" s="6">
        <v>2004</v>
      </c>
      <c r="J8" s="6" t="s">
        <v>90</v>
      </c>
      <c r="K8" s="69"/>
      <c r="L8" s="8"/>
      <c r="M8" s="41"/>
      <c r="N8" s="6"/>
      <c r="O8" s="6"/>
    </row>
    <row r="9" spans="1:15" x14ac:dyDescent="0.25">
      <c r="A9" t="s">
        <v>7</v>
      </c>
      <c r="C9" s="4">
        <f>SUM(C8)</f>
        <v>0</v>
      </c>
      <c r="D9">
        <f>SUBTOTAL(109,Tabulka13418[Počet kusů])</f>
        <v>1</v>
      </c>
      <c r="E9" s="4">
        <f>SUM(E8)</f>
        <v>0</v>
      </c>
      <c r="G9" s="4">
        <f>SUM(G8)</f>
        <v>0</v>
      </c>
      <c r="H9" s="1" t="s">
        <v>8</v>
      </c>
      <c r="I9" s="1" t="s">
        <v>8</v>
      </c>
      <c r="J9" s="1" t="s">
        <v>8</v>
      </c>
      <c r="K9" s="1"/>
      <c r="L9" s="1"/>
      <c r="M9" s="1"/>
      <c r="N9" s="1"/>
      <c r="O9" s="1"/>
    </row>
    <row r="11" spans="1:15" ht="15.75" x14ac:dyDescent="0.3">
      <c r="K11" s="29"/>
    </row>
    <row r="13" spans="1:15" x14ac:dyDescent="0.25">
      <c r="K13" s="30"/>
    </row>
    <row r="14" spans="1:15" ht="15.75" x14ac:dyDescent="0.3">
      <c r="K14" s="31"/>
    </row>
  </sheetData>
  <protectedRanges>
    <protectedRange sqref="L8:M8" name="Oblast1"/>
  </protectedRanges>
  <mergeCells count="4">
    <mergeCell ref="A3:C3"/>
    <mergeCell ref="D3:J3"/>
    <mergeCell ref="A4:C4"/>
    <mergeCell ref="D4:J4"/>
  </mergeCells>
  <conditionalFormatting sqref="A8:B8 D8:M8">
    <cfRule type="expression" dxfId="2875" priority="30">
      <formula>$K8=#REF!</formula>
    </cfRule>
    <cfRule type="expression" dxfId="2874" priority="31">
      <formula>$K8=#REF!</formula>
    </cfRule>
    <cfRule type="expression" dxfId="2873" priority="32">
      <formula>$K8=#REF!</formula>
    </cfRule>
    <cfRule type="expression" dxfId="2872" priority="33">
      <formula>$K8=#REF!</formula>
    </cfRule>
    <cfRule type="expression" dxfId="2871" priority="34">
      <formula>$K8=#REF!</formula>
    </cfRule>
    <cfRule type="expression" dxfId="2870" priority="35">
      <formula>$K8=#REF!</formula>
    </cfRule>
    <cfRule type="expression" dxfId="2869" priority="36">
      <formula>$K8=#REF!</formula>
    </cfRule>
    <cfRule type="expression" dxfId="2868" priority="37">
      <formula>$K8=#REF!</formula>
    </cfRule>
    <cfRule type="expression" dxfId="2867" priority="38">
      <formula>$K8=#REF!</formula>
    </cfRule>
    <cfRule type="expression" dxfId="2866" priority="39">
      <formula>$K8=#REF!</formula>
    </cfRule>
    <cfRule type="expression" dxfId="2865" priority="40">
      <formula>$K8=#REF!</formula>
    </cfRule>
    <cfRule type="expression" dxfId="2864" priority="41">
      <formula>$K8=#REF!</formula>
    </cfRule>
    <cfRule type="expression" dxfId="2863" priority="42">
      <formula>$K8=#REF!</formula>
    </cfRule>
    <cfRule type="expression" dxfId="2862" priority="43">
      <formula>$K8=#REF!</formula>
    </cfRule>
    <cfRule type="expression" dxfId="2861" priority="44">
      <formula>$K8=#REF!</formula>
    </cfRule>
    <cfRule type="expression" dxfId="2860" priority="45">
      <formula>$K8=#REF!</formula>
    </cfRule>
    <cfRule type="expression" dxfId="2859" priority="46">
      <formula>$K8=#REF!</formula>
    </cfRule>
    <cfRule type="expression" dxfId="2858" priority="47">
      <formula>$K8=#REF!</formula>
    </cfRule>
    <cfRule type="expression" dxfId="2857" priority="48">
      <formula>$K8=#REF!</formula>
    </cfRule>
    <cfRule type="expression" dxfId="2856" priority="49">
      <formula>$K8=#REF!</formula>
    </cfRule>
    <cfRule type="expression" dxfId="2855" priority="50">
      <formula>$K8=#REF!</formula>
    </cfRule>
    <cfRule type="expression" dxfId="2854" priority="51">
      <formula>$K8=#REF!</formula>
    </cfRule>
    <cfRule type="expression" dxfId="2853" priority="52">
      <formula>$K8=#REF!</formula>
    </cfRule>
    <cfRule type="expression" dxfId="2852" priority="53">
      <formula>$K8=#REF!</formula>
    </cfRule>
    <cfRule type="expression" dxfId="2851" priority="54">
      <formula>$K8=#REF!</formula>
    </cfRule>
    <cfRule type="expression" dxfId="2850" priority="55">
      <formula>$K8=#REF!</formula>
    </cfRule>
    <cfRule type="expression" dxfId="2849" priority="56">
      <formula>$K8=#REF!</formula>
    </cfRule>
    <cfRule type="expression" dxfId="2848" priority="57">
      <formula>$K8=#REF!</formula>
    </cfRule>
    <cfRule type="expression" dxfId="2847" priority="58">
      <formula>$K8=#REF!</formula>
    </cfRule>
  </conditionalFormatting>
  <conditionalFormatting sqref="C8">
    <cfRule type="expression" dxfId="2846" priority="1">
      <formula>$K8=#REF!</formula>
    </cfRule>
    <cfRule type="expression" dxfId="2845" priority="2">
      <formula>$K8=#REF!</formula>
    </cfRule>
    <cfRule type="expression" dxfId="2844" priority="3">
      <formula>$K8=#REF!</formula>
    </cfRule>
    <cfRule type="expression" dxfId="2843" priority="4">
      <formula>$K8=#REF!</formula>
    </cfRule>
    <cfRule type="expression" dxfId="2842" priority="5">
      <formula>$K8=#REF!</formula>
    </cfRule>
    <cfRule type="expression" dxfId="2841" priority="6">
      <formula>$K8=#REF!</formula>
    </cfRule>
    <cfRule type="expression" dxfId="2840" priority="7">
      <formula>$K8=#REF!</formula>
    </cfRule>
    <cfRule type="expression" dxfId="2839" priority="8">
      <formula>$K8=#REF!</formula>
    </cfRule>
    <cfRule type="expression" dxfId="2838" priority="9">
      <formula>$K8=#REF!</formula>
    </cfRule>
    <cfRule type="expression" dxfId="2837" priority="10">
      <formula>$K8=#REF!</formula>
    </cfRule>
    <cfRule type="expression" dxfId="2836" priority="11">
      <formula>$K8=#REF!</formula>
    </cfRule>
    <cfRule type="expression" dxfId="2835" priority="12">
      <formula>$K8=#REF!</formula>
    </cfRule>
    <cfRule type="expression" dxfId="2834" priority="13">
      <formula>$K8=#REF!</formula>
    </cfRule>
    <cfRule type="expression" dxfId="2833" priority="14">
      <formula>$K8=#REF!</formula>
    </cfRule>
    <cfRule type="expression" dxfId="2832" priority="15">
      <formula>$K8=#REF!</formula>
    </cfRule>
    <cfRule type="expression" dxfId="2831" priority="16">
      <formula>$K8=#REF!</formula>
    </cfRule>
    <cfRule type="expression" dxfId="2830" priority="17">
      <formula>$K8=#REF!</formula>
    </cfRule>
    <cfRule type="expression" dxfId="2829" priority="18">
      <formula>$K8=#REF!</formula>
    </cfRule>
    <cfRule type="expression" dxfId="2828" priority="19">
      <formula>$K8=#REF!</formula>
    </cfRule>
    <cfRule type="expression" dxfId="2827" priority="20">
      <formula>$K8=#REF!</formula>
    </cfRule>
    <cfRule type="expression" dxfId="2826" priority="21">
      <formula>$K8=#REF!</formula>
    </cfRule>
    <cfRule type="expression" dxfId="2825" priority="22">
      <formula>$K8=#REF!</formula>
    </cfRule>
    <cfRule type="expression" dxfId="2824" priority="23">
      <formula>$K8=#REF!</formula>
    </cfRule>
    <cfRule type="expression" dxfId="2823" priority="24">
      <formula>$K8=#REF!</formula>
    </cfRule>
    <cfRule type="expression" dxfId="2822" priority="25">
      <formula>$K8=#REF!</formula>
    </cfRule>
    <cfRule type="expression" dxfId="2821" priority="26">
      <formula>$K8=#REF!</formula>
    </cfRule>
    <cfRule type="expression" dxfId="2820" priority="27">
      <formula>$K8=#REF!</formula>
    </cfRule>
    <cfRule type="expression" dxfId="2819" priority="28">
      <formula>$K8=#REF!</formula>
    </cfRule>
    <cfRule type="expression" dxfId="2818" priority="29">
      <formula>$K8=#REF!</formula>
    </cfRule>
  </conditionalFormatting>
  <dataValidations count="7">
    <dataValidation type="list" allowBlank="1" showInputMessage="1" showErrorMessage="1" sqref="D10:F41 G13:G41 G10:G11">
      <formula1>$N$19:$N$20</formula1>
    </dataValidation>
    <dataValidation allowBlank="1" showInputMessage="1" showErrorMessage="1" prompt="Udávejte částku v Kč včetně DPH." sqref="C8"/>
    <dataValidation type="list" allowBlank="1" showInputMessage="1" showErrorMessage="1" sqref="H8">
      <formula1>$K$18:$K$19</formula1>
    </dataValidation>
    <dataValidation allowBlank="1" showInputMessage="1" showErrorMessage="1" promptTitle="Obor" prompt="Uveďte pro který obor NP bude přístroj využíván." sqref="J8"/>
    <dataValidation allowBlank="1" showInputMessage="1" showErrorMessage="1" promptTitle="Stáří přístroje" prompt="Vyplňte pokud se jedná o obnovu." sqref="I8"/>
    <dataValidation type="list" errorStyle="information" allowBlank="1" showInputMessage="1" promptTitle="Vyberte skupinu" prompt="Vyberte skupinu zakázky" sqref="K8">
      <formula1>#REF!</formula1>
    </dataValidation>
    <dataValidation type="list" allowBlank="1" showInputMessage="1" showErrorMessage="1" sqref="M8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21"/>
  <sheetViews>
    <sheetView workbookViewId="0">
      <selection activeCell="D10" sqref="D10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6.5703125" customWidth="1"/>
    <col min="8" max="8" width="14.42578125" hidden="1" customWidth="1"/>
    <col min="9" max="9" width="13.42578125" hidden="1" customWidth="1"/>
    <col min="10" max="10" width="1.85546875" hidden="1" customWidth="1"/>
    <col min="11" max="11" width="42.7109375" hidden="1" customWidth="1"/>
    <col min="12" max="12" width="26.28515625" customWidth="1"/>
    <col min="13" max="13" width="10.85546875" hidden="1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145</v>
      </c>
    </row>
    <row r="7" spans="1:15" ht="60.75" customHeight="1" x14ac:dyDescent="0.25">
      <c r="A7" s="2" t="s">
        <v>0</v>
      </c>
      <c r="B7" s="48" t="s">
        <v>130</v>
      </c>
      <c r="C7" s="2" t="s">
        <v>126</v>
      </c>
      <c r="D7" s="2" t="s">
        <v>6</v>
      </c>
      <c r="E7" s="35" t="s">
        <v>131</v>
      </c>
      <c r="F7" s="36" t="s">
        <v>113</v>
      </c>
      <c r="G7" s="2" t="s">
        <v>143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14" t="s">
        <v>67</v>
      </c>
      <c r="B8" s="5"/>
      <c r="C8" s="5">
        <f>B8*(F8+1)</f>
        <v>0</v>
      </c>
      <c r="D8" s="15">
        <v>21</v>
      </c>
      <c r="E8" s="5">
        <f>Tabulka13419[[#This Row],[ pořizovací cena / ks (v Kč bez DPH)]]*Tabulka13419[[#This Row],[Počet kusů]]</f>
        <v>0</v>
      </c>
      <c r="F8" s="53">
        <v>0.15</v>
      </c>
      <c r="G8" s="12">
        <f>Tabulka13419[[#This Row],[ pořizovací cena / ks (v Kč včetně DPH)]]*Tabulka13419[[#This Row],[Počet kusů]]</f>
        <v>0</v>
      </c>
      <c r="H8" s="6" t="s">
        <v>21</v>
      </c>
      <c r="I8" s="6"/>
      <c r="J8" s="6" t="s">
        <v>94</v>
      </c>
      <c r="K8" s="8"/>
      <c r="L8" s="8"/>
      <c r="M8" s="10"/>
      <c r="N8" s="6"/>
      <c r="O8" s="6"/>
    </row>
    <row r="9" spans="1:15" x14ac:dyDescent="0.25">
      <c r="A9" s="13" t="s">
        <v>18</v>
      </c>
      <c r="B9" s="5"/>
      <c r="C9" s="5">
        <f>B9*(F9+1)</f>
        <v>0</v>
      </c>
      <c r="D9" s="6">
        <v>13</v>
      </c>
      <c r="E9" s="5">
        <f>Tabulka13419[[#This Row],[ pořizovací cena / ks (v Kč bez DPH)]]*Tabulka13419[[#This Row],[Počet kusů]]</f>
        <v>0</v>
      </c>
      <c r="F9" s="53">
        <v>0.15</v>
      </c>
      <c r="G9" s="12">
        <f>Tabulka13419[[#This Row],[ pořizovací cena / ks (v Kč včetně DPH)]]*Tabulka13419[[#This Row],[Počet kusů]]</f>
        <v>0</v>
      </c>
      <c r="H9" s="6" t="s">
        <v>11</v>
      </c>
      <c r="I9" s="6">
        <v>2008</v>
      </c>
      <c r="J9" s="6" t="s">
        <v>88</v>
      </c>
      <c r="K9" s="8"/>
      <c r="L9" s="8"/>
      <c r="M9" s="10"/>
      <c r="N9" s="6"/>
      <c r="O9" s="6"/>
    </row>
    <row r="10" spans="1:15" x14ac:dyDescent="0.25">
      <c r="A10" s="7" t="s">
        <v>65</v>
      </c>
      <c r="B10" s="5"/>
      <c r="C10" s="5">
        <f>B10*(F10+1)</f>
        <v>0</v>
      </c>
      <c r="D10" s="7">
        <v>8</v>
      </c>
      <c r="E10" s="5">
        <f>Tabulka13419[[#This Row],[ pořizovací cena / ks (v Kč bez DPH)]]*Tabulka13419[[#This Row],[Počet kusů]]</f>
        <v>0</v>
      </c>
      <c r="F10" s="53">
        <v>0.15</v>
      </c>
      <c r="G10" s="12">
        <f>Tabulka13419[[#This Row],[ pořizovací cena / ks (v Kč včetně DPH)]]*Tabulka13419[[#This Row],[Počet kusů]]</f>
        <v>0</v>
      </c>
      <c r="H10" s="6" t="s">
        <v>21</v>
      </c>
      <c r="I10" s="6"/>
      <c r="J10" s="6" t="s">
        <v>93</v>
      </c>
      <c r="K10" s="8"/>
      <c r="L10" s="8"/>
      <c r="M10" s="10"/>
      <c r="N10" s="6"/>
      <c r="O10" s="6"/>
    </row>
    <row r="11" spans="1:15" x14ac:dyDescent="0.25">
      <c r="A11" t="s">
        <v>7</v>
      </c>
      <c r="B11" s="61"/>
      <c r="C11" s="62">
        <f>SUM(C8:C10)</f>
        <v>0</v>
      </c>
      <c r="D11" s="6">
        <f>SUBTOTAL(109,Tabulka13419[Počet kusů])</f>
        <v>42</v>
      </c>
      <c r="E11" s="62">
        <f>SUM(E8:E10)</f>
        <v>0</v>
      </c>
      <c r="F11" s="63"/>
      <c r="G11" s="62">
        <f>SUM(G8:G10)</f>
        <v>0</v>
      </c>
      <c r="H11" s="64" t="s">
        <v>8</v>
      </c>
      <c r="I11" s="64" t="s">
        <v>8</v>
      </c>
      <c r="J11" s="64" t="s">
        <v>8</v>
      </c>
      <c r="K11" s="64"/>
      <c r="L11" s="64"/>
      <c r="M11" s="1"/>
      <c r="N11" s="1"/>
      <c r="O11" s="1"/>
    </row>
    <row r="13" spans="1:15" ht="15.75" x14ac:dyDescent="0.3">
      <c r="K13" s="29"/>
    </row>
    <row r="15" spans="1:15" x14ac:dyDescent="0.25">
      <c r="K15" s="30" t="s">
        <v>103</v>
      </c>
    </row>
    <row r="16" spans="1:15" ht="15.75" x14ac:dyDescent="0.3">
      <c r="K16" s="31" t="e">
        <f>SUMPRODUCT(1/COUNTIF(Tabulka13419[Skupina],Tabulka13419[Skupina]))</f>
        <v>#DIV/0!</v>
      </c>
    </row>
    <row r="20" spans="11:11" x14ac:dyDescent="0.25">
      <c r="K20" t="s">
        <v>3</v>
      </c>
    </row>
    <row r="21" spans="11:11" x14ac:dyDescent="0.25">
      <c r="K21" t="s">
        <v>2</v>
      </c>
    </row>
  </sheetData>
  <protectedRanges>
    <protectedRange sqref="K8:M10" name="Oblast1"/>
  </protectedRanges>
  <mergeCells count="4">
    <mergeCell ref="A3:C3"/>
    <mergeCell ref="D3:J3"/>
    <mergeCell ref="A4:C4"/>
    <mergeCell ref="D4:J4"/>
  </mergeCells>
  <conditionalFormatting sqref="A8:B10 D8:M10">
    <cfRule type="expression" dxfId="2788" priority="30">
      <formula>$K8=#REF!</formula>
    </cfRule>
    <cfRule type="expression" dxfId="2787" priority="31">
      <formula>$K8=#REF!</formula>
    </cfRule>
    <cfRule type="expression" dxfId="2786" priority="32">
      <formula>$K8=#REF!</formula>
    </cfRule>
    <cfRule type="expression" dxfId="2785" priority="33">
      <formula>$K8=#REF!</formula>
    </cfRule>
    <cfRule type="expression" dxfId="2784" priority="34">
      <formula>$K8=#REF!</formula>
    </cfRule>
    <cfRule type="expression" dxfId="2783" priority="35">
      <formula>$K8=#REF!</formula>
    </cfRule>
    <cfRule type="expression" dxfId="2782" priority="36">
      <formula>$K8=#REF!</formula>
    </cfRule>
    <cfRule type="expression" dxfId="2781" priority="37">
      <formula>$K8=#REF!</formula>
    </cfRule>
    <cfRule type="expression" dxfId="2780" priority="38">
      <formula>$K8=#REF!</formula>
    </cfRule>
    <cfRule type="expression" dxfId="2779" priority="39">
      <formula>$K8=#REF!</formula>
    </cfRule>
    <cfRule type="expression" dxfId="2778" priority="40">
      <formula>$K8=#REF!</formula>
    </cfRule>
    <cfRule type="expression" dxfId="2777" priority="41">
      <formula>$K8=#REF!</formula>
    </cfRule>
    <cfRule type="expression" dxfId="2776" priority="42">
      <formula>$K8=#REF!</formula>
    </cfRule>
    <cfRule type="expression" dxfId="2775" priority="43">
      <formula>$K8=#REF!</formula>
    </cfRule>
    <cfRule type="expression" dxfId="2774" priority="44">
      <formula>$K8=#REF!</formula>
    </cfRule>
    <cfRule type="expression" dxfId="2773" priority="45">
      <formula>$K8=#REF!</formula>
    </cfRule>
    <cfRule type="expression" dxfId="2772" priority="46">
      <formula>$K8=#REF!</formula>
    </cfRule>
    <cfRule type="expression" dxfId="2771" priority="47">
      <formula>$K8=#REF!</formula>
    </cfRule>
    <cfRule type="expression" dxfId="2770" priority="48">
      <formula>$K8=#REF!</formula>
    </cfRule>
    <cfRule type="expression" dxfId="2769" priority="49">
      <formula>$K8=#REF!</formula>
    </cfRule>
    <cfRule type="expression" dxfId="2768" priority="50">
      <formula>$K8=#REF!</formula>
    </cfRule>
    <cfRule type="expression" dxfId="2767" priority="51">
      <formula>$K8=#REF!</formula>
    </cfRule>
    <cfRule type="expression" dxfId="2766" priority="52">
      <formula>$K8=#REF!</formula>
    </cfRule>
    <cfRule type="expression" dxfId="2765" priority="53">
      <formula>$K8=#REF!</formula>
    </cfRule>
    <cfRule type="expression" dxfId="2764" priority="54">
      <formula>$K8=#REF!</formula>
    </cfRule>
    <cfRule type="expression" dxfId="2763" priority="55">
      <formula>$K8=#REF!</formula>
    </cfRule>
    <cfRule type="expression" dxfId="2762" priority="56">
      <formula>$K8=#REF!</formula>
    </cfRule>
    <cfRule type="expression" dxfId="2761" priority="57">
      <formula>$K8=#REF!</formula>
    </cfRule>
    <cfRule type="expression" dxfId="2760" priority="58">
      <formula>$K8=#REF!</formula>
    </cfRule>
  </conditionalFormatting>
  <conditionalFormatting sqref="C8:C10">
    <cfRule type="expression" dxfId="2759" priority="1">
      <formula>$K8=#REF!</formula>
    </cfRule>
    <cfRule type="expression" dxfId="2758" priority="2">
      <formula>$K8=#REF!</formula>
    </cfRule>
    <cfRule type="expression" dxfId="2757" priority="3">
      <formula>$K8=#REF!</formula>
    </cfRule>
    <cfRule type="expression" dxfId="2756" priority="4">
      <formula>$K8=#REF!</formula>
    </cfRule>
    <cfRule type="expression" dxfId="2755" priority="5">
      <formula>$K8=#REF!</formula>
    </cfRule>
    <cfRule type="expression" dxfId="2754" priority="6">
      <formula>$K8=#REF!</formula>
    </cfRule>
    <cfRule type="expression" dxfId="2753" priority="7">
      <formula>$K8=#REF!</formula>
    </cfRule>
    <cfRule type="expression" dxfId="2752" priority="8">
      <formula>$K8=#REF!</formula>
    </cfRule>
    <cfRule type="expression" dxfId="2751" priority="9">
      <formula>$K8=#REF!</formula>
    </cfRule>
    <cfRule type="expression" dxfId="2750" priority="10">
      <formula>$K8=#REF!</formula>
    </cfRule>
    <cfRule type="expression" dxfId="2749" priority="11">
      <formula>$K8=#REF!</formula>
    </cfRule>
    <cfRule type="expression" dxfId="2748" priority="12">
      <formula>$K8=#REF!</formula>
    </cfRule>
    <cfRule type="expression" dxfId="2747" priority="13">
      <formula>$K8=#REF!</formula>
    </cfRule>
    <cfRule type="expression" dxfId="2746" priority="14">
      <formula>$K8=#REF!</formula>
    </cfRule>
    <cfRule type="expression" dxfId="2745" priority="15">
      <formula>$K8=#REF!</formula>
    </cfRule>
    <cfRule type="expression" dxfId="2744" priority="16">
      <formula>$K8=#REF!</formula>
    </cfRule>
    <cfRule type="expression" dxfId="2743" priority="17">
      <formula>$K8=#REF!</formula>
    </cfRule>
    <cfRule type="expression" dxfId="2742" priority="18">
      <formula>$K8=#REF!</formula>
    </cfRule>
    <cfRule type="expression" dxfId="2741" priority="19">
      <formula>$K8=#REF!</formula>
    </cfRule>
    <cfRule type="expression" dxfId="2740" priority="20">
      <formula>$K8=#REF!</formula>
    </cfRule>
    <cfRule type="expression" dxfId="2739" priority="21">
      <formula>$K8=#REF!</formula>
    </cfRule>
    <cfRule type="expression" dxfId="2738" priority="22">
      <formula>$K8=#REF!</formula>
    </cfRule>
    <cfRule type="expression" dxfId="2737" priority="23">
      <formula>$K8=#REF!</formula>
    </cfRule>
    <cfRule type="expression" dxfId="2736" priority="24">
      <formula>$K8=#REF!</formula>
    </cfRule>
    <cfRule type="expression" dxfId="2735" priority="25">
      <formula>$K8=#REF!</formula>
    </cfRule>
    <cfRule type="expression" dxfId="2734" priority="26">
      <formula>$K8=#REF!</formula>
    </cfRule>
    <cfRule type="expression" dxfId="2733" priority="27">
      <formula>$K8=#REF!</formula>
    </cfRule>
    <cfRule type="expression" dxfId="2732" priority="28">
      <formula>$K8=#REF!</formula>
    </cfRule>
    <cfRule type="expression" dxfId="2731" priority="29">
      <formula>$K8=#REF!</formula>
    </cfRule>
  </conditionalFormatting>
  <dataValidations count="7">
    <dataValidation type="list" allowBlank="1" showInputMessage="1" showErrorMessage="1" sqref="D12:F43 G15:G43 G12:G13">
      <formula1>$N$21:$N$22</formula1>
    </dataValidation>
    <dataValidation allowBlank="1" showInputMessage="1" showErrorMessage="1" prompt="Udávejte částku v Kč včetně DPH." sqref="C8:C10"/>
    <dataValidation type="list" allowBlank="1" showInputMessage="1" showErrorMessage="1" sqref="H8:H10">
      <formula1>$K$20:$K$21</formula1>
    </dataValidation>
    <dataValidation allowBlank="1" showInputMessage="1" showErrorMessage="1" promptTitle="Obor" prompt="Uveďte pro který obor NP bude přístroj využíván." sqref="J8:J10"/>
    <dataValidation allowBlank="1" showInputMessage="1" showErrorMessage="1" promptTitle="Stáří přístroje" prompt="Vyplňte pokud se jedná o obnovu." sqref="I8:I10"/>
    <dataValidation type="list" errorStyle="information" allowBlank="1" showInputMessage="1" promptTitle="Vyberte skupinu" prompt="Vyberte skupinu zakázky" sqref="K8:K10">
      <formula1>#REF!</formula1>
    </dataValidation>
    <dataValidation type="list" allowBlank="1" showInputMessage="1" showErrorMessage="1" sqref="M8:M10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7"/>
  <sheetViews>
    <sheetView workbookViewId="0">
      <selection activeCell="A17" sqref="A17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0.140625" customWidth="1"/>
    <col min="12" max="12" width="26.42578125" customWidth="1"/>
    <col min="13" max="13" width="0.140625" hidden="1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147</v>
      </c>
    </row>
    <row r="7" spans="1:15" ht="60.75" customHeight="1" x14ac:dyDescent="0.25">
      <c r="A7" s="2" t="s">
        <v>0</v>
      </c>
      <c r="B7" s="48" t="s">
        <v>130</v>
      </c>
      <c r="C7" s="2" t="s">
        <v>126</v>
      </c>
      <c r="D7" s="2" t="s">
        <v>6</v>
      </c>
      <c r="E7" s="35" t="s">
        <v>127</v>
      </c>
      <c r="F7" s="36" t="s">
        <v>113</v>
      </c>
      <c r="G7" s="2" t="s">
        <v>132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13" t="s">
        <v>172</v>
      </c>
      <c r="B8" s="5"/>
      <c r="C8" s="5">
        <f>B8*(F8+1)</f>
        <v>0</v>
      </c>
      <c r="D8" s="15">
        <v>2</v>
      </c>
      <c r="E8" s="5">
        <f>Tabulka13420[[#This Row],[ pořizovací cena / ks (v Kč bez DPH)]]*Tabulka13420[[#This Row],[Počet kusů]]</f>
        <v>0</v>
      </c>
      <c r="F8" s="53">
        <v>0.21</v>
      </c>
      <c r="G8" s="12">
        <f>Tabulka13420[[#This Row],[ pořizovací cena / ks (v Kč včetně DPH)]]*Tabulka13420[[#This Row],[Počet kusů]]</f>
        <v>0</v>
      </c>
      <c r="H8" s="6" t="s">
        <v>21</v>
      </c>
      <c r="I8" s="6"/>
      <c r="J8" s="6" t="s">
        <v>94</v>
      </c>
      <c r="K8" s="8"/>
      <c r="L8" s="8"/>
      <c r="M8" s="10"/>
      <c r="N8" s="6"/>
      <c r="O8" s="6"/>
    </row>
    <row r="9" spans="1:15" x14ac:dyDescent="0.25">
      <c r="A9" s="24" t="s">
        <v>230</v>
      </c>
      <c r="B9" s="5"/>
      <c r="C9" s="5">
        <f>B9*(F9+1)</f>
        <v>0</v>
      </c>
      <c r="D9" s="21">
        <v>2</v>
      </c>
      <c r="E9" s="5">
        <f>Tabulka13420[[#This Row],[ pořizovací cena / ks (v Kč bez DPH)]]*Tabulka13420[[#This Row],[Počet kusů]]</f>
        <v>0</v>
      </c>
      <c r="F9" s="53">
        <v>0.21</v>
      </c>
      <c r="G9" s="12">
        <f>Tabulka13420[[#This Row],[ pořizovací cena / ks (v Kč včetně DPH)]]*Tabulka13420[[#This Row],[Počet kusů]]</f>
        <v>0</v>
      </c>
      <c r="H9" s="6" t="s">
        <v>11</v>
      </c>
      <c r="I9" s="6">
        <v>2005</v>
      </c>
      <c r="J9" s="6" t="s">
        <v>111</v>
      </c>
      <c r="K9" s="8"/>
      <c r="L9" s="8"/>
      <c r="M9" s="10"/>
      <c r="N9" s="6"/>
      <c r="O9" s="6"/>
    </row>
    <row r="10" spans="1:15" x14ac:dyDescent="0.25">
      <c r="A10" s="7" t="s">
        <v>173</v>
      </c>
      <c r="B10" s="5"/>
      <c r="C10" s="5">
        <f>B10*(F10+1)</f>
        <v>0</v>
      </c>
      <c r="D10" s="7">
        <v>1</v>
      </c>
      <c r="E10" s="5">
        <f>Tabulka13420[[#This Row],[ pořizovací cena / ks (v Kč bez DPH)]]*Tabulka13420[[#This Row],[Počet kusů]]</f>
        <v>0</v>
      </c>
      <c r="F10" s="53">
        <v>0.21</v>
      </c>
      <c r="G10" s="12">
        <f>Tabulka13420[[#This Row],[ pořizovací cena / ks (v Kč včetně DPH)]]*Tabulka13420[[#This Row],[Počet kusů]]</f>
        <v>0</v>
      </c>
      <c r="H10" s="6" t="s">
        <v>21</v>
      </c>
      <c r="I10" s="6"/>
      <c r="J10" s="6" t="s">
        <v>88</v>
      </c>
      <c r="K10" s="8"/>
      <c r="L10" s="8"/>
      <c r="M10" s="10"/>
      <c r="N10" s="6"/>
      <c r="O10" s="6"/>
    </row>
    <row r="11" spans="1:15" x14ac:dyDescent="0.25">
      <c r="A11" s="13" t="s">
        <v>192</v>
      </c>
      <c r="B11" s="5"/>
      <c r="C11" s="5">
        <f>B11*(F11+1)</f>
        <v>0</v>
      </c>
      <c r="D11" s="6">
        <v>1</v>
      </c>
      <c r="E11" s="5">
        <f>Tabulka13420[[#This Row],[ pořizovací cena / ks (v Kč bez DPH)]]*Tabulka13420[[#This Row],[Počet kusů]]</f>
        <v>0</v>
      </c>
      <c r="F11" s="53">
        <v>0.21</v>
      </c>
      <c r="G11" s="12">
        <f>Tabulka13420[[#This Row],[ pořizovací cena / ks (v Kč včetně DPH)]]*Tabulka13420[[#This Row],[Počet kusů]]</f>
        <v>0</v>
      </c>
      <c r="H11" s="6" t="s">
        <v>11</v>
      </c>
      <c r="I11" s="6">
        <v>2008</v>
      </c>
      <c r="J11" s="6" t="s">
        <v>88</v>
      </c>
      <c r="K11" s="8"/>
      <c r="L11" s="8"/>
      <c r="M11" s="10"/>
      <c r="N11" s="6"/>
      <c r="O11" s="6"/>
    </row>
    <row r="12" spans="1:15" x14ac:dyDescent="0.25">
      <c r="A12" t="s">
        <v>7</v>
      </c>
      <c r="C12" s="4">
        <f>SUM(C8:C11)</f>
        <v>0</v>
      </c>
      <c r="D12">
        <f>SUBTOTAL(109,Tabulka13420[Počet kusů])</f>
        <v>6</v>
      </c>
      <c r="E12" s="4">
        <f>SUM(E8:E11)</f>
        <v>0</v>
      </c>
      <c r="G12" s="4">
        <f>SUM(G8:G11)</f>
        <v>0</v>
      </c>
      <c r="H12" s="1" t="s">
        <v>8</v>
      </c>
      <c r="I12" s="1" t="s">
        <v>8</v>
      </c>
      <c r="J12" s="1" t="s">
        <v>8</v>
      </c>
      <c r="K12" s="1"/>
      <c r="L12" s="1"/>
      <c r="M12" s="1"/>
      <c r="N12" s="1"/>
      <c r="O12" s="1"/>
    </row>
    <row r="14" spans="1:15" ht="15.75" x14ac:dyDescent="0.3">
      <c r="K14" s="29"/>
    </row>
    <row r="16" spans="1:15" x14ac:dyDescent="0.25">
      <c r="K16" s="30"/>
    </row>
    <row r="17" spans="11:11" ht="15.75" x14ac:dyDescent="0.3">
      <c r="K17" s="31"/>
    </row>
  </sheetData>
  <protectedRanges>
    <protectedRange sqref="K8:M11" name="Oblast1"/>
  </protectedRanges>
  <mergeCells count="4">
    <mergeCell ref="A3:C3"/>
    <mergeCell ref="D3:J3"/>
    <mergeCell ref="A4:C4"/>
    <mergeCell ref="D4:J4"/>
  </mergeCells>
  <conditionalFormatting sqref="A8:B11 D8:M11">
    <cfRule type="expression" dxfId="2700" priority="30">
      <formula>$K8=#REF!</formula>
    </cfRule>
    <cfRule type="expression" dxfId="2699" priority="31">
      <formula>$K8=#REF!</formula>
    </cfRule>
    <cfRule type="expression" dxfId="2698" priority="32">
      <formula>$K8=#REF!</formula>
    </cfRule>
    <cfRule type="expression" dxfId="2697" priority="33">
      <formula>$K8=#REF!</formula>
    </cfRule>
    <cfRule type="expression" dxfId="2696" priority="34">
      <formula>$K8=#REF!</formula>
    </cfRule>
    <cfRule type="expression" dxfId="2695" priority="35">
      <formula>$K8=#REF!</formula>
    </cfRule>
    <cfRule type="expression" dxfId="2694" priority="36">
      <formula>$K8=#REF!</formula>
    </cfRule>
    <cfRule type="expression" dxfId="2693" priority="37">
      <formula>$K8=#REF!</formula>
    </cfRule>
    <cfRule type="expression" dxfId="2692" priority="38">
      <formula>$K8=#REF!</formula>
    </cfRule>
    <cfRule type="expression" dxfId="2691" priority="39">
      <formula>$K8=#REF!</formula>
    </cfRule>
    <cfRule type="expression" dxfId="2690" priority="40">
      <formula>$K8=#REF!</formula>
    </cfRule>
    <cfRule type="expression" dxfId="2689" priority="41">
      <formula>$K8=#REF!</formula>
    </cfRule>
    <cfRule type="expression" dxfId="2688" priority="42">
      <formula>$K8=#REF!</formula>
    </cfRule>
    <cfRule type="expression" dxfId="2687" priority="43">
      <formula>$K8=#REF!</formula>
    </cfRule>
    <cfRule type="expression" dxfId="2686" priority="44">
      <formula>$K8=#REF!</formula>
    </cfRule>
    <cfRule type="expression" dxfId="2685" priority="45">
      <formula>$K8=#REF!</formula>
    </cfRule>
    <cfRule type="expression" dxfId="2684" priority="46">
      <formula>$K8=#REF!</formula>
    </cfRule>
    <cfRule type="expression" dxfId="2683" priority="47">
      <formula>$K8=#REF!</formula>
    </cfRule>
    <cfRule type="expression" dxfId="2682" priority="48">
      <formula>$K8=#REF!</formula>
    </cfRule>
    <cfRule type="expression" dxfId="2681" priority="49">
      <formula>$K8=#REF!</formula>
    </cfRule>
    <cfRule type="expression" dxfId="2680" priority="50">
      <formula>$K8=#REF!</formula>
    </cfRule>
    <cfRule type="expression" dxfId="2679" priority="51">
      <formula>$K8=#REF!</formula>
    </cfRule>
    <cfRule type="expression" dxfId="2678" priority="52">
      <formula>$K8=#REF!</formula>
    </cfRule>
    <cfRule type="expression" dxfId="2677" priority="53">
      <formula>$K8=#REF!</formula>
    </cfRule>
    <cfRule type="expression" dxfId="2676" priority="54">
      <formula>$K8=#REF!</formula>
    </cfRule>
    <cfRule type="expression" dxfId="2675" priority="55">
      <formula>$K8=#REF!</formula>
    </cfRule>
    <cfRule type="expression" dxfId="2674" priority="56">
      <formula>$K8=#REF!</formula>
    </cfRule>
    <cfRule type="expression" dxfId="2673" priority="57">
      <formula>$K8=#REF!</formula>
    </cfRule>
    <cfRule type="expression" dxfId="2672" priority="58">
      <formula>$K8=#REF!</formula>
    </cfRule>
  </conditionalFormatting>
  <conditionalFormatting sqref="C8:C11">
    <cfRule type="expression" dxfId="2671" priority="1">
      <formula>$K8=#REF!</formula>
    </cfRule>
    <cfRule type="expression" dxfId="2670" priority="2">
      <formula>$K8=#REF!</formula>
    </cfRule>
    <cfRule type="expression" dxfId="2669" priority="3">
      <formula>$K8=#REF!</formula>
    </cfRule>
    <cfRule type="expression" dxfId="2668" priority="4">
      <formula>$K8=#REF!</formula>
    </cfRule>
    <cfRule type="expression" dxfId="2667" priority="5">
      <formula>$K8=#REF!</formula>
    </cfRule>
    <cfRule type="expression" dxfId="2666" priority="6">
      <formula>$K8=#REF!</formula>
    </cfRule>
    <cfRule type="expression" dxfId="2665" priority="7">
      <formula>$K8=#REF!</formula>
    </cfRule>
    <cfRule type="expression" dxfId="2664" priority="8">
      <formula>$K8=#REF!</formula>
    </cfRule>
    <cfRule type="expression" dxfId="2663" priority="9">
      <formula>$K8=#REF!</formula>
    </cfRule>
    <cfRule type="expression" dxfId="2662" priority="10">
      <formula>$K8=#REF!</formula>
    </cfRule>
    <cfRule type="expression" dxfId="2661" priority="11">
      <formula>$K8=#REF!</formula>
    </cfRule>
    <cfRule type="expression" dxfId="2660" priority="12">
      <formula>$K8=#REF!</formula>
    </cfRule>
    <cfRule type="expression" dxfId="2659" priority="13">
      <formula>$K8=#REF!</formula>
    </cfRule>
    <cfRule type="expression" dxfId="2658" priority="14">
      <formula>$K8=#REF!</formula>
    </cfRule>
    <cfRule type="expression" dxfId="2657" priority="15">
      <formula>$K8=#REF!</formula>
    </cfRule>
    <cfRule type="expression" dxfId="2656" priority="16">
      <formula>$K8=#REF!</formula>
    </cfRule>
    <cfRule type="expression" dxfId="2655" priority="17">
      <formula>$K8=#REF!</formula>
    </cfRule>
    <cfRule type="expression" dxfId="2654" priority="18">
      <formula>$K8=#REF!</formula>
    </cfRule>
    <cfRule type="expression" dxfId="2653" priority="19">
      <formula>$K8=#REF!</formula>
    </cfRule>
    <cfRule type="expression" dxfId="2652" priority="20">
      <formula>$K8=#REF!</formula>
    </cfRule>
    <cfRule type="expression" dxfId="2651" priority="21">
      <formula>$K8=#REF!</formula>
    </cfRule>
    <cfRule type="expression" dxfId="2650" priority="22">
      <formula>$K8=#REF!</formula>
    </cfRule>
    <cfRule type="expression" dxfId="2649" priority="23">
      <formula>$K8=#REF!</formula>
    </cfRule>
    <cfRule type="expression" dxfId="2648" priority="24">
      <formula>$K8=#REF!</formula>
    </cfRule>
    <cfRule type="expression" dxfId="2647" priority="25">
      <formula>$K8=#REF!</formula>
    </cfRule>
    <cfRule type="expression" dxfId="2646" priority="26">
      <formula>$K8=#REF!</formula>
    </cfRule>
    <cfRule type="expression" dxfId="2645" priority="27">
      <formula>$K8=#REF!</formula>
    </cfRule>
    <cfRule type="expression" dxfId="2644" priority="28">
      <formula>$K8=#REF!</formula>
    </cfRule>
    <cfRule type="expression" dxfId="2643" priority="29">
      <formula>$K8=#REF!</formula>
    </cfRule>
  </conditionalFormatting>
  <dataValidations count="7">
    <dataValidation type="list" allowBlank="1" showInputMessage="1" showErrorMessage="1" sqref="D13:F44 G16:G44 G13:G14">
      <formula1>$N$22:$N$23</formula1>
    </dataValidation>
    <dataValidation allowBlank="1" showInputMessage="1" showErrorMessage="1" prompt="Udávejte částku v Kč včetně DPH." sqref="C8:C11"/>
    <dataValidation type="list" allowBlank="1" showInputMessage="1" showErrorMessage="1" sqref="H8:H11">
      <formula1>$K$21:$K$22</formula1>
    </dataValidation>
    <dataValidation allowBlank="1" showInputMessage="1" showErrorMessage="1" promptTitle="Obor" prompt="Uveďte pro který obor NP bude přístroj využíván." sqref="J8:J11"/>
    <dataValidation allowBlank="1" showInputMessage="1" showErrorMessage="1" promptTitle="Stáří přístroje" prompt="Vyplňte pokud se jedná o obnovu." sqref="I8:I11"/>
    <dataValidation type="list" errorStyle="information" allowBlank="1" showInputMessage="1" promptTitle="Vyberte skupinu" prompt="Vyberte skupinu zakázky" sqref="K8:K11">
      <formula1>#REF!</formula1>
    </dataValidation>
    <dataValidation type="list" allowBlank="1" showInputMessage="1" showErrorMessage="1" sqref="M8:M11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20"/>
  <sheetViews>
    <sheetView workbookViewId="0">
      <selection activeCell="D9" sqref="D9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42.7109375" hidden="1" customWidth="1"/>
    <col min="12" max="12" width="26.42578125" customWidth="1"/>
    <col min="13" max="13" width="10.85546875" hidden="1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148</v>
      </c>
    </row>
    <row r="7" spans="1:15" ht="60.75" customHeight="1" x14ac:dyDescent="0.25">
      <c r="A7" s="2" t="s">
        <v>0</v>
      </c>
      <c r="B7" s="48" t="s">
        <v>149</v>
      </c>
      <c r="C7" s="2" t="s">
        <v>126</v>
      </c>
      <c r="D7" s="2" t="s">
        <v>6</v>
      </c>
      <c r="E7" s="35" t="s">
        <v>127</v>
      </c>
      <c r="F7" s="36" t="s">
        <v>113</v>
      </c>
      <c r="G7" s="2" t="s">
        <v>150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14" t="s">
        <v>13</v>
      </c>
      <c r="B8" s="5"/>
      <c r="C8" s="5">
        <f>B8*(F8+1)</f>
        <v>0</v>
      </c>
      <c r="D8" s="6">
        <v>4</v>
      </c>
      <c r="E8" s="5"/>
      <c r="F8" s="53">
        <v>0.21</v>
      </c>
      <c r="G8" s="12">
        <f>Tabulka13421[[#This Row],[ pořizovací cena / ks (v Kč včetně DPH)]]*Tabulka13421[[#This Row],[Počet kusů]]</f>
        <v>0</v>
      </c>
      <c r="H8" s="6" t="s">
        <v>11</v>
      </c>
      <c r="I8" s="6">
        <v>2003</v>
      </c>
      <c r="J8" s="6" t="s">
        <v>88</v>
      </c>
      <c r="K8" s="8"/>
      <c r="L8" s="8"/>
      <c r="M8" s="10"/>
      <c r="N8" s="6"/>
      <c r="O8" s="6"/>
    </row>
    <row r="9" spans="1:15" x14ac:dyDescent="0.25">
      <c r="A9" s="7" t="s">
        <v>24</v>
      </c>
      <c r="B9" s="5"/>
      <c r="C9" s="5">
        <f>B9*(F9+1)</f>
        <v>0</v>
      </c>
      <c r="D9" s="7">
        <v>3</v>
      </c>
      <c r="E9" s="5"/>
      <c r="F9" s="59">
        <v>0.21</v>
      </c>
      <c r="G9" s="12">
        <f>Tabulka13421[[#This Row],[ pořizovací cena / ks (v Kč včetně DPH)]]*Tabulka13421[[#This Row],[Počet kusů]]</f>
        <v>0</v>
      </c>
      <c r="H9" s="6" t="s">
        <v>11</v>
      </c>
      <c r="I9" s="6">
        <v>2008</v>
      </c>
      <c r="J9" s="6" t="s">
        <v>88</v>
      </c>
      <c r="K9" s="60"/>
      <c r="L9" s="8"/>
      <c r="M9" s="46"/>
      <c r="N9" s="6"/>
      <c r="O9" s="6"/>
    </row>
    <row r="10" spans="1:15" x14ac:dyDescent="0.25">
      <c r="A10" t="s">
        <v>7</v>
      </c>
      <c r="C10" s="4">
        <f>SUM(C8:C9)</f>
        <v>0</v>
      </c>
      <c r="D10">
        <f>SUBTOTAL(109,Tabulka13421[Počet kusů])</f>
        <v>7</v>
      </c>
      <c r="E10" s="4">
        <f>SUM(E8:E9)</f>
        <v>0</v>
      </c>
      <c r="G10" s="4">
        <f>SUM(G8:G9)</f>
        <v>0</v>
      </c>
      <c r="H10" s="1" t="s">
        <v>8</v>
      </c>
      <c r="I10" s="1" t="s">
        <v>8</v>
      </c>
      <c r="J10" s="1" t="s">
        <v>8</v>
      </c>
      <c r="K10" s="1"/>
      <c r="L10" s="1"/>
      <c r="M10" s="1"/>
      <c r="N10" s="1"/>
      <c r="O10" s="1"/>
    </row>
    <row r="12" spans="1:15" ht="15.75" x14ac:dyDescent="0.3">
      <c r="K12" s="29"/>
    </row>
    <row r="14" spans="1:15" x14ac:dyDescent="0.25">
      <c r="K14" s="30"/>
    </row>
    <row r="15" spans="1:15" ht="15.75" x14ac:dyDescent="0.3">
      <c r="K15" s="31"/>
    </row>
    <row r="20" spans="11:11" x14ac:dyDescent="0.25">
      <c r="K20" t="s">
        <v>2</v>
      </c>
    </row>
  </sheetData>
  <protectedRanges>
    <protectedRange sqref="K8:M9" name="Oblast1"/>
  </protectedRanges>
  <mergeCells count="4">
    <mergeCell ref="A3:C3"/>
    <mergeCell ref="D3:J3"/>
    <mergeCell ref="A4:C4"/>
    <mergeCell ref="D4:J4"/>
  </mergeCells>
  <conditionalFormatting sqref="A8:B9 D8:M9">
    <cfRule type="expression" dxfId="2613" priority="30">
      <formula>$K8=#REF!</formula>
    </cfRule>
    <cfRule type="expression" dxfId="2612" priority="31">
      <formula>$K8=#REF!</formula>
    </cfRule>
    <cfRule type="expression" dxfId="2611" priority="32">
      <formula>$K8=#REF!</formula>
    </cfRule>
    <cfRule type="expression" dxfId="2610" priority="33">
      <formula>$K8=#REF!</formula>
    </cfRule>
    <cfRule type="expression" dxfId="2609" priority="34">
      <formula>$K8=#REF!</formula>
    </cfRule>
    <cfRule type="expression" dxfId="2608" priority="35">
      <formula>$K8=#REF!</formula>
    </cfRule>
    <cfRule type="expression" dxfId="2607" priority="36">
      <formula>$K8=#REF!</formula>
    </cfRule>
    <cfRule type="expression" dxfId="2606" priority="37">
      <formula>$K8=#REF!</formula>
    </cfRule>
    <cfRule type="expression" dxfId="2605" priority="38">
      <formula>$K8=#REF!</formula>
    </cfRule>
    <cfRule type="expression" dxfId="2604" priority="39">
      <formula>$K8=#REF!</formula>
    </cfRule>
    <cfRule type="expression" dxfId="2603" priority="40">
      <formula>$K8=#REF!</formula>
    </cfRule>
    <cfRule type="expression" dxfId="2602" priority="41">
      <formula>$K8=#REF!</formula>
    </cfRule>
    <cfRule type="expression" dxfId="2601" priority="42">
      <formula>$K8=#REF!</formula>
    </cfRule>
    <cfRule type="expression" dxfId="2600" priority="43">
      <formula>$K8=#REF!</formula>
    </cfRule>
    <cfRule type="expression" dxfId="2599" priority="44">
      <formula>$K8=#REF!</formula>
    </cfRule>
    <cfRule type="expression" dxfId="2598" priority="45">
      <formula>$K8=#REF!</formula>
    </cfRule>
    <cfRule type="expression" dxfId="2597" priority="46">
      <formula>$K8=#REF!</formula>
    </cfRule>
    <cfRule type="expression" dxfId="2596" priority="47">
      <formula>$K8=#REF!</formula>
    </cfRule>
    <cfRule type="expression" dxfId="2595" priority="48">
      <formula>$K8=#REF!</formula>
    </cfRule>
    <cfRule type="expression" dxfId="2594" priority="49">
      <formula>$K8=#REF!</formula>
    </cfRule>
    <cfRule type="expression" dxfId="2593" priority="50">
      <formula>$K8=#REF!</formula>
    </cfRule>
    <cfRule type="expression" dxfId="2592" priority="51">
      <formula>$K8=#REF!</formula>
    </cfRule>
    <cfRule type="expression" dxfId="2591" priority="52">
      <formula>$K8=#REF!</formula>
    </cfRule>
    <cfRule type="expression" dxfId="2590" priority="53">
      <formula>$K8=#REF!</formula>
    </cfRule>
    <cfRule type="expression" dxfId="2589" priority="54">
      <formula>$K8=#REF!</formula>
    </cfRule>
    <cfRule type="expression" dxfId="2588" priority="55">
      <formula>$K8=#REF!</formula>
    </cfRule>
    <cfRule type="expression" dxfId="2587" priority="56">
      <formula>$K8=#REF!</formula>
    </cfRule>
    <cfRule type="expression" dxfId="2586" priority="57">
      <formula>$K8=#REF!</formula>
    </cfRule>
    <cfRule type="expression" dxfId="2585" priority="58">
      <formula>$K8=#REF!</formula>
    </cfRule>
  </conditionalFormatting>
  <conditionalFormatting sqref="C8:C9">
    <cfRule type="expression" dxfId="2584" priority="1">
      <formula>$K8=#REF!</formula>
    </cfRule>
    <cfRule type="expression" dxfId="2583" priority="2">
      <formula>$K8=#REF!</formula>
    </cfRule>
    <cfRule type="expression" dxfId="2582" priority="3">
      <formula>$K8=#REF!</formula>
    </cfRule>
    <cfRule type="expression" dxfId="2581" priority="4">
      <formula>$K8=#REF!</formula>
    </cfRule>
    <cfRule type="expression" dxfId="2580" priority="5">
      <formula>$K8=#REF!</formula>
    </cfRule>
    <cfRule type="expression" dxfId="2579" priority="6">
      <formula>$K8=#REF!</formula>
    </cfRule>
    <cfRule type="expression" dxfId="2578" priority="7">
      <formula>$K8=#REF!</formula>
    </cfRule>
    <cfRule type="expression" dxfId="2577" priority="8">
      <formula>$K8=#REF!</formula>
    </cfRule>
    <cfRule type="expression" dxfId="2576" priority="9">
      <formula>$K8=#REF!</formula>
    </cfRule>
    <cfRule type="expression" dxfId="2575" priority="10">
      <formula>$K8=#REF!</formula>
    </cfRule>
    <cfRule type="expression" dxfId="2574" priority="11">
      <formula>$K8=#REF!</formula>
    </cfRule>
    <cfRule type="expression" dxfId="2573" priority="12">
      <formula>$K8=#REF!</formula>
    </cfRule>
    <cfRule type="expression" dxfId="2572" priority="13">
      <formula>$K8=#REF!</formula>
    </cfRule>
    <cfRule type="expression" dxfId="2571" priority="14">
      <formula>$K8=#REF!</formula>
    </cfRule>
    <cfRule type="expression" dxfId="2570" priority="15">
      <formula>$K8=#REF!</formula>
    </cfRule>
    <cfRule type="expression" dxfId="2569" priority="16">
      <formula>$K8=#REF!</formula>
    </cfRule>
    <cfRule type="expression" dxfId="2568" priority="17">
      <formula>$K8=#REF!</formula>
    </cfRule>
    <cfRule type="expression" dxfId="2567" priority="18">
      <formula>$K8=#REF!</formula>
    </cfRule>
    <cfRule type="expression" dxfId="2566" priority="19">
      <formula>$K8=#REF!</formula>
    </cfRule>
    <cfRule type="expression" dxfId="2565" priority="20">
      <formula>$K8=#REF!</formula>
    </cfRule>
    <cfRule type="expression" dxfId="2564" priority="21">
      <formula>$K8=#REF!</formula>
    </cfRule>
    <cfRule type="expression" dxfId="2563" priority="22">
      <formula>$K8=#REF!</formula>
    </cfRule>
    <cfRule type="expression" dxfId="2562" priority="23">
      <formula>$K8=#REF!</formula>
    </cfRule>
    <cfRule type="expression" dxfId="2561" priority="24">
      <formula>$K8=#REF!</formula>
    </cfRule>
    <cfRule type="expression" dxfId="2560" priority="25">
      <formula>$K8=#REF!</formula>
    </cfRule>
    <cfRule type="expression" dxfId="2559" priority="26">
      <formula>$K8=#REF!</formula>
    </cfRule>
    <cfRule type="expression" dxfId="2558" priority="27">
      <formula>$K8=#REF!</formula>
    </cfRule>
    <cfRule type="expression" dxfId="2557" priority="28">
      <formula>$K8=#REF!</formula>
    </cfRule>
    <cfRule type="expression" dxfId="2556" priority="29">
      <formula>$K8=#REF!</formula>
    </cfRule>
  </conditionalFormatting>
  <dataValidations count="7">
    <dataValidation type="list" allowBlank="1" showInputMessage="1" showErrorMessage="1" sqref="D11:F42 G14:G42 G11:G12">
      <formula1>$N$20:$N$21</formula1>
    </dataValidation>
    <dataValidation allowBlank="1" showInputMessage="1" showErrorMessage="1" prompt="Udávejte částku v Kč včetně DPH." sqref="C8:C9"/>
    <dataValidation type="list" allowBlank="1" showInputMessage="1" showErrorMessage="1" sqref="H8:H9">
      <formula1>$K$19:$K$20</formula1>
    </dataValidation>
    <dataValidation allowBlank="1" showInputMessage="1" showErrorMessage="1" promptTitle="Obor" prompt="Uveďte pro který obor NP bude přístroj využíván." sqref="J8:J9"/>
    <dataValidation allowBlank="1" showInputMessage="1" showErrorMessage="1" promptTitle="Stáří přístroje" prompt="Vyplňte pokud se jedná o obnovu." sqref="I8:I9"/>
    <dataValidation type="list" errorStyle="information" allowBlank="1" showInputMessage="1" promptTitle="Vyberte skupinu" prompt="Vyberte skupinu zakázky" sqref="K8:K9">
      <formula1>#REF!</formula1>
    </dataValidation>
    <dataValidation type="list" allowBlank="1" showInputMessage="1" showErrorMessage="1" sqref="M8:M9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24"/>
  <sheetViews>
    <sheetView workbookViewId="0">
      <selection activeCell="D14" sqref="D14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0.140625" customWidth="1"/>
    <col min="12" max="12" width="26.42578125" customWidth="1"/>
    <col min="13" max="13" width="10.85546875" hidden="1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151</v>
      </c>
    </row>
    <row r="7" spans="1:15" ht="60.75" customHeight="1" x14ac:dyDescent="0.25">
      <c r="A7" s="2" t="s">
        <v>0</v>
      </c>
      <c r="B7" s="48" t="s">
        <v>130</v>
      </c>
      <c r="C7" s="2" t="s">
        <v>126</v>
      </c>
      <c r="D7" s="2" t="s">
        <v>6</v>
      </c>
      <c r="E7" s="35" t="s">
        <v>127</v>
      </c>
      <c r="F7" s="36" t="s">
        <v>113</v>
      </c>
      <c r="G7" s="2" t="s">
        <v>143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13" t="s">
        <v>193</v>
      </c>
      <c r="B8" s="5"/>
      <c r="C8" s="5">
        <f t="shared" ref="C8:C13" si="0">B8*(F8+1)</f>
        <v>0</v>
      </c>
      <c r="D8" s="15">
        <v>2</v>
      </c>
      <c r="E8" s="5">
        <f>Tabulka13422[[#This Row],[ pořizovací cena / ks (v Kč bez DPH)]]*Tabulka13422[[#This Row],[Počet kusů]]</f>
        <v>0</v>
      </c>
      <c r="F8" s="53">
        <v>0.21</v>
      </c>
      <c r="G8" s="12">
        <f>Tabulka13422[[#This Row],[ pořizovací cena / ks (v Kč včetně DPH)]]*Tabulka13422[[#This Row],[Počet kusů]]</f>
        <v>0</v>
      </c>
      <c r="H8" s="6" t="s">
        <v>21</v>
      </c>
      <c r="I8" s="6"/>
      <c r="J8" s="6" t="s">
        <v>94</v>
      </c>
      <c r="K8" s="8"/>
      <c r="L8" s="8"/>
      <c r="M8" s="10"/>
      <c r="N8" s="6"/>
      <c r="O8" s="6"/>
    </row>
    <row r="9" spans="1:15" x14ac:dyDescent="0.25">
      <c r="A9" s="14" t="s">
        <v>68</v>
      </c>
      <c r="B9" s="5"/>
      <c r="C9" s="5">
        <f t="shared" si="0"/>
        <v>0</v>
      </c>
      <c r="D9" s="15">
        <v>1</v>
      </c>
      <c r="E9" s="5">
        <f>Tabulka13422[[#This Row],[ pořizovací cena / ks (v Kč bez DPH)]]*Tabulka13422[[#This Row],[Počet kusů]]</f>
        <v>0</v>
      </c>
      <c r="F9" s="53">
        <v>0.21</v>
      </c>
      <c r="G9" s="12">
        <f>Tabulka13422[[#This Row],[ pořizovací cena / ks (v Kč včetně DPH)]]*Tabulka13422[[#This Row],[Počet kusů]]</f>
        <v>0</v>
      </c>
      <c r="H9" s="6" t="s">
        <v>11</v>
      </c>
      <c r="I9" s="6">
        <v>2010</v>
      </c>
      <c r="J9" s="6" t="s">
        <v>94</v>
      </c>
      <c r="K9" s="8"/>
      <c r="L9" s="8"/>
      <c r="M9" s="10"/>
      <c r="N9" s="6"/>
      <c r="O9" s="6"/>
    </row>
    <row r="10" spans="1:15" x14ac:dyDescent="0.25">
      <c r="A10" s="15" t="s">
        <v>176</v>
      </c>
      <c r="B10" s="5"/>
      <c r="C10" s="5">
        <f t="shared" si="0"/>
        <v>0</v>
      </c>
      <c r="D10" s="15">
        <v>1</v>
      </c>
      <c r="E10" s="5">
        <f>Tabulka13422[[#This Row],[ pořizovací cena / ks (v Kč bez DPH)]]*Tabulka13422[[#This Row],[Počet kusů]]</f>
        <v>0</v>
      </c>
      <c r="F10" s="53">
        <v>0.21</v>
      </c>
      <c r="G10" s="12">
        <f>Tabulka13422[[#This Row],[ pořizovací cena / ks (v Kč včetně DPH)]]*Tabulka13422[[#This Row],[Počet kusů]]</f>
        <v>0</v>
      </c>
      <c r="H10" s="6" t="s">
        <v>21</v>
      </c>
      <c r="I10" s="6"/>
      <c r="J10" s="6" t="s">
        <v>94</v>
      </c>
      <c r="K10" s="8"/>
      <c r="L10" s="8"/>
      <c r="M10" s="10"/>
      <c r="N10" s="6"/>
      <c r="O10" s="6"/>
    </row>
    <row r="11" spans="1:15" x14ac:dyDescent="0.25">
      <c r="A11" s="14" t="s">
        <v>174</v>
      </c>
      <c r="B11" s="5"/>
      <c r="C11" s="5">
        <f t="shared" si="0"/>
        <v>0</v>
      </c>
      <c r="D11" s="15">
        <v>2</v>
      </c>
      <c r="E11" s="5">
        <f>Tabulka13422[[#This Row],[ pořizovací cena / ks (v Kč bez DPH)]]*Tabulka13422[[#This Row],[Počet kusů]]</f>
        <v>0</v>
      </c>
      <c r="F11" s="53">
        <v>0.21</v>
      </c>
      <c r="G11" s="12">
        <f>Tabulka13422[[#This Row],[ pořizovací cena / ks (v Kč včetně DPH)]]*Tabulka13422[[#This Row],[Počet kusů]]</f>
        <v>0</v>
      </c>
      <c r="H11" s="6" t="s">
        <v>11</v>
      </c>
      <c r="I11" s="6">
        <v>2010</v>
      </c>
      <c r="J11" s="6" t="s">
        <v>94</v>
      </c>
      <c r="K11" s="10"/>
      <c r="L11" s="8"/>
      <c r="M11" s="10"/>
      <c r="N11" s="6"/>
      <c r="O11" s="6"/>
    </row>
    <row r="12" spans="1:15" x14ac:dyDescent="0.25">
      <c r="A12" s="14" t="s">
        <v>175</v>
      </c>
      <c r="B12" s="5"/>
      <c r="C12" s="5">
        <f t="shared" si="0"/>
        <v>0</v>
      </c>
      <c r="D12" s="15">
        <v>2</v>
      </c>
      <c r="E12" s="5">
        <f>Tabulka13422[[#This Row],[ pořizovací cena / ks (v Kč bez DPH)]]*Tabulka13422[[#This Row],[Počet kusů]]</f>
        <v>0</v>
      </c>
      <c r="F12" s="53">
        <v>0.21</v>
      </c>
      <c r="G12" s="12">
        <f>Tabulka13422[[#This Row],[ pořizovací cena / ks (v Kč včetně DPH)]]*Tabulka13422[[#This Row],[Počet kusů]]</f>
        <v>0</v>
      </c>
      <c r="H12" s="6" t="s">
        <v>11</v>
      </c>
      <c r="I12" s="6">
        <v>2010</v>
      </c>
      <c r="J12" s="6" t="s">
        <v>94</v>
      </c>
      <c r="K12" s="10"/>
      <c r="L12" s="8"/>
      <c r="M12" s="10"/>
      <c r="N12" s="6"/>
      <c r="O12" s="6"/>
    </row>
    <row r="13" spans="1:15" x14ac:dyDescent="0.25">
      <c r="A13" s="15" t="s">
        <v>73</v>
      </c>
      <c r="B13" s="5"/>
      <c r="C13" s="5">
        <f t="shared" si="0"/>
        <v>0</v>
      </c>
      <c r="D13" s="15">
        <v>1</v>
      </c>
      <c r="E13" s="5">
        <f>Tabulka13422[[#This Row],[ pořizovací cena / ks (v Kč bez DPH)]]*Tabulka13422[[#This Row],[Počet kusů]]</f>
        <v>0</v>
      </c>
      <c r="F13" s="53">
        <v>0.21</v>
      </c>
      <c r="G13" s="12">
        <f>Tabulka13422[[#This Row],[ pořizovací cena / ks (v Kč včetně DPH)]]*Tabulka13422[[#This Row],[Počet kusů]]</f>
        <v>0</v>
      </c>
      <c r="H13" s="6" t="s">
        <v>21</v>
      </c>
      <c r="I13" s="6"/>
      <c r="J13" s="6" t="s">
        <v>94</v>
      </c>
      <c r="K13" s="10"/>
      <c r="L13" s="8"/>
      <c r="M13" s="10"/>
      <c r="N13" s="6"/>
      <c r="O13" s="6"/>
    </row>
    <row r="14" spans="1:15" x14ac:dyDescent="0.25">
      <c r="A14" t="s">
        <v>7</v>
      </c>
      <c r="B14" s="61"/>
      <c r="C14" s="62">
        <f>SUM(C8:C13)</f>
        <v>0</v>
      </c>
      <c r="D14" s="6">
        <f>SUBTOTAL(109,Tabulka13422[Počet kusů])</f>
        <v>9</v>
      </c>
      <c r="E14" s="62">
        <f>SUM(E8:E13)</f>
        <v>0</v>
      </c>
      <c r="F14" s="63"/>
      <c r="G14" s="62">
        <f>SUM(G8:G13)</f>
        <v>0</v>
      </c>
      <c r="H14" s="64" t="s">
        <v>8</v>
      </c>
      <c r="I14" s="64" t="s">
        <v>8</v>
      </c>
      <c r="J14" s="64" t="s">
        <v>8</v>
      </c>
      <c r="K14" s="64"/>
      <c r="L14" s="64"/>
      <c r="M14" s="1"/>
      <c r="N14" s="1"/>
      <c r="O14" s="1"/>
    </row>
    <row r="16" spans="1:15" ht="15.75" x14ac:dyDescent="0.3">
      <c r="K16" s="29"/>
    </row>
    <row r="18" spans="11:11" x14ac:dyDescent="0.25">
      <c r="K18" s="30"/>
    </row>
    <row r="19" spans="11:11" ht="15.75" x14ac:dyDescent="0.3">
      <c r="K19" s="31"/>
    </row>
    <row r="24" spans="11:11" x14ac:dyDescent="0.25">
      <c r="K24" t="s">
        <v>2</v>
      </c>
    </row>
  </sheetData>
  <protectedRanges>
    <protectedRange sqref="L8:M13 K8:K9" name="Oblast1"/>
  </protectedRanges>
  <mergeCells count="4">
    <mergeCell ref="A3:C3"/>
    <mergeCell ref="D3:J3"/>
    <mergeCell ref="A4:C4"/>
    <mergeCell ref="D4:J4"/>
  </mergeCells>
  <conditionalFormatting sqref="A8:B13 D8:M13">
    <cfRule type="expression" dxfId="2526" priority="30">
      <formula>$K8=#REF!</formula>
    </cfRule>
    <cfRule type="expression" dxfId="2525" priority="31">
      <formula>$K8=#REF!</formula>
    </cfRule>
    <cfRule type="expression" dxfId="2524" priority="32">
      <formula>$K8=#REF!</formula>
    </cfRule>
    <cfRule type="expression" dxfId="2523" priority="33">
      <formula>$K8=#REF!</formula>
    </cfRule>
    <cfRule type="expression" dxfId="2522" priority="34">
      <formula>$K8=#REF!</formula>
    </cfRule>
    <cfRule type="expression" dxfId="2521" priority="35">
      <formula>$K8=#REF!</formula>
    </cfRule>
    <cfRule type="expression" dxfId="2520" priority="36">
      <formula>$K8=#REF!</formula>
    </cfRule>
    <cfRule type="expression" dxfId="2519" priority="37">
      <formula>$K8=#REF!</formula>
    </cfRule>
    <cfRule type="expression" dxfId="2518" priority="38">
      <formula>$K8=#REF!</formula>
    </cfRule>
    <cfRule type="expression" dxfId="2517" priority="39">
      <formula>$K8=#REF!</formula>
    </cfRule>
    <cfRule type="expression" dxfId="2516" priority="40">
      <formula>$K8=#REF!</formula>
    </cfRule>
    <cfRule type="expression" dxfId="2515" priority="41">
      <formula>$K8=#REF!</formula>
    </cfRule>
    <cfRule type="expression" dxfId="2514" priority="42">
      <formula>$K8=#REF!</formula>
    </cfRule>
    <cfRule type="expression" dxfId="2513" priority="43">
      <formula>$K8=#REF!</formula>
    </cfRule>
    <cfRule type="expression" dxfId="2512" priority="44">
      <formula>$K8=#REF!</formula>
    </cfRule>
    <cfRule type="expression" dxfId="2511" priority="45">
      <formula>$K8=#REF!</formula>
    </cfRule>
    <cfRule type="expression" dxfId="2510" priority="46">
      <formula>$K8=#REF!</formula>
    </cfRule>
    <cfRule type="expression" dxfId="2509" priority="47">
      <formula>$K8=#REF!</formula>
    </cfRule>
    <cfRule type="expression" dxfId="2508" priority="48">
      <formula>$K8=#REF!</formula>
    </cfRule>
    <cfRule type="expression" dxfId="2507" priority="49">
      <formula>$K8=#REF!</formula>
    </cfRule>
    <cfRule type="expression" dxfId="2506" priority="50">
      <formula>$K8=#REF!</formula>
    </cfRule>
    <cfRule type="expression" dxfId="2505" priority="51">
      <formula>$K8=#REF!</formula>
    </cfRule>
    <cfRule type="expression" dxfId="2504" priority="52">
      <formula>$K8=#REF!</formula>
    </cfRule>
    <cfRule type="expression" dxfId="2503" priority="53">
      <formula>$K8=#REF!</formula>
    </cfRule>
    <cfRule type="expression" dxfId="2502" priority="54">
      <formula>$K8=#REF!</formula>
    </cfRule>
    <cfRule type="expression" dxfId="2501" priority="55">
      <formula>$K8=#REF!</formula>
    </cfRule>
    <cfRule type="expression" dxfId="2500" priority="56">
      <formula>$K8=#REF!</formula>
    </cfRule>
    <cfRule type="expression" dxfId="2499" priority="57">
      <formula>$K8=#REF!</formula>
    </cfRule>
    <cfRule type="expression" dxfId="2498" priority="58">
      <formula>$K8=#REF!</formula>
    </cfRule>
  </conditionalFormatting>
  <conditionalFormatting sqref="C8:C13">
    <cfRule type="expression" dxfId="2497" priority="1">
      <formula>$K8=#REF!</formula>
    </cfRule>
    <cfRule type="expression" dxfId="2496" priority="2">
      <formula>$K8=#REF!</formula>
    </cfRule>
    <cfRule type="expression" dxfId="2495" priority="3">
      <formula>$K8=#REF!</formula>
    </cfRule>
    <cfRule type="expression" dxfId="2494" priority="4">
      <formula>$K8=#REF!</formula>
    </cfRule>
    <cfRule type="expression" dxfId="2493" priority="5">
      <formula>$K8=#REF!</formula>
    </cfRule>
    <cfRule type="expression" dxfId="2492" priority="6">
      <formula>$K8=#REF!</formula>
    </cfRule>
    <cfRule type="expression" dxfId="2491" priority="7">
      <formula>$K8=#REF!</formula>
    </cfRule>
    <cfRule type="expression" dxfId="2490" priority="8">
      <formula>$K8=#REF!</formula>
    </cfRule>
    <cfRule type="expression" dxfId="2489" priority="9">
      <formula>$K8=#REF!</formula>
    </cfRule>
    <cfRule type="expression" dxfId="2488" priority="10">
      <formula>$K8=#REF!</formula>
    </cfRule>
    <cfRule type="expression" dxfId="2487" priority="11">
      <formula>$K8=#REF!</formula>
    </cfRule>
    <cfRule type="expression" dxfId="2486" priority="12">
      <formula>$K8=#REF!</formula>
    </cfRule>
    <cfRule type="expression" dxfId="2485" priority="13">
      <formula>$K8=#REF!</formula>
    </cfRule>
    <cfRule type="expression" dxfId="2484" priority="14">
      <formula>$K8=#REF!</formula>
    </cfRule>
    <cfRule type="expression" dxfId="2483" priority="15">
      <formula>$K8=#REF!</formula>
    </cfRule>
    <cfRule type="expression" dxfId="2482" priority="16">
      <formula>$K8=#REF!</formula>
    </cfRule>
    <cfRule type="expression" dxfId="2481" priority="17">
      <formula>$K8=#REF!</formula>
    </cfRule>
    <cfRule type="expression" dxfId="2480" priority="18">
      <formula>$K8=#REF!</formula>
    </cfRule>
    <cfRule type="expression" dxfId="2479" priority="19">
      <formula>$K8=#REF!</formula>
    </cfRule>
    <cfRule type="expression" dxfId="2478" priority="20">
      <formula>$K8=#REF!</formula>
    </cfRule>
    <cfRule type="expression" dxfId="2477" priority="21">
      <formula>$K8=#REF!</formula>
    </cfRule>
    <cfRule type="expression" dxfId="2476" priority="22">
      <formula>$K8=#REF!</formula>
    </cfRule>
    <cfRule type="expression" dxfId="2475" priority="23">
      <formula>$K8=#REF!</formula>
    </cfRule>
    <cfRule type="expression" dxfId="2474" priority="24">
      <formula>$K8=#REF!</formula>
    </cfRule>
    <cfRule type="expression" dxfId="2473" priority="25">
      <formula>$K8=#REF!</formula>
    </cfRule>
    <cfRule type="expression" dxfId="2472" priority="26">
      <formula>$K8=#REF!</formula>
    </cfRule>
    <cfRule type="expression" dxfId="2471" priority="27">
      <formula>$K8=#REF!</formula>
    </cfRule>
    <cfRule type="expression" dxfId="2470" priority="28">
      <formula>$K8=#REF!</formula>
    </cfRule>
    <cfRule type="expression" dxfId="2469" priority="29">
      <formula>$K8=#REF!</formula>
    </cfRule>
  </conditionalFormatting>
  <dataValidations count="7">
    <dataValidation type="list" allowBlank="1" showInputMessage="1" showErrorMessage="1" sqref="D15:F46 G18:G46 G15:G16">
      <formula1>$N$24:$N$25</formula1>
    </dataValidation>
    <dataValidation allowBlank="1" showInputMessage="1" showErrorMessage="1" prompt="Udávejte částku v Kč včetně DPH." sqref="C8:C13"/>
    <dataValidation type="list" allowBlank="1" showInputMessage="1" showErrorMessage="1" sqref="H8:H13">
      <formula1>$K$23:$K$24</formula1>
    </dataValidation>
    <dataValidation allowBlank="1" showInputMessage="1" showErrorMessage="1" promptTitle="Obor" prompt="Uveďte pro který obor NP bude přístroj využíván." sqref="J8:J13"/>
    <dataValidation allowBlank="1" showInputMessage="1" showErrorMessage="1" promptTitle="Stáří přístroje" prompt="Vyplňte pokud se jedná o obnovu." sqref="I8:I13"/>
    <dataValidation type="list" errorStyle="information" allowBlank="1" showInputMessage="1" promptTitle="Vyberte skupinu" prompt="Vyberte skupinu zakázky" sqref="K8:K13">
      <formula1>#REF!</formula1>
    </dataValidation>
    <dataValidation type="list" allowBlank="1" showInputMessage="1" showErrorMessage="1" sqref="M8:M13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4"/>
  <sheetViews>
    <sheetView workbookViewId="0">
      <selection activeCell="A9" sqref="A9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42.7109375" hidden="1" customWidth="1"/>
    <col min="12" max="12" width="26.42578125" customWidth="1"/>
    <col min="13" max="13" width="10.85546875" hidden="1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221</v>
      </c>
    </row>
    <row r="7" spans="1:15" ht="60.75" customHeight="1" x14ac:dyDescent="0.25">
      <c r="A7" s="2" t="s">
        <v>0</v>
      </c>
      <c r="B7" s="48" t="s">
        <v>118</v>
      </c>
      <c r="C7" s="2" t="s">
        <v>119</v>
      </c>
      <c r="D7" s="2" t="s">
        <v>6</v>
      </c>
      <c r="E7" s="35" t="s">
        <v>112</v>
      </c>
      <c r="F7" s="36" t="s">
        <v>113</v>
      </c>
      <c r="G7" s="2" t="s">
        <v>9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13" t="s">
        <v>231</v>
      </c>
      <c r="B8" s="5"/>
      <c r="C8" s="5">
        <f>B8*(F8+1)</f>
        <v>0</v>
      </c>
      <c r="D8" s="6">
        <v>1</v>
      </c>
      <c r="E8" s="5">
        <f>Tabulka13423[[#This Row],[Předpokládaná pořizovací cena / ks (v Kč bez DPH)]]*Tabulka13423[[#This Row],[Počet kusů]]</f>
        <v>0</v>
      </c>
      <c r="F8" s="53">
        <v>0.21</v>
      </c>
      <c r="G8" s="12">
        <f>Tabulka13423[[#This Row],[Předpokládaná pořizovací cena / ks (v Kč včetně DPH)]]*Tabulka13423[[#This Row],[Počet kusů]]</f>
        <v>0</v>
      </c>
      <c r="H8" s="6" t="s">
        <v>11</v>
      </c>
      <c r="I8" s="6">
        <v>2006</v>
      </c>
      <c r="J8" s="6" t="s">
        <v>88</v>
      </c>
      <c r="K8" s="10"/>
      <c r="L8" s="8"/>
      <c r="M8" s="10"/>
      <c r="N8" s="6"/>
      <c r="O8" s="6"/>
    </row>
    <row r="9" spans="1:15" x14ac:dyDescent="0.25">
      <c r="A9" t="s">
        <v>7</v>
      </c>
      <c r="B9" s="61"/>
      <c r="C9" s="62">
        <f>SUM(C8)</f>
        <v>0</v>
      </c>
      <c r="D9" s="6">
        <f>SUBTOTAL(109,Tabulka13423[Počet kusů])</f>
        <v>1</v>
      </c>
      <c r="E9" s="62">
        <f>SUM(E8)</f>
        <v>0</v>
      </c>
      <c r="F9" s="63"/>
      <c r="G9" s="62">
        <f>SUM(G8)</f>
        <v>0</v>
      </c>
      <c r="H9" s="64" t="s">
        <v>8</v>
      </c>
      <c r="I9" s="64" t="s">
        <v>8</v>
      </c>
      <c r="J9" s="64" t="s">
        <v>8</v>
      </c>
      <c r="K9" s="64"/>
      <c r="L9" s="1"/>
      <c r="M9" s="1"/>
      <c r="N9" s="1"/>
      <c r="O9" s="1"/>
    </row>
    <row r="11" spans="1:15" ht="15.75" x14ac:dyDescent="0.3">
      <c r="K11" s="29"/>
    </row>
    <row r="13" spans="1:15" x14ac:dyDescent="0.25">
      <c r="K13" s="30"/>
    </row>
    <row r="14" spans="1:15" ht="15.75" x14ac:dyDescent="0.3">
      <c r="K14" s="31"/>
    </row>
  </sheetData>
  <protectedRanges>
    <protectedRange sqref="L8:M8" name="Oblast1"/>
  </protectedRanges>
  <mergeCells count="4">
    <mergeCell ref="A3:C3"/>
    <mergeCell ref="D3:J3"/>
    <mergeCell ref="A4:C4"/>
    <mergeCell ref="D4:J4"/>
  </mergeCells>
  <conditionalFormatting sqref="A8:B8 D8:M8">
    <cfRule type="expression" dxfId="2438" priority="30">
      <formula>$K8=#REF!</formula>
    </cfRule>
    <cfRule type="expression" dxfId="2437" priority="31">
      <formula>$K8=#REF!</formula>
    </cfRule>
    <cfRule type="expression" dxfId="2436" priority="32">
      <formula>$K8=#REF!</formula>
    </cfRule>
    <cfRule type="expression" dxfId="2435" priority="33">
      <formula>$K8=#REF!</formula>
    </cfRule>
    <cfRule type="expression" dxfId="2434" priority="34">
      <formula>$K8=#REF!</formula>
    </cfRule>
    <cfRule type="expression" dxfId="2433" priority="35">
      <formula>$K8=#REF!</formula>
    </cfRule>
    <cfRule type="expression" dxfId="2432" priority="36">
      <formula>$K8=#REF!</formula>
    </cfRule>
    <cfRule type="expression" dxfId="2431" priority="37">
      <formula>$K8=#REF!</formula>
    </cfRule>
    <cfRule type="expression" dxfId="2430" priority="38">
      <formula>$K8=#REF!</formula>
    </cfRule>
    <cfRule type="expression" dxfId="2429" priority="39">
      <formula>$K8=#REF!</formula>
    </cfRule>
    <cfRule type="expression" dxfId="2428" priority="40">
      <formula>$K8=#REF!</formula>
    </cfRule>
    <cfRule type="expression" dxfId="2427" priority="41">
      <formula>$K8=#REF!</formula>
    </cfRule>
    <cfRule type="expression" dxfId="2426" priority="42">
      <formula>$K8=#REF!</formula>
    </cfRule>
    <cfRule type="expression" dxfId="2425" priority="43">
      <formula>$K8=#REF!</formula>
    </cfRule>
    <cfRule type="expression" dxfId="2424" priority="44">
      <formula>$K8=#REF!</formula>
    </cfRule>
    <cfRule type="expression" dxfId="2423" priority="45">
      <formula>$K8=#REF!</formula>
    </cfRule>
    <cfRule type="expression" dxfId="2422" priority="46">
      <formula>$K8=#REF!</formula>
    </cfRule>
    <cfRule type="expression" dxfId="2421" priority="47">
      <formula>$K8=#REF!</formula>
    </cfRule>
    <cfRule type="expression" dxfId="2420" priority="48">
      <formula>$K8=#REF!</formula>
    </cfRule>
    <cfRule type="expression" dxfId="2419" priority="49">
      <formula>$K8=#REF!</formula>
    </cfRule>
    <cfRule type="expression" dxfId="2418" priority="50">
      <formula>$K8=#REF!</formula>
    </cfRule>
    <cfRule type="expression" dxfId="2417" priority="51">
      <formula>$K8=#REF!</formula>
    </cfRule>
    <cfRule type="expression" dxfId="2416" priority="52">
      <formula>$K8=#REF!</formula>
    </cfRule>
    <cfRule type="expression" dxfId="2415" priority="53">
      <formula>$K8=#REF!</formula>
    </cfRule>
    <cfRule type="expression" dxfId="2414" priority="54">
      <formula>$K8=#REF!</formula>
    </cfRule>
    <cfRule type="expression" dxfId="2413" priority="55">
      <formula>$K8=#REF!</formula>
    </cfRule>
    <cfRule type="expression" dxfId="2412" priority="56">
      <formula>$K8=#REF!</formula>
    </cfRule>
    <cfRule type="expression" dxfId="2411" priority="57">
      <formula>$K8=#REF!</formula>
    </cfRule>
    <cfRule type="expression" dxfId="2410" priority="58">
      <formula>$K8=#REF!</formula>
    </cfRule>
  </conditionalFormatting>
  <conditionalFormatting sqref="C8">
    <cfRule type="expression" dxfId="2409" priority="1">
      <formula>$K8=#REF!</formula>
    </cfRule>
    <cfRule type="expression" dxfId="2408" priority="2">
      <formula>$K8=#REF!</formula>
    </cfRule>
    <cfRule type="expression" dxfId="2407" priority="3">
      <formula>$K8=#REF!</formula>
    </cfRule>
    <cfRule type="expression" dxfId="2406" priority="4">
      <formula>$K8=#REF!</formula>
    </cfRule>
    <cfRule type="expression" dxfId="2405" priority="5">
      <formula>$K8=#REF!</formula>
    </cfRule>
    <cfRule type="expression" dxfId="2404" priority="6">
      <formula>$K8=#REF!</formula>
    </cfRule>
    <cfRule type="expression" dxfId="2403" priority="7">
      <formula>$K8=#REF!</formula>
    </cfRule>
    <cfRule type="expression" dxfId="2402" priority="8">
      <formula>$K8=#REF!</formula>
    </cfRule>
    <cfRule type="expression" dxfId="2401" priority="9">
      <formula>$K8=#REF!</formula>
    </cfRule>
    <cfRule type="expression" dxfId="2400" priority="10">
      <formula>$K8=#REF!</formula>
    </cfRule>
    <cfRule type="expression" dxfId="2399" priority="11">
      <formula>$K8=#REF!</formula>
    </cfRule>
    <cfRule type="expression" dxfId="2398" priority="12">
      <formula>$K8=#REF!</formula>
    </cfRule>
    <cfRule type="expression" dxfId="2397" priority="13">
      <formula>$K8=#REF!</formula>
    </cfRule>
    <cfRule type="expression" dxfId="2396" priority="14">
      <formula>$K8=#REF!</formula>
    </cfRule>
    <cfRule type="expression" dxfId="2395" priority="15">
      <formula>$K8=#REF!</formula>
    </cfRule>
    <cfRule type="expression" dxfId="2394" priority="16">
      <formula>$K8=#REF!</formula>
    </cfRule>
    <cfRule type="expression" dxfId="2393" priority="17">
      <formula>$K8=#REF!</formula>
    </cfRule>
    <cfRule type="expression" dxfId="2392" priority="18">
      <formula>$K8=#REF!</formula>
    </cfRule>
    <cfRule type="expression" dxfId="2391" priority="19">
      <formula>$K8=#REF!</formula>
    </cfRule>
    <cfRule type="expression" dxfId="2390" priority="20">
      <formula>$K8=#REF!</formula>
    </cfRule>
    <cfRule type="expression" dxfId="2389" priority="21">
      <formula>$K8=#REF!</formula>
    </cfRule>
    <cfRule type="expression" dxfId="2388" priority="22">
      <formula>$K8=#REF!</formula>
    </cfRule>
    <cfRule type="expression" dxfId="2387" priority="23">
      <formula>$K8=#REF!</formula>
    </cfRule>
    <cfRule type="expression" dxfId="2386" priority="24">
      <formula>$K8=#REF!</formula>
    </cfRule>
    <cfRule type="expression" dxfId="2385" priority="25">
      <formula>$K8=#REF!</formula>
    </cfRule>
    <cfRule type="expression" dxfId="2384" priority="26">
      <formula>$K8=#REF!</formula>
    </cfRule>
    <cfRule type="expression" dxfId="2383" priority="27">
      <formula>$K8=#REF!</formula>
    </cfRule>
    <cfRule type="expression" dxfId="2382" priority="28">
      <formula>$K8=#REF!</formula>
    </cfRule>
    <cfRule type="expression" dxfId="2381" priority="29">
      <formula>$K8=#REF!</formula>
    </cfRule>
  </conditionalFormatting>
  <dataValidations count="7">
    <dataValidation type="list" allowBlank="1" showInputMessage="1" showErrorMessage="1" sqref="D10:F41 G13:G41 G10:G11">
      <formula1>$N$19:$N$20</formula1>
    </dataValidation>
    <dataValidation allowBlank="1" showInputMessage="1" showErrorMessage="1" prompt="Udávejte částku v Kč včetně DPH." sqref="C8"/>
    <dataValidation type="list" allowBlank="1" showInputMessage="1" showErrorMessage="1" sqref="H8">
      <formula1>$K$18:$K$19</formula1>
    </dataValidation>
    <dataValidation allowBlank="1" showInputMessage="1" showErrorMessage="1" promptTitle="Obor" prompt="Uveďte pro který obor NP bude přístroj využíván." sqref="J8"/>
    <dataValidation allowBlank="1" showInputMessage="1" showErrorMessage="1" promptTitle="Stáří přístroje" prompt="Vyplňte pokud se jedná o obnovu." sqref="I8"/>
    <dataValidation type="list" errorStyle="information" allowBlank="1" showInputMessage="1" promptTitle="Vyberte skupinu" prompt="Vyberte skupinu zakázky" sqref="K8">
      <formula1>#REF!</formula1>
    </dataValidation>
    <dataValidation type="list" allowBlank="1" showInputMessage="1" showErrorMessage="1" sqref="M8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5"/>
  <sheetViews>
    <sheetView workbookViewId="0">
      <selection activeCell="A4" sqref="A4:C4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9" bestFit="1" customWidth="1"/>
    <col min="8" max="8" width="14.42578125" hidden="1" customWidth="1"/>
    <col min="9" max="9" width="13.42578125" hidden="1" customWidth="1"/>
    <col min="10" max="10" width="1.85546875" hidden="1" customWidth="1"/>
    <col min="11" max="11" width="0.140625" customWidth="1"/>
    <col min="12" max="12" width="26.28515625" customWidth="1"/>
    <col min="13" max="13" width="10.7109375" hidden="1" customWidth="1"/>
    <col min="14" max="14" width="25.4257812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128</v>
      </c>
    </row>
    <row r="7" spans="1:15" ht="60.75" customHeight="1" x14ac:dyDescent="0.25">
      <c r="A7" s="2" t="s">
        <v>0</v>
      </c>
      <c r="B7" s="48" t="s">
        <v>130</v>
      </c>
      <c r="C7" s="2" t="s">
        <v>126</v>
      </c>
      <c r="D7" s="2" t="s">
        <v>6</v>
      </c>
      <c r="E7" s="35" t="s">
        <v>127</v>
      </c>
      <c r="F7" s="36" t="s">
        <v>113</v>
      </c>
      <c r="G7" s="2" t="s">
        <v>9</v>
      </c>
      <c r="H7" s="2" t="s">
        <v>1</v>
      </c>
      <c r="I7" s="2" t="s">
        <v>4</v>
      </c>
      <c r="J7" s="2" t="s">
        <v>5</v>
      </c>
      <c r="K7" s="2" t="s">
        <v>125</v>
      </c>
      <c r="L7" s="2" t="s">
        <v>124</v>
      </c>
      <c r="M7" s="2" t="s">
        <v>123</v>
      </c>
      <c r="N7" s="9" t="s">
        <v>101</v>
      </c>
      <c r="O7" s="9" t="s">
        <v>122</v>
      </c>
    </row>
    <row r="8" spans="1:15" x14ac:dyDescent="0.25">
      <c r="A8" s="13" t="s">
        <v>49</v>
      </c>
      <c r="B8" s="5"/>
      <c r="C8" s="5">
        <f>B8*(F8+1)</f>
        <v>0</v>
      </c>
      <c r="D8" s="15">
        <v>1</v>
      </c>
      <c r="E8" s="5">
        <f>Tabulka1346[[#This Row],[ pořizovací cena / ks (v Kč bez DPH)]]*Tabulka1346[[#This Row],[Počet kusů]]</f>
        <v>0</v>
      </c>
      <c r="F8" s="72">
        <v>0.21</v>
      </c>
      <c r="G8" s="12">
        <f>Tabulka1346[[#This Row],[ pořizovací cena / ks (v Kč včetně DPH)]]*Tabulka1346[[#This Row],[Počet kusů]]</f>
        <v>0</v>
      </c>
      <c r="H8" s="6" t="s">
        <v>11</v>
      </c>
      <c r="I8" s="6">
        <v>2009</v>
      </c>
      <c r="J8" s="6" t="s">
        <v>92</v>
      </c>
      <c r="K8" s="28"/>
      <c r="L8" s="8"/>
      <c r="M8" s="39"/>
      <c r="N8" s="6"/>
      <c r="O8" s="6"/>
    </row>
    <row r="9" spans="1:15" x14ac:dyDescent="0.25">
      <c r="A9" s="6" t="s">
        <v>7</v>
      </c>
      <c r="B9" s="61"/>
      <c r="C9" s="65">
        <f>SUM(C8)</f>
        <v>0</v>
      </c>
      <c r="D9" s="6">
        <f>SUBTOTAL(109,Tabulka1346[Počet kusů])</f>
        <v>1</v>
      </c>
      <c r="E9" s="65">
        <f>SUM(E8)</f>
        <v>0</v>
      </c>
      <c r="F9" s="63"/>
      <c r="G9" s="65">
        <f>SUM(G8)</f>
        <v>0</v>
      </c>
      <c r="H9" s="64" t="s">
        <v>8</v>
      </c>
      <c r="I9" s="64" t="s">
        <v>8</v>
      </c>
      <c r="J9" s="64" t="s">
        <v>8</v>
      </c>
      <c r="K9" s="64"/>
      <c r="L9" s="64"/>
      <c r="M9" s="1"/>
      <c r="N9" s="1"/>
      <c r="O9" s="1"/>
    </row>
    <row r="10" spans="1:15" x14ac:dyDescent="0.25">
      <c r="A10" s="6"/>
      <c r="B10" s="61"/>
      <c r="C10" s="6"/>
      <c r="D10" s="6"/>
      <c r="E10" s="65"/>
      <c r="F10" s="63"/>
      <c r="G10" s="6"/>
      <c r="H10" s="6"/>
      <c r="I10" s="6"/>
      <c r="J10" s="6"/>
      <c r="K10" s="6"/>
      <c r="L10" s="6"/>
    </row>
    <row r="11" spans="1:15" ht="15.75" x14ac:dyDescent="0.3">
      <c r="K11" s="29"/>
    </row>
    <row r="13" spans="1:15" x14ac:dyDescent="0.25">
      <c r="K13" s="30"/>
    </row>
    <row r="14" spans="1:15" ht="15.75" x14ac:dyDescent="0.3">
      <c r="K14" s="31"/>
    </row>
    <row r="15" spans="1:15" x14ac:dyDescent="0.25">
      <c r="B15" s="80"/>
    </row>
  </sheetData>
  <protectedRanges>
    <protectedRange sqref="K8:M8" name="Oblast1"/>
  </protectedRanges>
  <mergeCells count="4">
    <mergeCell ref="A3:C3"/>
    <mergeCell ref="D3:J3"/>
    <mergeCell ref="A4:C4"/>
    <mergeCell ref="D4:J4"/>
  </mergeCells>
  <conditionalFormatting sqref="A8:B8 D8:M8">
    <cfRule type="expression" dxfId="3956" priority="59">
      <formula>$K8=#REF!</formula>
    </cfRule>
    <cfRule type="expression" dxfId="3955" priority="60">
      <formula>$K8=#REF!</formula>
    </cfRule>
    <cfRule type="expression" dxfId="3954" priority="61">
      <formula>$K8=#REF!</formula>
    </cfRule>
    <cfRule type="expression" dxfId="3953" priority="62">
      <formula>$K8=#REF!</formula>
    </cfRule>
    <cfRule type="expression" dxfId="3952" priority="63">
      <formula>$K8=#REF!</formula>
    </cfRule>
    <cfRule type="expression" dxfId="3951" priority="64">
      <formula>$K8=#REF!</formula>
    </cfRule>
    <cfRule type="expression" dxfId="3950" priority="65">
      <formula>$K8=#REF!</formula>
    </cfRule>
    <cfRule type="expression" dxfId="3949" priority="66">
      <formula>$K8=#REF!</formula>
    </cfRule>
    <cfRule type="expression" dxfId="3948" priority="67">
      <formula>$K8=#REF!</formula>
    </cfRule>
    <cfRule type="expression" dxfId="3947" priority="68">
      <formula>$K8=#REF!</formula>
    </cfRule>
    <cfRule type="expression" dxfId="3946" priority="69">
      <formula>$K8=#REF!</formula>
    </cfRule>
    <cfRule type="expression" dxfId="3945" priority="70">
      <formula>$K8=#REF!</formula>
    </cfRule>
    <cfRule type="expression" dxfId="3944" priority="71">
      <formula>$K8=#REF!</formula>
    </cfRule>
    <cfRule type="expression" dxfId="3943" priority="72">
      <formula>$K8=#REF!</formula>
    </cfRule>
    <cfRule type="expression" dxfId="3942" priority="73">
      <formula>$K8=#REF!</formula>
    </cfRule>
    <cfRule type="expression" dxfId="3941" priority="74">
      <formula>$K8=#REF!</formula>
    </cfRule>
    <cfRule type="expression" dxfId="3940" priority="75">
      <formula>$K8=#REF!</formula>
    </cfRule>
    <cfRule type="expression" dxfId="3939" priority="76">
      <formula>$K8=#REF!</formula>
    </cfRule>
    <cfRule type="expression" dxfId="3938" priority="77">
      <formula>$K8=#REF!</formula>
    </cfRule>
    <cfRule type="expression" dxfId="3937" priority="78">
      <formula>$K8=#REF!</formula>
    </cfRule>
    <cfRule type="expression" dxfId="3936" priority="79">
      <formula>$K8=#REF!</formula>
    </cfRule>
    <cfRule type="expression" dxfId="3935" priority="80">
      <formula>$K8=#REF!</formula>
    </cfRule>
    <cfRule type="expression" dxfId="3934" priority="81">
      <formula>$K8=#REF!</formula>
    </cfRule>
    <cfRule type="expression" dxfId="3933" priority="82">
      <formula>$K8=#REF!</formula>
    </cfRule>
    <cfRule type="expression" dxfId="3932" priority="83">
      <formula>$K8=#REF!</formula>
    </cfRule>
    <cfRule type="expression" dxfId="3931" priority="84">
      <formula>$K8=#REF!</formula>
    </cfRule>
    <cfRule type="expression" dxfId="3930" priority="85">
      <formula>$K8=#REF!</formula>
    </cfRule>
    <cfRule type="expression" dxfId="3929" priority="86">
      <formula>$K8=#REF!</formula>
    </cfRule>
    <cfRule type="expression" dxfId="3928" priority="87">
      <formula>$K8=#REF!</formula>
    </cfRule>
  </conditionalFormatting>
  <conditionalFormatting sqref="C8">
    <cfRule type="expression" dxfId="3927" priority="1">
      <formula>$K8=#REF!</formula>
    </cfRule>
    <cfRule type="expression" dxfId="3926" priority="2">
      <formula>$K8=#REF!</formula>
    </cfRule>
    <cfRule type="expression" dxfId="3925" priority="3">
      <formula>$K8=#REF!</formula>
    </cfRule>
    <cfRule type="expression" dxfId="3924" priority="4">
      <formula>$K8=#REF!</formula>
    </cfRule>
    <cfRule type="expression" dxfId="3923" priority="5">
      <formula>$K8=#REF!</formula>
    </cfRule>
    <cfRule type="expression" dxfId="3922" priority="6">
      <formula>$K8=#REF!</formula>
    </cfRule>
    <cfRule type="expression" dxfId="3921" priority="7">
      <formula>$K8=#REF!</formula>
    </cfRule>
    <cfRule type="expression" dxfId="3920" priority="8">
      <formula>$K8=#REF!</formula>
    </cfRule>
    <cfRule type="expression" dxfId="3919" priority="9">
      <formula>$K8=#REF!</formula>
    </cfRule>
    <cfRule type="expression" dxfId="3918" priority="10">
      <formula>$K8=#REF!</formula>
    </cfRule>
    <cfRule type="expression" dxfId="3917" priority="11">
      <formula>$K8=#REF!</formula>
    </cfRule>
    <cfRule type="expression" dxfId="3916" priority="12">
      <formula>$K8=#REF!</formula>
    </cfRule>
    <cfRule type="expression" dxfId="3915" priority="13">
      <formula>$K8=#REF!</formula>
    </cfRule>
    <cfRule type="expression" dxfId="3914" priority="14">
      <formula>$K8=#REF!</formula>
    </cfRule>
    <cfRule type="expression" dxfId="3913" priority="15">
      <formula>$K8=#REF!</formula>
    </cfRule>
    <cfRule type="expression" dxfId="3912" priority="16">
      <formula>$K8=#REF!</formula>
    </cfRule>
    <cfRule type="expression" dxfId="3911" priority="17">
      <formula>$K8=#REF!</formula>
    </cfRule>
    <cfRule type="expression" dxfId="3910" priority="18">
      <formula>$K8=#REF!</formula>
    </cfRule>
    <cfRule type="expression" dxfId="3909" priority="19">
      <formula>$K8=#REF!</formula>
    </cfRule>
    <cfRule type="expression" dxfId="3908" priority="20">
      <formula>$K8=#REF!</formula>
    </cfRule>
    <cfRule type="expression" dxfId="3907" priority="21">
      <formula>$K8=#REF!</formula>
    </cfRule>
    <cfRule type="expression" dxfId="3906" priority="22">
      <formula>$K8=#REF!</formula>
    </cfRule>
    <cfRule type="expression" dxfId="3905" priority="23">
      <formula>$K8=#REF!</formula>
    </cfRule>
    <cfRule type="expression" dxfId="3904" priority="24">
      <formula>$K8=#REF!</formula>
    </cfRule>
    <cfRule type="expression" dxfId="3903" priority="25">
      <formula>$K8=#REF!</formula>
    </cfRule>
    <cfRule type="expression" dxfId="3902" priority="26">
      <formula>$K8=#REF!</formula>
    </cfRule>
    <cfRule type="expression" dxfId="3901" priority="27">
      <formula>$K8=#REF!</formula>
    </cfRule>
    <cfRule type="expression" dxfId="3900" priority="28">
      <formula>$K8=#REF!</formula>
    </cfRule>
    <cfRule type="expression" dxfId="3899" priority="29">
      <formula>$K8=#REF!</formula>
    </cfRule>
  </conditionalFormatting>
  <dataValidations count="7">
    <dataValidation type="list" allowBlank="1" showInputMessage="1" showErrorMessage="1" sqref="D10:F41 G13:G41 G10:G11">
      <formula1>$N$19:$N$20</formula1>
    </dataValidation>
    <dataValidation allowBlank="1" showInputMessage="1" showErrorMessage="1" prompt="Udávejte částku v Kč včetně DPH." sqref="C8"/>
    <dataValidation type="list" allowBlank="1" showInputMessage="1" showErrorMessage="1" sqref="H8">
      <formula1>$K$18:$K$19</formula1>
    </dataValidation>
    <dataValidation allowBlank="1" showInputMessage="1" showErrorMessage="1" promptTitle="Obor" prompt="Uveďte pro který obor NP bude přístroj využíván." sqref="J8"/>
    <dataValidation allowBlank="1" showInputMessage="1" showErrorMessage="1" promptTitle="Stáří přístroje" prompt="Vyplňte pokud se jedná o obnovu." sqref="I8"/>
    <dataValidation type="list" errorStyle="information" allowBlank="1" showInputMessage="1" promptTitle="Vyberte skupinu" prompt="Vyberte skupinu zakázky" sqref="K8">
      <formula1>#REF!</formula1>
    </dataValidation>
    <dataValidation type="list" allowBlank="1" showInputMessage="1" showErrorMessage="1" sqref="M8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8"/>
  <sheetViews>
    <sheetView workbookViewId="0">
      <selection activeCell="D12" sqref="D12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6.85546875" customWidth="1"/>
    <col min="8" max="8" width="14.42578125" hidden="1" customWidth="1"/>
    <col min="9" max="9" width="13.42578125" hidden="1" customWidth="1"/>
    <col min="10" max="10" width="1.85546875" hidden="1" customWidth="1"/>
    <col min="11" max="11" width="42.7109375" hidden="1" customWidth="1"/>
    <col min="12" max="12" width="26.42578125" customWidth="1"/>
    <col min="13" max="13" width="0.140625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152</v>
      </c>
    </row>
    <row r="7" spans="1:15" ht="60.75" customHeight="1" x14ac:dyDescent="0.25">
      <c r="A7" s="2" t="s">
        <v>0</v>
      </c>
      <c r="B7" s="48" t="s">
        <v>130</v>
      </c>
      <c r="C7" s="2" t="s">
        <v>126</v>
      </c>
      <c r="D7" s="2" t="s">
        <v>6</v>
      </c>
      <c r="E7" s="35" t="s">
        <v>127</v>
      </c>
      <c r="F7" s="36" t="s">
        <v>113</v>
      </c>
      <c r="G7" s="2" t="s">
        <v>132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15" t="s">
        <v>42</v>
      </c>
      <c r="B8" s="5"/>
      <c r="C8" s="5">
        <f t="shared" ref="C8:C12" si="0">B8*(F8+1)</f>
        <v>0</v>
      </c>
      <c r="D8" s="15">
        <v>3</v>
      </c>
      <c r="E8" s="5">
        <f>Tabulka13424[[#This Row],[ pořizovací cena / ks (v Kč bez DPH)]]*Tabulka13424[[#This Row],[Počet kusů]]</f>
        <v>0</v>
      </c>
      <c r="F8" s="53">
        <v>0.21</v>
      </c>
      <c r="G8" s="12">
        <f>Tabulka13424[[#This Row],[ pořizovací cena / ks (v Kč včetně DPH)]]*Tabulka13424[[#This Row],[Počet kusů]]</f>
        <v>0</v>
      </c>
      <c r="H8" s="6" t="s">
        <v>21</v>
      </c>
      <c r="I8" s="6"/>
      <c r="J8" s="6" t="s">
        <v>91</v>
      </c>
      <c r="K8" s="8"/>
      <c r="L8" s="8"/>
      <c r="M8" s="10"/>
      <c r="N8" s="6"/>
      <c r="O8" s="6"/>
    </row>
    <row r="9" spans="1:15" x14ac:dyDescent="0.25">
      <c r="A9" s="16" t="s">
        <v>27</v>
      </c>
      <c r="B9" s="5"/>
      <c r="C9" s="5">
        <f t="shared" si="0"/>
        <v>0</v>
      </c>
      <c r="D9" s="15">
        <v>4</v>
      </c>
      <c r="E9" s="5">
        <f>Tabulka13424[[#This Row],[ pořizovací cena / ks (v Kč bez DPH)]]*Tabulka13424[[#This Row],[Počet kusů]]</f>
        <v>0</v>
      </c>
      <c r="F9" s="53">
        <v>0.21</v>
      </c>
      <c r="G9" s="12">
        <f>Tabulka13424[[#This Row],[ pořizovací cena / ks (v Kč včetně DPH)]]*Tabulka13424[[#This Row],[Počet kusů]]</f>
        <v>0</v>
      </c>
      <c r="H9" s="6" t="s">
        <v>11</v>
      </c>
      <c r="I9" s="6">
        <v>2004</v>
      </c>
      <c r="J9" s="6" t="s">
        <v>89</v>
      </c>
      <c r="K9" s="8"/>
      <c r="L9" s="8"/>
      <c r="M9" s="10"/>
      <c r="N9" s="6"/>
      <c r="O9" s="6"/>
    </row>
    <row r="10" spans="1:15" x14ac:dyDescent="0.25">
      <c r="A10" s="14" t="s">
        <v>10</v>
      </c>
      <c r="B10" s="5"/>
      <c r="C10" s="5">
        <f t="shared" si="0"/>
        <v>0</v>
      </c>
      <c r="D10" s="6">
        <v>22</v>
      </c>
      <c r="E10" s="5">
        <f>Tabulka13424[[#This Row],[ pořizovací cena / ks (v Kč bez DPH)]]*Tabulka13424[[#This Row],[Počet kusů]]</f>
        <v>0</v>
      </c>
      <c r="F10" s="53">
        <v>0.21</v>
      </c>
      <c r="G10" s="12">
        <f>Tabulka13424[[#This Row],[ pořizovací cena / ks (v Kč včetně DPH)]]*Tabulka13424[[#This Row],[Počet kusů]]</f>
        <v>0</v>
      </c>
      <c r="H10" s="25" t="s">
        <v>11</v>
      </c>
      <c r="I10" s="6">
        <v>2006</v>
      </c>
      <c r="J10" s="6" t="s">
        <v>108</v>
      </c>
      <c r="K10" s="8"/>
      <c r="L10" s="8"/>
      <c r="M10" s="10"/>
      <c r="N10" s="6"/>
      <c r="O10" s="6"/>
    </row>
    <row r="11" spans="1:15" x14ac:dyDescent="0.25">
      <c r="A11" s="16" t="s">
        <v>28</v>
      </c>
      <c r="B11" s="5"/>
      <c r="C11" s="5">
        <f t="shared" si="0"/>
        <v>0</v>
      </c>
      <c r="D11" s="15">
        <v>3</v>
      </c>
      <c r="E11" s="5">
        <f>Tabulka13424[[#This Row],[ pořizovací cena / ks (v Kč bez DPH)]]*Tabulka13424[[#This Row],[Počet kusů]]</f>
        <v>0</v>
      </c>
      <c r="F11" s="53">
        <v>0.21</v>
      </c>
      <c r="G11" s="12">
        <f>Tabulka13424[[#This Row],[ pořizovací cena / ks (v Kč včetně DPH)]]*Tabulka13424[[#This Row],[Počet kusů]]</f>
        <v>0</v>
      </c>
      <c r="H11" s="6" t="s">
        <v>11</v>
      </c>
      <c r="I11" s="6">
        <v>2004</v>
      </c>
      <c r="J11" s="6" t="s">
        <v>109</v>
      </c>
      <c r="K11" s="8"/>
      <c r="L11" s="8"/>
      <c r="M11" s="10"/>
      <c r="N11" s="6"/>
      <c r="O11" s="6"/>
    </row>
    <row r="12" spans="1:15" x14ac:dyDescent="0.25">
      <c r="A12" s="14" t="s">
        <v>12</v>
      </c>
      <c r="B12" s="5"/>
      <c r="C12" s="5">
        <f t="shared" si="0"/>
        <v>0</v>
      </c>
      <c r="D12" s="6">
        <v>7</v>
      </c>
      <c r="E12" s="5">
        <f>Tabulka13424[[#This Row],[ pořizovací cena / ks (v Kč bez DPH)]]*Tabulka13424[[#This Row],[Počet kusů]]</f>
        <v>0</v>
      </c>
      <c r="F12" s="53">
        <v>0.21</v>
      </c>
      <c r="G12" s="12">
        <f>Tabulka13424[[#This Row],[ pořizovací cena / ks (v Kč včetně DPH)]]*Tabulka13424[[#This Row],[Počet kusů]]</f>
        <v>0</v>
      </c>
      <c r="H12" s="6" t="s">
        <v>11</v>
      </c>
      <c r="I12" s="6">
        <v>2006</v>
      </c>
      <c r="J12" s="6" t="s">
        <v>88</v>
      </c>
      <c r="K12" s="8"/>
      <c r="L12" s="8"/>
      <c r="M12" s="10"/>
      <c r="N12" s="6"/>
      <c r="O12" s="6"/>
    </row>
    <row r="13" spans="1:15" x14ac:dyDescent="0.25">
      <c r="A13" t="s">
        <v>7</v>
      </c>
      <c r="B13" s="61"/>
      <c r="C13" s="62">
        <f>SUM(C8:C12)</f>
        <v>0</v>
      </c>
      <c r="D13" s="6">
        <f>SUBTOTAL(109,Tabulka13424[Počet kusů])</f>
        <v>39</v>
      </c>
      <c r="E13" s="62">
        <f>SUM(E8:E12)</f>
        <v>0</v>
      </c>
      <c r="F13" s="63"/>
      <c r="G13" s="62">
        <f>SUM(G8:G12)</f>
        <v>0</v>
      </c>
      <c r="H13" s="1" t="s">
        <v>8</v>
      </c>
      <c r="I13" s="1" t="s">
        <v>8</v>
      </c>
      <c r="J13" s="1" t="s">
        <v>8</v>
      </c>
      <c r="K13" s="1"/>
      <c r="L13" s="1"/>
      <c r="M13" s="1"/>
      <c r="N13" s="1"/>
      <c r="O13" s="1"/>
    </row>
    <row r="15" spans="1:15" ht="15.75" x14ac:dyDescent="0.3">
      <c r="K15" s="29"/>
    </row>
    <row r="17" spans="11:11" x14ac:dyDescent="0.25">
      <c r="K17" s="30"/>
    </row>
    <row r="18" spans="11:11" ht="15.75" x14ac:dyDescent="0.3">
      <c r="K18" s="31"/>
    </row>
  </sheetData>
  <protectedRanges>
    <protectedRange sqref="K8:M12" name="Oblast1"/>
  </protectedRanges>
  <mergeCells count="4">
    <mergeCell ref="A3:C3"/>
    <mergeCell ref="D3:J3"/>
    <mergeCell ref="A4:C4"/>
    <mergeCell ref="D4:J4"/>
  </mergeCells>
  <conditionalFormatting sqref="A8:B12 D8:M12">
    <cfRule type="expression" dxfId="2350" priority="30">
      <formula>$K8=#REF!</formula>
    </cfRule>
    <cfRule type="expression" dxfId="2349" priority="31">
      <formula>$K8=#REF!</formula>
    </cfRule>
    <cfRule type="expression" dxfId="2348" priority="32">
      <formula>$K8=#REF!</formula>
    </cfRule>
    <cfRule type="expression" dxfId="2347" priority="33">
      <formula>$K8=#REF!</formula>
    </cfRule>
    <cfRule type="expression" dxfId="2346" priority="34">
      <formula>$K8=#REF!</formula>
    </cfRule>
    <cfRule type="expression" dxfId="2345" priority="35">
      <formula>$K8=#REF!</formula>
    </cfRule>
    <cfRule type="expression" dxfId="2344" priority="36">
      <formula>$K8=#REF!</formula>
    </cfRule>
    <cfRule type="expression" dxfId="2343" priority="37">
      <formula>$K8=#REF!</formula>
    </cfRule>
    <cfRule type="expression" dxfId="2342" priority="38">
      <formula>$K8=#REF!</formula>
    </cfRule>
    <cfRule type="expression" dxfId="2341" priority="39">
      <formula>$K8=#REF!</formula>
    </cfRule>
    <cfRule type="expression" dxfId="2340" priority="40">
      <formula>$K8=#REF!</formula>
    </cfRule>
    <cfRule type="expression" dxfId="2339" priority="41">
      <formula>$K8=#REF!</formula>
    </cfRule>
    <cfRule type="expression" dxfId="2338" priority="42">
      <formula>$K8=#REF!</formula>
    </cfRule>
    <cfRule type="expression" dxfId="2337" priority="43">
      <formula>$K8=#REF!</formula>
    </cfRule>
    <cfRule type="expression" dxfId="2336" priority="44">
      <formula>$K8=#REF!</formula>
    </cfRule>
    <cfRule type="expression" dxfId="2335" priority="45">
      <formula>$K8=#REF!</formula>
    </cfRule>
    <cfRule type="expression" dxfId="2334" priority="46">
      <formula>$K8=#REF!</formula>
    </cfRule>
    <cfRule type="expression" dxfId="2333" priority="47">
      <formula>$K8=#REF!</formula>
    </cfRule>
    <cfRule type="expression" dxfId="2332" priority="48">
      <formula>$K8=#REF!</formula>
    </cfRule>
    <cfRule type="expression" dxfId="2331" priority="49">
      <formula>$K8=#REF!</formula>
    </cfRule>
    <cfRule type="expression" dxfId="2330" priority="50">
      <formula>$K8=#REF!</formula>
    </cfRule>
    <cfRule type="expression" dxfId="2329" priority="51">
      <formula>$K8=#REF!</formula>
    </cfRule>
    <cfRule type="expression" dxfId="2328" priority="52">
      <formula>$K8=#REF!</formula>
    </cfRule>
    <cfRule type="expression" dxfId="2327" priority="53">
      <formula>$K8=#REF!</formula>
    </cfRule>
    <cfRule type="expression" dxfId="2326" priority="54">
      <formula>$K8=#REF!</formula>
    </cfRule>
    <cfRule type="expression" dxfId="2325" priority="55">
      <formula>$K8=#REF!</formula>
    </cfRule>
    <cfRule type="expression" dxfId="2324" priority="56">
      <formula>$K8=#REF!</formula>
    </cfRule>
    <cfRule type="expression" dxfId="2323" priority="57">
      <formula>$K8=#REF!</formula>
    </cfRule>
    <cfRule type="expression" dxfId="2322" priority="58">
      <formula>$K8=#REF!</formula>
    </cfRule>
  </conditionalFormatting>
  <conditionalFormatting sqref="C8:C12">
    <cfRule type="expression" dxfId="2321" priority="1">
      <formula>$K8=#REF!</formula>
    </cfRule>
    <cfRule type="expression" dxfId="2320" priority="2">
      <formula>$K8=#REF!</formula>
    </cfRule>
    <cfRule type="expression" dxfId="2319" priority="3">
      <formula>$K8=#REF!</formula>
    </cfRule>
    <cfRule type="expression" dxfId="2318" priority="4">
      <formula>$K8=#REF!</formula>
    </cfRule>
    <cfRule type="expression" dxfId="2317" priority="5">
      <formula>$K8=#REF!</formula>
    </cfRule>
    <cfRule type="expression" dxfId="2316" priority="6">
      <formula>$K8=#REF!</formula>
    </cfRule>
    <cfRule type="expression" dxfId="2315" priority="7">
      <formula>$K8=#REF!</formula>
    </cfRule>
    <cfRule type="expression" dxfId="2314" priority="8">
      <formula>$K8=#REF!</formula>
    </cfRule>
    <cfRule type="expression" dxfId="2313" priority="9">
      <formula>$K8=#REF!</formula>
    </cfRule>
    <cfRule type="expression" dxfId="2312" priority="10">
      <formula>$K8=#REF!</formula>
    </cfRule>
    <cfRule type="expression" dxfId="2311" priority="11">
      <formula>$K8=#REF!</formula>
    </cfRule>
    <cfRule type="expression" dxfId="2310" priority="12">
      <formula>$K8=#REF!</formula>
    </cfRule>
    <cfRule type="expression" dxfId="2309" priority="13">
      <formula>$K8=#REF!</formula>
    </cfRule>
    <cfRule type="expression" dxfId="2308" priority="14">
      <formula>$K8=#REF!</formula>
    </cfRule>
    <cfRule type="expression" dxfId="2307" priority="15">
      <formula>$K8=#REF!</formula>
    </cfRule>
    <cfRule type="expression" dxfId="2306" priority="16">
      <formula>$K8=#REF!</formula>
    </cfRule>
    <cfRule type="expression" dxfId="2305" priority="17">
      <formula>$K8=#REF!</formula>
    </cfRule>
    <cfRule type="expression" dxfId="2304" priority="18">
      <formula>$K8=#REF!</formula>
    </cfRule>
    <cfRule type="expression" dxfId="2303" priority="19">
      <formula>$K8=#REF!</formula>
    </cfRule>
    <cfRule type="expression" dxfId="2302" priority="20">
      <formula>$K8=#REF!</formula>
    </cfRule>
    <cfRule type="expression" dxfId="2301" priority="21">
      <formula>$K8=#REF!</formula>
    </cfRule>
    <cfRule type="expression" dxfId="2300" priority="22">
      <formula>$K8=#REF!</formula>
    </cfRule>
    <cfRule type="expression" dxfId="2299" priority="23">
      <formula>$K8=#REF!</formula>
    </cfRule>
    <cfRule type="expression" dxfId="2298" priority="24">
      <formula>$K8=#REF!</formula>
    </cfRule>
    <cfRule type="expression" dxfId="2297" priority="25">
      <formula>$K8=#REF!</formula>
    </cfRule>
    <cfRule type="expression" dxfId="2296" priority="26">
      <formula>$K8=#REF!</formula>
    </cfRule>
    <cfRule type="expression" dxfId="2295" priority="27">
      <formula>$K8=#REF!</formula>
    </cfRule>
    <cfRule type="expression" dxfId="2294" priority="28">
      <formula>$K8=#REF!</formula>
    </cfRule>
    <cfRule type="expression" dxfId="2293" priority="29">
      <formula>$K8=#REF!</formula>
    </cfRule>
  </conditionalFormatting>
  <dataValidations count="7">
    <dataValidation type="list" allowBlank="1" showInputMessage="1" showErrorMessage="1" sqref="D14:F45 G17:G45 G14:G15">
      <formula1>$N$23:$N$24</formula1>
    </dataValidation>
    <dataValidation allowBlank="1" showInputMessage="1" showErrorMessage="1" prompt="Udávejte částku v Kč včetně DPH." sqref="C8:C12"/>
    <dataValidation type="list" allowBlank="1" showInputMessage="1" showErrorMessage="1" sqref="H8:H12">
      <formula1>$K$22:$K$23</formula1>
    </dataValidation>
    <dataValidation allowBlank="1" showInputMessage="1" showErrorMessage="1" promptTitle="Obor" prompt="Uveďte pro který obor NP bude přístroj využíván." sqref="J8:J12"/>
    <dataValidation allowBlank="1" showInputMessage="1" showErrorMessage="1" promptTitle="Stáří přístroje" prompt="Vyplňte pokud se jedná o obnovu." sqref="I8:I12"/>
    <dataValidation type="list" errorStyle="information" allowBlank="1" showInputMessage="1" promptTitle="Vyberte skupinu" prompt="Vyberte skupinu zakázky" sqref="K8:K12">
      <formula1>#REF!</formula1>
    </dataValidation>
    <dataValidation type="list" allowBlank="1" showInputMessage="1" showErrorMessage="1" sqref="M8:M12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4"/>
  <sheetViews>
    <sheetView workbookViewId="0">
      <selection activeCell="A4" sqref="A4:C4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0.140625" customWidth="1"/>
    <col min="12" max="12" width="26.42578125" customWidth="1"/>
    <col min="13" max="13" width="10.85546875" hidden="1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153</v>
      </c>
    </row>
    <row r="7" spans="1:15" ht="60.75" customHeight="1" x14ac:dyDescent="0.25">
      <c r="A7" s="2" t="s">
        <v>0</v>
      </c>
      <c r="B7" s="48" t="s">
        <v>130</v>
      </c>
      <c r="C7" s="2" t="s">
        <v>155</v>
      </c>
      <c r="D7" s="2" t="s">
        <v>6</v>
      </c>
      <c r="E7" s="35" t="s">
        <v>127</v>
      </c>
      <c r="F7" s="36" t="s">
        <v>113</v>
      </c>
      <c r="G7" s="2" t="s">
        <v>154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70" t="s">
        <v>33</v>
      </c>
      <c r="B8" s="67"/>
      <c r="C8" s="5">
        <f>B8*(F8+1)</f>
        <v>0</v>
      </c>
      <c r="D8" s="70">
        <v>1</v>
      </c>
      <c r="E8" s="67">
        <f>Tabulka13425[[#This Row],[ pořizovací cena / ks (v Kč bez DPH)]]*Tabulka13425[[#This Row],[Počet kusů]]</f>
        <v>0</v>
      </c>
      <c r="F8" s="58">
        <v>0.21</v>
      </c>
      <c r="G8" s="12">
        <f>Tabulka13425[[#This Row],[pořizovací cena / ks (v Kč včetně DPH)]]*Tabulka13425[[#This Row],[Počet kusů]]</f>
        <v>0</v>
      </c>
      <c r="H8" s="6" t="s">
        <v>21</v>
      </c>
      <c r="I8" s="6"/>
      <c r="J8" s="6" t="s">
        <v>90</v>
      </c>
      <c r="K8" s="71"/>
      <c r="L8" s="8"/>
      <c r="M8" s="10"/>
      <c r="N8" s="6"/>
      <c r="O8" s="6"/>
    </row>
    <row r="9" spans="1:15" x14ac:dyDescent="0.25">
      <c r="A9" s="6" t="s">
        <v>7</v>
      </c>
      <c r="B9" s="61"/>
      <c r="C9" s="62">
        <f>SUM(C8)</f>
        <v>0</v>
      </c>
      <c r="D9" s="6">
        <f>SUBTOTAL(109,Tabulka13425[Počet kusů])</f>
        <v>1</v>
      </c>
      <c r="E9" s="62">
        <f>SUM(E8)</f>
        <v>0</v>
      </c>
      <c r="F9" s="63"/>
      <c r="G9" s="62">
        <f>SUM(G8)</f>
        <v>0</v>
      </c>
      <c r="H9" s="64" t="s">
        <v>8</v>
      </c>
      <c r="I9" s="64" t="s">
        <v>8</v>
      </c>
      <c r="J9" s="64" t="s">
        <v>8</v>
      </c>
      <c r="K9" s="64"/>
      <c r="L9" s="64"/>
      <c r="M9" s="64"/>
      <c r="N9" s="64"/>
      <c r="O9" s="64"/>
    </row>
    <row r="11" spans="1:15" ht="15.75" x14ac:dyDescent="0.3">
      <c r="K11" s="29"/>
    </row>
    <row r="13" spans="1:15" x14ac:dyDescent="0.25">
      <c r="K13" s="30"/>
    </row>
    <row r="14" spans="1:15" ht="15.75" x14ac:dyDescent="0.3">
      <c r="K14" s="31"/>
    </row>
  </sheetData>
  <protectedRanges>
    <protectedRange sqref="K8:M8" name="Oblast1"/>
  </protectedRanges>
  <mergeCells count="4">
    <mergeCell ref="A3:C3"/>
    <mergeCell ref="D3:J3"/>
    <mergeCell ref="A4:C4"/>
    <mergeCell ref="D4:J4"/>
  </mergeCells>
  <conditionalFormatting sqref="A8:B8 D8:M8">
    <cfRule type="expression" dxfId="2263" priority="30">
      <formula>$K8=#REF!</formula>
    </cfRule>
    <cfRule type="expression" dxfId="2262" priority="31">
      <formula>$K8=#REF!</formula>
    </cfRule>
    <cfRule type="expression" dxfId="2261" priority="32">
      <formula>$K8=#REF!</formula>
    </cfRule>
    <cfRule type="expression" dxfId="2260" priority="33">
      <formula>$K8=#REF!</formula>
    </cfRule>
    <cfRule type="expression" dxfId="2259" priority="34">
      <formula>$K8=#REF!</formula>
    </cfRule>
    <cfRule type="expression" dxfId="2258" priority="35">
      <formula>$K8=#REF!</formula>
    </cfRule>
    <cfRule type="expression" dxfId="2257" priority="36">
      <formula>$K8=#REF!</formula>
    </cfRule>
    <cfRule type="expression" dxfId="2256" priority="37">
      <formula>$K8=#REF!</formula>
    </cfRule>
    <cfRule type="expression" dxfId="2255" priority="38">
      <formula>$K8=#REF!</formula>
    </cfRule>
    <cfRule type="expression" dxfId="2254" priority="39">
      <formula>$K8=#REF!</formula>
    </cfRule>
    <cfRule type="expression" dxfId="2253" priority="40">
      <formula>$K8=#REF!</formula>
    </cfRule>
    <cfRule type="expression" dxfId="2252" priority="41">
      <formula>$K8=#REF!</formula>
    </cfRule>
    <cfRule type="expression" dxfId="2251" priority="42">
      <formula>$K8=#REF!</formula>
    </cfRule>
    <cfRule type="expression" dxfId="2250" priority="43">
      <formula>$K8=#REF!</formula>
    </cfRule>
    <cfRule type="expression" dxfId="2249" priority="44">
      <formula>$K8=#REF!</formula>
    </cfRule>
    <cfRule type="expression" dxfId="2248" priority="45">
      <formula>$K8=#REF!</formula>
    </cfRule>
    <cfRule type="expression" dxfId="2247" priority="46">
      <formula>$K8=#REF!</formula>
    </cfRule>
    <cfRule type="expression" dxfId="2246" priority="47">
      <formula>$K8=#REF!</formula>
    </cfRule>
    <cfRule type="expression" dxfId="2245" priority="48">
      <formula>$K8=#REF!</formula>
    </cfRule>
    <cfRule type="expression" dxfId="2244" priority="49">
      <formula>$K8=#REF!</formula>
    </cfRule>
    <cfRule type="expression" dxfId="2243" priority="50">
      <formula>$K8=#REF!</formula>
    </cfRule>
    <cfRule type="expression" dxfId="2242" priority="51">
      <formula>$K8=#REF!</formula>
    </cfRule>
    <cfRule type="expression" dxfId="2241" priority="52">
      <formula>$K8=#REF!</formula>
    </cfRule>
    <cfRule type="expression" dxfId="2240" priority="53">
      <formula>$K8=#REF!</formula>
    </cfRule>
    <cfRule type="expression" dxfId="2239" priority="54">
      <formula>$K8=#REF!</formula>
    </cfRule>
    <cfRule type="expression" dxfId="2238" priority="55">
      <formula>$K8=#REF!</formula>
    </cfRule>
    <cfRule type="expression" dxfId="2237" priority="56">
      <formula>$K8=#REF!</formula>
    </cfRule>
    <cfRule type="expression" dxfId="2236" priority="57">
      <formula>$K8=#REF!</formula>
    </cfRule>
    <cfRule type="expression" dxfId="2235" priority="58">
      <formula>$K8=#REF!</formula>
    </cfRule>
  </conditionalFormatting>
  <conditionalFormatting sqref="C8">
    <cfRule type="expression" dxfId="2234" priority="1">
      <formula>$K8=#REF!</formula>
    </cfRule>
    <cfRule type="expression" dxfId="2233" priority="2">
      <formula>$K8=#REF!</formula>
    </cfRule>
    <cfRule type="expression" dxfId="2232" priority="3">
      <formula>$K8=#REF!</formula>
    </cfRule>
    <cfRule type="expression" dxfId="2231" priority="4">
      <formula>$K8=#REF!</formula>
    </cfRule>
    <cfRule type="expression" dxfId="2230" priority="5">
      <formula>$K8=#REF!</formula>
    </cfRule>
    <cfRule type="expression" dxfId="2229" priority="6">
      <formula>$K8=#REF!</formula>
    </cfRule>
    <cfRule type="expression" dxfId="2228" priority="7">
      <formula>$K8=#REF!</formula>
    </cfRule>
    <cfRule type="expression" dxfId="2227" priority="8">
      <formula>$K8=#REF!</formula>
    </cfRule>
    <cfRule type="expression" dxfId="2226" priority="9">
      <formula>$K8=#REF!</formula>
    </cfRule>
    <cfRule type="expression" dxfId="2225" priority="10">
      <formula>$K8=#REF!</formula>
    </cfRule>
    <cfRule type="expression" dxfId="2224" priority="11">
      <formula>$K8=#REF!</formula>
    </cfRule>
    <cfRule type="expression" dxfId="2223" priority="12">
      <formula>$K8=#REF!</formula>
    </cfRule>
    <cfRule type="expression" dxfId="2222" priority="13">
      <formula>$K8=#REF!</formula>
    </cfRule>
    <cfRule type="expression" dxfId="2221" priority="14">
      <formula>$K8=#REF!</formula>
    </cfRule>
    <cfRule type="expression" dxfId="2220" priority="15">
      <formula>$K8=#REF!</formula>
    </cfRule>
    <cfRule type="expression" dxfId="2219" priority="16">
      <formula>$K8=#REF!</formula>
    </cfRule>
    <cfRule type="expression" dxfId="2218" priority="17">
      <formula>$K8=#REF!</formula>
    </cfRule>
    <cfRule type="expression" dxfId="2217" priority="18">
      <formula>$K8=#REF!</formula>
    </cfRule>
    <cfRule type="expression" dxfId="2216" priority="19">
      <formula>$K8=#REF!</formula>
    </cfRule>
    <cfRule type="expression" dxfId="2215" priority="20">
      <formula>$K8=#REF!</formula>
    </cfRule>
    <cfRule type="expression" dxfId="2214" priority="21">
      <formula>$K8=#REF!</formula>
    </cfRule>
    <cfRule type="expression" dxfId="2213" priority="22">
      <formula>$K8=#REF!</formula>
    </cfRule>
    <cfRule type="expression" dxfId="2212" priority="23">
      <formula>$K8=#REF!</formula>
    </cfRule>
    <cfRule type="expression" dxfId="2211" priority="24">
      <formula>$K8=#REF!</formula>
    </cfRule>
    <cfRule type="expression" dxfId="2210" priority="25">
      <formula>$K8=#REF!</formula>
    </cfRule>
    <cfRule type="expression" dxfId="2209" priority="26">
      <formula>$K8=#REF!</formula>
    </cfRule>
    <cfRule type="expression" dxfId="2208" priority="27">
      <formula>$K8=#REF!</formula>
    </cfRule>
    <cfRule type="expression" dxfId="2207" priority="28">
      <formula>$K8=#REF!</formula>
    </cfRule>
    <cfRule type="expression" dxfId="2206" priority="29">
      <formula>$K8=#REF!</formula>
    </cfRule>
  </conditionalFormatting>
  <dataValidations count="7">
    <dataValidation type="list" allowBlank="1" showInputMessage="1" showErrorMessage="1" sqref="D10:F41 G13:G41 G10:G11">
      <formula1>$N$19:$N$20</formula1>
    </dataValidation>
    <dataValidation allowBlank="1" showInputMessage="1" showErrorMessage="1" prompt="Udávejte částku v Kč včetně DPH." sqref="C8"/>
    <dataValidation type="list" allowBlank="1" showInputMessage="1" showErrorMessage="1" sqref="H8">
      <formula1>$K$18:$K$19</formula1>
    </dataValidation>
    <dataValidation allowBlank="1" showInputMessage="1" showErrorMessage="1" promptTitle="Obor" prompt="Uveďte pro který obor NP bude přístroj využíván." sqref="J8"/>
    <dataValidation allowBlank="1" showInputMessage="1" showErrorMessage="1" promptTitle="Stáří přístroje" prompt="Vyplňte pokud se jedná o obnovu." sqref="I8"/>
    <dataValidation type="list" errorStyle="information" allowBlank="1" showInputMessage="1" promptTitle="Vyberte skupinu" prompt="Vyberte skupinu zakázky" sqref="K8">
      <formula1>#REF!</formula1>
    </dataValidation>
    <dataValidation type="list" allowBlank="1" showInputMessage="1" showErrorMessage="1" sqref="M8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6"/>
  <sheetViews>
    <sheetView workbookViewId="0">
      <selection activeCell="A18" sqref="A18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42.7109375" hidden="1" customWidth="1"/>
    <col min="12" max="12" width="26.42578125" customWidth="1"/>
    <col min="13" max="13" width="10.85546875" hidden="1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222</v>
      </c>
    </row>
    <row r="7" spans="1:15" ht="60.75" customHeight="1" x14ac:dyDescent="0.25">
      <c r="A7" s="2" t="s">
        <v>0</v>
      </c>
      <c r="B7" s="48" t="s">
        <v>130</v>
      </c>
      <c r="C7" s="2" t="s">
        <v>126</v>
      </c>
      <c r="D7" s="2" t="s">
        <v>6</v>
      </c>
      <c r="E7" s="35" t="s">
        <v>131</v>
      </c>
      <c r="F7" s="36" t="s">
        <v>113</v>
      </c>
      <c r="G7" s="2" t="s">
        <v>132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16" t="s">
        <v>194</v>
      </c>
      <c r="B8" s="5"/>
      <c r="C8" s="5">
        <f>B8*(F8+1)</f>
        <v>0</v>
      </c>
      <c r="D8" s="15">
        <v>1</v>
      </c>
      <c r="E8" s="5">
        <f>Tabulka13426[[#This Row],[ pořizovací cena / ks (v Kč bez DPH)]]*Tabulka13426[[#This Row],[Počet kusů]]</f>
        <v>0</v>
      </c>
      <c r="F8" s="53">
        <v>0.21</v>
      </c>
      <c r="G8" s="12">
        <f>Tabulka13426[[#This Row],[ pořizovací cena / ks (v Kč včetně DPH)]]*Tabulka13426[[#This Row],[Počet kusů]]</f>
        <v>0</v>
      </c>
      <c r="H8" s="6" t="s">
        <v>11</v>
      </c>
      <c r="I8" s="6">
        <v>2010</v>
      </c>
      <c r="J8" s="6" t="s">
        <v>95</v>
      </c>
      <c r="K8" s="8"/>
      <c r="L8" s="8"/>
      <c r="M8" s="10"/>
      <c r="N8" s="6"/>
      <c r="O8" s="6"/>
    </row>
    <row r="9" spans="1:15" x14ac:dyDescent="0.25">
      <c r="A9" s="14" t="s">
        <v>178</v>
      </c>
      <c r="B9" s="5"/>
      <c r="C9" s="5">
        <f>B9*(F9+1)</f>
        <v>0</v>
      </c>
      <c r="D9" s="15">
        <v>1</v>
      </c>
      <c r="E9" s="5">
        <f>Tabulka13426[[#This Row],[ pořizovací cena / ks (v Kč bez DPH)]]*Tabulka13426[[#This Row],[Počet kusů]]</f>
        <v>0</v>
      </c>
      <c r="F9" s="53">
        <v>0.21</v>
      </c>
      <c r="G9" s="12">
        <f>Tabulka13426[[#This Row],[ pořizovací cena / ks (v Kč včetně DPH)]]*Tabulka13426[[#This Row],[Počet kusů]]</f>
        <v>0</v>
      </c>
      <c r="H9" s="6" t="s">
        <v>11</v>
      </c>
      <c r="I9" s="6">
        <v>2000</v>
      </c>
      <c r="J9" s="6" t="s">
        <v>95</v>
      </c>
      <c r="K9" s="8"/>
      <c r="L9" s="8"/>
      <c r="M9" s="10"/>
      <c r="N9" s="6"/>
      <c r="O9" s="6"/>
    </row>
    <row r="10" spans="1:15" x14ac:dyDescent="0.25">
      <c r="A10" s="14" t="s">
        <v>177</v>
      </c>
      <c r="B10" s="5"/>
      <c r="C10" s="5">
        <f>B10*(F10+1)</f>
        <v>0</v>
      </c>
      <c r="D10" s="15">
        <v>1</v>
      </c>
      <c r="E10" s="5">
        <f>Tabulka13426[[#This Row],[ pořizovací cena / ks (v Kč bez DPH)]]*Tabulka13426[[#This Row],[Počet kusů]]</f>
        <v>0</v>
      </c>
      <c r="F10" s="53">
        <v>0.21</v>
      </c>
      <c r="G10" s="12">
        <f>Tabulka13426[[#This Row],[ pořizovací cena / ks (v Kč včetně DPH)]]*Tabulka13426[[#This Row],[Počet kusů]]</f>
        <v>0</v>
      </c>
      <c r="H10" s="6" t="s">
        <v>21</v>
      </c>
      <c r="I10" s="6"/>
      <c r="J10" s="6" t="s">
        <v>95</v>
      </c>
      <c r="K10" s="8"/>
      <c r="L10" s="8"/>
      <c r="M10" s="10"/>
      <c r="N10" s="6"/>
      <c r="O10" s="6"/>
    </row>
    <row r="11" spans="1:15" x14ac:dyDescent="0.25">
      <c r="A11" t="s">
        <v>7</v>
      </c>
      <c r="B11" s="61"/>
      <c r="C11" s="62">
        <f>SUM(C8:C10)</f>
        <v>0</v>
      </c>
      <c r="D11" s="6">
        <f>SUBTOTAL(109,Tabulka13426[Počet kusů])</f>
        <v>3</v>
      </c>
      <c r="E11" s="62">
        <f>SUM(E8:E10)</f>
        <v>0</v>
      </c>
      <c r="F11" s="63"/>
      <c r="G11" s="62">
        <f>SUM(G8:G10)</f>
        <v>0</v>
      </c>
      <c r="H11" s="64" t="s">
        <v>8</v>
      </c>
      <c r="I11" s="64" t="s">
        <v>8</v>
      </c>
      <c r="J11" s="64" t="s">
        <v>8</v>
      </c>
      <c r="K11" s="64"/>
      <c r="L11" s="64"/>
      <c r="M11" s="1"/>
      <c r="N11" s="1"/>
      <c r="O11" s="1"/>
    </row>
    <row r="13" spans="1:15" ht="15.75" x14ac:dyDescent="0.3">
      <c r="K13" s="29"/>
    </row>
    <row r="15" spans="1:15" x14ac:dyDescent="0.25">
      <c r="K15" s="30"/>
    </row>
    <row r="16" spans="1:15" ht="15.75" x14ac:dyDescent="0.3">
      <c r="K16" s="31"/>
    </row>
  </sheetData>
  <protectedRanges>
    <protectedRange sqref="K8:M10" name="Oblast1"/>
  </protectedRanges>
  <mergeCells count="4">
    <mergeCell ref="A3:C3"/>
    <mergeCell ref="D3:J3"/>
    <mergeCell ref="A4:C4"/>
    <mergeCell ref="D4:J4"/>
  </mergeCells>
  <conditionalFormatting sqref="A8:B10 D8:M10">
    <cfRule type="expression" dxfId="2173" priority="30">
      <formula>$K8=#REF!</formula>
    </cfRule>
    <cfRule type="expression" dxfId="2172" priority="31">
      <formula>$K8=#REF!</formula>
    </cfRule>
    <cfRule type="expression" dxfId="2171" priority="32">
      <formula>$K8=#REF!</formula>
    </cfRule>
    <cfRule type="expression" dxfId="2170" priority="33">
      <formula>$K8=#REF!</formula>
    </cfRule>
    <cfRule type="expression" dxfId="2169" priority="34">
      <formula>$K8=#REF!</formula>
    </cfRule>
    <cfRule type="expression" dxfId="2168" priority="35">
      <formula>$K8=#REF!</formula>
    </cfRule>
    <cfRule type="expression" dxfId="2167" priority="36">
      <formula>$K8=#REF!</formula>
    </cfRule>
    <cfRule type="expression" dxfId="2166" priority="37">
      <formula>$K8=#REF!</formula>
    </cfRule>
    <cfRule type="expression" dxfId="2165" priority="38">
      <formula>$K8=#REF!</formula>
    </cfRule>
    <cfRule type="expression" dxfId="2164" priority="39">
      <formula>$K8=#REF!</formula>
    </cfRule>
    <cfRule type="expression" dxfId="2163" priority="40">
      <formula>$K8=#REF!</formula>
    </cfRule>
    <cfRule type="expression" dxfId="2162" priority="41">
      <formula>$K8=#REF!</formula>
    </cfRule>
    <cfRule type="expression" dxfId="2161" priority="42">
      <formula>$K8=#REF!</formula>
    </cfRule>
    <cfRule type="expression" dxfId="2160" priority="43">
      <formula>$K8=#REF!</formula>
    </cfRule>
    <cfRule type="expression" dxfId="2159" priority="44">
      <formula>$K8=#REF!</formula>
    </cfRule>
    <cfRule type="expression" dxfId="2158" priority="45">
      <formula>$K8=#REF!</formula>
    </cfRule>
    <cfRule type="expression" dxfId="2157" priority="46">
      <formula>$K8=#REF!</formula>
    </cfRule>
    <cfRule type="expression" dxfId="2156" priority="47">
      <formula>$K8=#REF!</formula>
    </cfRule>
    <cfRule type="expression" dxfId="2155" priority="48">
      <formula>$K8=#REF!</formula>
    </cfRule>
    <cfRule type="expression" dxfId="2154" priority="49">
      <formula>$K8=#REF!</formula>
    </cfRule>
    <cfRule type="expression" dxfId="2153" priority="50">
      <formula>$K8=#REF!</formula>
    </cfRule>
    <cfRule type="expression" dxfId="2152" priority="51">
      <formula>$K8=#REF!</formula>
    </cfRule>
    <cfRule type="expression" dxfId="2151" priority="52">
      <formula>$K8=#REF!</formula>
    </cfRule>
    <cfRule type="expression" dxfId="2150" priority="53">
      <formula>$K8=#REF!</formula>
    </cfRule>
    <cfRule type="expression" dxfId="2149" priority="54">
      <formula>$K8=#REF!</formula>
    </cfRule>
    <cfRule type="expression" dxfId="2148" priority="55">
      <formula>$K8=#REF!</formula>
    </cfRule>
    <cfRule type="expression" dxfId="2147" priority="56">
      <formula>$K8=#REF!</formula>
    </cfRule>
    <cfRule type="expression" dxfId="2146" priority="57">
      <formula>$K8=#REF!</formula>
    </cfRule>
    <cfRule type="expression" dxfId="2145" priority="58">
      <formula>$K8=#REF!</formula>
    </cfRule>
  </conditionalFormatting>
  <conditionalFormatting sqref="C8:C10">
    <cfRule type="expression" dxfId="2144" priority="1">
      <formula>$K8=#REF!</formula>
    </cfRule>
    <cfRule type="expression" dxfId="2143" priority="2">
      <formula>$K8=#REF!</formula>
    </cfRule>
    <cfRule type="expression" dxfId="2142" priority="3">
      <formula>$K8=#REF!</formula>
    </cfRule>
    <cfRule type="expression" dxfId="2141" priority="4">
      <formula>$K8=#REF!</formula>
    </cfRule>
    <cfRule type="expression" dxfId="2140" priority="5">
      <formula>$K8=#REF!</formula>
    </cfRule>
    <cfRule type="expression" dxfId="2139" priority="6">
      <formula>$K8=#REF!</formula>
    </cfRule>
    <cfRule type="expression" dxfId="2138" priority="7">
      <formula>$K8=#REF!</formula>
    </cfRule>
    <cfRule type="expression" dxfId="2137" priority="8">
      <formula>$K8=#REF!</formula>
    </cfRule>
    <cfRule type="expression" dxfId="2136" priority="9">
      <formula>$K8=#REF!</formula>
    </cfRule>
    <cfRule type="expression" dxfId="2135" priority="10">
      <formula>$K8=#REF!</formula>
    </cfRule>
    <cfRule type="expression" dxfId="2134" priority="11">
      <formula>$K8=#REF!</formula>
    </cfRule>
    <cfRule type="expression" dxfId="2133" priority="12">
      <formula>$K8=#REF!</formula>
    </cfRule>
    <cfRule type="expression" dxfId="2132" priority="13">
      <formula>$K8=#REF!</formula>
    </cfRule>
    <cfRule type="expression" dxfId="2131" priority="14">
      <formula>$K8=#REF!</formula>
    </cfRule>
    <cfRule type="expression" dxfId="2130" priority="15">
      <formula>$K8=#REF!</formula>
    </cfRule>
    <cfRule type="expression" dxfId="2129" priority="16">
      <formula>$K8=#REF!</formula>
    </cfRule>
    <cfRule type="expression" dxfId="2128" priority="17">
      <formula>$K8=#REF!</formula>
    </cfRule>
    <cfRule type="expression" dxfId="2127" priority="18">
      <formula>$K8=#REF!</formula>
    </cfRule>
    <cfRule type="expression" dxfId="2126" priority="19">
      <formula>$K8=#REF!</formula>
    </cfRule>
    <cfRule type="expression" dxfId="2125" priority="20">
      <formula>$K8=#REF!</formula>
    </cfRule>
    <cfRule type="expression" dxfId="2124" priority="21">
      <formula>$K8=#REF!</formula>
    </cfRule>
    <cfRule type="expression" dxfId="2123" priority="22">
      <formula>$K8=#REF!</formula>
    </cfRule>
    <cfRule type="expression" dxfId="2122" priority="23">
      <formula>$K8=#REF!</formula>
    </cfRule>
    <cfRule type="expression" dxfId="2121" priority="24">
      <formula>$K8=#REF!</formula>
    </cfRule>
    <cfRule type="expression" dxfId="2120" priority="25">
      <formula>$K8=#REF!</formula>
    </cfRule>
    <cfRule type="expression" dxfId="2119" priority="26">
      <formula>$K8=#REF!</formula>
    </cfRule>
    <cfRule type="expression" dxfId="2118" priority="27">
      <formula>$K8=#REF!</formula>
    </cfRule>
    <cfRule type="expression" dxfId="2117" priority="28">
      <formula>$K8=#REF!</formula>
    </cfRule>
    <cfRule type="expression" dxfId="2116" priority="29">
      <formula>$K8=#REF!</formula>
    </cfRule>
  </conditionalFormatting>
  <dataValidations count="7">
    <dataValidation type="list" allowBlank="1" showInputMessage="1" showErrorMessage="1" sqref="D12:F43 G12:G13 G15:G43">
      <formula1>$N$21:$N$22</formula1>
    </dataValidation>
    <dataValidation allowBlank="1" showInputMessage="1" showErrorMessage="1" prompt="Udávejte částku v Kč včetně DPH." sqref="C8:C10"/>
    <dataValidation type="list" allowBlank="1" showInputMessage="1" showErrorMessage="1" sqref="H8:H10">
      <formula1>$K$20:$K$21</formula1>
    </dataValidation>
    <dataValidation allowBlank="1" showInputMessage="1" showErrorMessage="1" promptTitle="Obor" prompt="Uveďte pro který obor NP bude přístroj využíván." sqref="J8:J10"/>
    <dataValidation allowBlank="1" showInputMessage="1" showErrorMessage="1" promptTitle="Stáří přístroje" prompt="Vyplňte pokud se jedná o obnovu." sqref="I8:I10"/>
    <dataValidation type="list" errorStyle="information" allowBlank="1" showInputMessage="1" promptTitle="Vyberte skupinu" prompt="Vyberte skupinu zakázky" sqref="K8:K10">
      <formula1>#REF!</formula1>
    </dataValidation>
    <dataValidation type="list" allowBlank="1" showInputMessage="1" showErrorMessage="1" sqref="M8:M10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9"/>
  <sheetViews>
    <sheetView workbookViewId="0">
      <selection activeCell="D13" sqref="D13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42.7109375" hidden="1" customWidth="1"/>
    <col min="12" max="12" width="26.42578125" customWidth="1"/>
    <col min="13" max="13" width="0.140625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195</v>
      </c>
    </row>
    <row r="7" spans="1:15" ht="60.75" customHeight="1" x14ac:dyDescent="0.25">
      <c r="A7" s="2" t="s">
        <v>0</v>
      </c>
      <c r="B7" s="48" t="s">
        <v>130</v>
      </c>
      <c r="C7" s="2" t="s">
        <v>126</v>
      </c>
      <c r="D7" s="2" t="s">
        <v>6</v>
      </c>
      <c r="E7" s="35" t="s">
        <v>127</v>
      </c>
      <c r="F7" s="36" t="s">
        <v>113</v>
      </c>
      <c r="G7" s="2" t="s">
        <v>132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13" t="s">
        <v>187</v>
      </c>
      <c r="B8" s="5"/>
      <c r="C8" s="5">
        <f t="shared" ref="C8:C13" si="0">B8*(F8+1)</f>
        <v>0</v>
      </c>
      <c r="D8" s="15">
        <v>5</v>
      </c>
      <c r="E8" s="5">
        <f>Tabulka13427[[#This Row],[ pořizovací cena / ks (v Kč bez DPH)]]*Tabulka13427[[#This Row],[Počet kusů]]</f>
        <v>0</v>
      </c>
      <c r="F8" s="53">
        <v>0.21</v>
      </c>
      <c r="G8" s="12">
        <f>Tabulka13427[[#This Row],[ pořizovací cena / ks (v Kč včetně DPH)]]*Tabulka13427[[#This Row],[Počet kusů]]</f>
        <v>0</v>
      </c>
      <c r="H8" s="6" t="s">
        <v>11</v>
      </c>
      <c r="I8" s="6">
        <v>2001</v>
      </c>
      <c r="J8" s="6" t="s">
        <v>96</v>
      </c>
      <c r="K8" s="8"/>
      <c r="L8" s="8"/>
      <c r="M8" s="10"/>
      <c r="N8" s="6"/>
      <c r="O8" s="6"/>
    </row>
    <row r="9" spans="1:15" ht="30" x14ac:dyDescent="0.25">
      <c r="A9" s="13" t="s">
        <v>74</v>
      </c>
      <c r="B9" s="5"/>
      <c r="C9" s="5">
        <f t="shared" si="0"/>
        <v>0</v>
      </c>
      <c r="D9" s="15">
        <v>1</v>
      </c>
      <c r="E9" s="5">
        <f>Tabulka13427[[#This Row],[ pořizovací cena / ks (v Kč bez DPH)]]*Tabulka13427[[#This Row],[Počet kusů]]</f>
        <v>0</v>
      </c>
      <c r="F9" s="53">
        <v>0.21</v>
      </c>
      <c r="G9" s="12">
        <f>Tabulka13427[[#This Row],[ pořizovací cena / ks (v Kč včetně DPH)]]*Tabulka13427[[#This Row],[Počet kusů]]</f>
        <v>0</v>
      </c>
      <c r="H9" s="6" t="s">
        <v>21</v>
      </c>
      <c r="I9" s="6"/>
      <c r="J9" s="6" t="s">
        <v>96</v>
      </c>
      <c r="K9" s="8"/>
      <c r="L9" s="8"/>
      <c r="M9" s="10"/>
      <c r="N9" s="6"/>
      <c r="O9" s="6"/>
    </row>
    <row r="10" spans="1:15" ht="30" x14ac:dyDescent="0.25">
      <c r="A10" s="13" t="s">
        <v>186</v>
      </c>
      <c r="B10" s="5"/>
      <c r="C10" s="5">
        <f t="shared" si="0"/>
        <v>0</v>
      </c>
      <c r="D10" s="15">
        <v>5</v>
      </c>
      <c r="E10" s="5">
        <f>Tabulka13427[[#This Row],[ pořizovací cena / ks (v Kč bez DPH)]]*Tabulka13427[[#This Row],[Počet kusů]]</f>
        <v>0</v>
      </c>
      <c r="F10" s="53">
        <v>0.21</v>
      </c>
      <c r="G10" s="12">
        <f>Tabulka13427[[#This Row],[ pořizovací cena / ks (v Kč včetně DPH)]]*Tabulka13427[[#This Row],[Počet kusů]]</f>
        <v>0</v>
      </c>
      <c r="H10" s="6" t="s">
        <v>21</v>
      </c>
      <c r="I10" s="6"/>
      <c r="J10" s="6" t="s">
        <v>96</v>
      </c>
      <c r="K10" s="8"/>
      <c r="L10" s="8"/>
      <c r="M10" s="10"/>
      <c r="N10" s="6"/>
      <c r="O10" s="6"/>
    </row>
    <row r="11" spans="1:15" x14ac:dyDescent="0.25">
      <c r="A11" s="7" t="s">
        <v>196</v>
      </c>
      <c r="B11" s="5"/>
      <c r="C11" s="5">
        <f t="shared" si="0"/>
        <v>0</v>
      </c>
      <c r="D11" s="7">
        <v>5</v>
      </c>
      <c r="E11" s="5">
        <f>Tabulka13427[[#This Row],[ pořizovací cena / ks (v Kč bez DPH)]]*Tabulka13427[[#This Row],[Počet kusů]]</f>
        <v>0</v>
      </c>
      <c r="F11" s="53">
        <v>0.21</v>
      </c>
      <c r="G11" s="12">
        <f>Tabulka13427[[#This Row],[ pořizovací cena / ks (v Kč včetně DPH)]]*Tabulka13427[[#This Row],[Počet kusů]]</f>
        <v>0</v>
      </c>
      <c r="H11" s="6" t="s">
        <v>11</v>
      </c>
      <c r="I11" s="6">
        <v>2006</v>
      </c>
      <c r="J11" s="6" t="s">
        <v>96</v>
      </c>
      <c r="K11" s="8"/>
      <c r="L11" s="8"/>
      <c r="M11" s="10"/>
      <c r="N11" s="6"/>
      <c r="O11" s="6"/>
    </row>
    <row r="12" spans="1:15" ht="30" x14ac:dyDescent="0.25">
      <c r="A12" s="13" t="s">
        <v>188</v>
      </c>
      <c r="B12" s="5"/>
      <c r="C12" s="5">
        <f t="shared" si="0"/>
        <v>0</v>
      </c>
      <c r="D12" s="15">
        <v>3</v>
      </c>
      <c r="E12" s="5">
        <f>Tabulka13427[[#This Row],[ pořizovací cena / ks (v Kč bez DPH)]]*Tabulka13427[[#This Row],[Počet kusů]]</f>
        <v>0</v>
      </c>
      <c r="F12" s="53">
        <v>0.21</v>
      </c>
      <c r="G12" s="12">
        <f>Tabulka13427[[#This Row],[ pořizovací cena / ks (v Kč včetně DPH)]]*Tabulka13427[[#This Row],[Počet kusů]]</f>
        <v>0</v>
      </c>
      <c r="H12" s="6" t="s">
        <v>11</v>
      </c>
      <c r="I12" s="6">
        <v>2006</v>
      </c>
      <c r="J12" s="6" t="s">
        <v>96</v>
      </c>
      <c r="K12" s="8"/>
      <c r="L12" s="8"/>
      <c r="M12" s="10"/>
      <c r="N12" s="6"/>
      <c r="O12" s="6"/>
    </row>
    <row r="13" spans="1:15" x14ac:dyDescent="0.25">
      <c r="A13" s="13" t="s">
        <v>80</v>
      </c>
      <c r="B13" s="5"/>
      <c r="C13" s="5">
        <f t="shared" si="0"/>
        <v>0</v>
      </c>
      <c r="D13" s="26">
        <v>1</v>
      </c>
      <c r="E13" s="5">
        <f>Tabulka13427[[#This Row],[ pořizovací cena / ks (v Kč bez DPH)]]*Tabulka13427[[#This Row],[Počet kusů]]</f>
        <v>0</v>
      </c>
      <c r="F13" s="53">
        <v>0.21</v>
      </c>
      <c r="G13" s="12">
        <f>Tabulka13427[[#This Row],[ pořizovací cena / ks (v Kč včetně DPH)]]*Tabulka13427[[#This Row],[Počet kusů]]</f>
        <v>0</v>
      </c>
      <c r="H13" s="6" t="s">
        <v>21</v>
      </c>
      <c r="I13" s="6"/>
      <c r="J13" s="6" t="s">
        <v>96</v>
      </c>
      <c r="K13" s="8"/>
      <c r="L13" s="8"/>
      <c r="M13" s="10"/>
      <c r="N13" s="6"/>
      <c r="O13" s="6"/>
    </row>
    <row r="14" spans="1:15" x14ac:dyDescent="0.25">
      <c r="A14" t="s">
        <v>7</v>
      </c>
      <c r="B14" s="61"/>
      <c r="C14" s="62">
        <f>SUM(C8:C13)</f>
        <v>0</v>
      </c>
      <c r="D14" s="6">
        <f>SUBTOTAL(109,Tabulka13427[Počet kusů])</f>
        <v>20</v>
      </c>
      <c r="E14" s="62">
        <f>SUM(E8:E13)</f>
        <v>0</v>
      </c>
      <c r="F14" s="63"/>
      <c r="G14" s="62">
        <f>SUM(G8:G13)</f>
        <v>0</v>
      </c>
      <c r="H14" s="1" t="s">
        <v>8</v>
      </c>
      <c r="I14" s="1" t="s">
        <v>8</v>
      </c>
      <c r="J14" s="1" t="s">
        <v>8</v>
      </c>
      <c r="K14" s="1"/>
      <c r="L14" s="1"/>
      <c r="M14" s="1"/>
      <c r="N14" s="1"/>
      <c r="O14" s="1"/>
    </row>
    <row r="16" spans="1:15" ht="15.75" x14ac:dyDescent="0.3">
      <c r="K16" s="29"/>
    </row>
    <row r="18" spans="11:11" x14ac:dyDescent="0.25">
      <c r="K18" s="30"/>
    </row>
    <row r="19" spans="11:11" ht="15.75" x14ac:dyDescent="0.3">
      <c r="K19" s="31"/>
    </row>
  </sheetData>
  <protectedRanges>
    <protectedRange sqref="K8:M13" name="Oblast1"/>
  </protectedRanges>
  <mergeCells count="4">
    <mergeCell ref="A3:C3"/>
    <mergeCell ref="D3:J3"/>
    <mergeCell ref="A4:C4"/>
    <mergeCell ref="D4:J4"/>
  </mergeCells>
  <conditionalFormatting sqref="A8:B13 D8:M13">
    <cfRule type="expression" dxfId="2085" priority="30">
      <formula>$K8=#REF!</formula>
    </cfRule>
    <cfRule type="expression" dxfId="2084" priority="31">
      <formula>$K8=#REF!</formula>
    </cfRule>
    <cfRule type="expression" dxfId="2083" priority="32">
      <formula>$K8=#REF!</formula>
    </cfRule>
    <cfRule type="expression" dxfId="2082" priority="33">
      <formula>$K8=#REF!</formula>
    </cfRule>
    <cfRule type="expression" dxfId="2081" priority="34">
      <formula>$K8=#REF!</formula>
    </cfRule>
    <cfRule type="expression" dxfId="2080" priority="35">
      <formula>$K8=#REF!</formula>
    </cfRule>
    <cfRule type="expression" dxfId="2079" priority="36">
      <formula>$K8=#REF!</formula>
    </cfRule>
    <cfRule type="expression" dxfId="2078" priority="37">
      <formula>$K8=#REF!</formula>
    </cfRule>
    <cfRule type="expression" dxfId="2077" priority="38">
      <formula>$K8=#REF!</formula>
    </cfRule>
    <cfRule type="expression" dxfId="2076" priority="39">
      <formula>$K8=#REF!</formula>
    </cfRule>
    <cfRule type="expression" dxfId="2075" priority="40">
      <formula>$K8=#REF!</formula>
    </cfRule>
    <cfRule type="expression" dxfId="2074" priority="41">
      <formula>$K8=#REF!</formula>
    </cfRule>
    <cfRule type="expression" dxfId="2073" priority="42">
      <formula>$K8=#REF!</formula>
    </cfRule>
    <cfRule type="expression" dxfId="2072" priority="43">
      <formula>$K8=#REF!</formula>
    </cfRule>
    <cfRule type="expression" dxfId="2071" priority="44">
      <formula>$K8=#REF!</formula>
    </cfRule>
    <cfRule type="expression" dxfId="2070" priority="45">
      <formula>$K8=#REF!</formula>
    </cfRule>
    <cfRule type="expression" dxfId="2069" priority="46">
      <formula>$K8=#REF!</formula>
    </cfRule>
    <cfRule type="expression" dxfId="2068" priority="47">
      <formula>$K8=#REF!</formula>
    </cfRule>
    <cfRule type="expression" dxfId="2067" priority="48">
      <formula>$K8=#REF!</formula>
    </cfRule>
    <cfRule type="expression" dxfId="2066" priority="49">
      <formula>$K8=#REF!</formula>
    </cfRule>
    <cfRule type="expression" dxfId="2065" priority="50">
      <formula>$K8=#REF!</formula>
    </cfRule>
    <cfRule type="expression" dxfId="2064" priority="51">
      <formula>$K8=#REF!</formula>
    </cfRule>
    <cfRule type="expression" dxfId="2063" priority="52">
      <formula>$K8=#REF!</formula>
    </cfRule>
    <cfRule type="expression" dxfId="2062" priority="53">
      <formula>$K8=#REF!</formula>
    </cfRule>
    <cfRule type="expression" dxfId="2061" priority="54">
      <formula>$K8=#REF!</formula>
    </cfRule>
    <cfRule type="expression" dxfId="2060" priority="55">
      <formula>$K8=#REF!</formula>
    </cfRule>
    <cfRule type="expression" dxfId="2059" priority="56">
      <formula>$K8=#REF!</formula>
    </cfRule>
    <cfRule type="expression" dxfId="2058" priority="57">
      <formula>$K8=#REF!</formula>
    </cfRule>
    <cfRule type="expression" dxfId="2057" priority="58">
      <formula>$K8=#REF!</formula>
    </cfRule>
  </conditionalFormatting>
  <conditionalFormatting sqref="C8:C13">
    <cfRule type="expression" dxfId="2056" priority="1">
      <formula>$K8=#REF!</formula>
    </cfRule>
    <cfRule type="expression" dxfId="2055" priority="2">
      <formula>$K8=#REF!</formula>
    </cfRule>
    <cfRule type="expression" dxfId="2054" priority="3">
      <formula>$K8=#REF!</formula>
    </cfRule>
    <cfRule type="expression" dxfId="2053" priority="4">
      <formula>$K8=#REF!</formula>
    </cfRule>
    <cfRule type="expression" dxfId="2052" priority="5">
      <formula>$K8=#REF!</formula>
    </cfRule>
    <cfRule type="expression" dxfId="2051" priority="6">
      <formula>$K8=#REF!</formula>
    </cfRule>
    <cfRule type="expression" dxfId="2050" priority="7">
      <formula>$K8=#REF!</formula>
    </cfRule>
    <cfRule type="expression" dxfId="2049" priority="8">
      <formula>$K8=#REF!</formula>
    </cfRule>
    <cfRule type="expression" dxfId="2048" priority="9">
      <formula>$K8=#REF!</formula>
    </cfRule>
    <cfRule type="expression" dxfId="2047" priority="10">
      <formula>$K8=#REF!</formula>
    </cfRule>
    <cfRule type="expression" dxfId="2046" priority="11">
      <formula>$K8=#REF!</formula>
    </cfRule>
    <cfRule type="expression" dxfId="2045" priority="12">
      <formula>$K8=#REF!</formula>
    </cfRule>
    <cfRule type="expression" dxfId="2044" priority="13">
      <formula>$K8=#REF!</formula>
    </cfRule>
    <cfRule type="expression" dxfId="2043" priority="14">
      <formula>$K8=#REF!</formula>
    </cfRule>
    <cfRule type="expression" dxfId="2042" priority="15">
      <formula>$K8=#REF!</formula>
    </cfRule>
    <cfRule type="expression" dxfId="2041" priority="16">
      <formula>$K8=#REF!</formula>
    </cfRule>
    <cfRule type="expression" dxfId="2040" priority="17">
      <formula>$K8=#REF!</formula>
    </cfRule>
    <cfRule type="expression" dxfId="2039" priority="18">
      <formula>$K8=#REF!</formula>
    </cfRule>
    <cfRule type="expression" dxfId="2038" priority="19">
      <formula>$K8=#REF!</formula>
    </cfRule>
    <cfRule type="expression" dxfId="2037" priority="20">
      <formula>$K8=#REF!</formula>
    </cfRule>
    <cfRule type="expression" dxfId="2036" priority="21">
      <formula>$K8=#REF!</formula>
    </cfRule>
    <cfRule type="expression" dxfId="2035" priority="22">
      <formula>$K8=#REF!</formula>
    </cfRule>
    <cfRule type="expression" dxfId="2034" priority="23">
      <formula>$K8=#REF!</formula>
    </cfRule>
    <cfRule type="expression" dxfId="2033" priority="24">
      <formula>$K8=#REF!</formula>
    </cfRule>
    <cfRule type="expression" dxfId="2032" priority="25">
      <formula>$K8=#REF!</formula>
    </cfRule>
    <cfRule type="expression" dxfId="2031" priority="26">
      <formula>$K8=#REF!</formula>
    </cfRule>
    <cfRule type="expression" dxfId="2030" priority="27">
      <formula>$K8=#REF!</formula>
    </cfRule>
    <cfRule type="expression" dxfId="2029" priority="28">
      <formula>$K8=#REF!</formula>
    </cfRule>
    <cfRule type="expression" dxfId="2028" priority="29">
      <formula>$K8=#REF!</formula>
    </cfRule>
  </conditionalFormatting>
  <dataValidations count="7">
    <dataValidation type="list" allowBlank="1" showInputMessage="1" showErrorMessage="1" sqref="D15:F46 G15:G16 G18:G46">
      <formula1>$N$24:$N$25</formula1>
    </dataValidation>
    <dataValidation allowBlank="1" showInputMessage="1" showErrorMessage="1" prompt="Udávejte částku v Kč včetně DPH." sqref="C8:C13"/>
    <dataValidation type="list" allowBlank="1" showInputMessage="1" showErrorMessage="1" sqref="H8:H13">
      <formula1>$K$23:$K$24</formula1>
    </dataValidation>
    <dataValidation allowBlank="1" showInputMessage="1" showErrorMessage="1" promptTitle="Obor" prompt="Uveďte pro který obor NP bude přístroj využíván." sqref="J8:J13"/>
    <dataValidation allowBlank="1" showInputMessage="1" showErrorMessage="1" promptTitle="Stáří přístroje" prompt="Vyplňte pokud se jedná o obnovu." sqref="I8:I13"/>
    <dataValidation type="list" errorStyle="information" allowBlank="1" showInputMessage="1" promptTitle="Vyberte skupinu" prompt="Vyberte skupinu zakázky" sqref="K8:K13">
      <formula1>#REF!</formula1>
    </dataValidation>
    <dataValidation type="list" allowBlank="1" showInputMessage="1" showErrorMessage="1" sqref="M8:M13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5"/>
  <sheetViews>
    <sheetView workbookViewId="0">
      <selection activeCell="D9" sqref="D9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0.140625" customWidth="1"/>
    <col min="12" max="12" width="26.42578125" customWidth="1"/>
    <col min="13" max="13" width="10.85546875" hidden="1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156</v>
      </c>
    </row>
    <row r="7" spans="1:15" ht="60.75" customHeight="1" x14ac:dyDescent="0.25">
      <c r="A7" s="2" t="s">
        <v>0</v>
      </c>
      <c r="B7" s="48" t="s">
        <v>130</v>
      </c>
      <c r="C7" s="2" t="s">
        <v>126</v>
      </c>
      <c r="D7" s="2" t="s">
        <v>6</v>
      </c>
      <c r="E7" s="35" t="s">
        <v>127</v>
      </c>
      <c r="F7" s="36" t="s">
        <v>113</v>
      </c>
      <c r="G7" s="2" t="s">
        <v>132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14" t="s">
        <v>36</v>
      </c>
      <c r="B8" s="5"/>
      <c r="C8" s="5">
        <f>B8*(F8+1)</f>
        <v>0</v>
      </c>
      <c r="D8" s="15">
        <v>1</v>
      </c>
      <c r="E8" s="5">
        <f>Tabulka13428[[#This Row],[ pořizovací cena / ks (v Kč bez DPH)]]*Tabulka13428[[#This Row],[Počet kusů]]</f>
        <v>0</v>
      </c>
      <c r="F8" s="53">
        <v>0.21</v>
      </c>
      <c r="G8" s="12">
        <f>Tabulka13428[[#This Row],[ pořizovací cena / ks (v Kč včetně DPH)]]*Tabulka13428[[#This Row],[Počet kusů]]</f>
        <v>0</v>
      </c>
      <c r="H8" s="6" t="s">
        <v>21</v>
      </c>
      <c r="I8" s="6"/>
      <c r="J8" s="6" t="s">
        <v>90</v>
      </c>
      <c r="K8" s="27"/>
      <c r="L8" s="8"/>
      <c r="M8" s="10"/>
      <c r="N8" s="6"/>
      <c r="O8" s="6"/>
    </row>
    <row r="9" spans="1:15" x14ac:dyDescent="0.25">
      <c r="A9" s="13" t="s">
        <v>197</v>
      </c>
      <c r="B9" s="5"/>
      <c r="C9" s="5">
        <f>B9*(F9+1)</f>
        <v>0</v>
      </c>
      <c r="D9" s="15">
        <v>1</v>
      </c>
      <c r="E9" s="5">
        <f>Tabulka13428[[#This Row],[ pořizovací cena / ks (v Kč bez DPH)]]*Tabulka13428[[#This Row],[Počet kusů]]</f>
        <v>0</v>
      </c>
      <c r="F9" s="53">
        <v>0.21</v>
      </c>
      <c r="G9" s="12">
        <f>Tabulka13428[[#This Row],[ pořizovací cena / ks (v Kč včetně DPH)]]*Tabulka13428[[#This Row],[Počet kusů]]</f>
        <v>0</v>
      </c>
      <c r="H9" s="6" t="s">
        <v>11</v>
      </c>
      <c r="I9" s="6">
        <v>2002</v>
      </c>
      <c r="J9" s="6" t="s">
        <v>90</v>
      </c>
      <c r="K9" s="28"/>
      <c r="L9" s="8"/>
      <c r="M9" s="10"/>
      <c r="N9" s="6"/>
      <c r="O9" s="6"/>
    </row>
    <row r="10" spans="1:15" x14ac:dyDescent="0.25">
      <c r="A10" t="s">
        <v>7</v>
      </c>
      <c r="B10" s="61"/>
      <c r="C10" s="62">
        <f>SUM(C8:C9)</f>
        <v>0</v>
      </c>
      <c r="D10" s="6">
        <f>SUBTOTAL(109,Tabulka13428[Počet kusů])</f>
        <v>2</v>
      </c>
      <c r="E10" s="62">
        <f>SUM(E8:E9)</f>
        <v>0</v>
      </c>
      <c r="F10" s="63"/>
      <c r="G10" s="62">
        <f>SUM(G8:G9)</f>
        <v>0</v>
      </c>
      <c r="H10" s="1" t="s">
        <v>8</v>
      </c>
      <c r="I10" s="1" t="s">
        <v>8</v>
      </c>
      <c r="J10" s="1" t="s">
        <v>8</v>
      </c>
      <c r="K10" s="1"/>
      <c r="L10" s="1"/>
      <c r="M10" s="1"/>
      <c r="N10" s="1"/>
      <c r="O10" s="1"/>
    </row>
    <row r="12" spans="1:15" ht="15.75" x14ac:dyDescent="0.3">
      <c r="K12" s="29"/>
    </row>
    <row r="14" spans="1:15" x14ac:dyDescent="0.25">
      <c r="K14" s="30"/>
    </row>
    <row r="15" spans="1:15" ht="15.75" x14ac:dyDescent="0.3">
      <c r="K15" s="31"/>
    </row>
  </sheetData>
  <protectedRanges>
    <protectedRange sqref="K8:M9" name="Oblast1"/>
  </protectedRanges>
  <mergeCells count="4">
    <mergeCell ref="A3:C3"/>
    <mergeCell ref="D3:J3"/>
    <mergeCell ref="A4:C4"/>
    <mergeCell ref="D4:J4"/>
  </mergeCells>
  <conditionalFormatting sqref="A8:B9 D8:M9">
    <cfRule type="expression" dxfId="1997" priority="30">
      <formula>$K8=#REF!</formula>
    </cfRule>
    <cfRule type="expression" dxfId="1996" priority="31">
      <formula>$K8=#REF!</formula>
    </cfRule>
    <cfRule type="expression" dxfId="1995" priority="32">
      <formula>$K8=#REF!</formula>
    </cfRule>
    <cfRule type="expression" dxfId="1994" priority="33">
      <formula>$K8=#REF!</formula>
    </cfRule>
    <cfRule type="expression" dxfId="1993" priority="34">
      <formula>$K8=#REF!</formula>
    </cfRule>
    <cfRule type="expression" dxfId="1992" priority="35">
      <formula>$K8=#REF!</formula>
    </cfRule>
    <cfRule type="expression" dxfId="1991" priority="36">
      <formula>$K8=#REF!</formula>
    </cfRule>
    <cfRule type="expression" dxfId="1990" priority="37">
      <formula>$K8=#REF!</formula>
    </cfRule>
    <cfRule type="expression" dxfId="1989" priority="38">
      <formula>$K8=#REF!</formula>
    </cfRule>
    <cfRule type="expression" dxfId="1988" priority="39">
      <formula>$K8=#REF!</formula>
    </cfRule>
    <cfRule type="expression" dxfId="1987" priority="40">
      <formula>$K8=#REF!</formula>
    </cfRule>
    <cfRule type="expression" dxfId="1986" priority="41">
      <formula>$K8=#REF!</formula>
    </cfRule>
    <cfRule type="expression" dxfId="1985" priority="42">
      <formula>$K8=#REF!</formula>
    </cfRule>
    <cfRule type="expression" dxfId="1984" priority="43">
      <formula>$K8=#REF!</formula>
    </cfRule>
    <cfRule type="expression" dxfId="1983" priority="44">
      <formula>$K8=#REF!</formula>
    </cfRule>
    <cfRule type="expression" dxfId="1982" priority="45">
      <formula>$K8=#REF!</formula>
    </cfRule>
    <cfRule type="expression" dxfId="1981" priority="46">
      <formula>$K8=#REF!</formula>
    </cfRule>
    <cfRule type="expression" dxfId="1980" priority="47">
      <formula>$K8=#REF!</formula>
    </cfRule>
    <cfRule type="expression" dxfId="1979" priority="48">
      <formula>$K8=#REF!</formula>
    </cfRule>
    <cfRule type="expression" dxfId="1978" priority="49">
      <formula>$K8=#REF!</formula>
    </cfRule>
    <cfRule type="expression" dxfId="1977" priority="50">
      <formula>$K8=#REF!</formula>
    </cfRule>
    <cfRule type="expression" dxfId="1976" priority="51">
      <formula>$K8=#REF!</formula>
    </cfRule>
    <cfRule type="expression" dxfId="1975" priority="52">
      <formula>$K8=#REF!</formula>
    </cfRule>
    <cfRule type="expression" dxfId="1974" priority="53">
      <formula>$K8=#REF!</formula>
    </cfRule>
    <cfRule type="expression" dxfId="1973" priority="54">
      <formula>$K8=#REF!</formula>
    </cfRule>
    <cfRule type="expression" dxfId="1972" priority="55">
      <formula>$K8=#REF!</formula>
    </cfRule>
    <cfRule type="expression" dxfId="1971" priority="56">
      <formula>$K8=#REF!</formula>
    </cfRule>
    <cfRule type="expression" dxfId="1970" priority="57">
      <formula>$K8=#REF!</formula>
    </cfRule>
    <cfRule type="expression" dxfId="1969" priority="58">
      <formula>$K8=#REF!</formula>
    </cfRule>
  </conditionalFormatting>
  <conditionalFormatting sqref="C8:C9">
    <cfRule type="expression" dxfId="1968" priority="1">
      <formula>$K8=#REF!</formula>
    </cfRule>
    <cfRule type="expression" dxfId="1967" priority="2">
      <formula>$K8=#REF!</formula>
    </cfRule>
    <cfRule type="expression" dxfId="1966" priority="3">
      <formula>$K8=#REF!</formula>
    </cfRule>
    <cfRule type="expression" dxfId="1965" priority="4">
      <formula>$K8=#REF!</formula>
    </cfRule>
    <cfRule type="expression" dxfId="1964" priority="5">
      <formula>$K8=#REF!</formula>
    </cfRule>
    <cfRule type="expression" dxfId="1963" priority="6">
      <formula>$K8=#REF!</formula>
    </cfRule>
    <cfRule type="expression" dxfId="1962" priority="7">
      <formula>$K8=#REF!</formula>
    </cfRule>
    <cfRule type="expression" dxfId="1961" priority="8">
      <formula>$K8=#REF!</formula>
    </cfRule>
    <cfRule type="expression" dxfId="1960" priority="9">
      <formula>$K8=#REF!</formula>
    </cfRule>
    <cfRule type="expression" dxfId="1959" priority="10">
      <formula>$K8=#REF!</formula>
    </cfRule>
    <cfRule type="expression" dxfId="1958" priority="11">
      <formula>$K8=#REF!</formula>
    </cfRule>
    <cfRule type="expression" dxfId="1957" priority="12">
      <formula>$K8=#REF!</formula>
    </cfRule>
    <cfRule type="expression" dxfId="1956" priority="13">
      <formula>$K8=#REF!</formula>
    </cfRule>
    <cfRule type="expression" dxfId="1955" priority="14">
      <formula>$K8=#REF!</formula>
    </cfRule>
    <cfRule type="expression" dxfId="1954" priority="15">
      <formula>$K8=#REF!</formula>
    </cfRule>
    <cfRule type="expression" dxfId="1953" priority="16">
      <formula>$K8=#REF!</formula>
    </cfRule>
    <cfRule type="expression" dxfId="1952" priority="17">
      <formula>$K8=#REF!</formula>
    </cfRule>
    <cfRule type="expression" dxfId="1951" priority="18">
      <formula>$K8=#REF!</formula>
    </cfRule>
    <cfRule type="expression" dxfId="1950" priority="19">
      <formula>$K8=#REF!</formula>
    </cfRule>
    <cfRule type="expression" dxfId="1949" priority="20">
      <formula>$K8=#REF!</formula>
    </cfRule>
    <cfRule type="expression" dxfId="1948" priority="21">
      <formula>$K8=#REF!</formula>
    </cfRule>
    <cfRule type="expression" dxfId="1947" priority="22">
      <formula>$K8=#REF!</formula>
    </cfRule>
    <cfRule type="expression" dxfId="1946" priority="23">
      <formula>$K8=#REF!</formula>
    </cfRule>
    <cfRule type="expression" dxfId="1945" priority="24">
      <formula>$K8=#REF!</formula>
    </cfRule>
    <cfRule type="expression" dxfId="1944" priority="25">
      <formula>$K8=#REF!</formula>
    </cfRule>
    <cfRule type="expression" dxfId="1943" priority="26">
      <formula>$K8=#REF!</formula>
    </cfRule>
    <cfRule type="expression" dxfId="1942" priority="27">
      <formula>$K8=#REF!</formula>
    </cfRule>
    <cfRule type="expression" dxfId="1941" priority="28">
      <formula>$K8=#REF!</formula>
    </cfRule>
    <cfRule type="expression" dxfId="1940" priority="29">
      <formula>$K8=#REF!</formula>
    </cfRule>
  </conditionalFormatting>
  <dataValidations count="7">
    <dataValidation type="list" allowBlank="1" showInputMessage="1" showErrorMessage="1" sqref="D11:F42 G14:G42 G11:G12">
      <formula1>$N$20:$N$21</formula1>
    </dataValidation>
    <dataValidation allowBlank="1" showInputMessage="1" showErrorMessage="1" prompt="Udávejte částku v Kč včetně DPH." sqref="C8:C9"/>
    <dataValidation type="list" allowBlank="1" showInputMessage="1" showErrorMessage="1" sqref="H8:H9">
      <formula1>$K$19:$K$20</formula1>
    </dataValidation>
    <dataValidation allowBlank="1" showInputMessage="1" showErrorMessage="1" promptTitle="Obor" prompt="Uveďte pro který obor NP bude přístroj využíván." sqref="J8:J9"/>
    <dataValidation allowBlank="1" showInputMessage="1" showErrorMessage="1" promptTitle="Stáří přístroje" prompt="Vyplňte pokud se jedná o obnovu." sqref="I8:I9"/>
    <dataValidation type="list" errorStyle="information" allowBlank="1" showInputMessage="1" promptTitle="Vyberte skupinu" prompt="Vyberte skupinu zakázky" sqref="K8:K9">
      <formula1>#REF!</formula1>
    </dataValidation>
    <dataValidation type="list" allowBlank="1" showInputMessage="1" showErrorMessage="1" sqref="M8:M9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4"/>
  <sheetViews>
    <sheetView workbookViewId="0">
      <selection activeCell="B21" sqref="B21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42.7109375" hidden="1" customWidth="1"/>
    <col min="12" max="12" width="26.28515625" customWidth="1"/>
    <col min="13" max="13" width="10.85546875" hidden="1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157</v>
      </c>
    </row>
    <row r="7" spans="1:15" ht="60.75" customHeight="1" x14ac:dyDescent="0.25">
      <c r="A7" s="2" t="s">
        <v>0</v>
      </c>
      <c r="B7" s="48" t="s">
        <v>130</v>
      </c>
      <c r="C7" s="2" t="s">
        <v>126</v>
      </c>
      <c r="D7" s="2" t="s">
        <v>6</v>
      </c>
      <c r="E7" s="35" t="s">
        <v>127</v>
      </c>
      <c r="F7" s="36" t="s">
        <v>113</v>
      </c>
      <c r="G7" s="2" t="s">
        <v>132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7" t="s">
        <v>22</v>
      </c>
      <c r="B8" s="5"/>
      <c r="C8" s="5">
        <f>B8*(F8+1)</f>
        <v>0</v>
      </c>
      <c r="D8" s="6">
        <v>3</v>
      </c>
      <c r="E8" s="5">
        <f>Tabulka13429[[#This Row],[ pořizovací cena / ks (v Kč bez DPH)]]*Tabulka13429[[#This Row],[Počet kusů]]</f>
        <v>0</v>
      </c>
      <c r="F8" s="63">
        <v>0.21</v>
      </c>
      <c r="G8" s="12">
        <f>Tabulka13429[[#This Row],[ pořizovací cena / ks (v Kč včetně DPH)]]*Tabulka13429[[#This Row],[Počet kusů]]</f>
        <v>0</v>
      </c>
      <c r="H8" s="6" t="s">
        <v>21</v>
      </c>
      <c r="I8" s="6"/>
      <c r="J8" s="6" t="s">
        <v>88</v>
      </c>
      <c r="K8" s="60"/>
      <c r="L8" s="8"/>
      <c r="M8" s="44"/>
      <c r="N8" s="6"/>
      <c r="O8" s="6"/>
    </row>
    <row r="9" spans="1:15" x14ac:dyDescent="0.25">
      <c r="A9" s="6" t="s">
        <v>7</v>
      </c>
      <c r="B9" s="61"/>
      <c r="C9" s="62">
        <f>SUM(C8)</f>
        <v>0</v>
      </c>
      <c r="D9" s="6">
        <f>SUBTOTAL(109,Tabulka13429[Počet kusů])</f>
        <v>3</v>
      </c>
      <c r="E9" s="62">
        <f>SUM(E8)</f>
        <v>0</v>
      </c>
      <c r="F9" s="63"/>
      <c r="G9" s="62">
        <f>SUM(G8)</f>
        <v>0</v>
      </c>
      <c r="H9" s="64" t="s">
        <v>8</v>
      </c>
      <c r="I9" s="64" t="s">
        <v>8</v>
      </c>
      <c r="J9" s="64" t="s">
        <v>8</v>
      </c>
      <c r="K9" s="64"/>
      <c r="L9" s="64"/>
      <c r="M9" s="1"/>
      <c r="N9" s="1"/>
      <c r="O9" s="1"/>
    </row>
    <row r="10" spans="1:15" x14ac:dyDescent="0.25">
      <c r="A10" s="6"/>
      <c r="B10" s="61"/>
      <c r="C10" s="6"/>
      <c r="D10" s="6"/>
      <c r="E10" s="65"/>
      <c r="F10" s="63"/>
      <c r="G10" s="6"/>
      <c r="H10" s="6"/>
      <c r="I10" s="6"/>
      <c r="J10" s="6"/>
      <c r="K10" s="6"/>
      <c r="L10" s="6"/>
    </row>
    <row r="11" spans="1:15" ht="15.75" x14ac:dyDescent="0.3">
      <c r="K11" s="29"/>
    </row>
    <row r="13" spans="1:15" x14ac:dyDescent="0.25">
      <c r="K13" s="30"/>
    </row>
    <row r="14" spans="1:15" ht="15.75" x14ac:dyDescent="0.3">
      <c r="K14" s="31"/>
    </row>
  </sheetData>
  <protectedRanges>
    <protectedRange sqref="K8:M8" name="Oblast1"/>
  </protectedRanges>
  <mergeCells count="4">
    <mergeCell ref="A3:C3"/>
    <mergeCell ref="D3:J3"/>
    <mergeCell ref="A4:C4"/>
    <mergeCell ref="D4:J4"/>
  </mergeCells>
  <conditionalFormatting sqref="A8:B8 D8:M8">
    <cfRule type="expression" dxfId="1909" priority="30">
      <formula>$K8=#REF!</formula>
    </cfRule>
    <cfRule type="expression" dxfId="1908" priority="31">
      <formula>$K8=#REF!</formula>
    </cfRule>
    <cfRule type="expression" dxfId="1907" priority="32">
      <formula>$K8=#REF!</formula>
    </cfRule>
    <cfRule type="expression" dxfId="1906" priority="33">
      <formula>$K8=#REF!</formula>
    </cfRule>
    <cfRule type="expression" dxfId="1905" priority="34">
      <formula>$K8=#REF!</formula>
    </cfRule>
    <cfRule type="expression" dxfId="1904" priority="35">
      <formula>$K8=#REF!</formula>
    </cfRule>
    <cfRule type="expression" dxfId="1903" priority="36">
      <formula>$K8=#REF!</formula>
    </cfRule>
    <cfRule type="expression" dxfId="1902" priority="37">
      <formula>$K8=#REF!</formula>
    </cfRule>
    <cfRule type="expression" dxfId="1901" priority="38">
      <formula>$K8=#REF!</formula>
    </cfRule>
    <cfRule type="expression" dxfId="1900" priority="39">
      <formula>$K8=#REF!</formula>
    </cfRule>
    <cfRule type="expression" dxfId="1899" priority="40">
      <formula>$K8=#REF!</formula>
    </cfRule>
    <cfRule type="expression" dxfId="1898" priority="41">
      <formula>$K8=#REF!</formula>
    </cfRule>
    <cfRule type="expression" dxfId="1897" priority="42">
      <formula>$K8=#REF!</formula>
    </cfRule>
    <cfRule type="expression" dxfId="1896" priority="43">
      <formula>$K8=#REF!</formula>
    </cfRule>
    <cfRule type="expression" dxfId="1895" priority="44">
      <formula>$K8=#REF!</formula>
    </cfRule>
    <cfRule type="expression" dxfId="1894" priority="45">
      <formula>$K8=#REF!</formula>
    </cfRule>
    <cfRule type="expression" dxfId="1893" priority="46">
      <formula>$K8=#REF!</formula>
    </cfRule>
    <cfRule type="expression" dxfId="1892" priority="47">
      <formula>$K8=#REF!</formula>
    </cfRule>
    <cfRule type="expression" dxfId="1891" priority="48">
      <formula>$K8=#REF!</formula>
    </cfRule>
    <cfRule type="expression" dxfId="1890" priority="49">
      <formula>$K8=#REF!</formula>
    </cfRule>
    <cfRule type="expression" dxfId="1889" priority="50">
      <formula>$K8=#REF!</formula>
    </cfRule>
    <cfRule type="expression" dxfId="1888" priority="51">
      <formula>$K8=#REF!</formula>
    </cfRule>
    <cfRule type="expression" dxfId="1887" priority="52">
      <formula>$K8=#REF!</formula>
    </cfRule>
    <cfRule type="expression" dxfId="1886" priority="53">
      <formula>$K8=#REF!</formula>
    </cfRule>
    <cfRule type="expression" dxfId="1885" priority="54">
      <formula>$K8=#REF!</formula>
    </cfRule>
    <cfRule type="expression" dxfId="1884" priority="55">
      <formula>$K8=#REF!</formula>
    </cfRule>
    <cfRule type="expression" dxfId="1883" priority="56">
      <formula>$K8=#REF!</formula>
    </cfRule>
    <cfRule type="expression" dxfId="1882" priority="57">
      <formula>$K8=#REF!</formula>
    </cfRule>
    <cfRule type="expression" dxfId="1881" priority="58">
      <formula>$K8=#REF!</formula>
    </cfRule>
  </conditionalFormatting>
  <conditionalFormatting sqref="C8">
    <cfRule type="expression" dxfId="1880" priority="1">
      <formula>$K8=#REF!</formula>
    </cfRule>
    <cfRule type="expression" dxfId="1879" priority="2">
      <formula>$K8=#REF!</formula>
    </cfRule>
    <cfRule type="expression" dxfId="1878" priority="3">
      <formula>$K8=#REF!</formula>
    </cfRule>
    <cfRule type="expression" dxfId="1877" priority="4">
      <formula>$K8=#REF!</formula>
    </cfRule>
    <cfRule type="expression" dxfId="1876" priority="5">
      <formula>$K8=#REF!</formula>
    </cfRule>
    <cfRule type="expression" dxfId="1875" priority="6">
      <formula>$K8=#REF!</formula>
    </cfRule>
    <cfRule type="expression" dxfId="1874" priority="7">
      <formula>$K8=#REF!</formula>
    </cfRule>
    <cfRule type="expression" dxfId="1873" priority="8">
      <formula>$K8=#REF!</formula>
    </cfRule>
    <cfRule type="expression" dxfId="1872" priority="9">
      <formula>$K8=#REF!</formula>
    </cfRule>
    <cfRule type="expression" dxfId="1871" priority="10">
      <formula>$K8=#REF!</formula>
    </cfRule>
    <cfRule type="expression" dxfId="1870" priority="11">
      <formula>$K8=#REF!</formula>
    </cfRule>
    <cfRule type="expression" dxfId="1869" priority="12">
      <formula>$K8=#REF!</formula>
    </cfRule>
    <cfRule type="expression" dxfId="1868" priority="13">
      <formula>$K8=#REF!</formula>
    </cfRule>
    <cfRule type="expression" dxfId="1867" priority="14">
      <formula>$K8=#REF!</formula>
    </cfRule>
    <cfRule type="expression" dxfId="1866" priority="15">
      <formula>$K8=#REF!</formula>
    </cfRule>
    <cfRule type="expression" dxfId="1865" priority="16">
      <formula>$K8=#REF!</formula>
    </cfRule>
    <cfRule type="expression" dxfId="1864" priority="17">
      <formula>$K8=#REF!</formula>
    </cfRule>
    <cfRule type="expression" dxfId="1863" priority="18">
      <formula>$K8=#REF!</formula>
    </cfRule>
    <cfRule type="expression" dxfId="1862" priority="19">
      <formula>$K8=#REF!</formula>
    </cfRule>
    <cfRule type="expression" dxfId="1861" priority="20">
      <formula>$K8=#REF!</formula>
    </cfRule>
    <cfRule type="expression" dxfId="1860" priority="21">
      <formula>$K8=#REF!</formula>
    </cfRule>
    <cfRule type="expression" dxfId="1859" priority="22">
      <formula>$K8=#REF!</formula>
    </cfRule>
    <cfRule type="expression" dxfId="1858" priority="23">
      <formula>$K8=#REF!</formula>
    </cfRule>
    <cfRule type="expression" dxfId="1857" priority="24">
      <formula>$K8=#REF!</formula>
    </cfRule>
    <cfRule type="expression" dxfId="1856" priority="25">
      <formula>$K8=#REF!</formula>
    </cfRule>
    <cfRule type="expression" dxfId="1855" priority="26">
      <formula>$K8=#REF!</formula>
    </cfRule>
    <cfRule type="expression" dxfId="1854" priority="27">
      <formula>$K8=#REF!</formula>
    </cfRule>
    <cfRule type="expression" dxfId="1853" priority="28">
      <formula>$K8=#REF!</formula>
    </cfRule>
    <cfRule type="expression" dxfId="1852" priority="29">
      <formula>$K8=#REF!</formula>
    </cfRule>
  </conditionalFormatting>
  <dataValidations count="7">
    <dataValidation type="list" allowBlank="1" showInputMessage="1" showErrorMessage="1" sqref="D10:F41 G13:G41 G10:G11">
      <formula1>$N$19:$N$20</formula1>
    </dataValidation>
    <dataValidation allowBlank="1" showInputMessage="1" showErrorMessage="1" prompt="Udávejte částku v Kč včetně DPH." sqref="C8"/>
    <dataValidation type="list" allowBlank="1" showInputMessage="1" showErrorMessage="1" sqref="H8">
      <formula1>$K$18:$K$19</formula1>
    </dataValidation>
    <dataValidation allowBlank="1" showInputMessage="1" showErrorMessage="1" promptTitle="Obor" prompt="Uveďte pro který obor NP bude přístroj využíván." sqref="J8"/>
    <dataValidation allowBlank="1" showInputMessage="1" showErrorMessage="1" promptTitle="Stáří přístroje" prompt="Vyplňte pokud se jedná o obnovu." sqref="I8"/>
    <dataValidation type="list" errorStyle="information" allowBlank="1" showInputMessage="1" promptTitle="Vyberte skupinu" prompt="Vyberte skupinu zakázky" sqref="K8">
      <formula1>#REF!</formula1>
    </dataValidation>
    <dataValidation type="list" allowBlank="1" showInputMessage="1" showErrorMessage="1" sqref="M8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4"/>
  <sheetViews>
    <sheetView workbookViewId="0">
      <selection activeCell="A4" sqref="A4:C4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42.7109375" hidden="1" customWidth="1"/>
    <col min="12" max="12" width="26.42578125" customWidth="1"/>
    <col min="13" max="13" width="10.85546875" hidden="1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158</v>
      </c>
    </row>
    <row r="7" spans="1:15" ht="60.75" customHeight="1" x14ac:dyDescent="0.25">
      <c r="A7" s="2" t="s">
        <v>0</v>
      </c>
      <c r="B7" s="48" t="s">
        <v>130</v>
      </c>
      <c r="C7" s="2" t="s">
        <v>126</v>
      </c>
      <c r="D7" s="2" t="s">
        <v>6</v>
      </c>
      <c r="E7" s="35" t="s">
        <v>127</v>
      </c>
      <c r="F7" s="36" t="s">
        <v>113</v>
      </c>
      <c r="G7" s="2" t="s">
        <v>132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7" t="s">
        <v>159</v>
      </c>
      <c r="B8" s="5"/>
      <c r="C8" s="5">
        <f>B8*(F8+1)</f>
        <v>0</v>
      </c>
      <c r="D8" s="6">
        <v>1</v>
      </c>
      <c r="E8" s="5">
        <f>Tabulka13430[[#This Row],[ pořizovací cena / ks (v Kč bez DPH)]]*Tabulka13430[[#This Row],[Počet kusů]]</f>
        <v>0</v>
      </c>
      <c r="F8" s="72">
        <v>0.21</v>
      </c>
      <c r="G8" s="12">
        <f>Tabulka13430[[#This Row],[ pořizovací cena / ks (v Kč včetně DPH)]]*Tabulka13430[[#This Row],[Počet kusů]]</f>
        <v>0</v>
      </c>
      <c r="H8" s="6" t="s">
        <v>21</v>
      </c>
      <c r="I8" s="6"/>
      <c r="J8" s="6" t="s">
        <v>88</v>
      </c>
      <c r="K8" s="60"/>
      <c r="L8" s="8"/>
      <c r="M8" s="45"/>
      <c r="N8" s="6"/>
      <c r="O8" s="6"/>
    </row>
    <row r="9" spans="1:15" x14ac:dyDescent="0.25">
      <c r="A9" s="6" t="s">
        <v>7</v>
      </c>
      <c r="B9" s="61"/>
      <c r="C9" s="62">
        <f>SUM(C8)</f>
        <v>0</v>
      </c>
      <c r="D9" s="6">
        <f>SUBTOTAL(109,Tabulka13430[Počet kusů])</f>
        <v>1</v>
      </c>
      <c r="E9" s="62">
        <f>SUM(E8)</f>
        <v>0</v>
      </c>
      <c r="F9" s="63"/>
      <c r="G9" s="62">
        <f>SUM(G8)</f>
        <v>0</v>
      </c>
      <c r="H9" s="64" t="s">
        <v>8</v>
      </c>
      <c r="I9" s="64" t="s">
        <v>8</v>
      </c>
      <c r="J9" s="64" t="s">
        <v>8</v>
      </c>
      <c r="K9" s="64"/>
      <c r="L9" s="64"/>
      <c r="M9" s="1"/>
      <c r="N9" s="1"/>
      <c r="O9" s="1"/>
    </row>
    <row r="11" spans="1:15" ht="15.75" x14ac:dyDescent="0.3">
      <c r="K11" s="29"/>
    </row>
    <row r="13" spans="1:15" x14ac:dyDescent="0.25">
      <c r="K13" s="30"/>
    </row>
    <row r="14" spans="1:15" ht="15.75" x14ac:dyDescent="0.3">
      <c r="K14" s="31"/>
    </row>
  </sheetData>
  <protectedRanges>
    <protectedRange sqref="K8:M8" name="Oblast1"/>
  </protectedRanges>
  <mergeCells count="4">
    <mergeCell ref="A3:C3"/>
    <mergeCell ref="D3:J3"/>
    <mergeCell ref="A4:C4"/>
    <mergeCell ref="D4:J4"/>
  </mergeCells>
  <conditionalFormatting sqref="A8:B8 D8:M8">
    <cfRule type="expression" dxfId="1820" priority="30">
      <formula>$K8=#REF!</formula>
    </cfRule>
    <cfRule type="expression" dxfId="1819" priority="31">
      <formula>$K8=#REF!</formula>
    </cfRule>
    <cfRule type="expression" dxfId="1818" priority="32">
      <formula>$K8=#REF!</formula>
    </cfRule>
    <cfRule type="expression" dxfId="1817" priority="33">
      <formula>$K8=#REF!</formula>
    </cfRule>
    <cfRule type="expression" dxfId="1816" priority="34">
      <formula>$K8=#REF!</formula>
    </cfRule>
    <cfRule type="expression" dxfId="1815" priority="35">
      <formula>$K8=#REF!</formula>
    </cfRule>
    <cfRule type="expression" dxfId="1814" priority="36">
      <formula>$K8=#REF!</formula>
    </cfRule>
    <cfRule type="expression" dxfId="1813" priority="37">
      <formula>$K8=#REF!</formula>
    </cfRule>
    <cfRule type="expression" dxfId="1812" priority="38">
      <formula>$K8=#REF!</formula>
    </cfRule>
    <cfRule type="expression" dxfId="1811" priority="39">
      <formula>$K8=#REF!</formula>
    </cfRule>
    <cfRule type="expression" dxfId="1810" priority="40">
      <formula>$K8=#REF!</formula>
    </cfRule>
    <cfRule type="expression" dxfId="1809" priority="41">
      <formula>$K8=#REF!</formula>
    </cfRule>
    <cfRule type="expression" dxfId="1808" priority="42">
      <formula>$K8=#REF!</formula>
    </cfRule>
    <cfRule type="expression" dxfId="1807" priority="43">
      <formula>$K8=#REF!</formula>
    </cfRule>
    <cfRule type="expression" dxfId="1806" priority="44">
      <formula>$K8=#REF!</formula>
    </cfRule>
    <cfRule type="expression" dxfId="1805" priority="45">
      <formula>$K8=#REF!</formula>
    </cfRule>
    <cfRule type="expression" dxfId="1804" priority="46">
      <formula>$K8=#REF!</formula>
    </cfRule>
    <cfRule type="expression" dxfId="1803" priority="47">
      <formula>$K8=#REF!</formula>
    </cfRule>
    <cfRule type="expression" dxfId="1802" priority="48">
      <formula>$K8=#REF!</formula>
    </cfRule>
    <cfRule type="expression" dxfId="1801" priority="49">
      <formula>$K8=#REF!</formula>
    </cfRule>
    <cfRule type="expression" dxfId="1800" priority="50">
      <formula>$K8=#REF!</formula>
    </cfRule>
    <cfRule type="expression" dxfId="1799" priority="51">
      <formula>$K8=#REF!</formula>
    </cfRule>
    <cfRule type="expression" dxfId="1798" priority="52">
      <formula>$K8=#REF!</formula>
    </cfRule>
    <cfRule type="expression" dxfId="1797" priority="53">
      <formula>$K8=#REF!</formula>
    </cfRule>
    <cfRule type="expression" dxfId="1796" priority="54">
      <formula>$K8=#REF!</formula>
    </cfRule>
    <cfRule type="expression" dxfId="1795" priority="55">
      <formula>$K8=#REF!</formula>
    </cfRule>
    <cfRule type="expression" dxfId="1794" priority="56">
      <formula>$K8=#REF!</formula>
    </cfRule>
    <cfRule type="expression" dxfId="1793" priority="57">
      <formula>$K8=#REF!</formula>
    </cfRule>
    <cfRule type="expression" dxfId="1792" priority="58">
      <formula>$K8=#REF!</formula>
    </cfRule>
  </conditionalFormatting>
  <conditionalFormatting sqref="C8">
    <cfRule type="expression" dxfId="1791" priority="1">
      <formula>$K8=#REF!</formula>
    </cfRule>
    <cfRule type="expression" dxfId="1790" priority="2">
      <formula>$K8=#REF!</formula>
    </cfRule>
    <cfRule type="expression" dxfId="1789" priority="3">
      <formula>$K8=#REF!</formula>
    </cfRule>
    <cfRule type="expression" dxfId="1788" priority="4">
      <formula>$K8=#REF!</formula>
    </cfRule>
    <cfRule type="expression" dxfId="1787" priority="5">
      <formula>$K8=#REF!</formula>
    </cfRule>
    <cfRule type="expression" dxfId="1786" priority="6">
      <formula>$K8=#REF!</formula>
    </cfRule>
    <cfRule type="expression" dxfId="1785" priority="7">
      <formula>$K8=#REF!</formula>
    </cfRule>
    <cfRule type="expression" dxfId="1784" priority="8">
      <formula>$K8=#REF!</formula>
    </cfRule>
    <cfRule type="expression" dxfId="1783" priority="9">
      <formula>$K8=#REF!</formula>
    </cfRule>
    <cfRule type="expression" dxfId="1782" priority="10">
      <formula>$K8=#REF!</formula>
    </cfRule>
    <cfRule type="expression" dxfId="1781" priority="11">
      <formula>$K8=#REF!</formula>
    </cfRule>
    <cfRule type="expression" dxfId="1780" priority="12">
      <formula>$K8=#REF!</formula>
    </cfRule>
    <cfRule type="expression" dxfId="1779" priority="13">
      <formula>$K8=#REF!</formula>
    </cfRule>
    <cfRule type="expression" dxfId="1778" priority="14">
      <formula>$K8=#REF!</formula>
    </cfRule>
    <cfRule type="expression" dxfId="1777" priority="15">
      <formula>$K8=#REF!</formula>
    </cfRule>
    <cfRule type="expression" dxfId="1776" priority="16">
      <formula>$K8=#REF!</formula>
    </cfRule>
    <cfRule type="expression" dxfId="1775" priority="17">
      <formula>$K8=#REF!</formula>
    </cfRule>
    <cfRule type="expression" dxfId="1774" priority="18">
      <formula>$K8=#REF!</formula>
    </cfRule>
    <cfRule type="expression" dxfId="1773" priority="19">
      <formula>$K8=#REF!</formula>
    </cfRule>
    <cfRule type="expression" dxfId="1772" priority="20">
      <formula>$K8=#REF!</formula>
    </cfRule>
    <cfRule type="expression" dxfId="1771" priority="21">
      <formula>$K8=#REF!</formula>
    </cfRule>
    <cfRule type="expression" dxfId="1770" priority="22">
      <formula>$K8=#REF!</formula>
    </cfRule>
    <cfRule type="expression" dxfId="1769" priority="23">
      <formula>$K8=#REF!</formula>
    </cfRule>
    <cfRule type="expression" dxfId="1768" priority="24">
      <formula>$K8=#REF!</formula>
    </cfRule>
    <cfRule type="expression" dxfId="1767" priority="25">
      <formula>$K8=#REF!</formula>
    </cfRule>
    <cfRule type="expression" dxfId="1766" priority="26">
      <formula>$K8=#REF!</formula>
    </cfRule>
    <cfRule type="expression" dxfId="1765" priority="27">
      <formula>$K8=#REF!</formula>
    </cfRule>
    <cfRule type="expression" dxfId="1764" priority="28">
      <formula>$K8=#REF!</formula>
    </cfRule>
    <cfRule type="expression" dxfId="1763" priority="29">
      <formula>$K8=#REF!</formula>
    </cfRule>
  </conditionalFormatting>
  <dataValidations count="7">
    <dataValidation type="list" allowBlank="1" showInputMessage="1" showErrorMessage="1" sqref="D10:F41 G13:G41 G10:G11">
      <formula1>$N$19:$N$20</formula1>
    </dataValidation>
    <dataValidation allowBlank="1" showInputMessage="1" showErrorMessage="1" prompt="Udávejte částku v Kč včetně DPH." sqref="C8"/>
    <dataValidation type="list" allowBlank="1" showInputMessage="1" showErrorMessage="1" sqref="H8">
      <formula1>$K$18:$K$19</formula1>
    </dataValidation>
    <dataValidation allowBlank="1" showInputMessage="1" showErrorMessage="1" promptTitle="Obor" prompt="Uveďte pro který obor NP bude přístroj využíván." sqref="J8"/>
    <dataValidation allowBlank="1" showInputMessage="1" showErrorMessage="1" promptTitle="Stáří přístroje" prompt="Vyplňte pokud se jedná o obnovu." sqref="I8"/>
    <dataValidation type="list" errorStyle="information" allowBlank="1" showInputMessage="1" promptTitle="Vyberte skupinu" prompt="Vyberte skupinu zakázky" sqref="K8">
      <formula1>#REF!</formula1>
    </dataValidation>
    <dataValidation type="list" allowBlank="1" showInputMessage="1" showErrorMessage="1" sqref="M8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5"/>
  <sheetViews>
    <sheetView workbookViewId="0">
      <selection activeCell="B16" sqref="B16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0.140625" customWidth="1"/>
    <col min="12" max="12" width="26.42578125" customWidth="1"/>
    <col min="13" max="13" width="10.85546875" hidden="1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223</v>
      </c>
    </row>
    <row r="7" spans="1:15" ht="60.75" customHeight="1" x14ac:dyDescent="0.25">
      <c r="A7" s="2" t="s">
        <v>0</v>
      </c>
      <c r="B7" s="48" t="s">
        <v>130</v>
      </c>
      <c r="C7" s="2" t="s">
        <v>126</v>
      </c>
      <c r="D7" s="2" t="s">
        <v>6</v>
      </c>
      <c r="E7" s="35" t="s">
        <v>127</v>
      </c>
      <c r="F7" s="36" t="s">
        <v>113</v>
      </c>
      <c r="G7" s="2" t="s">
        <v>132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ht="14.25" customHeight="1" x14ac:dyDescent="0.25">
      <c r="A8" s="20" t="s">
        <v>179</v>
      </c>
      <c r="B8" s="5"/>
      <c r="C8" s="5">
        <f>B8*(F8+1)</f>
        <v>0</v>
      </c>
      <c r="D8" s="21">
        <v>1</v>
      </c>
      <c r="E8" s="5">
        <f>Tabulka13431[[#This Row],[ pořizovací cena / ks (v Kč bez DPH)]]*Tabulka13431[[#This Row],[Počet kusů]]</f>
        <v>0</v>
      </c>
      <c r="F8" s="53">
        <v>0.21</v>
      </c>
      <c r="G8" s="12">
        <f>Tabulka13431[[#This Row],[ pořizovací cena / ks (v Kč včetně DPH)]]*Tabulka13431[[#This Row],[Počet kusů]]</f>
        <v>0</v>
      </c>
      <c r="H8" s="6" t="s">
        <v>11</v>
      </c>
      <c r="I8" s="6">
        <v>2007</v>
      </c>
      <c r="J8" s="6" t="s">
        <v>90</v>
      </c>
      <c r="K8" s="8"/>
      <c r="L8" s="8"/>
      <c r="M8" s="10"/>
      <c r="N8" s="6"/>
      <c r="O8" s="6"/>
    </row>
    <row r="9" spans="1:15" x14ac:dyDescent="0.25">
      <c r="A9" s="14" t="s">
        <v>198</v>
      </c>
      <c r="B9" s="5"/>
      <c r="C9" s="5">
        <f>B9*(F9+1)</f>
        <v>0</v>
      </c>
      <c r="D9" s="15">
        <v>1</v>
      </c>
      <c r="E9" s="5">
        <f>Tabulka13431[[#This Row],[ pořizovací cena / ks (v Kč bez DPH)]]*Tabulka13431[[#This Row],[Počet kusů]]</f>
        <v>0</v>
      </c>
      <c r="F9" s="53">
        <v>0.21</v>
      </c>
      <c r="G9" s="12">
        <f>Tabulka13431[[#This Row],[ pořizovací cena / ks (v Kč včetně DPH)]]*Tabulka13431[[#This Row],[Počet kusů]]</f>
        <v>0</v>
      </c>
      <c r="H9" s="6" t="s">
        <v>11</v>
      </c>
      <c r="I9" s="6">
        <v>2006</v>
      </c>
      <c r="J9" s="6" t="s">
        <v>94</v>
      </c>
      <c r="K9" s="8"/>
      <c r="L9" s="8"/>
      <c r="M9" s="10"/>
      <c r="N9" s="6"/>
      <c r="O9" s="6"/>
    </row>
    <row r="10" spans="1:15" x14ac:dyDescent="0.25">
      <c r="A10" t="s">
        <v>7</v>
      </c>
      <c r="B10" s="61"/>
      <c r="C10" s="62">
        <f>SUM(C8:C9)</f>
        <v>0</v>
      </c>
      <c r="D10" s="6">
        <f>SUBTOTAL(109,Tabulka13431[Počet kusů])</f>
        <v>2</v>
      </c>
      <c r="E10" s="62">
        <f>SUM(E8:E9)</f>
        <v>0</v>
      </c>
      <c r="F10" s="63"/>
      <c r="G10" s="62">
        <f>SUM(G8:G9)</f>
        <v>0</v>
      </c>
      <c r="H10" s="1" t="s">
        <v>8</v>
      </c>
      <c r="I10" s="1" t="s">
        <v>8</v>
      </c>
      <c r="J10" s="1" t="s">
        <v>8</v>
      </c>
      <c r="K10" s="1"/>
      <c r="L10" s="1"/>
      <c r="M10" s="1"/>
      <c r="N10" s="1"/>
      <c r="O10" s="1"/>
    </row>
    <row r="12" spans="1:15" ht="15.75" x14ac:dyDescent="0.3">
      <c r="K12" s="29"/>
    </row>
    <row r="14" spans="1:15" x14ac:dyDescent="0.25">
      <c r="K14" s="30"/>
    </row>
    <row r="15" spans="1:15" ht="15.75" x14ac:dyDescent="0.3">
      <c r="K15" s="31"/>
    </row>
  </sheetData>
  <protectedRanges>
    <protectedRange sqref="K8:M9" name="Oblast1"/>
  </protectedRanges>
  <mergeCells count="4">
    <mergeCell ref="A3:C3"/>
    <mergeCell ref="D3:J3"/>
    <mergeCell ref="A4:C4"/>
    <mergeCell ref="D4:J4"/>
  </mergeCells>
  <conditionalFormatting sqref="A8:B9 D8:M9">
    <cfRule type="expression" dxfId="1731" priority="30">
      <formula>$K8=#REF!</formula>
    </cfRule>
    <cfRule type="expression" dxfId="1730" priority="31">
      <formula>$K8=#REF!</formula>
    </cfRule>
    <cfRule type="expression" dxfId="1729" priority="32">
      <formula>$K8=#REF!</formula>
    </cfRule>
    <cfRule type="expression" dxfId="1728" priority="33">
      <formula>$K8=#REF!</formula>
    </cfRule>
    <cfRule type="expression" dxfId="1727" priority="34">
      <formula>$K8=#REF!</formula>
    </cfRule>
    <cfRule type="expression" dxfId="1726" priority="35">
      <formula>$K8=#REF!</formula>
    </cfRule>
    <cfRule type="expression" dxfId="1725" priority="36">
      <formula>$K8=#REF!</formula>
    </cfRule>
    <cfRule type="expression" dxfId="1724" priority="37">
      <formula>$K8=#REF!</formula>
    </cfRule>
    <cfRule type="expression" dxfId="1723" priority="38">
      <formula>$K8=#REF!</formula>
    </cfRule>
    <cfRule type="expression" dxfId="1722" priority="39">
      <formula>$K8=#REF!</formula>
    </cfRule>
    <cfRule type="expression" dxfId="1721" priority="40">
      <formula>$K8=#REF!</formula>
    </cfRule>
    <cfRule type="expression" dxfId="1720" priority="41">
      <formula>$K8=#REF!</formula>
    </cfRule>
    <cfRule type="expression" dxfId="1719" priority="42">
      <formula>$K8=#REF!</formula>
    </cfRule>
    <cfRule type="expression" dxfId="1718" priority="43">
      <formula>$K8=#REF!</formula>
    </cfRule>
    <cfRule type="expression" dxfId="1717" priority="44">
      <formula>$K8=#REF!</formula>
    </cfRule>
    <cfRule type="expression" dxfId="1716" priority="45">
      <formula>$K8=#REF!</formula>
    </cfRule>
    <cfRule type="expression" dxfId="1715" priority="46">
      <formula>$K8=#REF!</formula>
    </cfRule>
    <cfRule type="expression" dxfId="1714" priority="47">
      <formula>$K8=#REF!</formula>
    </cfRule>
    <cfRule type="expression" dxfId="1713" priority="48">
      <formula>$K8=#REF!</formula>
    </cfRule>
    <cfRule type="expression" dxfId="1712" priority="49">
      <formula>$K8=#REF!</formula>
    </cfRule>
    <cfRule type="expression" dxfId="1711" priority="50">
      <formula>$K8=#REF!</formula>
    </cfRule>
    <cfRule type="expression" dxfId="1710" priority="51">
      <formula>$K8=#REF!</formula>
    </cfRule>
    <cfRule type="expression" dxfId="1709" priority="52">
      <formula>$K8=#REF!</formula>
    </cfRule>
    <cfRule type="expression" dxfId="1708" priority="53">
      <formula>$K8=#REF!</formula>
    </cfRule>
    <cfRule type="expression" dxfId="1707" priority="54">
      <formula>$K8=#REF!</formula>
    </cfRule>
    <cfRule type="expression" dxfId="1706" priority="55">
      <formula>$K8=#REF!</formula>
    </cfRule>
    <cfRule type="expression" dxfId="1705" priority="56">
      <formula>$K8=#REF!</formula>
    </cfRule>
    <cfRule type="expression" dxfId="1704" priority="57">
      <formula>$K8=#REF!</formula>
    </cfRule>
    <cfRule type="expression" dxfId="1703" priority="58">
      <formula>$K8=#REF!</formula>
    </cfRule>
  </conditionalFormatting>
  <conditionalFormatting sqref="C8:C9">
    <cfRule type="expression" dxfId="1702" priority="1">
      <formula>$K8=#REF!</formula>
    </cfRule>
    <cfRule type="expression" dxfId="1701" priority="2">
      <formula>$K8=#REF!</formula>
    </cfRule>
    <cfRule type="expression" dxfId="1700" priority="3">
      <formula>$K8=#REF!</formula>
    </cfRule>
    <cfRule type="expression" dxfId="1699" priority="4">
      <formula>$K8=#REF!</formula>
    </cfRule>
    <cfRule type="expression" dxfId="1698" priority="5">
      <formula>$K8=#REF!</formula>
    </cfRule>
    <cfRule type="expression" dxfId="1697" priority="6">
      <formula>$K8=#REF!</formula>
    </cfRule>
    <cfRule type="expression" dxfId="1696" priority="7">
      <formula>$K8=#REF!</formula>
    </cfRule>
    <cfRule type="expression" dxfId="1695" priority="8">
      <formula>$K8=#REF!</formula>
    </cfRule>
    <cfRule type="expression" dxfId="1694" priority="9">
      <formula>$K8=#REF!</formula>
    </cfRule>
    <cfRule type="expression" dxfId="1693" priority="10">
      <formula>$K8=#REF!</formula>
    </cfRule>
    <cfRule type="expression" dxfId="1692" priority="11">
      <formula>$K8=#REF!</formula>
    </cfRule>
    <cfRule type="expression" dxfId="1691" priority="12">
      <formula>$K8=#REF!</formula>
    </cfRule>
    <cfRule type="expression" dxfId="1690" priority="13">
      <formula>$K8=#REF!</formula>
    </cfRule>
    <cfRule type="expression" dxfId="1689" priority="14">
      <formula>$K8=#REF!</formula>
    </cfRule>
    <cfRule type="expression" dxfId="1688" priority="15">
      <formula>$K8=#REF!</formula>
    </cfRule>
    <cfRule type="expression" dxfId="1687" priority="16">
      <formula>$K8=#REF!</formula>
    </cfRule>
    <cfRule type="expression" dxfId="1686" priority="17">
      <formula>$K8=#REF!</formula>
    </cfRule>
    <cfRule type="expression" dxfId="1685" priority="18">
      <formula>$K8=#REF!</formula>
    </cfRule>
    <cfRule type="expression" dxfId="1684" priority="19">
      <formula>$K8=#REF!</formula>
    </cfRule>
    <cfRule type="expression" dxfId="1683" priority="20">
      <formula>$K8=#REF!</formula>
    </cfRule>
    <cfRule type="expression" dxfId="1682" priority="21">
      <formula>$K8=#REF!</formula>
    </cfRule>
    <cfRule type="expression" dxfId="1681" priority="22">
      <formula>$K8=#REF!</formula>
    </cfRule>
    <cfRule type="expression" dxfId="1680" priority="23">
      <formula>$K8=#REF!</formula>
    </cfRule>
    <cfRule type="expression" dxfId="1679" priority="24">
      <formula>$K8=#REF!</formula>
    </cfRule>
    <cfRule type="expression" dxfId="1678" priority="25">
      <formula>$K8=#REF!</formula>
    </cfRule>
    <cfRule type="expression" dxfId="1677" priority="26">
      <formula>$K8=#REF!</formula>
    </cfRule>
    <cfRule type="expression" dxfId="1676" priority="27">
      <formula>$K8=#REF!</formula>
    </cfRule>
    <cfRule type="expression" dxfId="1675" priority="28">
      <formula>$K8=#REF!</formula>
    </cfRule>
    <cfRule type="expression" dxfId="1674" priority="29">
      <formula>$K8=#REF!</formula>
    </cfRule>
  </conditionalFormatting>
  <dataValidations count="7">
    <dataValidation type="list" allowBlank="1" showInputMessage="1" showErrorMessage="1" sqref="D11:F42 G14:G42 G11:G12">
      <formula1>$N$20:$N$21</formula1>
    </dataValidation>
    <dataValidation allowBlank="1" showInputMessage="1" showErrorMessage="1" prompt="Udávejte částku v Kč včetně DPH." sqref="C8:C9"/>
    <dataValidation type="list" allowBlank="1" showInputMessage="1" showErrorMessage="1" sqref="H8:H9">
      <formula1>$K$19:$K$20</formula1>
    </dataValidation>
    <dataValidation allowBlank="1" showInputMessage="1" showErrorMessage="1" promptTitle="Obor" prompt="Uveďte pro který obor NP bude přístroj využíván." sqref="J8:J9"/>
    <dataValidation allowBlank="1" showInputMessage="1" showErrorMessage="1" promptTitle="Stáří přístroje" prompt="Vyplňte pokud se jedná o obnovu." sqref="I8:I9"/>
    <dataValidation type="list" errorStyle="information" allowBlank="1" showInputMessage="1" promptTitle="Vyberte skupinu" prompt="Vyberte skupinu zakázky" sqref="K8:K9">
      <formula1>#REF!</formula1>
    </dataValidation>
    <dataValidation type="list" allowBlank="1" showInputMessage="1" showErrorMessage="1" sqref="M8:M9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5"/>
  <sheetViews>
    <sheetView workbookViewId="0">
      <selection activeCell="A23" sqref="A23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42.7109375" hidden="1" customWidth="1"/>
    <col min="12" max="12" width="26.28515625" customWidth="1"/>
    <col min="13" max="13" width="10.85546875" hidden="1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160</v>
      </c>
    </row>
    <row r="7" spans="1:15" ht="60.75" customHeight="1" x14ac:dyDescent="0.25">
      <c r="A7" s="2" t="s">
        <v>0</v>
      </c>
      <c r="B7" s="48" t="s">
        <v>130</v>
      </c>
      <c r="C7" s="2" t="s">
        <v>126</v>
      </c>
      <c r="D7" s="2" t="s">
        <v>6</v>
      </c>
      <c r="E7" s="35" t="s">
        <v>127</v>
      </c>
      <c r="F7" s="36" t="s">
        <v>113</v>
      </c>
      <c r="G7" s="2" t="s">
        <v>132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15" t="s">
        <v>180</v>
      </c>
      <c r="B8" s="5"/>
      <c r="C8" s="5">
        <f>B8*(F8+1)</f>
        <v>0</v>
      </c>
      <c r="D8" s="7">
        <v>22</v>
      </c>
      <c r="E8" s="5">
        <f>Tabulka13432[[#This Row],[ pořizovací cena / ks (v Kč bez DPH)]]*Tabulka13432[[#This Row],[Počet kusů]]</f>
        <v>0</v>
      </c>
      <c r="F8" s="53"/>
      <c r="G8" s="12">
        <f>Tabulka13432[[#This Row],[ pořizovací cena / ks (v Kč včetně DPH)]]*Tabulka13432[[#This Row],[Počet kusů]]</f>
        <v>0</v>
      </c>
      <c r="H8" s="6"/>
      <c r="I8" s="6"/>
      <c r="J8" s="6"/>
      <c r="K8" s="8"/>
      <c r="L8" s="8"/>
      <c r="M8" s="2"/>
      <c r="N8" s="82"/>
      <c r="O8" s="82"/>
    </row>
    <row r="9" spans="1:15" x14ac:dyDescent="0.25">
      <c r="A9" s="15" t="s">
        <v>181</v>
      </c>
      <c r="B9" s="5"/>
      <c r="C9" s="5">
        <f>B9*(F9+1)</f>
        <v>0</v>
      </c>
      <c r="D9" s="7">
        <v>5</v>
      </c>
      <c r="E9" s="5">
        <f>Tabulka13432[[#This Row],[ pořizovací cena / ks (v Kč bez DPH)]]*Tabulka13432[[#This Row],[Počet kusů]]</f>
        <v>0</v>
      </c>
      <c r="F9" s="53">
        <v>0.21</v>
      </c>
      <c r="G9" s="12">
        <f>Tabulka13432[[#This Row],[ pořizovací cena / ks (v Kč včetně DPH)]]*Tabulka13432[[#This Row],[Počet kusů]]</f>
        <v>0</v>
      </c>
      <c r="H9" s="6" t="s">
        <v>21</v>
      </c>
      <c r="I9" s="6"/>
      <c r="J9" s="6" t="s">
        <v>110</v>
      </c>
      <c r="K9" s="8"/>
      <c r="L9" s="8"/>
      <c r="M9" s="10"/>
      <c r="N9" s="6"/>
      <c r="O9" s="6"/>
    </row>
    <row r="10" spans="1:15" x14ac:dyDescent="0.25">
      <c r="A10" t="s">
        <v>7</v>
      </c>
      <c r="B10" s="61"/>
      <c r="C10" s="62">
        <f>SUM(C9)</f>
        <v>0</v>
      </c>
      <c r="D10" s="6">
        <f>SUBTOTAL(109,Tabulka13432[Počet kusů])</f>
        <v>27</v>
      </c>
      <c r="E10" s="62">
        <f>SUM(E9)</f>
        <v>0</v>
      </c>
      <c r="F10" s="63"/>
      <c r="G10" s="62">
        <f>SUM(G9)</f>
        <v>0</v>
      </c>
      <c r="H10" s="64" t="s">
        <v>8</v>
      </c>
      <c r="I10" s="64" t="s">
        <v>8</v>
      </c>
      <c r="J10" s="64" t="s">
        <v>8</v>
      </c>
      <c r="K10" s="64"/>
      <c r="L10" s="1"/>
      <c r="M10" s="1"/>
      <c r="N10" s="1"/>
      <c r="O10" s="1"/>
    </row>
    <row r="12" spans="1:15" ht="15.75" x14ac:dyDescent="0.3">
      <c r="K12" s="29"/>
    </row>
    <row r="14" spans="1:15" x14ac:dyDescent="0.25">
      <c r="K14" s="30"/>
    </row>
    <row r="15" spans="1:15" ht="15.75" x14ac:dyDescent="0.3">
      <c r="K15" s="31"/>
    </row>
  </sheetData>
  <protectedRanges>
    <protectedRange sqref="K9:M9" name="Oblast1"/>
  </protectedRanges>
  <mergeCells count="4">
    <mergeCell ref="A3:C3"/>
    <mergeCell ref="D3:J3"/>
    <mergeCell ref="A4:C4"/>
    <mergeCell ref="D4:J4"/>
  </mergeCells>
  <conditionalFormatting sqref="D9:M9 A9:B9 M8">
    <cfRule type="expression" dxfId="1643" priority="88">
      <formula>$K8=#REF!</formula>
    </cfRule>
    <cfRule type="expression" dxfId="1642" priority="89">
      <formula>$K8=#REF!</formula>
    </cfRule>
    <cfRule type="expression" dxfId="1641" priority="90">
      <formula>$K8=#REF!</formula>
    </cfRule>
    <cfRule type="expression" dxfId="1640" priority="91">
      <formula>$K8=#REF!</formula>
    </cfRule>
    <cfRule type="expression" dxfId="1639" priority="92">
      <formula>$K8=#REF!</formula>
    </cfRule>
    <cfRule type="expression" dxfId="1638" priority="93">
      <formula>$K8=#REF!</formula>
    </cfRule>
    <cfRule type="expression" dxfId="1637" priority="94">
      <formula>$K8=#REF!</formula>
    </cfRule>
    <cfRule type="expression" dxfId="1636" priority="95">
      <formula>$K8=#REF!</formula>
    </cfRule>
    <cfRule type="expression" dxfId="1635" priority="96">
      <formula>$K8=#REF!</formula>
    </cfRule>
    <cfRule type="expression" dxfId="1634" priority="97">
      <formula>$K8=#REF!</formula>
    </cfRule>
    <cfRule type="expression" dxfId="1633" priority="98">
      <formula>$K8=#REF!</formula>
    </cfRule>
    <cfRule type="expression" dxfId="1632" priority="99">
      <formula>$K8=#REF!</formula>
    </cfRule>
    <cfRule type="expression" dxfId="1631" priority="100">
      <formula>$K8=#REF!</formula>
    </cfRule>
    <cfRule type="expression" dxfId="1630" priority="101">
      <formula>$K8=#REF!</formula>
    </cfRule>
    <cfRule type="expression" dxfId="1629" priority="102">
      <formula>$K8=#REF!</formula>
    </cfRule>
    <cfRule type="expression" dxfId="1628" priority="103">
      <formula>$K8=#REF!</formula>
    </cfRule>
    <cfRule type="expression" dxfId="1627" priority="104">
      <formula>$K8=#REF!</formula>
    </cfRule>
    <cfRule type="expression" dxfId="1626" priority="105">
      <formula>$K8=#REF!</formula>
    </cfRule>
    <cfRule type="expression" dxfId="1625" priority="106">
      <formula>$K8=#REF!</formula>
    </cfRule>
    <cfRule type="expression" dxfId="1624" priority="107">
      <formula>$K8=#REF!</formula>
    </cfRule>
    <cfRule type="expression" dxfId="1623" priority="108">
      <formula>$K8=#REF!</formula>
    </cfRule>
    <cfRule type="expression" dxfId="1622" priority="109">
      <formula>$K8=#REF!</formula>
    </cfRule>
    <cfRule type="expression" dxfId="1621" priority="110">
      <formula>$K8=#REF!</formula>
    </cfRule>
    <cfRule type="expression" dxfId="1620" priority="111">
      <formula>$K8=#REF!</formula>
    </cfRule>
    <cfRule type="expression" dxfId="1619" priority="112">
      <formula>$K8=#REF!</formula>
    </cfRule>
    <cfRule type="expression" dxfId="1618" priority="113">
      <formula>$K8=#REF!</formula>
    </cfRule>
    <cfRule type="expression" dxfId="1617" priority="114">
      <formula>$K8=#REF!</formula>
    </cfRule>
    <cfRule type="expression" dxfId="1616" priority="115">
      <formula>$K8=#REF!</formula>
    </cfRule>
    <cfRule type="expression" dxfId="1615" priority="116">
      <formula>$K8=#REF!</formula>
    </cfRule>
  </conditionalFormatting>
  <conditionalFormatting sqref="C9">
    <cfRule type="expression" dxfId="1614" priority="59">
      <formula>$K9=#REF!</formula>
    </cfRule>
    <cfRule type="expression" dxfId="1613" priority="60">
      <formula>$K9=#REF!</formula>
    </cfRule>
    <cfRule type="expression" dxfId="1612" priority="61">
      <formula>$K9=#REF!</formula>
    </cfRule>
    <cfRule type="expression" dxfId="1611" priority="62">
      <formula>$K9=#REF!</formula>
    </cfRule>
    <cfRule type="expression" dxfId="1610" priority="63">
      <formula>$K9=#REF!</formula>
    </cfRule>
    <cfRule type="expression" dxfId="1609" priority="64">
      <formula>$K9=#REF!</formula>
    </cfRule>
    <cfRule type="expression" dxfId="1608" priority="65">
      <formula>$K9=#REF!</formula>
    </cfRule>
    <cfRule type="expression" dxfId="1607" priority="66">
      <formula>$K9=#REF!</formula>
    </cfRule>
    <cfRule type="expression" dxfId="1606" priority="67">
      <formula>$K9=#REF!</formula>
    </cfRule>
    <cfRule type="expression" dxfId="1605" priority="68">
      <formula>$K9=#REF!</formula>
    </cfRule>
    <cfRule type="expression" dxfId="1604" priority="69">
      <formula>$K9=#REF!</formula>
    </cfRule>
    <cfRule type="expression" dxfId="1603" priority="70">
      <formula>$K9=#REF!</formula>
    </cfRule>
    <cfRule type="expression" dxfId="1602" priority="71">
      <formula>$K9=#REF!</formula>
    </cfRule>
    <cfRule type="expression" dxfId="1601" priority="72">
      <formula>$K9=#REF!</formula>
    </cfRule>
    <cfRule type="expression" dxfId="1600" priority="73">
      <formula>$K9=#REF!</formula>
    </cfRule>
    <cfRule type="expression" dxfId="1599" priority="74">
      <formula>$K9=#REF!</formula>
    </cfRule>
    <cfRule type="expression" dxfId="1598" priority="75">
      <formula>$K9=#REF!</formula>
    </cfRule>
    <cfRule type="expression" dxfId="1597" priority="76">
      <formula>$K9=#REF!</formula>
    </cfRule>
    <cfRule type="expression" dxfId="1596" priority="77">
      <formula>$K9=#REF!</formula>
    </cfRule>
    <cfRule type="expression" dxfId="1595" priority="78">
      <formula>$K9=#REF!</formula>
    </cfRule>
    <cfRule type="expression" dxfId="1594" priority="79">
      <formula>$K9=#REF!</formula>
    </cfRule>
    <cfRule type="expression" dxfId="1593" priority="80">
      <formula>$K9=#REF!</formula>
    </cfRule>
    <cfRule type="expression" dxfId="1592" priority="81">
      <formula>$K9=#REF!</formula>
    </cfRule>
    <cfRule type="expression" dxfId="1591" priority="82">
      <formula>$K9=#REF!</formula>
    </cfRule>
    <cfRule type="expression" dxfId="1590" priority="83">
      <formula>$K9=#REF!</formula>
    </cfRule>
    <cfRule type="expression" dxfId="1589" priority="84">
      <formula>$K9=#REF!</formula>
    </cfRule>
    <cfRule type="expression" dxfId="1588" priority="85">
      <formula>$K9=#REF!</formula>
    </cfRule>
    <cfRule type="expression" dxfId="1587" priority="86">
      <formula>$K9=#REF!</formula>
    </cfRule>
    <cfRule type="expression" dxfId="1586" priority="87">
      <formula>$K9=#REF!</formula>
    </cfRule>
  </conditionalFormatting>
  <conditionalFormatting sqref="D8:L8 A8:B8">
    <cfRule type="expression" dxfId="1585" priority="30">
      <formula>$K8=#REF!</formula>
    </cfRule>
    <cfRule type="expression" dxfId="1584" priority="31">
      <formula>$K8=#REF!</formula>
    </cfRule>
    <cfRule type="expression" dxfId="1583" priority="32">
      <formula>$K8=#REF!</formula>
    </cfRule>
    <cfRule type="expression" dxfId="1582" priority="33">
      <formula>$K8=#REF!</formula>
    </cfRule>
    <cfRule type="expression" dxfId="1581" priority="34">
      <formula>$K8=#REF!</formula>
    </cfRule>
    <cfRule type="expression" dxfId="1580" priority="35">
      <formula>$K8=#REF!</formula>
    </cfRule>
    <cfRule type="expression" dxfId="1579" priority="36">
      <formula>$K8=#REF!</formula>
    </cfRule>
    <cfRule type="expression" dxfId="1578" priority="37">
      <formula>$K8=#REF!</formula>
    </cfRule>
    <cfRule type="expression" dxfId="1577" priority="38">
      <formula>$K8=#REF!</formula>
    </cfRule>
    <cfRule type="expression" dxfId="1576" priority="39">
      <formula>$K8=#REF!</formula>
    </cfRule>
    <cfRule type="expression" dxfId="1575" priority="40">
      <formula>$K8=#REF!</formula>
    </cfRule>
    <cfRule type="expression" dxfId="1574" priority="41">
      <formula>$K8=#REF!</formula>
    </cfRule>
    <cfRule type="expression" dxfId="1573" priority="42">
      <formula>$K8=#REF!</formula>
    </cfRule>
    <cfRule type="expression" dxfId="1572" priority="43">
      <formula>$K8=#REF!</formula>
    </cfRule>
    <cfRule type="expression" dxfId="1571" priority="44">
      <formula>$K8=#REF!</formula>
    </cfRule>
    <cfRule type="expression" dxfId="1570" priority="45">
      <formula>$K8=#REF!</formula>
    </cfRule>
    <cfRule type="expression" dxfId="1569" priority="46">
      <formula>$K8=#REF!</formula>
    </cfRule>
    <cfRule type="expression" dxfId="1568" priority="47">
      <formula>$K8=#REF!</formula>
    </cfRule>
    <cfRule type="expression" dxfId="1567" priority="48">
      <formula>$K8=#REF!</formula>
    </cfRule>
    <cfRule type="expression" dxfId="1566" priority="49">
      <formula>$K8=#REF!</formula>
    </cfRule>
    <cfRule type="expression" dxfId="1565" priority="50">
      <formula>$K8=#REF!</formula>
    </cfRule>
    <cfRule type="expression" dxfId="1564" priority="51">
      <formula>$K8=#REF!</formula>
    </cfRule>
    <cfRule type="expression" dxfId="1563" priority="52">
      <formula>$K8=#REF!</formula>
    </cfRule>
    <cfRule type="expression" dxfId="1562" priority="53">
      <formula>$K8=#REF!</formula>
    </cfRule>
    <cfRule type="expression" dxfId="1561" priority="54">
      <formula>$K8=#REF!</formula>
    </cfRule>
    <cfRule type="expression" dxfId="1560" priority="55">
      <formula>$K8=#REF!</formula>
    </cfRule>
    <cfRule type="expression" dxfId="1559" priority="56">
      <formula>$K8=#REF!</formula>
    </cfRule>
    <cfRule type="expression" dxfId="1558" priority="57">
      <formula>$K8=#REF!</formula>
    </cfRule>
    <cfRule type="expression" dxfId="1557" priority="58">
      <formula>$K8=#REF!</formula>
    </cfRule>
  </conditionalFormatting>
  <conditionalFormatting sqref="C8">
    <cfRule type="expression" dxfId="1556" priority="1">
      <formula>$K8=#REF!</formula>
    </cfRule>
    <cfRule type="expression" dxfId="1555" priority="2">
      <formula>$K8=#REF!</formula>
    </cfRule>
    <cfRule type="expression" dxfId="1554" priority="3">
      <formula>$K8=#REF!</formula>
    </cfRule>
    <cfRule type="expression" dxfId="1553" priority="4">
      <formula>$K8=#REF!</formula>
    </cfRule>
    <cfRule type="expression" dxfId="1552" priority="5">
      <formula>$K8=#REF!</formula>
    </cfRule>
    <cfRule type="expression" dxfId="1551" priority="6">
      <formula>$K8=#REF!</formula>
    </cfRule>
    <cfRule type="expression" dxfId="1550" priority="7">
      <formula>$K8=#REF!</formula>
    </cfRule>
    <cfRule type="expression" dxfId="1549" priority="8">
      <formula>$K8=#REF!</formula>
    </cfRule>
    <cfRule type="expression" dxfId="1548" priority="9">
      <formula>$K8=#REF!</formula>
    </cfRule>
    <cfRule type="expression" dxfId="1547" priority="10">
      <formula>$K8=#REF!</formula>
    </cfRule>
    <cfRule type="expression" dxfId="1546" priority="11">
      <formula>$K8=#REF!</formula>
    </cfRule>
    <cfRule type="expression" dxfId="1545" priority="12">
      <formula>$K8=#REF!</formula>
    </cfRule>
    <cfRule type="expression" dxfId="1544" priority="13">
      <formula>$K8=#REF!</formula>
    </cfRule>
    <cfRule type="expression" dxfId="1543" priority="14">
      <formula>$K8=#REF!</formula>
    </cfRule>
    <cfRule type="expression" dxfId="1542" priority="15">
      <formula>$K8=#REF!</formula>
    </cfRule>
    <cfRule type="expression" dxfId="1541" priority="16">
      <formula>$K8=#REF!</formula>
    </cfRule>
    <cfRule type="expression" dxfId="1540" priority="17">
      <formula>$K8=#REF!</formula>
    </cfRule>
    <cfRule type="expression" dxfId="1539" priority="18">
      <formula>$K8=#REF!</formula>
    </cfRule>
    <cfRule type="expression" dxfId="1538" priority="19">
      <formula>$K8=#REF!</formula>
    </cfRule>
    <cfRule type="expression" dxfId="1537" priority="20">
      <formula>$K8=#REF!</formula>
    </cfRule>
    <cfRule type="expression" dxfId="1536" priority="21">
      <formula>$K8=#REF!</formula>
    </cfRule>
    <cfRule type="expression" dxfId="1535" priority="22">
      <formula>$K8=#REF!</formula>
    </cfRule>
    <cfRule type="expression" dxfId="1534" priority="23">
      <formula>$K8=#REF!</formula>
    </cfRule>
    <cfRule type="expression" dxfId="1533" priority="24">
      <formula>$K8=#REF!</formula>
    </cfRule>
    <cfRule type="expression" dxfId="1532" priority="25">
      <formula>$K8=#REF!</formula>
    </cfRule>
    <cfRule type="expression" dxfId="1531" priority="26">
      <formula>$K8=#REF!</formula>
    </cfRule>
    <cfRule type="expression" dxfId="1530" priority="27">
      <formula>$K8=#REF!</formula>
    </cfRule>
    <cfRule type="expression" dxfId="1529" priority="28">
      <formula>$K8=#REF!</formula>
    </cfRule>
    <cfRule type="expression" dxfId="1528" priority="29">
      <formula>$K8=#REF!</formula>
    </cfRule>
  </conditionalFormatting>
  <dataValidations count="7">
    <dataValidation type="list" allowBlank="1" showInputMessage="1" showErrorMessage="1" sqref="D11:F42 G14:G42 G11:G12">
      <formula1>$N$20:$N$21</formula1>
    </dataValidation>
    <dataValidation allowBlank="1" showInputMessage="1" showErrorMessage="1" prompt="Udávejte částku v Kč včetně DPH." sqref="C8:C9"/>
    <dataValidation type="list" allowBlank="1" showInputMessage="1" showErrorMessage="1" sqref="H8:H9">
      <formula1>$K$19:$K$20</formula1>
    </dataValidation>
    <dataValidation allowBlank="1" showInputMessage="1" showErrorMessage="1" promptTitle="Obor" prompt="Uveďte pro který obor NP bude přístroj využíván." sqref="J8:J9"/>
    <dataValidation allowBlank="1" showInputMessage="1" showErrorMessage="1" promptTitle="Stáří přístroje" prompt="Vyplňte pokud se jedná o obnovu." sqref="I8:I9"/>
    <dataValidation type="list" errorStyle="information" allowBlank="1" showInputMessage="1" promptTitle="Vyberte skupinu" prompt="Vyberte skupinu zakázky" sqref="K8:K9">
      <formula1>#REF!</formula1>
    </dataValidation>
    <dataValidation type="list" allowBlank="1" showInputMessage="1" showErrorMessage="1" sqref="M8:M9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4"/>
  <sheetViews>
    <sheetView workbookViewId="0">
      <selection activeCell="G36" sqref="G36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42.7109375" hidden="1" customWidth="1"/>
    <col min="12" max="12" width="26.42578125" customWidth="1"/>
    <col min="13" max="13" width="0.140625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161</v>
      </c>
    </row>
    <row r="7" spans="1:15" ht="60.75" customHeight="1" x14ac:dyDescent="0.25">
      <c r="A7" s="2" t="s">
        <v>0</v>
      </c>
      <c r="B7" s="48" t="s">
        <v>130</v>
      </c>
      <c r="C7" s="2" t="s">
        <v>126</v>
      </c>
      <c r="D7" s="2" t="s">
        <v>6</v>
      </c>
      <c r="E7" s="35" t="s">
        <v>127</v>
      </c>
      <c r="F7" s="36" t="s">
        <v>113</v>
      </c>
      <c r="G7" s="2" t="s">
        <v>150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21" t="s">
        <v>34</v>
      </c>
      <c r="B8" s="74"/>
      <c r="C8" s="5">
        <f>B8*(F8+1)</f>
        <v>0</v>
      </c>
      <c r="D8" s="73">
        <v>2</v>
      </c>
      <c r="E8" s="74">
        <f>Tabulka13433[[#This Row],[ pořizovací cena / ks (v Kč bez DPH)]]*Tabulka13433[[#This Row],[Počet kusů]]</f>
        <v>0</v>
      </c>
      <c r="F8" s="75">
        <v>0.21</v>
      </c>
      <c r="G8" s="12">
        <f>Tabulka13433[[#This Row],[ pořizovací cena / ks (v Kč včetně DPH)]]*Tabulka13433[[#This Row],[Počet kusů]]</f>
        <v>0</v>
      </c>
      <c r="H8" s="6"/>
      <c r="I8" s="6"/>
      <c r="J8" s="6" t="s">
        <v>90</v>
      </c>
      <c r="K8" s="76"/>
      <c r="L8" s="8"/>
      <c r="M8" s="47"/>
      <c r="N8" s="6"/>
      <c r="O8" s="6"/>
    </row>
    <row r="9" spans="1:15" x14ac:dyDescent="0.25">
      <c r="A9" s="6" t="s">
        <v>7</v>
      </c>
      <c r="B9" s="61"/>
      <c r="C9" s="62">
        <f>SUM(C8)</f>
        <v>0</v>
      </c>
      <c r="D9" s="6">
        <f>SUBTOTAL(109,Tabulka13433[Počet kusů])</f>
        <v>2</v>
      </c>
      <c r="E9" s="62">
        <f>SUM(E8)</f>
        <v>0</v>
      </c>
      <c r="F9" s="63"/>
      <c r="G9" s="62">
        <f>SUM(G8)</f>
        <v>0</v>
      </c>
      <c r="H9" s="64" t="s">
        <v>8</v>
      </c>
      <c r="I9" s="64" t="s">
        <v>8</v>
      </c>
      <c r="J9" s="64" t="s">
        <v>8</v>
      </c>
      <c r="K9" s="64"/>
      <c r="L9" s="64"/>
      <c r="M9" s="1"/>
      <c r="N9" s="1"/>
      <c r="O9" s="1"/>
    </row>
    <row r="10" spans="1:15" x14ac:dyDescent="0.25">
      <c r="A10" s="6"/>
      <c r="B10" s="61"/>
      <c r="C10" s="6"/>
      <c r="D10" s="6"/>
      <c r="E10" s="65"/>
      <c r="F10" s="63"/>
      <c r="G10" s="6"/>
      <c r="H10" s="6"/>
      <c r="I10" s="6"/>
      <c r="J10" s="6"/>
      <c r="K10" s="6"/>
      <c r="L10" s="6"/>
    </row>
    <row r="11" spans="1:15" ht="15.75" x14ac:dyDescent="0.3">
      <c r="A11" s="6"/>
      <c r="B11" s="61"/>
      <c r="C11" s="6"/>
      <c r="D11" s="6"/>
      <c r="E11" s="65"/>
      <c r="F11" s="63"/>
      <c r="G11" s="6"/>
      <c r="H11" s="6"/>
      <c r="I11" s="6"/>
      <c r="J11" s="6"/>
      <c r="K11" s="77"/>
      <c r="L11" s="6"/>
    </row>
    <row r="12" spans="1:15" x14ac:dyDescent="0.25">
      <c r="A12" s="6"/>
      <c r="B12" s="61"/>
      <c r="C12" s="6"/>
      <c r="D12" s="6"/>
      <c r="E12" s="65"/>
      <c r="F12" s="63"/>
      <c r="G12" s="6"/>
      <c r="H12" s="6"/>
      <c r="I12" s="6"/>
      <c r="J12" s="6"/>
      <c r="K12" s="6"/>
      <c r="L12" s="6"/>
    </row>
    <row r="13" spans="1:15" x14ac:dyDescent="0.25">
      <c r="K13" s="30"/>
    </row>
    <row r="14" spans="1:15" ht="15.75" x14ac:dyDescent="0.3">
      <c r="K14" s="31"/>
    </row>
  </sheetData>
  <protectedRanges>
    <protectedRange sqref="K8:M8" name="Oblast1"/>
  </protectedRanges>
  <mergeCells count="4">
    <mergeCell ref="A3:C3"/>
    <mergeCell ref="D3:J3"/>
    <mergeCell ref="A4:C4"/>
    <mergeCell ref="D4:J4"/>
  </mergeCells>
  <conditionalFormatting sqref="A8:B8 D8:M8">
    <cfRule type="expression" dxfId="1497" priority="30">
      <formula>$K8=#REF!</formula>
    </cfRule>
    <cfRule type="expression" dxfId="1496" priority="31">
      <formula>$K8=#REF!</formula>
    </cfRule>
    <cfRule type="expression" dxfId="1495" priority="32">
      <formula>$K8=#REF!</formula>
    </cfRule>
    <cfRule type="expression" dxfId="1494" priority="33">
      <formula>$K8=#REF!</formula>
    </cfRule>
    <cfRule type="expression" dxfId="1493" priority="34">
      <formula>$K8=#REF!</formula>
    </cfRule>
    <cfRule type="expression" dxfId="1492" priority="35">
      <formula>$K8=#REF!</formula>
    </cfRule>
    <cfRule type="expression" dxfId="1491" priority="36">
      <formula>$K8=#REF!</formula>
    </cfRule>
    <cfRule type="expression" dxfId="1490" priority="37">
      <formula>$K8=#REF!</formula>
    </cfRule>
    <cfRule type="expression" dxfId="1489" priority="38">
      <formula>$K8=#REF!</formula>
    </cfRule>
    <cfRule type="expression" dxfId="1488" priority="39">
      <formula>$K8=#REF!</formula>
    </cfRule>
    <cfRule type="expression" dxfId="1487" priority="40">
      <formula>$K8=#REF!</formula>
    </cfRule>
    <cfRule type="expression" dxfId="1486" priority="41">
      <formula>$K8=#REF!</formula>
    </cfRule>
    <cfRule type="expression" dxfId="1485" priority="42">
      <formula>$K8=#REF!</formula>
    </cfRule>
    <cfRule type="expression" dxfId="1484" priority="43">
      <formula>$K8=#REF!</formula>
    </cfRule>
    <cfRule type="expression" dxfId="1483" priority="44">
      <formula>$K8=#REF!</formula>
    </cfRule>
    <cfRule type="expression" dxfId="1482" priority="45">
      <formula>$K8=#REF!</formula>
    </cfRule>
    <cfRule type="expression" dxfId="1481" priority="46">
      <formula>$K8=#REF!</formula>
    </cfRule>
    <cfRule type="expression" dxfId="1480" priority="47">
      <formula>$K8=#REF!</formula>
    </cfRule>
    <cfRule type="expression" dxfId="1479" priority="48">
      <formula>$K8=#REF!</formula>
    </cfRule>
    <cfRule type="expression" dxfId="1478" priority="49">
      <formula>$K8=#REF!</formula>
    </cfRule>
    <cfRule type="expression" dxfId="1477" priority="50">
      <formula>$K8=#REF!</formula>
    </cfRule>
    <cfRule type="expression" dxfId="1476" priority="51">
      <formula>$K8=#REF!</formula>
    </cfRule>
    <cfRule type="expression" dxfId="1475" priority="52">
      <formula>$K8=#REF!</formula>
    </cfRule>
    <cfRule type="expression" dxfId="1474" priority="53">
      <formula>$K8=#REF!</formula>
    </cfRule>
    <cfRule type="expression" dxfId="1473" priority="54">
      <formula>$K8=#REF!</formula>
    </cfRule>
    <cfRule type="expression" dxfId="1472" priority="55">
      <formula>$K8=#REF!</formula>
    </cfRule>
    <cfRule type="expression" dxfId="1471" priority="56">
      <formula>$K8=#REF!</formula>
    </cfRule>
    <cfRule type="expression" dxfId="1470" priority="57">
      <formula>$K8=#REF!</formula>
    </cfRule>
    <cfRule type="expression" dxfId="1469" priority="58">
      <formula>$K8=#REF!</formula>
    </cfRule>
  </conditionalFormatting>
  <conditionalFormatting sqref="C8">
    <cfRule type="expression" dxfId="1468" priority="1">
      <formula>$K8=#REF!</formula>
    </cfRule>
    <cfRule type="expression" dxfId="1467" priority="2">
      <formula>$K8=#REF!</formula>
    </cfRule>
    <cfRule type="expression" dxfId="1466" priority="3">
      <formula>$K8=#REF!</formula>
    </cfRule>
    <cfRule type="expression" dxfId="1465" priority="4">
      <formula>$K8=#REF!</formula>
    </cfRule>
    <cfRule type="expression" dxfId="1464" priority="5">
      <formula>$K8=#REF!</formula>
    </cfRule>
    <cfRule type="expression" dxfId="1463" priority="6">
      <formula>$K8=#REF!</formula>
    </cfRule>
    <cfRule type="expression" dxfId="1462" priority="7">
      <formula>$K8=#REF!</formula>
    </cfRule>
    <cfRule type="expression" dxfId="1461" priority="8">
      <formula>$K8=#REF!</formula>
    </cfRule>
    <cfRule type="expression" dxfId="1460" priority="9">
      <formula>$K8=#REF!</formula>
    </cfRule>
    <cfRule type="expression" dxfId="1459" priority="10">
      <formula>$K8=#REF!</formula>
    </cfRule>
    <cfRule type="expression" dxfId="1458" priority="11">
      <formula>$K8=#REF!</formula>
    </cfRule>
    <cfRule type="expression" dxfId="1457" priority="12">
      <formula>$K8=#REF!</formula>
    </cfRule>
    <cfRule type="expression" dxfId="1456" priority="13">
      <formula>$K8=#REF!</formula>
    </cfRule>
    <cfRule type="expression" dxfId="1455" priority="14">
      <formula>$K8=#REF!</formula>
    </cfRule>
    <cfRule type="expression" dxfId="1454" priority="15">
      <formula>$K8=#REF!</formula>
    </cfRule>
    <cfRule type="expression" dxfId="1453" priority="16">
      <formula>$K8=#REF!</formula>
    </cfRule>
    <cfRule type="expression" dxfId="1452" priority="17">
      <formula>$K8=#REF!</formula>
    </cfRule>
    <cfRule type="expression" dxfId="1451" priority="18">
      <formula>$K8=#REF!</formula>
    </cfRule>
    <cfRule type="expression" dxfId="1450" priority="19">
      <formula>$K8=#REF!</formula>
    </cfRule>
    <cfRule type="expression" dxfId="1449" priority="20">
      <formula>$K8=#REF!</formula>
    </cfRule>
    <cfRule type="expression" dxfId="1448" priority="21">
      <formula>$K8=#REF!</formula>
    </cfRule>
    <cfRule type="expression" dxfId="1447" priority="22">
      <formula>$K8=#REF!</formula>
    </cfRule>
    <cfRule type="expression" dxfId="1446" priority="23">
      <formula>$K8=#REF!</formula>
    </cfRule>
    <cfRule type="expression" dxfId="1445" priority="24">
      <formula>$K8=#REF!</formula>
    </cfRule>
    <cfRule type="expression" dxfId="1444" priority="25">
      <formula>$K8=#REF!</formula>
    </cfRule>
    <cfRule type="expression" dxfId="1443" priority="26">
      <formula>$K8=#REF!</formula>
    </cfRule>
    <cfRule type="expression" dxfId="1442" priority="27">
      <formula>$K8=#REF!</formula>
    </cfRule>
    <cfRule type="expression" dxfId="1441" priority="28">
      <formula>$K8=#REF!</formula>
    </cfRule>
    <cfRule type="expression" dxfId="1440" priority="29">
      <formula>$K8=#REF!</formula>
    </cfRule>
  </conditionalFormatting>
  <dataValidations count="7">
    <dataValidation type="list" allowBlank="1" showInputMessage="1" showErrorMessage="1" sqref="G10:G11 G13:G41 D11:E34 D10:F10 F11:F41">
      <formula1>$N$19:$N$20</formula1>
    </dataValidation>
    <dataValidation type="list" allowBlank="1" showInputMessage="1" showErrorMessage="1" sqref="H8">
      <formula1>$K$18:$K$19</formula1>
    </dataValidation>
    <dataValidation allowBlank="1" showInputMessage="1" showErrorMessage="1" promptTitle="Obor" prompt="Uveďte pro který obor NP bude přístroj využíván." sqref="J8"/>
    <dataValidation allowBlank="1" showInputMessage="1" showErrorMessage="1" promptTitle="Stáří přístroje" prompt="Vyplňte pokud se jedná o obnovu." sqref="I8"/>
    <dataValidation allowBlank="1" showInputMessage="1" showErrorMessage="1" prompt="Udávejte částku v Kč včetně DPH." sqref="C8"/>
    <dataValidation type="list" errorStyle="information" allowBlank="1" showInputMessage="1" promptTitle="Vyberte skupinu" prompt="Vyberte skupinu zakázky" sqref="K8">
      <formula1>#REF!</formula1>
    </dataValidation>
    <dataValidation type="list" allowBlank="1" showInputMessage="1" showErrorMessage="1" sqref="M8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5"/>
  <sheetViews>
    <sheetView workbookViewId="0">
      <selection activeCell="A18" sqref="A18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6.7109375" customWidth="1"/>
    <col min="8" max="8" width="14.42578125" hidden="1" customWidth="1"/>
    <col min="9" max="9" width="13.42578125" hidden="1" customWidth="1"/>
    <col min="10" max="10" width="1.85546875" hidden="1" customWidth="1"/>
    <col min="11" max="11" width="42.7109375" hidden="1" customWidth="1"/>
    <col min="12" max="12" width="26.140625" customWidth="1"/>
    <col min="13" max="13" width="10.85546875" hidden="1" customWidth="1"/>
    <col min="14" max="14" width="25.7109375" hidden="1" customWidth="1"/>
    <col min="15" max="15" width="0.140625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133</v>
      </c>
    </row>
    <row r="7" spans="1:15" ht="60.75" customHeight="1" x14ac:dyDescent="0.25">
      <c r="A7" s="2" t="s">
        <v>0</v>
      </c>
      <c r="B7" s="48" t="s">
        <v>130</v>
      </c>
      <c r="C7" s="2" t="s">
        <v>126</v>
      </c>
      <c r="D7" s="2" t="s">
        <v>6</v>
      </c>
      <c r="E7" s="35" t="s">
        <v>127</v>
      </c>
      <c r="F7" s="36" t="s">
        <v>113</v>
      </c>
      <c r="G7" s="2" t="s">
        <v>132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14" t="s">
        <v>189</v>
      </c>
      <c r="B8" s="5"/>
      <c r="C8" s="5">
        <f>B8*(F8+1)</f>
        <v>0</v>
      </c>
      <c r="D8" s="15">
        <v>1</v>
      </c>
      <c r="E8" s="5">
        <f>Tabulka1347[[#This Row],[ pořizovací cena / ks (v Kč bez DPH)]]*Tabulka1347[[#This Row],[Počet kusů]]</f>
        <v>0</v>
      </c>
      <c r="F8" s="53">
        <v>0.21</v>
      </c>
      <c r="G8" s="12">
        <f>Tabulka1347[[#This Row],[ pořizovací cena / ks (v Kč včetně DPH)]]*Tabulka1347[[#This Row],[Počet kusů]]</f>
        <v>0</v>
      </c>
      <c r="H8" s="6" t="s">
        <v>21</v>
      </c>
      <c r="I8" s="6"/>
      <c r="J8" s="6" t="s">
        <v>90</v>
      </c>
      <c r="K8" s="8" t="s">
        <v>102</v>
      </c>
      <c r="L8" s="8"/>
      <c r="M8" s="10" t="s">
        <v>116</v>
      </c>
      <c r="N8" s="6"/>
      <c r="O8" s="6"/>
    </row>
    <row r="9" spans="1:15" x14ac:dyDescent="0.25">
      <c r="A9" s="25" t="s">
        <v>35</v>
      </c>
      <c r="B9" s="5"/>
      <c r="C9" s="5">
        <f>B9*(F9+1)</f>
        <v>0</v>
      </c>
      <c r="D9" s="6">
        <v>1</v>
      </c>
      <c r="E9" s="5">
        <f>Tabulka1347[[#This Row],[ pořizovací cena / ks (v Kč bez DPH)]]*Tabulka1347[[#This Row],[Počet kusů]]</f>
        <v>0</v>
      </c>
      <c r="F9" s="53">
        <v>0.21</v>
      </c>
      <c r="G9" s="12">
        <f>Tabulka1347[[#This Row],[ pořizovací cena / ks (v Kč včetně DPH)]]*Tabulka1347[[#This Row],[Počet kusů]]</f>
        <v>0</v>
      </c>
      <c r="H9" s="6" t="s">
        <v>11</v>
      </c>
      <c r="I9" s="6">
        <v>2009</v>
      </c>
      <c r="J9" s="6" t="s">
        <v>90</v>
      </c>
      <c r="K9" s="8" t="s">
        <v>102</v>
      </c>
      <c r="L9" s="8"/>
      <c r="M9" s="10" t="s">
        <v>116</v>
      </c>
      <c r="N9" s="6"/>
      <c r="O9" s="6"/>
    </row>
    <row r="10" spans="1:15" x14ac:dyDescent="0.25">
      <c r="A10" t="s">
        <v>7</v>
      </c>
      <c r="C10" s="4">
        <f>SUM(C8:C9)</f>
        <v>0</v>
      </c>
      <c r="D10">
        <f>SUBTOTAL(109,Tabulka1347[Počet kusů])</f>
        <v>2</v>
      </c>
      <c r="E10" s="4">
        <f>SUM(E8:E9)</f>
        <v>0</v>
      </c>
      <c r="G10" s="4">
        <f>SUM(G8:G9)</f>
        <v>0</v>
      </c>
      <c r="H10" s="1" t="s">
        <v>8</v>
      </c>
      <c r="I10" s="1" t="s">
        <v>8</v>
      </c>
      <c r="J10" s="1" t="s">
        <v>8</v>
      </c>
      <c r="K10" s="1"/>
      <c r="L10" s="1"/>
      <c r="M10" s="1"/>
      <c r="N10" s="1"/>
      <c r="O10" s="1"/>
    </row>
    <row r="12" spans="1:15" ht="15.75" x14ac:dyDescent="0.3">
      <c r="K12" s="29"/>
    </row>
    <row r="14" spans="1:15" x14ac:dyDescent="0.25">
      <c r="K14" s="30" t="s">
        <v>103</v>
      </c>
    </row>
    <row r="15" spans="1:15" ht="15.75" x14ac:dyDescent="0.3">
      <c r="K15" s="31">
        <f>SUMPRODUCT(1/COUNTIF(Tabulka1347[Skupina],Tabulka1347[Skupina]))</f>
        <v>1</v>
      </c>
    </row>
  </sheetData>
  <protectedRanges>
    <protectedRange sqref="K8:M9" name="Oblast1"/>
  </protectedRanges>
  <mergeCells count="4">
    <mergeCell ref="A3:C3"/>
    <mergeCell ref="D3:J3"/>
    <mergeCell ref="A4:C4"/>
    <mergeCell ref="D4:J4"/>
  </mergeCells>
  <conditionalFormatting sqref="D8:M9 A8:B9">
    <cfRule type="expression" dxfId="3867" priority="59">
      <formula>$K8=#REF!</formula>
    </cfRule>
    <cfRule type="expression" dxfId="3866" priority="60">
      <formula>$K8=#REF!</formula>
    </cfRule>
    <cfRule type="expression" dxfId="3865" priority="61">
      <formula>$K8=#REF!</formula>
    </cfRule>
    <cfRule type="expression" dxfId="3864" priority="62">
      <formula>$K8=#REF!</formula>
    </cfRule>
    <cfRule type="expression" dxfId="3863" priority="63">
      <formula>$K8=#REF!</formula>
    </cfRule>
    <cfRule type="expression" dxfId="3862" priority="64">
      <formula>$K8=#REF!</formula>
    </cfRule>
    <cfRule type="expression" dxfId="3861" priority="65">
      <formula>$K8=#REF!</formula>
    </cfRule>
    <cfRule type="expression" dxfId="3860" priority="66">
      <formula>$K8=#REF!</formula>
    </cfRule>
    <cfRule type="expression" dxfId="3859" priority="67">
      <formula>$K8=#REF!</formula>
    </cfRule>
    <cfRule type="expression" dxfId="3858" priority="68">
      <formula>$K8=#REF!</formula>
    </cfRule>
    <cfRule type="expression" dxfId="3857" priority="69">
      <formula>$K8=#REF!</formula>
    </cfRule>
    <cfRule type="expression" dxfId="3856" priority="70">
      <formula>$K8=#REF!</formula>
    </cfRule>
    <cfRule type="expression" dxfId="3855" priority="71">
      <formula>$K8=#REF!</formula>
    </cfRule>
    <cfRule type="expression" dxfId="3854" priority="72">
      <formula>$K8=#REF!</formula>
    </cfRule>
    <cfRule type="expression" dxfId="3853" priority="73">
      <formula>$K8=#REF!</formula>
    </cfRule>
    <cfRule type="expression" dxfId="3852" priority="74">
      <formula>$K8=#REF!</formula>
    </cfRule>
    <cfRule type="expression" dxfId="3851" priority="75">
      <formula>$K8=#REF!</formula>
    </cfRule>
    <cfRule type="expression" dxfId="3850" priority="76">
      <formula>$K8=#REF!</formula>
    </cfRule>
    <cfRule type="expression" dxfId="3849" priority="77">
      <formula>$K8=#REF!</formula>
    </cfRule>
    <cfRule type="expression" dxfId="3848" priority="78">
      <formula>$K8=#REF!</formula>
    </cfRule>
    <cfRule type="expression" dxfId="3847" priority="79">
      <formula>$K8=#REF!</formula>
    </cfRule>
    <cfRule type="expression" dxfId="3846" priority="80">
      <formula>$K8=#REF!</formula>
    </cfRule>
    <cfRule type="expression" dxfId="3845" priority="81">
      <formula>$K8=#REF!</formula>
    </cfRule>
    <cfRule type="expression" dxfId="3844" priority="82">
      <formula>$K8=#REF!</formula>
    </cfRule>
    <cfRule type="expression" dxfId="3843" priority="83">
      <formula>$K8=#REF!</formula>
    </cfRule>
    <cfRule type="expression" dxfId="3842" priority="84">
      <formula>$K8=#REF!</formula>
    </cfRule>
    <cfRule type="expression" dxfId="3841" priority="85">
      <formula>$K8=#REF!</formula>
    </cfRule>
    <cfRule type="expression" dxfId="3840" priority="86">
      <formula>$K8=#REF!</formula>
    </cfRule>
    <cfRule type="expression" dxfId="3839" priority="87">
      <formula>$K8=#REF!</formula>
    </cfRule>
  </conditionalFormatting>
  <conditionalFormatting sqref="C8:C9">
    <cfRule type="expression" dxfId="3838" priority="1">
      <formula>$K8=#REF!</formula>
    </cfRule>
    <cfRule type="expression" dxfId="3837" priority="2">
      <formula>$K8=#REF!</formula>
    </cfRule>
    <cfRule type="expression" dxfId="3836" priority="3">
      <formula>$K8=#REF!</formula>
    </cfRule>
    <cfRule type="expression" dxfId="3835" priority="4">
      <formula>$K8=#REF!</formula>
    </cfRule>
    <cfRule type="expression" dxfId="3834" priority="5">
      <formula>$K8=#REF!</formula>
    </cfRule>
    <cfRule type="expression" dxfId="3833" priority="6">
      <formula>$K8=#REF!</formula>
    </cfRule>
    <cfRule type="expression" dxfId="3832" priority="7">
      <formula>$K8=#REF!</formula>
    </cfRule>
    <cfRule type="expression" dxfId="3831" priority="8">
      <formula>$K8=#REF!</formula>
    </cfRule>
    <cfRule type="expression" dxfId="3830" priority="9">
      <formula>$K8=#REF!</formula>
    </cfRule>
    <cfRule type="expression" dxfId="3829" priority="10">
      <formula>$K8=#REF!</formula>
    </cfRule>
    <cfRule type="expression" dxfId="3828" priority="11">
      <formula>$K8=#REF!</formula>
    </cfRule>
    <cfRule type="expression" dxfId="3827" priority="12">
      <formula>$K8=#REF!</formula>
    </cfRule>
    <cfRule type="expression" dxfId="3826" priority="13">
      <formula>$K8=#REF!</formula>
    </cfRule>
    <cfRule type="expression" dxfId="3825" priority="14">
      <formula>$K8=#REF!</formula>
    </cfRule>
    <cfRule type="expression" dxfId="3824" priority="15">
      <formula>$K8=#REF!</formula>
    </cfRule>
    <cfRule type="expression" dxfId="3823" priority="16">
      <formula>$K8=#REF!</formula>
    </cfRule>
    <cfRule type="expression" dxfId="3822" priority="17">
      <formula>$K8=#REF!</formula>
    </cfRule>
    <cfRule type="expression" dxfId="3821" priority="18">
      <formula>$K8=#REF!</formula>
    </cfRule>
    <cfRule type="expression" dxfId="3820" priority="19">
      <formula>$K8=#REF!</formula>
    </cfRule>
    <cfRule type="expression" dxfId="3819" priority="20">
      <formula>$K8=#REF!</formula>
    </cfRule>
    <cfRule type="expression" dxfId="3818" priority="21">
      <formula>$K8=#REF!</formula>
    </cfRule>
    <cfRule type="expression" dxfId="3817" priority="22">
      <formula>$K8=#REF!</formula>
    </cfRule>
    <cfRule type="expression" dxfId="3816" priority="23">
      <formula>$K8=#REF!</formula>
    </cfRule>
    <cfRule type="expression" dxfId="3815" priority="24">
      <formula>$K8=#REF!</formula>
    </cfRule>
    <cfRule type="expression" dxfId="3814" priority="25">
      <formula>$K8=#REF!</formula>
    </cfRule>
    <cfRule type="expression" dxfId="3813" priority="26">
      <formula>$K8=#REF!</formula>
    </cfRule>
    <cfRule type="expression" dxfId="3812" priority="27">
      <formula>$K8=#REF!</formula>
    </cfRule>
    <cfRule type="expression" dxfId="3811" priority="28">
      <formula>$K8=#REF!</formula>
    </cfRule>
    <cfRule type="expression" dxfId="3810" priority="29">
      <formula>$K8=#REF!</formula>
    </cfRule>
  </conditionalFormatting>
  <dataValidations count="7">
    <dataValidation type="list" allowBlank="1" showInputMessage="1" showErrorMessage="1" sqref="D11:F42 G14:G42 G11:G12">
      <formula1>$N$20:$N$21</formula1>
    </dataValidation>
    <dataValidation allowBlank="1" showInputMessage="1" showErrorMessage="1" prompt="Udávejte částku v Kč včetně DPH." sqref="C8:C9"/>
    <dataValidation type="list" allowBlank="1" showInputMessage="1" showErrorMessage="1" sqref="H8:H9">
      <formula1>$K$19:$K$20</formula1>
    </dataValidation>
    <dataValidation allowBlank="1" showInputMessage="1" showErrorMessage="1" promptTitle="Obor" prompt="Uveďte pro který obor NP bude přístroj využíván." sqref="J8:J9"/>
    <dataValidation allowBlank="1" showInputMessage="1" showErrorMessage="1" promptTitle="Stáří přístroje" prompt="Vyplňte pokud se jedná o obnovu." sqref="I8:I9"/>
    <dataValidation type="list" errorStyle="information" allowBlank="1" showInputMessage="1" promptTitle="Vyberte skupinu" prompt="Vyberte skupinu zakázky" sqref="K8:K9">
      <formula1>#REF!</formula1>
    </dataValidation>
    <dataValidation type="list" allowBlank="1" showInputMessage="1" showErrorMessage="1" sqref="M8:M9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4"/>
  <sheetViews>
    <sheetView workbookViewId="0">
      <selection activeCell="A20" sqref="A20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0.140625" customWidth="1"/>
    <col min="12" max="12" width="26.42578125" customWidth="1"/>
    <col min="13" max="13" width="10.85546875" hidden="1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224</v>
      </c>
    </row>
    <row r="7" spans="1:15" ht="60.75" customHeight="1" x14ac:dyDescent="0.25">
      <c r="A7" s="2" t="s">
        <v>0</v>
      </c>
      <c r="B7" s="48" t="s">
        <v>130</v>
      </c>
      <c r="C7" s="2" t="s">
        <v>155</v>
      </c>
      <c r="D7" s="2" t="s">
        <v>6</v>
      </c>
      <c r="E7" s="35" t="s">
        <v>127</v>
      </c>
      <c r="F7" s="36" t="s">
        <v>113</v>
      </c>
      <c r="G7" s="2" t="s">
        <v>150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11" t="s">
        <v>199</v>
      </c>
      <c r="B8" s="5"/>
      <c r="C8" s="5">
        <f>B8*(F8+1)</f>
        <v>0</v>
      </c>
      <c r="D8" s="7">
        <v>1</v>
      </c>
      <c r="E8" s="5">
        <f>Tabulka13434[[#This Row],[ pořizovací cena / ks (v Kč bez DPH)]]*Tabulka13434[[#This Row],[Počet kusů]]</f>
        <v>0</v>
      </c>
      <c r="F8" s="53">
        <v>0.21</v>
      </c>
      <c r="G8" s="12">
        <f>Tabulka13434[[#This Row],[pořizovací cena / ks (v Kč včetně DPH)]]*Tabulka13434[[#This Row],[Počet kusů]]</f>
        <v>0</v>
      </c>
      <c r="H8" s="6" t="s">
        <v>21</v>
      </c>
      <c r="I8" s="6"/>
      <c r="J8" s="6" t="s">
        <v>95</v>
      </c>
      <c r="K8" s="10"/>
      <c r="L8" s="8"/>
      <c r="M8" s="10"/>
      <c r="N8" s="6"/>
      <c r="O8" s="6"/>
    </row>
    <row r="9" spans="1:15" x14ac:dyDescent="0.25">
      <c r="A9" t="s">
        <v>7</v>
      </c>
      <c r="C9" s="4">
        <f>SUM(C8)</f>
        <v>0</v>
      </c>
      <c r="D9">
        <f>SUBTOTAL(109,Tabulka13434[Počet kusů])</f>
        <v>1</v>
      </c>
      <c r="E9" s="4">
        <f>SUM(E8)</f>
        <v>0</v>
      </c>
      <c r="G9" s="4">
        <f>SUM(G8)</f>
        <v>0</v>
      </c>
      <c r="H9" s="1" t="s">
        <v>8</v>
      </c>
      <c r="I9" s="1" t="s">
        <v>8</v>
      </c>
      <c r="J9" s="1" t="s">
        <v>8</v>
      </c>
      <c r="K9" s="1"/>
      <c r="L9" s="1"/>
      <c r="M9" s="1"/>
      <c r="N9" s="1"/>
      <c r="O9" s="1"/>
    </row>
    <row r="11" spans="1:15" ht="15.75" x14ac:dyDescent="0.3">
      <c r="K11" s="29"/>
    </row>
    <row r="13" spans="1:15" x14ac:dyDescent="0.25">
      <c r="K13" s="30"/>
    </row>
    <row r="14" spans="1:15" ht="15.75" x14ac:dyDescent="0.3">
      <c r="K14" s="31"/>
    </row>
  </sheetData>
  <protectedRanges>
    <protectedRange sqref="L8:M8" name="Oblast1"/>
  </protectedRanges>
  <mergeCells count="4">
    <mergeCell ref="A3:C3"/>
    <mergeCell ref="D3:J3"/>
    <mergeCell ref="A4:C4"/>
    <mergeCell ref="D4:J4"/>
  </mergeCells>
  <conditionalFormatting sqref="A8:B8 D8:M8">
    <cfRule type="expression" dxfId="1408" priority="30">
      <formula>$K8=#REF!</formula>
    </cfRule>
    <cfRule type="expression" dxfId="1407" priority="31">
      <formula>$K8=#REF!</formula>
    </cfRule>
    <cfRule type="expression" dxfId="1406" priority="32">
      <formula>$K8=#REF!</formula>
    </cfRule>
    <cfRule type="expression" dxfId="1405" priority="33">
      <formula>$K8=#REF!</formula>
    </cfRule>
    <cfRule type="expression" dxfId="1404" priority="34">
      <formula>$K8=#REF!</formula>
    </cfRule>
    <cfRule type="expression" dxfId="1403" priority="35">
      <formula>$K8=#REF!</formula>
    </cfRule>
    <cfRule type="expression" dxfId="1402" priority="36">
      <formula>$K8=#REF!</formula>
    </cfRule>
    <cfRule type="expression" dxfId="1401" priority="37">
      <formula>$K8=#REF!</formula>
    </cfRule>
    <cfRule type="expression" dxfId="1400" priority="38">
      <formula>$K8=#REF!</formula>
    </cfRule>
    <cfRule type="expression" dxfId="1399" priority="39">
      <formula>$K8=#REF!</formula>
    </cfRule>
    <cfRule type="expression" dxfId="1398" priority="40">
      <formula>$K8=#REF!</formula>
    </cfRule>
    <cfRule type="expression" dxfId="1397" priority="41">
      <formula>$K8=#REF!</formula>
    </cfRule>
    <cfRule type="expression" dxfId="1396" priority="42">
      <formula>$K8=#REF!</formula>
    </cfRule>
    <cfRule type="expression" dxfId="1395" priority="43">
      <formula>$K8=#REF!</formula>
    </cfRule>
    <cfRule type="expression" dxfId="1394" priority="44">
      <formula>$K8=#REF!</formula>
    </cfRule>
    <cfRule type="expression" dxfId="1393" priority="45">
      <formula>$K8=#REF!</formula>
    </cfRule>
    <cfRule type="expression" dxfId="1392" priority="46">
      <formula>$K8=#REF!</formula>
    </cfRule>
    <cfRule type="expression" dxfId="1391" priority="47">
      <formula>$K8=#REF!</formula>
    </cfRule>
    <cfRule type="expression" dxfId="1390" priority="48">
      <formula>$K8=#REF!</formula>
    </cfRule>
    <cfRule type="expression" dxfId="1389" priority="49">
      <formula>$K8=#REF!</formula>
    </cfRule>
    <cfRule type="expression" dxfId="1388" priority="50">
      <formula>$K8=#REF!</formula>
    </cfRule>
    <cfRule type="expression" dxfId="1387" priority="51">
      <formula>$K8=#REF!</formula>
    </cfRule>
    <cfRule type="expression" dxfId="1386" priority="52">
      <formula>$K8=#REF!</formula>
    </cfRule>
    <cfRule type="expression" dxfId="1385" priority="53">
      <formula>$K8=#REF!</formula>
    </cfRule>
    <cfRule type="expression" dxfId="1384" priority="54">
      <formula>$K8=#REF!</formula>
    </cfRule>
    <cfRule type="expression" dxfId="1383" priority="55">
      <formula>$K8=#REF!</formula>
    </cfRule>
    <cfRule type="expression" dxfId="1382" priority="56">
      <formula>$K8=#REF!</formula>
    </cfRule>
    <cfRule type="expression" dxfId="1381" priority="57">
      <formula>$K8=#REF!</formula>
    </cfRule>
    <cfRule type="expression" dxfId="1380" priority="58">
      <formula>$K8=#REF!</formula>
    </cfRule>
  </conditionalFormatting>
  <conditionalFormatting sqref="C8">
    <cfRule type="expression" dxfId="1379" priority="1">
      <formula>$K8=#REF!</formula>
    </cfRule>
    <cfRule type="expression" dxfId="1378" priority="2">
      <formula>$K8=#REF!</formula>
    </cfRule>
    <cfRule type="expression" dxfId="1377" priority="3">
      <formula>$K8=#REF!</formula>
    </cfRule>
    <cfRule type="expression" dxfId="1376" priority="4">
      <formula>$K8=#REF!</formula>
    </cfRule>
    <cfRule type="expression" dxfId="1375" priority="5">
      <formula>$K8=#REF!</formula>
    </cfRule>
    <cfRule type="expression" dxfId="1374" priority="6">
      <formula>$K8=#REF!</formula>
    </cfRule>
    <cfRule type="expression" dxfId="1373" priority="7">
      <formula>$K8=#REF!</formula>
    </cfRule>
    <cfRule type="expression" dxfId="1372" priority="8">
      <formula>$K8=#REF!</formula>
    </cfRule>
    <cfRule type="expression" dxfId="1371" priority="9">
      <formula>$K8=#REF!</formula>
    </cfRule>
    <cfRule type="expression" dxfId="1370" priority="10">
      <formula>$K8=#REF!</formula>
    </cfRule>
    <cfRule type="expression" dxfId="1369" priority="11">
      <formula>$K8=#REF!</formula>
    </cfRule>
    <cfRule type="expression" dxfId="1368" priority="12">
      <formula>$K8=#REF!</formula>
    </cfRule>
    <cfRule type="expression" dxfId="1367" priority="13">
      <formula>$K8=#REF!</formula>
    </cfRule>
    <cfRule type="expression" dxfId="1366" priority="14">
      <formula>$K8=#REF!</formula>
    </cfRule>
    <cfRule type="expression" dxfId="1365" priority="15">
      <formula>$K8=#REF!</formula>
    </cfRule>
    <cfRule type="expression" dxfId="1364" priority="16">
      <formula>$K8=#REF!</formula>
    </cfRule>
    <cfRule type="expression" dxfId="1363" priority="17">
      <formula>$K8=#REF!</formula>
    </cfRule>
    <cfRule type="expression" dxfId="1362" priority="18">
      <formula>$K8=#REF!</formula>
    </cfRule>
    <cfRule type="expression" dxfId="1361" priority="19">
      <formula>$K8=#REF!</formula>
    </cfRule>
    <cfRule type="expression" dxfId="1360" priority="20">
      <formula>$K8=#REF!</formula>
    </cfRule>
    <cfRule type="expression" dxfId="1359" priority="21">
      <formula>$K8=#REF!</formula>
    </cfRule>
    <cfRule type="expression" dxfId="1358" priority="22">
      <formula>$K8=#REF!</formula>
    </cfRule>
    <cfRule type="expression" dxfId="1357" priority="23">
      <formula>$K8=#REF!</formula>
    </cfRule>
    <cfRule type="expression" dxfId="1356" priority="24">
      <formula>$K8=#REF!</formula>
    </cfRule>
    <cfRule type="expression" dxfId="1355" priority="25">
      <formula>$K8=#REF!</formula>
    </cfRule>
    <cfRule type="expression" dxfId="1354" priority="26">
      <formula>$K8=#REF!</formula>
    </cfRule>
    <cfRule type="expression" dxfId="1353" priority="27">
      <formula>$K8=#REF!</formula>
    </cfRule>
    <cfRule type="expression" dxfId="1352" priority="28">
      <formula>$K8=#REF!</formula>
    </cfRule>
    <cfRule type="expression" dxfId="1351" priority="29">
      <formula>$K8=#REF!</formula>
    </cfRule>
  </conditionalFormatting>
  <dataValidations count="7">
    <dataValidation type="list" allowBlank="1" showInputMessage="1" showErrorMessage="1" sqref="D10:F41 G10:G11 G13:G41">
      <formula1>$N$19:$N$20</formula1>
    </dataValidation>
    <dataValidation allowBlank="1" showInputMessage="1" showErrorMessage="1" prompt="Udávejte částku v Kč včetně DPH." sqref="C8"/>
    <dataValidation type="list" allowBlank="1" showInputMessage="1" showErrorMessage="1" sqref="H8">
      <formula1>$K$18:$K$19</formula1>
    </dataValidation>
    <dataValidation allowBlank="1" showInputMessage="1" showErrorMessage="1" promptTitle="Obor" prompt="Uveďte pro který obor NP bude přístroj využíván." sqref="J8"/>
    <dataValidation allowBlank="1" showInputMessage="1" showErrorMessage="1" promptTitle="Stáří přístroje" prompt="Vyplňte pokud se jedná o obnovu." sqref="I8"/>
    <dataValidation type="list" errorStyle="information" allowBlank="1" showInputMessage="1" promptTitle="Vyberte skupinu" prompt="Vyberte skupinu zakázky" sqref="K8">
      <formula1>#REF!</formula1>
    </dataValidation>
    <dataValidation type="list" allowBlank="1" showInputMessage="1" showErrorMessage="1" sqref="M8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5"/>
  <sheetViews>
    <sheetView workbookViewId="0">
      <selection activeCell="A4" sqref="A4:C4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0.140625" customWidth="1"/>
    <col min="12" max="12" width="26.42578125" customWidth="1"/>
    <col min="13" max="13" width="10.85546875" hidden="1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225</v>
      </c>
    </row>
    <row r="7" spans="1:15" ht="60.75" customHeight="1" x14ac:dyDescent="0.25">
      <c r="A7" s="2" t="s">
        <v>0</v>
      </c>
      <c r="B7" s="48" t="s">
        <v>130</v>
      </c>
      <c r="C7" s="2" t="s">
        <v>155</v>
      </c>
      <c r="D7" s="2" t="s">
        <v>6</v>
      </c>
      <c r="E7" s="35" t="s">
        <v>127</v>
      </c>
      <c r="F7" s="36" t="s">
        <v>113</v>
      </c>
      <c r="G7" s="2" t="s">
        <v>150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ht="30" x14ac:dyDescent="0.25">
      <c r="A8" s="11" t="s">
        <v>201</v>
      </c>
      <c r="B8" s="5"/>
      <c r="C8" s="5">
        <f>B8*(F8+1)</f>
        <v>0</v>
      </c>
      <c r="D8" s="7">
        <v>1</v>
      </c>
      <c r="E8" s="5">
        <f>Tabulka1343435[[#This Row],[ pořizovací cena / ks (v Kč bez DPH)]]*Tabulka1343435[[#This Row],[Počet kusů]]</f>
        <v>0</v>
      </c>
      <c r="F8" s="53">
        <v>0.21</v>
      </c>
      <c r="G8" s="12">
        <f>Tabulka1343435[[#This Row],[pořizovací cena / ks (v Kč včetně DPH)]]*Tabulka1343435[[#This Row],[Počet kusů]]</f>
        <v>0</v>
      </c>
      <c r="H8" s="6"/>
      <c r="I8" s="6"/>
      <c r="J8" s="6"/>
      <c r="K8" s="10"/>
      <c r="L8" s="8"/>
      <c r="M8" s="2"/>
      <c r="N8" s="82"/>
      <c r="O8" s="82"/>
    </row>
    <row r="9" spans="1:15" x14ac:dyDescent="0.25">
      <c r="A9" s="11" t="s">
        <v>200</v>
      </c>
      <c r="B9" s="5"/>
      <c r="C9" s="5">
        <f>B9*(F9+1)</f>
        <v>0</v>
      </c>
      <c r="D9" s="7">
        <v>1</v>
      </c>
      <c r="E9" s="5">
        <f>Tabulka1343435[[#This Row],[ pořizovací cena / ks (v Kč bez DPH)]]*Tabulka1343435[[#This Row],[Počet kusů]]</f>
        <v>0</v>
      </c>
      <c r="F9" s="53">
        <v>0.21</v>
      </c>
      <c r="G9" s="12">
        <f>Tabulka1343435[[#This Row],[pořizovací cena / ks (v Kč včetně DPH)]]*Tabulka1343435[[#This Row],[Počet kusů]]</f>
        <v>0</v>
      </c>
      <c r="H9" s="6" t="s">
        <v>21</v>
      </c>
      <c r="I9" s="6"/>
      <c r="J9" s="6" t="s">
        <v>95</v>
      </c>
      <c r="K9" s="10"/>
      <c r="L9" s="8"/>
      <c r="M9" s="10"/>
      <c r="N9" s="6"/>
      <c r="O9" s="6"/>
    </row>
    <row r="10" spans="1:15" x14ac:dyDescent="0.25">
      <c r="A10" t="s">
        <v>7</v>
      </c>
      <c r="C10" s="4">
        <f>SUM(C9)</f>
        <v>0</v>
      </c>
      <c r="D10">
        <f>SUBTOTAL(109,Tabulka1343435[Počet kusů])</f>
        <v>2</v>
      </c>
      <c r="E10" s="4">
        <f>SUM(E9)</f>
        <v>0</v>
      </c>
      <c r="G10" s="4">
        <f>SUM(G9)</f>
        <v>0</v>
      </c>
      <c r="H10" s="1" t="s">
        <v>8</v>
      </c>
      <c r="I10" s="1" t="s">
        <v>8</v>
      </c>
      <c r="J10" s="1" t="s">
        <v>8</v>
      </c>
      <c r="K10" s="1"/>
      <c r="L10" s="1"/>
      <c r="M10" s="1"/>
      <c r="N10" s="1"/>
      <c r="O10" s="1"/>
    </row>
    <row r="12" spans="1:15" ht="15.75" x14ac:dyDescent="0.3">
      <c r="K12" s="29"/>
    </row>
    <row r="14" spans="1:15" x14ac:dyDescent="0.25">
      <c r="K14" s="30"/>
    </row>
    <row r="15" spans="1:15" ht="15.75" x14ac:dyDescent="0.3">
      <c r="K15" s="31"/>
    </row>
  </sheetData>
  <protectedRanges>
    <protectedRange sqref="L9:M9" name="Oblast1"/>
  </protectedRanges>
  <mergeCells count="4">
    <mergeCell ref="A3:C3"/>
    <mergeCell ref="D3:J3"/>
    <mergeCell ref="A4:C4"/>
    <mergeCell ref="D4:J4"/>
  </mergeCells>
  <conditionalFormatting sqref="A9:B9 D9:M9 M8">
    <cfRule type="expression" dxfId="1321" priority="88">
      <formula>$K8=#REF!</formula>
    </cfRule>
    <cfRule type="expression" dxfId="1320" priority="89">
      <formula>$K8=#REF!</formula>
    </cfRule>
    <cfRule type="expression" dxfId="1319" priority="90">
      <formula>$K8=#REF!</formula>
    </cfRule>
    <cfRule type="expression" dxfId="1318" priority="91">
      <formula>$K8=#REF!</formula>
    </cfRule>
    <cfRule type="expression" dxfId="1317" priority="92">
      <formula>$K8=#REF!</formula>
    </cfRule>
    <cfRule type="expression" dxfId="1316" priority="93">
      <formula>$K8=#REF!</formula>
    </cfRule>
    <cfRule type="expression" dxfId="1315" priority="94">
      <formula>$K8=#REF!</formula>
    </cfRule>
    <cfRule type="expression" dxfId="1314" priority="95">
      <formula>$K8=#REF!</formula>
    </cfRule>
    <cfRule type="expression" dxfId="1313" priority="96">
      <formula>$K8=#REF!</formula>
    </cfRule>
    <cfRule type="expression" dxfId="1312" priority="97">
      <formula>$K8=#REF!</formula>
    </cfRule>
    <cfRule type="expression" dxfId="1311" priority="98">
      <formula>$K8=#REF!</formula>
    </cfRule>
    <cfRule type="expression" dxfId="1310" priority="99">
      <formula>$K8=#REF!</formula>
    </cfRule>
    <cfRule type="expression" dxfId="1309" priority="100">
      <formula>$K8=#REF!</formula>
    </cfRule>
    <cfRule type="expression" dxfId="1308" priority="101">
      <formula>$K8=#REF!</formula>
    </cfRule>
    <cfRule type="expression" dxfId="1307" priority="102">
      <formula>$K8=#REF!</formula>
    </cfRule>
    <cfRule type="expression" dxfId="1306" priority="103">
      <formula>$K8=#REF!</formula>
    </cfRule>
    <cfRule type="expression" dxfId="1305" priority="104">
      <formula>$K8=#REF!</formula>
    </cfRule>
    <cfRule type="expression" dxfId="1304" priority="105">
      <formula>$K8=#REF!</formula>
    </cfRule>
    <cfRule type="expression" dxfId="1303" priority="106">
      <formula>$K8=#REF!</formula>
    </cfRule>
    <cfRule type="expression" dxfId="1302" priority="107">
      <formula>$K8=#REF!</formula>
    </cfRule>
    <cfRule type="expression" dxfId="1301" priority="108">
      <formula>$K8=#REF!</formula>
    </cfRule>
    <cfRule type="expression" dxfId="1300" priority="109">
      <formula>$K8=#REF!</formula>
    </cfRule>
    <cfRule type="expression" dxfId="1299" priority="110">
      <formula>$K8=#REF!</formula>
    </cfRule>
    <cfRule type="expression" dxfId="1298" priority="111">
      <formula>$K8=#REF!</formula>
    </cfRule>
    <cfRule type="expression" dxfId="1297" priority="112">
      <formula>$K8=#REF!</formula>
    </cfRule>
    <cfRule type="expression" dxfId="1296" priority="113">
      <formula>$K8=#REF!</formula>
    </cfRule>
    <cfRule type="expression" dxfId="1295" priority="114">
      <formula>$K8=#REF!</formula>
    </cfRule>
    <cfRule type="expression" dxfId="1294" priority="115">
      <formula>$K8=#REF!</formula>
    </cfRule>
    <cfRule type="expression" dxfId="1293" priority="116">
      <formula>$K8=#REF!</formula>
    </cfRule>
  </conditionalFormatting>
  <conditionalFormatting sqref="C9">
    <cfRule type="expression" dxfId="1292" priority="59">
      <formula>$K9=#REF!</formula>
    </cfRule>
    <cfRule type="expression" dxfId="1291" priority="60">
      <formula>$K9=#REF!</formula>
    </cfRule>
    <cfRule type="expression" dxfId="1290" priority="61">
      <formula>$K9=#REF!</formula>
    </cfRule>
    <cfRule type="expression" dxfId="1289" priority="62">
      <formula>$K9=#REF!</formula>
    </cfRule>
    <cfRule type="expression" dxfId="1288" priority="63">
      <formula>$K9=#REF!</formula>
    </cfRule>
    <cfRule type="expression" dxfId="1287" priority="64">
      <formula>$K9=#REF!</formula>
    </cfRule>
    <cfRule type="expression" dxfId="1286" priority="65">
      <formula>$K9=#REF!</formula>
    </cfRule>
    <cfRule type="expression" dxfId="1285" priority="66">
      <formula>$K9=#REF!</formula>
    </cfRule>
    <cfRule type="expression" dxfId="1284" priority="67">
      <formula>$K9=#REF!</formula>
    </cfRule>
    <cfRule type="expression" dxfId="1283" priority="68">
      <formula>$K9=#REF!</formula>
    </cfRule>
    <cfRule type="expression" dxfId="1282" priority="69">
      <formula>$K9=#REF!</formula>
    </cfRule>
    <cfRule type="expression" dxfId="1281" priority="70">
      <formula>$K9=#REF!</formula>
    </cfRule>
    <cfRule type="expression" dxfId="1280" priority="71">
      <formula>$K9=#REF!</formula>
    </cfRule>
    <cfRule type="expression" dxfId="1279" priority="72">
      <formula>$K9=#REF!</formula>
    </cfRule>
    <cfRule type="expression" dxfId="1278" priority="73">
      <formula>$K9=#REF!</formula>
    </cfRule>
    <cfRule type="expression" dxfId="1277" priority="74">
      <formula>$K9=#REF!</formula>
    </cfRule>
    <cfRule type="expression" dxfId="1276" priority="75">
      <formula>$K9=#REF!</formula>
    </cfRule>
    <cfRule type="expression" dxfId="1275" priority="76">
      <formula>$K9=#REF!</formula>
    </cfRule>
    <cfRule type="expression" dxfId="1274" priority="77">
      <formula>$K9=#REF!</formula>
    </cfRule>
    <cfRule type="expression" dxfId="1273" priority="78">
      <formula>$K9=#REF!</formula>
    </cfRule>
    <cfRule type="expression" dxfId="1272" priority="79">
      <formula>$K9=#REF!</formula>
    </cfRule>
    <cfRule type="expression" dxfId="1271" priority="80">
      <formula>$K9=#REF!</formula>
    </cfRule>
    <cfRule type="expression" dxfId="1270" priority="81">
      <formula>$K9=#REF!</formula>
    </cfRule>
    <cfRule type="expression" dxfId="1269" priority="82">
      <formula>$K9=#REF!</formula>
    </cfRule>
    <cfRule type="expression" dxfId="1268" priority="83">
      <formula>$K9=#REF!</formula>
    </cfRule>
    <cfRule type="expression" dxfId="1267" priority="84">
      <formula>$K9=#REF!</formula>
    </cfRule>
    <cfRule type="expression" dxfId="1266" priority="85">
      <formula>$K9=#REF!</formula>
    </cfRule>
    <cfRule type="expression" dxfId="1265" priority="86">
      <formula>$K9=#REF!</formula>
    </cfRule>
    <cfRule type="expression" dxfId="1264" priority="87">
      <formula>$K9=#REF!</formula>
    </cfRule>
  </conditionalFormatting>
  <conditionalFormatting sqref="A8:B8 D8:L8">
    <cfRule type="expression" dxfId="1263" priority="30">
      <formula>$K8=#REF!</formula>
    </cfRule>
    <cfRule type="expression" dxfId="1262" priority="31">
      <formula>$K8=#REF!</formula>
    </cfRule>
    <cfRule type="expression" dxfId="1261" priority="32">
      <formula>$K8=#REF!</formula>
    </cfRule>
    <cfRule type="expression" dxfId="1260" priority="33">
      <formula>$K8=#REF!</formula>
    </cfRule>
    <cfRule type="expression" dxfId="1259" priority="34">
      <formula>$K8=#REF!</formula>
    </cfRule>
    <cfRule type="expression" dxfId="1258" priority="35">
      <formula>$K8=#REF!</formula>
    </cfRule>
    <cfRule type="expression" dxfId="1257" priority="36">
      <formula>$K8=#REF!</formula>
    </cfRule>
    <cfRule type="expression" dxfId="1256" priority="37">
      <formula>$K8=#REF!</formula>
    </cfRule>
    <cfRule type="expression" dxfId="1255" priority="38">
      <formula>$K8=#REF!</formula>
    </cfRule>
    <cfRule type="expression" dxfId="1254" priority="39">
      <formula>$K8=#REF!</formula>
    </cfRule>
    <cfRule type="expression" dxfId="1253" priority="40">
      <formula>$K8=#REF!</formula>
    </cfRule>
    <cfRule type="expression" dxfId="1252" priority="41">
      <formula>$K8=#REF!</formula>
    </cfRule>
    <cfRule type="expression" dxfId="1251" priority="42">
      <formula>$K8=#REF!</formula>
    </cfRule>
    <cfRule type="expression" dxfId="1250" priority="43">
      <formula>$K8=#REF!</formula>
    </cfRule>
    <cfRule type="expression" dxfId="1249" priority="44">
      <formula>$K8=#REF!</formula>
    </cfRule>
    <cfRule type="expression" dxfId="1248" priority="45">
      <formula>$K8=#REF!</formula>
    </cfRule>
    <cfRule type="expression" dxfId="1247" priority="46">
      <formula>$K8=#REF!</formula>
    </cfRule>
    <cfRule type="expression" dxfId="1246" priority="47">
      <formula>$K8=#REF!</formula>
    </cfRule>
    <cfRule type="expression" dxfId="1245" priority="48">
      <formula>$K8=#REF!</formula>
    </cfRule>
    <cfRule type="expression" dxfId="1244" priority="49">
      <formula>$K8=#REF!</formula>
    </cfRule>
    <cfRule type="expression" dxfId="1243" priority="50">
      <formula>$K8=#REF!</formula>
    </cfRule>
    <cfRule type="expression" dxfId="1242" priority="51">
      <formula>$K8=#REF!</formula>
    </cfRule>
    <cfRule type="expression" dxfId="1241" priority="52">
      <formula>$K8=#REF!</formula>
    </cfRule>
    <cfRule type="expression" dxfId="1240" priority="53">
      <formula>$K8=#REF!</formula>
    </cfRule>
    <cfRule type="expression" dxfId="1239" priority="54">
      <formula>$K8=#REF!</formula>
    </cfRule>
    <cfRule type="expression" dxfId="1238" priority="55">
      <formula>$K8=#REF!</formula>
    </cfRule>
    <cfRule type="expression" dxfId="1237" priority="56">
      <formula>$K8=#REF!</formula>
    </cfRule>
    <cfRule type="expression" dxfId="1236" priority="57">
      <formula>$K8=#REF!</formula>
    </cfRule>
    <cfRule type="expression" dxfId="1235" priority="58">
      <formula>$K8=#REF!</formula>
    </cfRule>
  </conditionalFormatting>
  <conditionalFormatting sqref="C8">
    <cfRule type="expression" dxfId="1234" priority="1">
      <formula>$K8=#REF!</formula>
    </cfRule>
    <cfRule type="expression" dxfId="1233" priority="2">
      <formula>$K8=#REF!</formula>
    </cfRule>
    <cfRule type="expression" dxfId="1232" priority="3">
      <formula>$K8=#REF!</formula>
    </cfRule>
    <cfRule type="expression" dxfId="1231" priority="4">
      <formula>$K8=#REF!</formula>
    </cfRule>
    <cfRule type="expression" dxfId="1230" priority="5">
      <formula>$K8=#REF!</formula>
    </cfRule>
    <cfRule type="expression" dxfId="1229" priority="6">
      <formula>$K8=#REF!</formula>
    </cfRule>
    <cfRule type="expression" dxfId="1228" priority="7">
      <formula>$K8=#REF!</formula>
    </cfRule>
    <cfRule type="expression" dxfId="1227" priority="8">
      <formula>$K8=#REF!</formula>
    </cfRule>
    <cfRule type="expression" dxfId="1226" priority="9">
      <formula>$K8=#REF!</formula>
    </cfRule>
    <cfRule type="expression" dxfId="1225" priority="10">
      <formula>$K8=#REF!</formula>
    </cfRule>
    <cfRule type="expression" dxfId="1224" priority="11">
      <formula>$K8=#REF!</formula>
    </cfRule>
    <cfRule type="expression" dxfId="1223" priority="12">
      <formula>$K8=#REF!</formula>
    </cfRule>
    <cfRule type="expression" dxfId="1222" priority="13">
      <formula>$K8=#REF!</formula>
    </cfRule>
    <cfRule type="expression" dxfId="1221" priority="14">
      <formula>$K8=#REF!</formula>
    </cfRule>
    <cfRule type="expression" dxfId="1220" priority="15">
      <formula>$K8=#REF!</formula>
    </cfRule>
    <cfRule type="expression" dxfId="1219" priority="16">
      <formula>$K8=#REF!</formula>
    </cfRule>
    <cfRule type="expression" dxfId="1218" priority="17">
      <formula>$K8=#REF!</formula>
    </cfRule>
    <cfRule type="expression" dxfId="1217" priority="18">
      <formula>$K8=#REF!</formula>
    </cfRule>
    <cfRule type="expression" dxfId="1216" priority="19">
      <formula>$K8=#REF!</formula>
    </cfRule>
    <cfRule type="expression" dxfId="1215" priority="20">
      <formula>$K8=#REF!</formula>
    </cfRule>
    <cfRule type="expression" dxfId="1214" priority="21">
      <formula>$K8=#REF!</formula>
    </cfRule>
    <cfRule type="expression" dxfId="1213" priority="22">
      <formula>$K8=#REF!</formula>
    </cfRule>
    <cfRule type="expression" dxfId="1212" priority="23">
      <formula>$K8=#REF!</formula>
    </cfRule>
    <cfRule type="expression" dxfId="1211" priority="24">
      <formula>$K8=#REF!</formula>
    </cfRule>
    <cfRule type="expression" dxfId="1210" priority="25">
      <formula>$K8=#REF!</formula>
    </cfRule>
    <cfRule type="expression" dxfId="1209" priority="26">
      <formula>$K8=#REF!</formula>
    </cfRule>
    <cfRule type="expression" dxfId="1208" priority="27">
      <formula>$K8=#REF!</formula>
    </cfRule>
    <cfRule type="expression" dxfId="1207" priority="28">
      <formula>$K8=#REF!</formula>
    </cfRule>
    <cfRule type="expression" dxfId="1206" priority="29">
      <formula>$K8=#REF!</formula>
    </cfRule>
  </conditionalFormatting>
  <dataValidations count="7">
    <dataValidation type="list" allowBlank="1" showInputMessage="1" showErrorMessage="1" sqref="M8:M9">
      <formula1>#REF!</formula1>
    </dataValidation>
    <dataValidation type="list" errorStyle="information" allowBlank="1" showInputMessage="1" promptTitle="Vyberte skupinu" prompt="Vyberte skupinu zakázky" sqref="K8:K9">
      <formula1>#REF!</formula1>
    </dataValidation>
    <dataValidation allowBlank="1" showInputMessage="1" showErrorMessage="1" promptTitle="Stáří přístroje" prompt="Vyplňte pokud se jedná o obnovu." sqref="I8:I9"/>
    <dataValidation allowBlank="1" showInputMessage="1" showErrorMessage="1" promptTitle="Obor" prompt="Uveďte pro který obor NP bude přístroj využíván." sqref="J8:J9"/>
    <dataValidation type="list" allowBlank="1" showInputMessage="1" showErrorMessage="1" sqref="H8:H9">
      <formula1>$K$19:$K$20</formula1>
    </dataValidation>
    <dataValidation allowBlank="1" showInputMessage="1" showErrorMessage="1" prompt="Udávejte částku v Kč včetně DPH." sqref="C8:C9"/>
    <dataValidation type="list" allowBlank="1" showInputMessage="1" showErrorMessage="1" sqref="D11:F42 G14:G42 G11:G12">
      <formula1>$N$20:$N$21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5"/>
  <sheetViews>
    <sheetView workbookViewId="0">
      <selection activeCell="A18" sqref="A18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0.140625" customWidth="1"/>
    <col min="12" max="12" width="26.42578125" customWidth="1"/>
    <col min="13" max="13" width="10.85546875" hidden="1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226</v>
      </c>
    </row>
    <row r="7" spans="1:15" ht="60.75" customHeight="1" x14ac:dyDescent="0.25">
      <c r="A7" s="2" t="s">
        <v>0</v>
      </c>
      <c r="B7" s="48" t="s">
        <v>130</v>
      </c>
      <c r="C7" s="2" t="s">
        <v>155</v>
      </c>
      <c r="D7" s="2" t="s">
        <v>6</v>
      </c>
      <c r="E7" s="35" t="s">
        <v>127</v>
      </c>
      <c r="F7" s="36" t="s">
        <v>113</v>
      </c>
      <c r="G7" s="2" t="s">
        <v>150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11" t="s">
        <v>163</v>
      </c>
      <c r="B8" s="5"/>
      <c r="C8" s="5">
        <f>B8*(F8+1)</f>
        <v>0</v>
      </c>
      <c r="D8" s="7">
        <v>1</v>
      </c>
      <c r="E8" s="5">
        <f>Tabulka134343536[[#This Row],[ pořizovací cena / ks (v Kč bez DPH)]]*Tabulka134343536[[#This Row],[Počet kusů]]</f>
        <v>0</v>
      </c>
      <c r="F8" s="53">
        <v>0.21</v>
      </c>
      <c r="G8" s="12">
        <f>Tabulka134343536[[#This Row],[pořizovací cena / ks (v Kč včetně DPH)]]*Tabulka134343536[[#This Row],[Počet kusů]]</f>
        <v>0</v>
      </c>
      <c r="H8" s="6"/>
      <c r="I8" s="6"/>
      <c r="J8" s="6"/>
      <c r="K8" s="10"/>
      <c r="L8" s="8"/>
      <c r="M8" s="2"/>
      <c r="N8" s="82"/>
      <c r="O8" s="82"/>
    </row>
    <row r="9" spans="1:15" x14ac:dyDescent="0.25">
      <c r="A9" s="11" t="s">
        <v>162</v>
      </c>
      <c r="B9" s="5"/>
      <c r="C9" s="5">
        <f>B9*(F9+1)</f>
        <v>0</v>
      </c>
      <c r="D9" s="7">
        <v>2</v>
      </c>
      <c r="E9" s="5">
        <f>Tabulka134343536[[#This Row],[ pořizovací cena / ks (v Kč bez DPH)]]*Tabulka134343536[[#This Row],[Počet kusů]]</f>
        <v>0</v>
      </c>
      <c r="F9" s="53">
        <v>0.21</v>
      </c>
      <c r="G9" s="12">
        <f>Tabulka134343536[[#This Row],[pořizovací cena / ks (v Kč včetně DPH)]]*Tabulka134343536[[#This Row],[Počet kusů]]</f>
        <v>0</v>
      </c>
      <c r="H9" s="6" t="s">
        <v>21</v>
      </c>
      <c r="I9" s="6"/>
      <c r="J9" s="6" t="s">
        <v>95</v>
      </c>
      <c r="K9" s="10"/>
      <c r="L9" s="8"/>
      <c r="M9" s="10"/>
      <c r="N9" s="6"/>
      <c r="O9" s="6"/>
    </row>
    <row r="10" spans="1:15" x14ac:dyDescent="0.25">
      <c r="A10" t="s">
        <v>7</v>
      </c>
      <c r="C10" s="4">
        <f>SUM(C9)</f>
        <v>0</v>
      </c>
      <c r="D10">
        <f>SUBTOTAL(109,Tabulka134343536[Počet kusů])</f>
        <v>3</v>
      </c>
      <c r="E10" s="4">
        <f>SUM(E9)</f>
        <v>0</v>
      </c>
      <c r="G10" s="4">
        <f>SUM(G9)</f>
        <v>0</v>
      </c>
      <c r="H10" s="1" t="s">
        <v>8</v>
      </c>
      <c r="I10" s="1" t="s">
        <v>8</v>
      </c>
      <c r="J10" s="1" t="s">
        <v>8</v>
      </c>
      <c r="K10" s="1"/>
      <c r="L10" s="1"/>
      <c r="M10" s="1"/>
      <c r="N10" s="1"/>
      <c r="O10" s="1"/>
    </row>
    <row r="12" spans="1:15" ht="15.75" x14ac:dyDescent="0.3">
      <c r="K12" s="29"/>
    </row>
    <row r="14" spans="1:15" x14ac:dyDescent="0.25">
      <c r="K14" s="30"/>
    </row>
    <row r="15" spans="1:15" ht="15.75" x14ac:dyDescent="0.3">
      <c r="K15" s="31"/>
    </row>
  </sheetData>
  <protectedRanges>
    <protectedRange sqref="L9:M9" name="Oblast1"/>
  </protectedRanges>
  <mergeCells count="4">
    <mergeCell ref="A3:C3"/>
    <mergeCell ref="D3:J3"/>
    <mergeCell ref="A4:C4"/>
    <mergeCell ref="D4:J4"/>
  </mergeCells>
  <conditionalFormatting sqref="A9:B9 D9:M9 M8">
    <cfRule type="expression" dxfId="1176" priority="88">
      <formula>$K8=#REF!</formula>
    </cfRule>
    <cfRule type="expression" dxfId="1175" priority="89">
      <formula>$K8=#REF!</formula>
    </cfRule>
    <cfRule type="expression" dxfId="1174" priority="90">
      <formula>$K8=#REF!</formula>
    </cfRule>
    <cfRule type="expression" dxfId="1173" priority="91">
      <formula>$K8=#REF!</formula>
    </cfRule>
    <cfRule type="expression" dxfId="1172" priority="92">
      <formula>$K8=#REF!</formula>
    </cfRule>
    <cfRule type="expression" dxfId="1171" priority="93">
      <formula>$K8=#REF!</formula>
    </cfRule>
    <cfRule type="expression" dxfId="1170" priority="94">
      <formula>$K8=#REF!</formula>
    </cfRule>
    <cfRule type="expression" dxfId="1169" priority="95">
      <formula>$K8=#REF!</formula>
    </cfRule>
    <cfRule type="expression" dxfId="1168" priority="96">
      <formula>$K8=#REF!</formula>
    </cfRule>
    <cfRule type="expression" dxfId="1167" priority="97">
      <formula>$K8=#REF!</formula>
    </cfRule>
    <cfRule type="expression" dxfId="1166" priority="98">
      <formula>$K8=#REF!</formula>
    </cfRule>
    <cfRule type="expression" dxfId="1165" priority="99">
      <formula>$K8=#REF!</formula>
    </cfRule>
    <cfRule type="expression" dxfId="1164" priority="100">
      <formula>$K8=#REF!</formula>
    </cfRule>
    <cfRule type="expression" dxfId="1163" priority="101">
      <formula>$K8=#REF!</formula>
    </cfRule>
    <cfRule type="expression" dxfId="1162" priority="102">
      <formula>$K8=#REF!</formula>
    </cfRule>
    <cfRule type="expression" dxfId="1161" priority="103">
      <formula>$K8=#REF!</formula>
    </cfRule>
    <cfRule type="expression" dxfId="1160" priority="104">
      <formula>$K8=#REF!</formula>
    </cfRule>
    <cfRule type="expression" dxfId="1159" priority="105">
      <formula>$K8=#REF!</formula>
    </cfRule>
    <cfRule type="expression" dxfId="1158" priority="106">
      <formula>$K8=#REF!</formula>
    </cfRule>
    <cfRule type="expression" dxfId="1157" priority="107">
      <formula>$K8=#REF!</formula>
    </cfRule>
    <cfRule type="expression" dxfId="1156" priority="108">
      <formula>$K8=#REF!</formula>
    </cfRule>
    <cfRule type="expression" dxfId="1155" priority="109">
      <formula>$K8=#REF!</formula>
    </cfRule>
    <cfRule type="expression" dxfId="1154" priority="110">
      <formula>$K8=#REF!</formula>
    </cfRule>
    <cfRule type="expression" dxfId="1153" priority="111">
      <formula>$K8=#REF!</formula>
    </cfRule>
    <cfRule type="expression" dxfId="1152" priority="112">
      <formula>$K8=#REF!</formula>
    </cfRule>
    <cfRule type="expression" dxfId="1151" priority="113">
      <formula>$K8=#REF!</formula>
    </cfRule>
    <cfRule type="expression" dxfId="1150" priority="114">
      <formula>$K8=#REF!</formula>
    </cfRule>
    <cfRule type="expression" dxfId="1149" priority="115">
      <formula>$K8=#REF!</formula>
    </cfRule>
    <cfRule type="expression" dxfId="1148" priority="116">
      <formula>$K8=#REF!</formula>
    </cfRule>
  </conditionalFormatting>
  <conditionalFormatting sqref="C9">
    <cfRule type="expression" dxfId="1147" priority="59">
      <formula>$K9=#REF!</formula>
    </cfRule>
    <cfRule type="expression" dxfId="1146" priority="60">
      <formula>$K9=#REF!</formula>
    </cfRule>
    <cfRule type="expression" dxfId="1145" priority="61">
      <formula>$K9=#REF!</formula>
    </cfRule>
    <cfRule type="expression" dxfId="1144" priority="62">
      <formula>$K9=#REF!</formula>
    </cfRule>
    <cfRule type="expression" dxfId="1143" priority="63">
      <formula>$K9=#REF!</formula>
    </cfRule>
    <cfRule type="expression" dxfId="1142" priority="64">
      <formula>$K9=#REF!</formula>
    </cfRule>
    <cfRule type="expression" dxfId="1141" priority="65">
      <formula>$K9=#REF!</formula>
    </cfRule>
    <cfRule type="expression" dxfId="1140" priority="66">
      <formula>$K9=#REF!</formula>
    </cfRule>
    <cfRule type="expression" dxfId="1139" priority="67">
      <formula>$K9=#REF!</formula>
    </cfRule>
    <cfRule type="expression" dxfId="1138" priority="68">
      <formula>$K9=#REF!</formula>
    </cfRule>
    <cfRule type="expression" dxfId="1137" priority="69">
      <formula>$K9=#REF!</formula>
    </cfRule>
    <cfRule type="expression" dxfId="1136" priority="70">
      <formula>$K9=#REF!</formula>
    </cfRule>
    <cfRule type="expression" dxfId="1135" priority="71">
      <formula>$K9=#REF!</formula>
    </cfRule>
    <cfRule type="expression" dxfId="1134" priority="72">
      <formula>$K9=#REF!</formula>
    </cfRule>
    <cfRule type="expression" dxfId="1133" priority="73">
      <formula>$K9=#REF!</formula>
    </cfRule>
    <cfRule type="expression" dxfId="1132" priority="74">
      <formula>$K9=#REF!</formula>
    </cfRule>
    <cfRule type="expression" dxfId="1131" priority="75">
      <formula>$K9=#REF!</formula>
    </cfRule>
    <cfRule type="expression" dxfId="1130" priority="76">
      <formula>$K9=#REF!</formula>
    </cfRule>
    <cfRule type="expression" dxfId="1129" priority="77">
      <formula>$K9=#REF!</formula>
    </cfRule>
    <cfRule type="expression" dxfId="1128" priority="78">
      <formula>$K9=#REF!</formula>
    </cfRule>
    <cfRule type="expression" dxfId="1127" priority="79">
      <formula>$K9=#REF!</formula>
    </cfRule>
    <cfRule type="expression" dxfId="1126" priority="80">
      <formula>$K9=#REF!</formula>
    </cfRule>
    <cfRule type="expression" dxfId="1125" priority="81">
      <formula>$K9=#REF!</formula>
    </cfRule>
    <cfRule type="expression" dxfId="1124" priority="82">
      <formula>$K9=#REF!</formula>
    </cfRule>
    <cfRule type="expression" dxfId="1123" priority="83">
      <formula>$K9=#REF!</formula>
    </cfRule>
    <cfRule type="expression" dxfId="1122" priority="84">
      <formula>$K9=#REF!</formula>
    </cfRule>
    <cfRule type="expression" dxfId="1121" priority="85">
      <formula>$K9=#REF!</formula>
    </cfRule>
    <cfRule type="expression" dxfId="1120" priority="86">
      <formula>$K9=#REF!</formula>
    </cfRule>
    <cfRule type="expression" dxfId="1119" priority="87">
      <formula>$K9=#REF!</formula>
    </cfRule>
  </conditionalFormatting>
  <conditionalFormatting sqref="A8:B8 D8:L8">
    <cfRule type="expression" dxfId="1118" priority="30">
      <formula>$K8=#REF!</formula>
    </cfRule>
    <cfRule type="expression" dxfId="1117" priority="31">
      <formula>$K8=#REF!</formula>
    </cfRule>
    <cfRule type="expression" dxfId="1116" priority="32">
      <formula>$K8=#REF!</formula>
    </cfRule>
    <cfRule type="expression" dxfId="1115" priority="33">
      <formula>$K8=#REF!</formula>
    </cfRule>
    <cfRule type="expression" dxfId="1114" priority="34">
      <formula>$K8=#REF!</formula>
    </cfRule>
    <cfRule type="expression" dxfId="1113" priority="35">
      <formula>$K8=#REF!</formula>
    </cfRule>
    <cfRule type="expression" dxfId="1112" priority="36">
      <formula>$K8=#REF!</formula>
    </cfRule>
    <cfRule type="expression" dxfId="1111" priority="37">
      <formula>$K8=#REF!</formula>
    </cfRule>
    <cfRule type="expression" dxfId="1110" priority="38">
      <formula>$K8=#REF!</formula>
    </cfRule>
    <cfRule type="expression" dxfId="1109" priority="39">
      <formula>$K8=#REF!</formula>
    </cfRule>
    <cfRule type="expression" dxfId="1108" priority="40">
      <formula>$K8=#REF!</formula>
    </cfRule>
    <cfRule type="expression" dxfId="1107" priority="41">
      <formula>$K8=#REF!</formula>
    </cfRule>
    <cfRule type="expression" dxfId="1106" priority="42">
      <formula>$K8=#REF!</formula>
    </cfRule>
    <cfRule type="expression" dxfId="1105" priority="43">
      <formula>$K8=#REF!</formula>
    </cfRule>
    <cfRule type="expression" dxfId="1104" priority="44">
      <formula>$K8=#REF!</formula>
    </cfRule>
    <cfRule type="expression" dxfId="1103" priority="45">
      <formula>$K8=#REF!</formula>
    </cfRule>
    <cfRule type="expression" dxfId="1102" priority="46">
      <formula>$K8=#REF!</formula>
    </cfRule>
    <cfRule type="expression" dxfId="1101" priority="47">
      <formula>$K8=#REF!</formula>
    </cfRule>
    <cfRule type="expression" dxfId="1100" priority="48">
      <formula>$K8=#REF!</formula>
    </cfRule>
    <cfRule type="expression" dxfId="1099" priority="49">
      <formula>$K8=#REF!</formula>
    </cfRule>
    <cfRule type="expression" dxfId="1098" priority="50">
      <formula>$K8=#REF!</formula>
    </cfRule>
    <cfRule type="expression" dxfId="1097" priority="51">
      <formula>$K8=#REF!</formula>
    </cfRule>
    <cfRule type="expression" dxfId="1096" priority="52">
      <formula>$K8=#REF!</formula>
    </cfRule>
    <cfRule type="expression" dxfId="1095" priority="53">
      <formula>$K8=#REF!</formula>
    </cfRule>
    <cfRule type="expression" dxfId="1094" priority="54">
      <formula>$K8=#REF!</formula>
    </cfRule>
    <cfRule type="expression" dxfId="1093" priority="55">
      <formula>$K8=#REF!</formula>
    </cfRule>
    <cfRule type="expression" dxfId="1092" priority="56">
      <formula>$K8=#REF!</formula>
    </cfRule>
    <cfRule type="expression" dxfId="1091" priority="57">
      <formula>$K8=#REF!</formula>
    </cfRule>
    <cfRule type="expression" dxfId="1090" priority="58">
      <formula>$K8=#REF!</formula>
    </cfRule>
  </conditionalFormatting>
  <conditionalFormatting sqref="C8">
    <cfRule type="expression" dxfId="1089" priority="1">
      <formula>$K8=#REF!</formula>
    </cfRule>
    <cfRule type="expression" dxfId="1088" priority="2">
      <formula>$K8=#REF!</formula>
    </cfRule>
    <cfRule type="expression" dxfId="1087" priority="3">
      <formula>$K8=#REF!</formula>
    </cfRule>
    <cfRule type="expression" dxfId="1086" priority="4">
      <formula>$K8=#REF!</formula>
    </cfRule>
    <cfRule type="expression" dxfId="1085" priority="5">
      <formula>$K8=#REF!</formula>
    </cfRule>
    <cfRule type="expression" dxfId="1084" priority="6">
      <formula>$K8=#REF!</formula>
    </cfRule>
    <cfRule type="expression" dxfId="1083" priority="7">
      <formula>$K8=#REF!</formula>
    </cfRule>
    <cfRule type="expression" dxfId="1082" priority="8">
      <formula>$K8=#REF!</formula>
    </cfRule>
    <cfRule type="expression" dxfId="1081" priority="9">
      <formula>$K8=#REF!</formula>
    </cfRule>
    <cfRule type="expression" dxfId="1080" priority="10">
      <formula>$K8=#REF!</formula>
    </cfRule>
    <cfRule type="expression" dxfId="1079" priority="11">
      <formula>$K8=#REF!</formula>
    </cfRule>
    <cfRule type="expression" dxfId="1078" priority="12">
      <formula>$K8=#REF!</formula>
    </cfRule>
    <cfRule type="expression" dxfId="1077" priority="13">
      <formula>$K8=#REF!</formula>
    </cfRule>
    <cfRule type="expression" dxfId="1076" priority="14">
      <formula>$K8=#REF!</formula>
    </cfRule>
    <cfRule type="expression" dxfId="1075" priority="15">
      <formula>$K8=#REF!</formula>
    </cfRule>
    <cfRule type="expression" dxfId="1074" priority="16">
      <formula>$K8=#REF!</formula>
    </cfRule>
    <cfRule type="expression" dxfId="1073" priority="17">
      <formula>$K8=#REF!</formula>
    </cfRule>
    <cfRule type="expression" dxfId="1072" priority="18">
      <formula>$K8=#REF!</formula>
    </cfRule>
    <cfRule type="expression" dxfId="1071" priority="19">
      <formula>$K8=#REF!</formula>
    </cfRule>
    <cfRule type="expression" dxfId="1070" priority="20">
      <formula>$K8=#REF!</formula>
    </cfRule>
    <cfRule type="expression" dxfId="1069" priority="21">
      <formula>$K8=#REF!</formula>
    </cfRule>
    <cfRule type="expression" dxfId="1068" priority="22">
      <formula>$K8=#REF!</formula>
    </cfRule>
    <cfRule type="expression" dxfId="1067" priority="23">
      <formula>$K8=#REF!</formula>
    </cfRule>
    <cfRule type="expression" dxfId="1066" priority="24">
      <formula>$K8=#REF!</formula>
    </cfRule>
    <cfRule type="expression" dxfId="1065" priority="25">
      <formula>$K8=#REF!</formula>
    </cfRule>
    <cfRule type="expression" dxfId="1064" priority="26">
      <formula>$K8=#REF!</formula>
    </cfRule>
    <cfRule type="expression" dxfId="1063" priority="27">
      <formula>$K8=#REF!</formula>
    </cfRule>
    <cfRule type="expression" dxfId="1062" priority="28">
      <formula>$K8=#REF!</formula>
    </cfRule>
    <cfRule type="expression" dxfId="1061" priority="29">
      <formula>$K8=#REF!</formula>
    </cfRule>
  </conditionalFormatting>
  <dataValidations count="7">
    <dataValidation type="list" allowBlank="1" showInputMessage="1" showErrorMessage="1" sqref="D11:F42 G14:G42 G11:G12">
      <formula1>$N$20:$N$21</formula1>
    </dataValidation>
    <dataValidation allowBlank="1" showInputMessage="1" showErrorMessage="1" prompt="Udávejte částku v Kč včetně DPH." sqref="C8:C9"/>
    <dataValidation type="list" allowBlank="1" showInputMessage="1" showErrorMessage="1" sqref="H8:H9">
      <formula1>$K$19:$K$20</formula1>
    </dataValidation>
    <dataValidation allowBlank="1" showInputMessage="1" showErrorMessage="1" promptTitle="Obor" prompt="Uveďte pro který obor NP bude přístroj využíván." sqref="J8:J9"/>
    <dataValidation allowBlank="1" showInputMessage="1" showErrorMessage="1" promptTitle="Stáří přístroje" prompt="Vyplňte pokud se jedná o obnovu." sqref="I8:I9"/>
    <dataValidation type="list" errorStyle="information" allowBlank="1" showInputMessage="1" promptTitle="Vyberte skupinu" prompt="Vyberte skupinu zakázky" sqref="K8:K9">
      <formula1>#REF!</formula1>
    </dataValidation>
    <dataValidation type="list" allowBlank="1" showInputMessage="1" showErrorMessage="1" sqref="M8:M9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4"/>
  <sheetViews>
    <sheetView workbookViewId="0">
      <selection activeCell="D16" sqref="D16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0.140625" customWidth="1"/>
    <col min="12" max="12" width="26.42578125" customWidth="1"/>
    <col min="13" max="13" width="10.85546875" hidden="1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227</v>
      </c>
    </row>
    <row r="7" spans="1:15" ht="60.75" customHeight="1" x14ac:dyDescent="0.25">
      <c r="A7" s="2" t="s">
        <v>0</v>
      </c>
      <c r="B7" s="48" t="s">
        <v>130</v>
      </c>
      <c r="C7" s="2" t="s">
        <v>155</v>
      </c>
      <c r="D7" s="2" t="s">
        <v>6</v>
      </c>
      <c r="E7" s="35" t="s">
        <v>127</v>
      </c>
      <c r="F7" s="36" t="s">
        <v>113</v>
      </c>
      <c r="G7" s="2" t="s">
        <v>150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11" t="s">
        <v>202</v>
      </c>
      <c r="B8" s="5"/>
      <c r="C8" s="5">
        <f>B8*(F8+1)</f>
        <v>0</v>
      </c>
      <c r="D8" s="7">
        <v>3</v>
      </c>
      <c r="E8" s="5">
        <f>Tabulka13434353637[[#This Row],[ pořizovací cena / ks (v Kč bez DPH)]]*Tabulka13434353637[[#This Row],[Počet kusů]]</f>
        <v>0</v>
      </c>
      <c r="F8" s="53">
        <v>0.21</v>
      </c>
      <c r="G8" s="12">
        <f>Tabulka13434353637[[#This Row],[pořizovací cena / ks (v Kč včetně DPH)]]*Tabulka13434353637[[#This Row],[Počet kusů]]</f>
        <v>0</v>
      </c>
      <c r="H8" s="6" t="s">
        <v>21</v>
      </c>
      <c r="I8" s="6"/>
      <c r="J8" s="6" t="s">
        <v>95</v>
      </c>
      <c r="K8" s="10"/>
      <c r="L8" s="8"/>
      <c r="M8" s="10"/>
      <c r="N8" s="6"/>
      <c r="O8" s="6"/>
    </row>
    <row r="9" spans="1:15" x14ac:dyDescent="0.25">
      <c r="A9" t="s">
        <v>7</v>
      </c>
      <c r="C9" s="4">
        <f>SUBTOTAL(109,Tabulka13434353637[pořizovací cena / ks (v Kč včetně DPH)])</f>
        <v>0</v>
      </c>
      <c r="D9">
        <f>SUBTOTAL(109,Tabulka13434353637[Počet kusů])</f>
        <v>3</v>
      </c>
      <c r="E9" s="4">
        <f>SUM(E8)</f>
        <v>0</v>
      </c>
      <c r="G9" s="4">
        <f>SUM(G8)</f>
        <v>0</v>
      </c>
      <c r="H9" s="1" t="s">
        <v>8</v>
      </c>
      <c r="I9" s="1" t="s">
        <v>8</v>
      </c>
      <c r="J9" s="1" t="s">
        <v>8</v>
      </c>
      <c r="K9" s="1"/>
      <c r="L9" s="1"/>
      <c r="M9" s="1"/>
      <c r="N9" s="1"/>
      <c r="O9" s="1"/>
    </row>
    <row r="11" spans="1:15" ht="15.75" x14ac:dyDescent="0.3">
      <c r="K11" s="29"/>
    </row>
    <row r="13" spans="1:15" x14ac:dyDescent="0.25">
      <c r="K13" s="30"/>
    </row>
    <row r="14" spans="1:15" ht="15.75" x14ac:dyDescent="0.3">
      <c r="K14" s="31"/>
    </row>
  </sheetData>
  <protectedRanges>
    <protectedRange sqref="L8:M8" name="Oblast1"/>
  </protectedRanges>
  <mergeCells count="4">
    <mergeCell ref="A3:C3"/>
    <mergeCell ref="D3:J3"/>
    <mergeCell ref="A4:C4"/>
    <mergeCell ref="D4:J4"/>
  </mergeCells>
  <conditionalFormatting sqref="A8:B8 D8:M8">
    <cfRule type="expression" dxfId="1031" priority="88">
      <formula>$K8=#REF!</formula>
    </cfRule>
    <cfRule type="expression" dxfId="1030" priority="89">
      <formula>$K8=#REF!</formula>
    </cfRule>
    <cfRule type="expression" dxfId="1029" priority="90">
      <formula>$K8=#REF!</formula>
    </cfRule>
    <cfRule type="expression" dxfId="1028" priority="91">
      <formula>$K8=#REF!</formula>
    </cfRule>
    <cfRule type="expression" dxfId="1027" priority="92">
      <formula>$K8=#REF!</formula>
    </cfRule>
    <cfRule type="expression" dxfId="1026" priority="93">
      <formula>$K8=#REF!</formula>
    </cfRule>
    <cfRule type="expression" dxfId="1025" priority="94">
      <formula>$K8=#REF!</formula>
    </cfRule>
    <cfRule type="expression" dxfId="1024" priority="95">
      <formula>$K8=#REF!</formula>
    </cfRule>
    <cfRule type="expression" dxfId="1023" priority="96">
      <formula>$K8=#REF!</formula>
    </cfRule>
    <cfRule type="expression" dxfId="1022" priority="97">
      <formula>$K8=#REF!</formula>
    </cfRule>
    <cfRule type="expression" dxfId="1021" priority="98">
      <formula>$K8=#REF!</formula>
    </cfRule>
    <cfRule type="expression" dxfId="1020" priority="99">
      <formula>$K8=#REF!</formula>
    </cfRule>
    <cfRule type="expression" dxfId="1019" priority="100">
      <formula>$K8=#REF!</formula>
    </cfRule>
    <cfRule type="expression" dxfId="1018" priority="101">
      <formula>$K8=#REF!</formula>
    </cfRule>
    <cfRule type="expression" dxfId="1017" priority="102">
      <formula>$K8=#REF!</formula>
    </cfRule>
    <cfRule type="expression" dxfId="1016" priority="103">
      <formula>$K8=#REF!</formula>
    </cfRule>
    <cfRule type="expression" dxfId="1015" priority="104">
      <formula>$K8=#REF!</formula>
    </cfRule>
    <cfRule type="expression" dxfId="1014" priority="105">
      <formula>$K8=#REF!</formula>
    </cfRule>
    <cfRule type="expression" dxfId="1013" priority="106">
      <formula>$K8=#REF!</formula>
    </cfRule>
    <cfRule type="expression" dxfId="1012" priority="107">
      <formula>$K8=#REF!</formula>
    </cfRule>
    <cfRule type="expression" dxfId="1011" priority="108">
      <formula>$K8=#REF!</formula>
    </cfRule>
    <cfRule type="expression" dxfId="1010" priority="109">
      <formula>$K8=#REF!</formula>
    </cfRule>
    <cfRule type="expression" dxfId="1009" priority="110">
      <formula>$K8=#REF!</formula>
    </cfRule>
    <cfRule type="expression" dxfId="1008" priority="111">
      <formula>$K8=#REF!</formula>
    </cfRule>
    <cfRule type="expression" dxfId="1007" priority="112">
      <formula>$K8=#REF!</formula>
    </cfRule>
    <cfRule type="expression" dxfId="1006" priority="113">
      <formula>$K8=#REF!</formula>
    </cfRule>
    <cfRule type="expression" dxfId="1005" priority="114">
      <formula>$K8=#REF!</formula>
    </cfRule>
    <cfRule type="expression" dxfId="1004" priority="115">
      <formula>$K8=#REF!</formula>
    </cfRule>
    <cfRule type="expression" dxfId="1003" priority="116">
      <formula>$K8=#REF!</formula>
    </cfRule>
  </conditionalFormatting>
  <conditionalFormatting sqref="C8">
    <cfRule type="expression" dxfId="1002" priority="59">
      <formula>$K8=#REF!</formula>
    </cfRule>
    <cfRule type="expression" dxfId="1001" priority="60">
      <formula>$K8=#REF!</formula>
    </cfRule>
    <cfRule type="expression" dxfId="1000" priority="61">
      <formula>$K8=#REF!</formula>
    </cfRule>
    <cfRule type="expression" dxfId="999" priority="62">
      <formula>$K8=#REF!</formula>
    </cfRule>
    <cfRule type="expression" dxfId="998" priority="63">
      <formula>$K8=#REF!</formula>
    </cfRule>
    <cfRule type="expression" dxfId="997" priority="64">
      <formula>$K8=#REF!</formula>
    </cfRule>
    <cfRule type="expression" dxfId="996" priority="65">
      <formula>$K8=#REF!</formula>
    </cfRule>
    <cfRule type="expression" dxfId="995" priority="66">
      <formula>$K8=#REF!</formula>
    </cfRule>
    <cfRule type="expression" dxfId="994" priority="67">
      <formula>$K8=#REF!</formula>
    </cfRule>
    <cfRule type="expression" dxfId="993" priority="68">
      <formula>$K8=#REF!</formula>
    </cfRule>
    <cfRule type="expression" dxfId="992" priority="69">
      <formula>$K8=#REF!</formula>
    </cfRule>
    <cfRule type="expression" dxfId="991" priority="70">
      <formula>$K8=#REF!</formula>
    </cfRule>
    <cfRule type="expression" dxfId="990" priority="71">
      <formula>$K8=#REF!</formula>
    </cfRule>
    <cfRule type="expression" dxfId="989" priority="72">
      <formula>$K8=#REF!</formula>
    </cfRule>
    <cfRule type="expression" dxfId="988" priority="73">
      <formula>$K8=#REF!</formula>
    </cfRule>
    <cfRule type="expression" dxfId="987" priority="74">
      <formula>$K8=#REF!</formula>
    </cfRule>
    <cfRule type="expression" dxfId="986" priority="75">
      <formula>$K8=#REF!</formula>
    </cfRule>
    <cfRule type="expression" dxfId="985" priority="76">
      <formula>$K8=#REF!</formula>
    </cfRule>
    <cfRule type="expression" dxfId="984" priority="77">
      <formula>$K8=#REF!</formula>
    </cfRule>
    <cfRule type="expression" dxfId="983" priority="78">
      <formula>$K8=#REF!</formula>
    </cfRule>
    <cfRule type="expression" dxfId="982" priority="79">
      <formula>$K8=#REF!</formula>
    </cfRule>
    <cfRule type="expression" dxfId="981" priority="80">
      <formula>$K8=#REF!</formula>
    </cfRule>
    <cfRule type="expression" dxfId="980" priority="81">
      <formula>$K8=#REF!</formula>
    </cfRule>
    <cfRule type="expression" dxfId="979" priority="82">
      <formula>$K8=#REF!</formula>
    </cfRule>
    <cfRule type="expression" dxfId="978" priority="83">
      <formula>$K8=#REF!</formula>
    </cfRule>
    <cfRule type="expression" dxfId="977" priority="84">
      <formula>$K8=#REF!</formula>
    </cfRule>
    <cfRule type="expression" dxfId="976" priority="85">
      <formula>$K8=#REF!</formula>
    </cfRule>
    <cfRule type="expression" dxfId="975" priority="86">
      <formula>$K8=#REF!</formula>
    </cfRule>
    <cfRule type="expression" dxfId="974" priority="87">
      <formula>$K8=#REF!</formula>
    </cfRule>
  </conditionalFormatting>
  <dataValidations count="7">
    <dataValidation type="list" allowBlank="1" showInputMessage="1" showErrorMessage="1" sqref="D10:F41 G10:G11 G13:G41">
      <formula1>$N$19:$N$20</formula1>
    </dataValidation>
    <dataValidation type="list" allowBlank="1" showInputMessage="1" showErrorMessage="1" sqref="M8">
      <formula1>#REF!</formula1>
    </dataValidation>
    <dataValidation type="list" errorStyle="information" allowBlank="1" showInputMessage="1" promptTitle="Vyberte skupinu" prompt="Vyberte skupinu zakázky" sqref="K8">
      <formula1>#REF!</formula1>
    </dataValidation>
    <dataValidation allowBlank="1" showInputMessage="1" showErrorMessage="1" promptTitle="Stáří přístroje" prompt="Vyplňte pokud se jedná o obnovu." sqref="I8"/>
    <dataValidation allowBlank="1" showInputMessage="1" showErrorMessage="1" promptTitle="Obor" prompt="Uveďte pro který obor NP bude přístroj využíván." sqref="J8"/>
    <dataValidation type="list" allowBlank="1" showInputMessage="1" showErrorMessage="1" sqref="H8">
      <formula1>$K$18:$K$19</formula1>
    </dataValidation>
    <dataValidation allowBlank="1" showInputMessage="1" showErrorMessage="1" prompt="Udávejte částku v Kč včetně DPH." sqref="C8"/>
  </dataValidations>
  <pageMargins left="0.7" right="0.7" top="0.75" bottom="0.75" header="0.3" footer="0.3"/>
  <legacyDrawing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5"/>
  <sheetViews>
    <sheetView workbookViewId="0">
      <selection activeCell="D8" sqref="D8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42.7109375" hidden="1" customWidth="1"/>
    <col min="12" max="12" width="26.42578125" customWidth="1"/>
    <col min="13" max="13" width="0.140625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218</v>
      </c>
    </row>
    <row r="7" spans="1:15" ht="60.75" customHeight="1" x14ac:dyDescent="0.25">
      <c r="A7" s="2" t="s">
        <v>0</v>
      </c>
      <c r="B7" s="48" t="s">
        <v>130</v>
      </c>
      <c r="C7" s="2" t="s">
        <v>126</v>
      </c>
      <c r="D7" s="2" t="s">
        <v>6</v>
      </c>
      <c r="E7" s="35" t="s">
        <v>127</v>
      </c>
      <c r="F7" s="36" t="s">
        <v>113</v>
      </c>
      <c r="G7" s="2" t="s">
        <v>150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21" t="s">
        <v>203</v>
      </c>
      <c r="B8" s="74"/>
      <c r="C8" s="5">
        <f>B8*(F8+1)</f>
        <v>0</v>
      </c>
      <c r="D8" s="73">
        <v>2</v>
      </c>
      <c r="E8" s="74">
        <f>Tabulka1343338[[#This Row],[ pořizovací cena / ks (v Kč bez DPH)]]*Tabulka1343338[[#This Row],[Počet kusů]]</f>
        <v>0</v>
      </c>
      <c r="F8" s="75">
        <v>0.21</v>
      </c>
      <c r="G8" s="12">
        <f>Tabulka1343338[[#This Row],[ pořizovací cena / ks (v Kč včetně DPH)]]*Tabulka1343338[[#This Row],[Počet kusů]]</f>
        <v>0</v>
      </c>
      <c r="H8" s="6"/>
      <c r="I8" s="6"/>
      <c r="J8" s="6"/>
      <c r="K8" s="76"/>
      <c r="L8" s="8"/>
      <c r="M8" s="2"/>
      <c r="N8" s="82"/>
      <c r="O8" s="82"/>
    </row>
    <row r="9" spans="1:15" x14ac:dyDescent="0.25">
      <c r="A9" s="21" t="s">
        <v>204</v>
      </c>
      <c r="B9" s="74"/>
      <c r="C9" s="5">
        <f>B9*(F9+1)</f>
        <v>0</v>
      </c>
      <c r="D9" s="73">
        <v>3</v>
      </c>
      <c r="E9" s="74">
        <f>Tabulka1343338[[#This Row],[ pořizovací cena / ks (v Kč bez DPH)]]*Tabulka1343338[[#This Row],[Počet kusů]]</f>
        <v>0</v>
      </c>
      <c r="F9" s="75">
        <v>0.21</v>
      </c>
      <c r="G9" s="12">
        <f>Tabulka1343338[[#This Row],[ pořizovací cena / ks (v Kč včetně DPH)]]*Tabulka1343338[[#This Row],[Počet kusů]]</f>
        <v>0</v>
      </c>
      <c r="H9" s="6"/>
      <c r="I9" s="6"/>
      <c r="J9" s="6" t="s">
        <v>90</v>
      </c>
      <c r="K9" s="76"/>
      <c r="L9" s="8"/>
      <c r="M9" s="47"/>
      <c r="N9" s="6"/>
      <c r="O9" s="6"/>
    </row>
    <row r="10" spans="1:15" x14ac:dyDescent="0.25">
      <c r="A10" s="6" t="s">
        <v>7</v>
      </c>
      <c r="B10" s="61"/>
      <c r="C10" s="62">
        <f>SUM(C9)</f>
        <v>0</v>
      </c>
      <c r="D10" s="6">
        <f>SUBTOTAL(109,Tabulka1343338[Počet kusů])</f>
        <v>5</v>
      </c>
      <c r="E10" s="62">
        <f>SUM(E9)</f>
        <v>0</v>
      </c>
      <c r="F10" s="63"/>
      <c r="G10" s="62">
        <f>SUM(G9)</f>
        <v>0</v>
      </c>
      <c r="H10" s="64" t="s">
        <v>8</v>
      </c>
      <c r="I10" s="64" t="s">
        <v>8</v>
      </c>
      <c r="J10" s="64" t="s">
        <v>8</v>
      </c>
      <c r="K10" s="64"/>
      <c r="L10" s="64"/>
      <c r="M10" s="1"/>
      <c r="N10" s="1"/>
      <c r="O10" s="1"/>
    </row>
    <row r="11" spans="1:15" x14ac:dyDescent="0.25">
      <c r="A11" s="6"/>
      <c r="B11" s="61"/>
      <c r="C11" s="6"/>
      <c r="D11" s="6"/>
      <c r="E11" s="65"/>
      <c r="F11" s="63"/>
      <c r="G11" s="6"/>
      <c r="H11" s="6"/>
      <c r="I11" s="6"/>
      <c r="J11" s="6"/>
      <c r="K11" s="6"/>
      <c r="L11" s="6"/>
    </row>
    <row r="12" spans="1:15" ht="15.75" x14ac:dyDescent="0.3">
      <c r="A12" s="6"/>
      <c r="B12" s="61"/>
      <c r="C12" s="6"/>
      <c r="D12" s="6"/>
      <c r="E12" s="65"/>
      <c r="F12" s="63"/>
      <c r="G12" s="6"/>
      <c r="H12" s="6"/>
      <c r="I12" s="6"/>
      <c r="J12" s="6"/>
      <c r="K12" s="77"/>
      <c r="L12" s="6"/>
    </row>
    <row r="13" spans="1:15" x14ac:dyDescent="0.25">
      <c r="A13" s="6"/>
      <c r="B13" s="61"/>
      <c r="C13" s="6"/>
      <c r="D13" s="6"/>
      <c r="E13" s="65"/>
      <c r="F13" s="63"/>
      <c r="G13" s="6"/>
      <c r="H13" s="6"/>
      <c r="I13" s="6"/>
      <c r="J13" s="6"/>
      <c r="K13" s="6"/>
      <c r="L13" s="6"/>
    </row>
    <row r="14" spans="1:15" x14ac:dyDescent="0.25">
      <c r="K14" s="30"/>
    </row>
    <row r="15" spans="1:15" ht="15.75" x14ac:dyDescent="0.3">
      <c r="K15" s="31"/>
    </row>
  </sheetData>
  <protectedRanges>
    <protectedRange sqref="K9:M9" name="Oblast1"/>
  </protectedRanges>
  <mergeCells count="4">
    <mergeCell ref="A3:C3"/>
    <mergeCell ref="D3:J3"/>
    <mergeCell ref="A4:C4"/>
    <mergeCell ref="D4:J4"/>
  </mergeCells>
  <conditionalFormatting sqref="D9:M9 A9:B9 M8">
    <cfRule type="expression" dxfId="944" priority="88">
      <formula>$K8=#REF!</formula>
    </cfRule>
    <cfRule type="expression" dxfId="943" priority="89">
      <formula>$K8=#REF!</formula>
    </cfRule>
    <cfRule type="expression" dxfId="942" priority="90">
      <formula>$K8=#REF!</formula>
    </cfRule>
    <cfRule type="expression" dxfId="941" priority="91">
      <formula>$K8=#REF!</formula>
    </cfRule>
    <cfRule type="expression" dxfId="940" priority="92">
      <formula>$K8=#REF!</formula>
    </cfRule>
    <cfRule type="expression" dxfId="939" priority="93">
      <formula>$K8=#REF!</formula>
    </cfRule>
    <cfRule type="expression" dxfId="938" priority="94">
      <formula>$K8=#REF!</formula>
    </cfRule>
    <cfRule type="expression" dxfId="937" priority="95">
      <formula>$K8=#REF!</formula>
    </cfRule>
    <cfRule type="expression" dxfId="936" priority="96">
      <formula>$K8=#REF!</formula>
    </cfRule>
    <cfRule type="expression" dxfId="935" priority="97">
      <formula>$K8=#REF!</formula>
    </cfRule>
    <cfRule type="expression" dxfId="934" priority="98">
      <formula>$K8=#REF!</formula>
    </cfRule>
    <cfRule type="expression" dxfId="933" priority="99">
      <formula>$K8=#REF!</formula>
    </cfRule>
    <cfRule type="expression" dxfId="932" priority="100">
      <formula>$K8=#REF!</formula>
    </cfRule>
    <cfRule type="expression" dxfId="931" priority="101">
      <formula>$K8=#REF!</formula>
    </cfRule>
    <cfRule type="expression" dxfId="930" priority="102">
      <formula>$K8=#REF!</formula>
    </cfRule>
    <cfRule type="expression" dxfId="929" priority="103">
      <formula>$K8=#REF!</formula>
    </cfRule>
    <cfRule type="expression" dxfId="928" priority="104">
      <formula>$K8=#REF!</formula>
    </cfRule>
    <cfRule type="expression" dxfId="927" priority="105">
      <formula>$K8=#REF!</formula>
    </cfRule>
    <cfRule type="expression" dxfId="926" priority="106">
      <formula>$K8=#REF!</formula>
    </cfRule>
    <cfRule type="expression" dxfId="925" priority="107">
      <formula>$K8=#REF!</formula>
    </cfRule>
    <cfRule type="expression" dxfId="924" priority="108">
      <formula>$K8=#REF!</formula>
    </cfRule>
    <cfRule type="expression" dxfId="923" priority="109">
      <formula>$K8=#REF!</formula>
    </cfRule>
    <cfRule type="expression" dxfId="922" priority="110">
      <formula>$K8=#REF!</formula>
    </cfRule>
    <cfRule type="expression" dxfId="921" priority="111">
      <formula>$K8=#REF!</formula>
    </cfRule>
    <cfRule type="expression" dxfId="920" priority="112">
      <formula>$K8=#REF!</formula>
    </cfRule>
    <cfRule type="expression" dxfId="919" priority="113">
      <formula>$K8=#REF!</formula>
    </cfRule>
    <cfRule type="expression" dxfId="918" priority="114">
      <formula>$K8=#REF!</formula>
    </cfRule>
    <cfRule type="expression" dxfId="917" priority="115">
      <formula>$K8=#REF!</formula>
    </cfRule>
    <cfRule type="expression" dxfId="916" priority="116">
      <formula>$K8=#REF!</formula>
    </cfRule>
  </conditionalFormatting>
  <conditionalFormatting sqref="C9">
    <cfRule type="expression" dxfId="915" priority="59">
      <formula>$K9=#REF!</formula>
    </cfRule>
    <cfRule type="expression" dxfId="914" priority="60">
      <formula>$K9=#REF!</formula>
    </cfRule>
    <cfRule type="expression" dxfId="913" priority="61">
      <formula>$K9=#REF!</formula>
    </cfRule>
    <cfRule type="expression" dxfId="912" priority="62">
      <formula>$K9=#REF!</formula>
    </cfRule>
    <cfRule type="expression" dxfId="911" priority="63">
      <formula>$K9=#REF!</formula>
    </cfRule>
    <cfRule type="expression" dxfId="910" priority="64">
      <formula>$K9=#REF!</formula>
    </cfRule>
    <cfRule type="expression" dxfId="909" priority="65">
      <formula>$K9=#REF!</formula>
    </cfRule>
    <cfRule type="expression" dxfId="908" priority="66">
      <formula>$K9=#REF!</formula>
    </cfRule>
    <cfRule type="expression" dxfId="907" priority="67">
      <formula>$K9=#REF!</formula>
    </cfRule>
    <cfRule type="expression" dxfId="906" priority="68">
      <formula>$K9=#REF!</formula>
    </cfRule>
    <cfRule type="expression" dxfId="905" priority="69">
      <formula>$K9=#REF!</formula>
    </cfRule>
    <cfRule type="expression" dxfId="904" priority="70">
      <formula>$K9=#REF!</formula>
    </cfRule>
    <cfRule type="expression" dxfId="903" priority="71">
      <formula>$K9=#REF!</formula>
    </cfRule>
    <cfRule type="expression" dxfId="902" priority="72">
      <formula>$K9=#REF!</formula>
    </cfRule>
    <cfRule type="expression" dxfId="901" priority="73">
      <formula>$K9=#REF!</formula>
    </cfRule>
    <cfRule type="expression" dxfId="900" priority="74">
      <formula>$K9=#REF!</formula>
    </cfRule>
    <cfRule type="expression" dxfId="899" priority="75">
      <formula>$K9=#REF!</formula>
    </cfRule>
    <cfRule type="expression" dxfId="898" priority="76">
      <formula>$K9=#REF!</formula>
    </cfRule>
    <cfRule type="expression" dxfId="897" priority="77">
      <formula>$K9=#REF!</formula>
    </cfRule>
    <cfRule type="expression" dxfId="896" priority="78">
      <formula>$K9=#REF!</formula>
    </cfRule>
    <cfRule type="expression" dxfId="895" priority="79">
      <formula>$K9=#REF!</formula>
    </cfRule>
    <cfRule type="expression" dxfId="894" priority="80">
      <formula>$K9=#REF!</formula>
    </cfRule>
    <cfRule type="expression" dxfId="893" priority="81">
      <formula>$K9=#REF!</formula>
    </cfRule>
    <cfRule type="expression" dxfId="892" priority="82">
      <formula>$K9=#REF!</formula>
    </cfRule>
    <cfRule type="expression" dxfId="891" priority="83">
      <formula>$K9=#REF!</formula>
    </cfRule>
    <cfRule type="expression" dxfId="890" priority="84">
      <formula>$K9=#REF!</formula>
    </cfRule>
    <cfRule type="expression" dxfId="889" priority="85">
      <formula>$K9=#REF!</formula>
    </cfRule>
    <cfRule type="expression" dxfId="888" priority="86">
      <formula>$K9=#REF!</formula>
    </cfRule>
    <cfRule type="expression" dxfId="887" priority="87">
      <formula>$K9=#REF!</formula>
    </cfRule>
  </conditionalFormatting>
  <conditionalFormatting sqref="D8:L8 A8:B8">
    <cfRule type="expression" dxfId="886" priority="30">
      <formula>$K8=#REF!</formula>
    </cfRule>
    <cfRule type="expression" dxfId="885" priority="31">
      <formula>$K8=#REF!</formula>
    </cfRule>
    <cfRule type="expression" dxfId="884" priority="32">
      <formula>$K8=#REF!</formula>
    </cfRule>
    <cfRule type="expression" dxfId="883" priority="33">
      <formula>$K8=#REF!</formula>
    </cfRule>
    <cfRule type="expression" dxfId="882" priority="34">
      <formula>$K8=#REF!</formula>
    </cfRule>
    <cfRule type="expression" dxfId="881" priority="35">
      <formula>$K8=#REF!</formula>
    </cfRule>
    <cfRule type="expression" dxfId="880" priority="36">
      <formula>$K8=#REF!</formula>
    </cfRule>
    <cfRule type="expression" dxfId="879" priority="37">
      <formula>$K8=#REF!</formula>
    </cfRule>
    <cfRule type="expression" dxfId="878" priority="38">
      <formula>$K8=#REF!</formula>
    </cfRule>
    <cfRule type="expression" dxfId="877" priority="39">
      <formula>$K8=#REF!</formula>
    </cfRule>
    <cfRule type="expression" dxfId="876" priority="40">
      <formula>$K8=#REF!</formula>
    </cfRule>
    <cfRule type="expression" dxfId="875" priority="41">
      <formula>$K8=#REF!</formula>
    </cfRule>
    <cfRule type="expression" dxfId="874" priority="42">
      <formula>$K8=#REF!</formula>
    </cfRule>
    <cfRule type="expression" dxfId="873" priority="43">
      <formula>$K8=#REF!</formula>
    </cfRule>
    <cfRule type="expression" dxfId="872" priority="44">
      <formula>$K8=#REF!</formula>
    </cfRule>
    <cfRule type="expression" dxfId="871" priority="45">
      <formula>$K8=#REF!</formula>
    </cfRule>
    <cfRule type="expression" dxfId="870" priority="46">
      <formula>$K8=#REF!</formula>
    </cfRule>
    <cfRule type="expression" dxfId="869" priority="47">
      <formula>$K8=#REF!</formula>
    </cfRule>
    <cfRule type="expression" dxfId="868" priority="48">
      <formula>$K8=#REF!</formula>
    </cfRule>
    <cfRule type="expression" dxfId="867" priority="49">
      <formula>$K8=#REF!</formula>
    </cfRule>
    <cfRule type="expression" dxfId="866" priority="50">
      <formula>$K8=#REF!</formula>
    </cfRule>
    <cfRule type="expression" dxfId="865" priority="51">
      <formula>$K8=#REF!</formula>
    </cfRule>
    <cfRule type="expression" dxfId="864" priority="52">
      <formula>$K8=#REF!</formula>
    </cfRule>
    <cfRule type="expression" dxfId="863" priority="53">
      <formula>$K8=#REF!</formula>
    </cfRule>
    <cfRule type="expression" dxfId="862" priority="54">
      <formula>$K8=#REF!</formula>
    </cfRule>
    <cfRule type="expression" dxfId="861" priority="55">
      <formula>$K8=#REF!</formula>
    </cfRule>
    <cfRule type="expression" dxfId="860" priority="56">
      <formula>$K8=#REF!</formula>
    </cfRule>
    <cfRule type="expression" dxfId="859" priority="57">
      <formula>$K8=#REF!</formula>
    </cfRule>
    <cfRule type="expression" dxfId="858" priority="58">
      <formula>$K8=#REF!</formula>
    </cfRule>
  </conditionalFormatting>
  <conditionalFormatting sqref="C8">
    <cfRule type="expression" dxfId="857" priority="1">
      <formula>$K8=#REF!</formula>
    </cfRule>
    <cfRule type="expression" dxfId="856" priority="2">
      <formula>$K8=#REF!</formula>
    </cfRule>
    <cfRule type="expression" dxfId="855" priority="3">
      <formula>$K8=#REF!</formula>
    </cfRule>
    <cfRule type="expression" dxfId="854" priority="4">
      <formula>$K8=#REF!</formula>
    </cfRule>
    <cfRule type="expression" dxfId="853" priority="5">
      <formula>$K8=#REF!</formula>
    </cfRule>
    <cfRule type="expression" dxfId="852" priority="6">
      <formula>$K8=#REF!</formula>
    </cfRule>
    <cfRule type="expression" dxfId="851" priority="7">
      <formula>$K8=#REF!</formula>
    </cfRule>
    <cfRule type="expression" dxfId="850" priority="8">
      <formula>$K8=#REF!</formula>
    </cfRule>
    <cfRule type="expression" dxfId="849" priority="9">
      <formula>$K8=#REF!</formula>
    </cfRule>
    <cfRule type="expression" dxfId="848" priority="10">
      <formula>$K8=#REF!</formula>
    </cfRule>
    <cfRule type="expression" dxfId="847" priority="11">
      <formula>$K8=#REF!</formula>
    </cfRule>
    <cfRule type="expression" dxfId="846" priority="12">
      <formula>$K8=#REF!</formula>
    </cfRule>
    <cfRule type="expression" dxfId="845" priority="13">
      <formula>$K8=#REF!</formula>
    </cfRule>
    <cfRule type="expression" dxfId="844" priority="14">
      <formula>$K8=#REF!</formula>
    </cfRule>
    <cfRule type="expression" dxfId="843" priority="15">
      <formula>$K8=#REF!</formula>
    </cfRule>
    <cfRule type="expression" dxfId="842" priority="16">
      <formula>$K8=#REF!</formula>
    </cfRule>
    <cfRule type="expression" dxfId="841" priority="17">
      <formula>$K8=#REF!</formula>
    </cfRule>
    <cfRule type="expression" dxfId="840" priority="18">
      <formula>$K8=#REF!</formula>
    </cfRule>
    <cfRule type="expression" dxfId="839" priority="19">
      <formula>$K8=#REF!</formula>
    </cfRule>
    <cfRule type="expression" dxfId="838" priority="20">
      <formula>$K8=#REF!</formula>
    </cfRule>
    <cfRule type="expression" dxfId="837" priority="21">
      <formula>$K8=#REF!</formula>
    </cfRule>
    <cfRule type="expression" dxfId="836" priority="22">
      <formula>$K8=#REF!</formula>
    </cfRule>
    <cfRule type="expression" dxfId="835" priority="23">
      <formula>$K8=#REF!</formula>
    </cfRule>
    <cfRule type="expression" dxfId="834" priority="24">
      <formula>$K8=#REF!</formula>
    </cfRule>
    <cfRule type="expression" dxfId="833" priority="25">
      <formula>$K8=#REF!</formula>
    </cfRule>
    <cfRule type="expression" dxfId="832" priority="26">
      <formula>$K8=#REF!</formula>
    </cfRule>
    <cfRule type="expression" dxfId="831" priority="27">
      <formula>$K8=#REF!</formula>
    </cfRule>
    <cfRule type="expression" dxfId="830" priority="28">
      <formula>$K8=#REF!</formula>
    </cfRule>
    <cfRule type="expression" dxfId="829" priority="29">
      <formula>$K8=#REF!</formula>
    </cfRule>
  </conditionalFormatting>
  <dataValidations count="7">
    <dataValidation type="list" allowBlank="1" showInputMessage="1" showErrorMessage="1" sqref="M8:M9">
      <formula1>#REF!</formula1>
    </dataValidation>
    <dataValidation type="list" errorStyle="information" allowBlank="1" showInputMessage="1" promptTitle="Vyberte skupinu" prompt="Vyberte skupinu zakázky" sqref="K8:K9">
      <formula1>#REF!</formula1>
    </dataValidation>
    <dataValidation allowBlank="1" showInputMessage="1" showErrorMessage="1" prompt="Udávejte částku v Kč včetně DPH." sqref="C8:C9"/>
    <dataValidation allowBlank="1" showInputMessage="1" showErrorMessage="1" promptTitle="Stáří přístroje" prompt="Vyplňte pokud se jedná o obnovu." sqref="I8:I9"/>
    <dataValidation allowBlank="1" showInputMessage="1" showErrorMessage="1" promptTitle="Obor" prompt="Uveďte pro který obor NP bude přístroj využíván." sqref="J8:J9"/>
    <dataValidation type="list" allowBlank="1" showInputMessage="1" showErrorMessage="1" sqref="H8:H9">
      <formula1>$K$19:$K$20</formula1>
    </dataValidation>
    <dataValidation type="list" allowBlank="1" showInputMessage="1" showErrorMessage="1" sqref="G11:G12 F12:F42 D11:F11 D12:E35 G14:G42">
      <formula1>$N$20:$N$21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4"/>
  <sheetViews>
    <sheetView workbookViewId="0">
      <selection activeCell="A3" sqref="A3:C3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42.7109375" hidden="1" customWidth="1"/>
    <col min="12" max="12" width="26.42578125" customWidth="1"/>
    <col min="13" max="13" width="0.140625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217</v>
      </c>
    </row>
    <row r="7" spans="1:15" ht="60.75" customHeight="1" x14ac:dyDescent="0.25">
      <c r="A7" s="2" t="s">
        <v>0</v>
      </c>
      <c r="B7" s="48" t="s">
        <v>130</v>
      </c>
      <c r="C7" s="2" t="s">
        <v>126</v>
      </c>
      <c r="D7" s="2" t="s">
        <v>6</v>
      </c>
      <c r="E7" s="35" t="s">
        <v>127</v>
      </c>
      <c r="F7" s="36" t="s">
        <v>113</v>
      </c>
      <c r="G7" s="2" t="s">
        <v>150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21" t="s">
        <v>66</v>
      </c>
      <c r="B8" s="74"/>
      <c r="C8" s="5">
        <f>B8*(F8+1)</f>
        <v>0</v>
      </c>
      <c r="D8" s="73">
        <v>1</v>
      </c>
      <c r="E8" s="74">
        <f>Tabulka134333839[[#This Row],[ pořizovací cena / ks (v Kč bez DPH)]]*Tabulka134333839[[#This Row],[Počet kusů]]</f>
        <v>0</v>
      </c>
      <c r="F8" s="75">
        <v>0.21</v>
      </c>
      <c r="G8" s="12">
        <f>Tabulka134333839[[#This Row],[ pořizovací cena / ks (v Kč včetně DPH)]]*Tabulka134333839[[#This Row],[Počet kusů]]</f>
        <v>0</v>
      </c>
      <c r="H8" s="6"/>
      <c r="I8" s="6"/>
      <c r="J8" s="6" t="s">
        <v>90</v>
      </c>
      <c r="K8" s="76"/>
      <c r="L8" s="8"/>
      <c r="M8" s="47"/>
      <c r="N8" s="6"/>
      <c r="O8" s="6"/>
    </row>
    <row r="9" spans="1:15" x14ac:dyDescent="0.25">
      <c r="A9" s="6" t="s">
        <v>7</v>
      </c>
      <c r="B9" s="61"/>
      <c r="C9" s="62">
        <f>SUM(C8)</f>
        <v>0</v>
      </c>
      <c r="D9" s="6">
        <f>SUBTOTAL(109,Tabulka134333839[Počet kusů])</f>
        <v>1</v>
      </c>
      <c r="E9" s="62">
        <f>SUM(E8)</f>
        <v>0</v>
      </c>
      <c r="F9" s="63"/>
      <c r="G9" s="62">
        <f>SUM(G8)</f>
        <v>0</v>
      </c>
      <c r="H9" s="64" t="s">
        <v>8</v>
      </c>
      <c r="I9" s="64" t="s">
        <v>8</v>
      </c>
      <c r="J9" s="64" t="s">
        <v>8</v>
      </c>
      <c r="K9" s="64"/>
      <c r="L9" s="64"/>
      <c r="M9" s="1"/>
      <c r="N9" s="1"/>
      <c r="O9" s="1"/>
    </row>
    <row r="10" spans="1:15" x14ac:dyDescent="0.25">
      <c r="A10" s="6"/>
      <c r="B10" s="61"/>
      <c r="C10" s="6"/>
      <c r="D10" s="6"/>
      <c r="E10" s="65"/>
      <c r="F10" s="63"/>
      <c r="G10" s="6"/>
      <c r="H10" s="6"/>
      <c r="I10" s="6"/>
      <c r="J10" s="6"/>
      <c r="K10" s="6"/>
      <c r="L10" s="6"/>
    </row>
    <row r="11" spans="1:15" ht="15.75" x14ac:dyDescent="0.3">
      <c r="A11" s="6"/>
      <c r="B11" s="61"/>
      <c r="C11" s="6"/>
      <c r="D11" s="6"/>
      <c r="E11" s="65"/>
      <c r="F11" s="63"/>
      <c r="G11" s="6"/>
      <c r="H11" s="6"/>
      <c r="I11" s="6"/>
      <c r="J11" s="6"/>
      <c r="K11" s="77"/>
      <c r="L11" s="6"/>
    </row>
    <row r="12" spans="1:15" x14ac:dyDescent="0.25">
      <c r="A12" s="6"/>
      <c r="B12" s="61"/>
      <c r="C12" s="6"/>
      <c r="D12" s="6"/>
      <c r="E12" s="65"/>
      <c r="F12" s="63"/>
      <c r="G12" s="6"/>
      <c r="H12" s="6"/>
      <c r="I12" s="6"/>
      <c r="J12" s="6"/>
      <c r="K12" s="6"/>
      <c r="L12" s="6"/>
    </row>
    <row r="13" spans="1:15" x14ac:dyDescent="0.25">
      <c r="K13" s="30"/>
    </row>
    <row r="14" spans="1:15" ht="15.75" x14ac:dyDescent="0.3">
      <c r="K14" s="31"/>
    </row>
  </sheetData>
  <protectedRanges>
    <protectedRange sqref="K8:M8" name="Oblast1"/>
  </protectedRanges>
  <mergeCells count="4">
    <mergeCell ref="A3:C3"/>
    <mergeCell ref="D3:J3"/>
    <mergeCell ref="A4:C4"/>
    <mergeCell ref="D4:J4"/>
  </mergeCells>
  <conditionalFormatting sqref="D8:M8 A8:B8">
    <cfRule type="expression" dxfId="797" priority="88">
      <formula>$K8=#REF!</formula>
    </cfRule>
    <cfRule type="expression" dxfId="796" priority="89">
      <formula>$K8=#REF!</formula>
    </cfRule>
    <cfRule type="expression" dxfId="795" priority="90">
      <formula>$K8=#REF!</formula>
    </cfRule>
    <cfRule type="expression" dxfId="794" priority="91">
      <formula>$K8=#REF!</formula>
    </cfRule>
    <cfRule type="expression" dxfId="793" priority="92">
      <formula>$K8=#REF!</formula>
    </cfRule>
    <cfRule type="expression" dxfId="792" priority="93">
      <formula>$K8=#REF!</formula>
    </cfRule>
    <cfRule type="expression" dxfId="791" priority="94">
      <formula>$K8=#REF!</formula>
    </cfRule>
    <cfRule type="expression" dxfId="790" priority="95">
      <formula>$K8=#REF!</formula>
    </cfRule>
    <cfRule type="expression" dxfId="789" priority="96">
      <formula>$K8=#REF!</formula>
    </cfRule>
    <cfRule type="expression" dxfId="788" priority="97">
      <formula>$K8=#REF!</formula>
    </cfRule>
    <cfRule type="expression" dxfId="787" priority="98">
      <formula>$K8=#REF!</formula>
    </cfRule>
    <cfRule type="expression" dxfId="786" priority="99">
      <formula>$K8=#REF!</formula>
    </cfRule>
    <cfRule type="expression" dxfId="785" priority="100">
      <formula>$K8=#REF!</formula>
    </cfRule>
    <cfRule type="expression" dxfId="784" priority="101">
      <formula>$K8=#REF!</formula>
    </cfRule>
    <cfRule type="expression" dxfId="783" priority="102">
      <formula>$K8=#REF!</formula>
    </cfRule>
    <cfRule type="expression" dxfId="782" priority="103">
      <formula>$K8=#REF!</formula>
    </cfRule>
    <cfRule type="expression" dxfId="781" priority="104">
      <formula>$K8=#REF!</formula>
    </cfRule>
    <cfRule type="expression" dxfId="780" priority="105">
      <formula>$K8=#REF!</formula>
    </cfRule>
    <cfRule type="expression" dxfId="779" priority="106">
      <formula>$K8=#REF!</formula>
    </cfRule>
    <cfRule type="expression" dxfId="778" priority="107">
      <formula>$K8=#REF!</formula>
    </cfRule>
    <cfRule type="expression" dxfId="777" priority="108">
      <formula>$K8=#REF!</formula>
    </cfRule>
    <cfRule type="expression" dxfId="776" priority="109">
      <formula>$K8=#REF!</formula>
    </cfRule>
    <cfRule type="expression" dxfId="775" priority="110">
      <formula>$K8=#REF!</formula>
    </cfRule>
    <cfRule type="expression" dxfId="774" priority="111">
      <formula>$K8=#REF!</formula>
    </cfRule>
    <cfRule type="expression" dxfId="773" priority="112">
      <formula>$K8=#REF!</formula>
    </cfRule>
    <cfRule type="expression" dxfId="772" priority="113">
      <formula>$K8=#REF!</formula>
    </cfRule>
    <cfRule type="expression" dxfId="771" priority="114">
      <formula>$K8=#REF!</formula>
    </cfRule>
    <cfRule type="expression" dxfId="770" priority="115">
      <formula>$K8=#REF!</formula>
    </cfRule>
    <cfRule type="expression" dxfId="769" priority="116">
      <formula>$K8=#REF!</formula>
    </cfRule>
  </conditionalFormatting>
  <conditionalFormatting sqref="C8">
    <cfRule type="expression" dxfId="768" priority="59">
      <formula>$K8=#REF!</formula>
    </cfRule>
    <cfRule type="expression" dxfId="767" priority="60">
      <formula>$K8=#REF!</formula>
    </cfRule>
    <cfRule type="expression" dxfId="766" priority="61">
      <formula>$K8=#REF!</formula>
    </cfRule>
    <cfRule type="expression" dxfId="765" priority="62">
      <formula>$K8=#REF!</formula>
    </cfRule>
    <cfRule type="expression" dxfId="764" priority="63">
      <formula>$K8=#REF!</formula>
    </cfRule>
    <cfRule type="expression" dxfId="763" priority="64">
      <formula>$K8=#REF!</formula>
    </cfRule>
    <cfRule type="expression" dxfId="762" priority="65">
      <formula>$K8=#REF!</formula>
    </cfRule>
    <cfRule type="expression" dxfId="761" priority="66">
      <formula>$K8=#REF!</formula>
    </cfRule>
    <cfRule type="expression" dxfId="760" priority="67">
      <formula>$K8=#REF!</formula>
    </cfRule>
    <cfRule type="expression" dxfId="759" priority="68">
      <formula>$K8=#REF!</formula>
    </cfRule>
    <cfRule type="expression" dxfId="758" priority="69">
      <formula>$K8=#REF!</formula>
    </cfRule>
    <cfRule type="expression" dxfId="757" priority="70">
      <formula>$K8=#REF!</formula>
    </cfRule>
    <cfRule type="expression" dxfId="756" priority="71">
      <formula>$K8=#REF!</formula>
    </cfRule>
    <cfRule type="expression" dxfId="755" priority="72">
      <formula>$K8=#REF!</formula>
    </cfRule>
    <cfRule type="expression" dxfId="754" priority="73">
      <formula>$K8=#REF!</formula>
    </cfRule>
    <cfRule type="expression" dxfId="753" priority="74">
      <formula>$K8=#REF!</formula>
    </cfRule>
    <cfRule type="expression" dxfId="752" priority="75">
      <formula>$K8=#REF!</formula>
    </cfRule>
    <cfRule type="expression" dxfId="751" priority="76">
      <formula>$K8=#REF!</formula>
    </cfRule>
    <cfRule type="expression" dxfId="750" priority="77">
      <formula>$K8=#REF!</formula>
    </cfRule>
    <cfRule type="expression" dxfId="749" priority="78">
      <formula>$K8=#REF!</formula>
    </cfRule>
    <cfRule type="expression" dxfId="748" priority="79">
      <formula>$K8=#REF!</formula>
    </cfRule>
    <cfRule type="expression" dxfId="747" priority="80">
      <formula>$K8=#REF!</formula>
    </cfRule>
    <cfRule type="expression" dxfId="746" priority="81">
      <formula>$K8=#REF!</formula>
    </cfRule>
    <cfRule type="expression" dxfId="745" priority="82">
      <formula>$K8=#REF!</formula>
    </cfRule>
    <cfRule type="expression" dxfId="744" priority="83">
      <formula>$K8=#REF!</formula>
    </cfRule>
    <cfRule type="expression" dxfId="743" priority="84">
      <formula>$K8=#REF!</formula>
    </cfRule>
    <cfRule type="expression" dxfId="742" priority="85">
      <formula>$K8=#REF!</formula>
    </cfRule>
    <cfRule type="expression" dxfId="741" priority="86">
      <formula>$K8=#REF!</formula>
    </cfRule>
    <cfRule type="expression" dxfId="740" priority="87">
      <formula>$K8=#REF!</formula>
    </cfRule>
  </conditionalFormatting>
  <dataValidations count="7">
    <dataValidation type="list" allowBlank="1" showInputMessage="1" showErrorMessage="1" sqref="G10:G11 G13:G41 D11:E34 D10:F10 F11:F41">
      <formula1>$N$19:$N$20</formula1>
    </dataValidation>
    <dataValidation type="list" allowBlank="1" showInputMessage="1" showErrorMessage="1" sqref="H8">
      <formula1>$K$18:$K$19</formula1>
    </dataValidation>
    <dataValidation allowBlank="1" showInputMessage="1" showErrorMessage="1" promptTitle="Obor" prompt="Uveďte pro který obor NP bude přístroj využíván." sqref="J8"/>
    <dataValidation allowBlank="1" showInputMessage="1" showErrorMessage="1" promptTitle="Stáří přístroje" prompt="Vyplňte pokud se jedná o obnovu." sqref="I8"/>
    <dataValidation allowBlank="1" showInputMessage="1" showErrorMessage="1" prompt="Udávejte částku v Kč včetně DPH." sqref="C8"/>
    <dataValidation type="list" errorStyle="information" allowBlank="1" showInputMessage="1" promptTitle="Vyberte skupinu" prompt="Vyberte skupinu zakázky" sqref="K8">
      <formula1>#REF!</formula1>
    </dataValidation>
    <dataValidation type="list" allowBlank="1" showInputMessage="1" showErrorMessage="1" sqref="M8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4"/>
  <sheetViews>
    <sheetView workbookViewId="0">
      <selection activeCell="B25" sqref="B25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42.7109375" hidden="1" customWidth="1"/>
    <col min="12" max="12" width="26.42578125" customWidth="1"/>
    <col min="13" max="13" width="0.140625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216</v>
      </c>
    </row>
    <row r="7" spans="1:15" ht="60.75" customHeight="1" x14ac:dyDescent="0.25">
      <c r="A7" s="2" t="s">
        <v>0</v>
      </c>
      <c r="B7" s="48" t="s">
        <v>130</v>
      </c>
      <c r="C7" s="2" t="s">
        <v>126</v>
      </c>
      <c r="D7" s="2" t="s">
        <v>6</v>
      </c>
      <c r="E7" s="35" t="s">
        <v>127</v>
      </c>
      <c r="F7" s="36" t="s">
        <v>113</v>
      </c>
      <c r="G7" s="2" t="s">
        <v>150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21" t="s">
        <v>205</v>
      </c>
      <c r="B8" s="74"/>
      <c r="C8" s="5">
        <f>B8*(F8+1)</f>
        <v>0</v>
      </c>
      <c r="D8" s="73">
        <v>2</v>
      </c>
      <c r="E8" s="74">
        <f>Tabulka1343340[[#This Row],[ pořizovací cena / ks (v Kč bez DPH)]]*Tabulka1343340[[#This Row],[Počet kusů]]</f>
        <v>0</v>
      </c>
      <c r="F8" s="75">
        <v>0.21</v>
      </c>
      <c r="G8" s="12">
        <f>Tabulka1343340[[#This Row],[ pořizovací cena / ks (v Kč včetně DPH)]]*Tabulka1343340[[#This Row],[Počet kusů]]</f>
        <v>0</v>
      </c>
      <c r="H8" s="6"/>
      <c r="I8" s="6"/>
      <c r="J8" s="6" t="s">
        <v>90</v>
      </c>
      <c r="K8" s="76"/>
      <c r="L8" s="8"/>
      <c r="M8" s="47"/>
      <c r="N8" s="6"/>
      <c r="O8" s="6"/>
    </row>
    <row r="9" spans="1:15" x14ac:dyDescent="0.25">
      <c r="A9" s="6" t="s">
        <v>7</v>
      </c>
      <c r="B9" s="61"/>
      <c r="C9" s="62">
        <f>SUM(C8)</f>
        <v>0</v>
      </c>
      <c r="D9" s="6">
        <f>SUBTOTAL(109,Tabulka1343340[Počet kusů])</f>
        <v>2</v>
      </c>
      <c r="E9" s="62">
        <f>SUM(E8)</f>
        <v>0</v>
      </c>
      <c r="F9" s="63"/>
      <c r="G9" s="62">
        <f>SUM(G8)</f>
        <v>0</v>
      </c>
      <c r="H9" s="64" t="s">
        <v>8</v>
      </c>
      <c r="I9" s="64" t="s">
        <v>8</v>
      </c>
      <c r="J9" s="64" t="s">
        <v>8</v>
      </c>
      <c r="K9" s="64"/>
      <c r="L9" s="64"/>
      <c r="M9" s="1"/>
      <c r="N9" s="1"/>
      <c r="O9" s="1"/>
    </row>
    <row r="10" spans="1:15" x14ac:dyDescent="0.25">
      <c r="A10" s="6"/>
      <c r="B10" s="61"/>
      <c r="C10" s="6"/>
      <c r="D10" s="6"/>
      <c r="E10" s="65"/>
      <c r="F10" s="63"/>
      <c r="G10" s="6"/>
      <c r="H10" s="6"/>
      <c r="I10" s="6"/>
      <c r="J10" s="6"/>
      <c r="K10" s="6"/>
      <c r="L10" s="6"/>
    </row>
    <row r="11" spans="1:15" ht="15.75" x14ac:dyDescent="0.3">
      <c r="A11" s="6"/>
      <c r="B11" s="61"/>
      <c r="C11" s="6"/>
      <c r="D11" s="6"/>
      <c r="E11" s="65"/>
      <c r="F11" s="63"/>
      <c r="G11" s="6"/>
      <c r="H11" s="6"/>
      <c r="I11" s="6"/>
      <c r="J11" s="6"/>
      <c r="K11" s="77"/>
      <c r="L11" s="6"/>
    </row>
    <row r="12" spans="1:15" x14ac:dyDescent="0.25">
      <c r="A12" s="6"/>
      <c r="B12" s="61"/>
      <c r="C12" s="6"/>
      <c r="D12" s="6"/>
      <c r="E12" s="65"/>
      <c r="F12" s="63"/>
      <c r="G12" s="6"/>
      <c r="H12" s="6"/>
      <c r="I12" s="6"/>
      <c r="J12" s="6"/>
      <c r="K12" s="6"/>
      <c r="L12" s="6"/>
    </row>
    <row r="13" spans="1:15" x14ac:dyDescent="0.25">
      <c r="K13" s="30"/>
    </row>
    <row r="14" spans="1:15" ht="15.75" x14ac:dyDescent="0.3">
      <c r="K14" s="31"/>
    </row>
  </sheetData>
  <protectedRanges>
    <protectedRange sqref="K8:M8" name="Oblast1"/>
  </protectedRanges>
  <mergeCells count="4">
    <mergeCell ref="A3:C3"/>
    <mergeCell ref="D3:J3"/>
    <mergeCell ref="A4:C4"/>
    <mergeCell ref="D4:J4"/>
  </mergeCells>
  <conditionalFormatting sqref="A8:B8 D8:M8">
    <cfRule type="expression" dxfId="708" priority="30">
      <formula>$K8=#REF!</formula>
    </cfRule>
    <cfRule type="expression" dxfId="707" priority="31">
      <formula>$K8=#REF!</formula>
    </cfRule>
    <cfRule type="expression" dxfId="706" priority="32">
      <formula>$K8=#REF!</formula>
    </cfRule>
    <cfRule type="expression" dxfId="705" priority="33">
      <formula>$K8=#REF!</formula>
    </cfRule>
    <cfRule type="expression" dxfId="704" priority="34">
      <formula>$K8=#REF!</formula>
    </cfRule>
    <cfRule type="expression" dxfId="703" priority="35">
      <formula>$K8=#REF!</formula>
    </cfRule>
    <cfRule type="expression" dxfId="702" priority="36">
      <formula>$K8=#REF!</formula>
    </cfRule>
    <cfRule type="expression" dxfId="701" priority="37">
      <formula>$K8=#REF!</formula>
    </cfRule>
    <cfRule type="expression" dxfId="700" priority="38">
      <formula>$K8=#REF!</formula>
    </cfRule>
    <cfRule type="expression" dxfId="699" priority="39">
      <formula>$K8=#REF!</formula>
    </cfRule>
    <cfRule type="expression" dxfId="698" priority="40">
      <formula>$K8=#REF!</formula>
    </cfRule>
    <cfRule type="expression" dxfId="697" priority="41">
      <formula>$K8=#REF!</formula>
    </cfRule>
    <cfRule type="expression" dxfId="696" priority="42">
      <formula>$K8=#REF!</formula>
    </cfRule>
    <cfRule type="expression" dxfId="695" priority="43">
      <formula>$K8=#REF!</formula>
    </cfRule>
    <cfRule type="expression" dxfId="694" priority="44">
      <formula>$K8=#REF!</formula>
    </cfRule>
    <cfRule type="expression" dxfId="693" priority="45">
      <formula>$K8=#REF!</formula>
    </cfRule>
    <cfRule type="expression" dxfId="692" priority="46">
      <formula>$K8=#REF!</formula>
    </cfRule>
    <cfRule type="expression" dxfId="691" priority="47">
      <formula>$K8=#REF!</formula>
    </cfRule>
    <cfRule type="expression" dxfId="690" priority="48">
      <formula>$K8=#REF!</formula>
    </cfRule>
    <cfRule type="expression" dxfId="689" priority="49">
      <formula>$K8=#REF!</formula>
    </cfRule>
    <cfRule type="expression" dxfId="688" priority="50">
      <formula>$K8=#REF!</formula>
    </cfRule>
    <cfRule type="expression" dxfId="687" priority="51">
      <formula>$K8=#REF!</formula>
    </cfRule>
    <cfRule type="expression" dxfId="686" priority="52">
      <formula>$K8=#REF!</formula>
    </cfRule>
    <cfRule type="expression" dxfId="685" priority="53">
      <formula>$K8=#REF!</formula>
    </cfRule>
    <cfRule type="expression" dxfId="684" priority="54">
      <formula>$K8=#REF!</formula>
    </cfRule>
    <cfRule type="expression" dxfId="683" priority="55">
      <formula>$K8=#REF!</formula>
    </cfRule>
    <cfRule type="expression" dxfId="682" priority="56">
      <formula>$K8=#REF!</formula>
    </cfRule>
    <cfRule type="expression" dxfId="681" priority="57">
      <formula>$K8=#REF!</formula>
    </cfRule>
    <cfRule type="expression" dxfId="680" priority="58">
      <formula>$K8=#REF!</formula>
    </cfRule>
  </conditionalFormatting>
  <conditionalFormatting sqref="C8">
    <cfRule type="expression" dxfId="679" priority="1">
      <formula>$K8=#REF!</formula>
    </cfRule>
    <cfRule type="expression" dxfId="678" priority="2">
      <formula>$K8=#REF!</formula>
    </cfRule>
    <cfRule type="expression" dxfId="677" priority="3">
      <formula>$K8=#REF!</formula>
    </cfRule>
    <cfRule type="expression" dxfId="676" priority="4">
      <formula>$K8=#REF!</formula>
    </cfRule>
    <cfRule type="expression" dxfId="675" priority="5">
      <formula>$K8=#REF!</formula>
    </cfRule>
    <cfRule type="expression" dxfId="674" priority="6">
      <formula>$K8=#REF!</formula>
    </cfRule>
    <cfRule type="expression" dxfId="673" priority="7">
      <formula>$K8=#REF!</formula>
    </cfRule>
    <cfRule type="expression" dxfId="672" priority="8">
      <formula>$K8=#REF!</formula>
    </cfRule>
    <cfRule type="expression" dxfId="671" priority="9">
      <formula>$K8=#REF!</formula>
    </cfRule>
    <cfRule type="expression" dxfId="670" priority="10">
      <formula>$K8=#REF!</formula>
    </cfRule>
    <cfRule type="expression" dxfId="669" priority="11">
      <formula>$K8=#REF!</formula>
    </cfRule>
    <cfRule type="expression" dxfId="668" priority="12">
      <formula>$K8=#REF!</formula>
    </cfRule>
    <cfRule type="expression" dxfId="667" priority="13">
      <formula>$K8=#REF!</formula>
    </cfRule>
    <cfRule type="expression" dxfId="666" priority="14">
      <formula>$K8=#REF!</formula>
    </cfRule>
    <cfRule type="expression" dxfId="665" priority="15">
      <formula>$K8=#REF!</formula>
    </cfRule>
    <cfRule type="expression" dxfId="664" priority="16">
      <formula>$K8=#REF!</formula>
    </cfRule>
    <cfRule type="expression" dxfId="663" priority="17">
      <formula>$K8=#REF!</formula>
    </cfRule>
    <cfRule type="expression" dxfId="662" priority="18">
      <formula>$K8=#REF!</formula>
    </cfRule>
    <cfRule type="expression" dxfId="661" priority="19">
      <formula>$K8=#REF!</formula>
    </cfRule>
    <cfRule type="expression" dxfId="660" priority="20">
      <formula>$K8=#REF!</formula>
    </cfRule>
    <cfRule type="expression" dxfId="659" priority="21">
      <formula>$K8=#REF!</formula>
    </cfRule>
    <cfRule type="expression" dxfId="658" priority="22">
      <formula>$K8=#REF!</formula>
    </cfRule>
    <cfRule type="expression" dxfId="657" priority="23">
      <formula>$K8=#REF!</formula>
    </cfRule>
    <cfRule type="expression" dxfId="656" priority="24">
      <formula>$K8=#REF!</formula>
    </cfRule>
    <cfRule type="expression" dxfId="655" priority="25">
      <formula>$K8=#REF!</formula>
    </cfRule>
    <cfRule type="expression" dxfId="654" priority="26">
      <formula>$K8=#REF!</formula>
    </cfRule>
    <cfRule type="expression" dxfId="653" priority="27">
      <formula>$K8=#REF!</formula>
    </cfRule>
    <cfRule type="expression" dxfId="652" priority="28">
      <formula>$K8=#REF!</formula>
    </cfRule>
    <cfRule type="expression" dxfId="651" priority="29">
      <formula>$K8=#REF!</formula>
    </cfRule>
  </conditionalFormatting>
  <dataValidations count="7">
    <dataValidation type="list" allowBlank="1" showInputMessage="1" showErrorMessage="1" sqref="M8">
      <formula1>#REF!</formula1>
    </dataValidation>
    <dataValidation type="list" errorStyle="information" allowBlank="1" showInputMessage="1" promptTitle="Vyberte skupinu" prompt="Vyberte skupinu zakázky" sqref="K8">
      <formula1>#REF!</formula1>
    </dataValidation>
    <dataValidation allowBlank="1" showInputMessage="1" showErrorMessage="1" prompt="Udávejte částku v Kč včetně DPH." sqref="C8"/>
    <dataValidation allowBlank="1" showInputMessage="1" showErrorMessage="1" promptTitle="Stáří přístroje" prompt="Vyplňte pokud se jedná o obnovu." sqref="I8"/>
    <dataValidation allowBlank="1" showInputMessage="1" showErrorMessage="1" promptTitle="Obor" prompt="Uveďte pro který obor NP bude přístroj využíván." sqref="J8"/>
    <dataValidation type="list" allowBlank="1" showInputMessage="1" showErrorMessage="1" sqref="H8">
      <formula1>$K$18:$K$19</formula1>
    </dataValidation>
    <dataValidation type="list" allowBlank="1" showInputMessage="1" showErrorMessage="1" sqref="G10:G11 G13:G41 D11:E34 D10:F10 F11:F41">
      <formula1>$N$19:$N$20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4"/>
  <sheetViews>
    <sheetView workbookViewId="0">
      <selection activeCell="A14" sqref="A14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42.7109375" hidden="1" customWidth="1"/>
    <col min="12" max="12" width="26.42578125" customWidth="1"/>
    <col min="13" max="13" width="0.140625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215</v>
      </c>
    </row>
    <row r="7" spans="1:15" ht="60.75" customHeight="1" x14ac:dyDescent="0.25">
      <c r="A7" s="2" t="s">
        <v>0</v>
      </c>
      <c r="B7" s="48" t="s">
        <v>130</v>
      </c>
      <c r="C7" s="2" t="s">
        <v>126</v>
      </c>
      <c r="D7" s="2" t="s">
        <v>6</v>
      </c>
      <c r="E7" s="35" t="s">
        <v>127</v>
      </c>
      <c r="F7" s="36" t="s">
        <v>113</v>
      </c>
      <c r="G7" s="2" t="s">
        <v>150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21" t="s">
        <v>117</v>
      </c>
      <c r="B8" s="74"/>
      <c r="C8" s="5">
        <f>B8*(F8+1)</f>
        <v>0</v>
      </c>
      <c r="D8" s="73">
        <v>1</v>
      </c>
      <c r="E8" s="74">
        <f>Tabulka1343341[[#This Row],[ pořizovací cena / ks (v Kč bez DPH)]]*Tabulka1343341[[#This Row],[Počet kusů]]</f>
        <v>0</v>
      </c>
      <c r="F8" s="75">
        <v>0.21</v>
      </c>
      <c r="G8" s="12">
        <f>Tabulka1343341[[#This Row],[ pořizovací cena / ks (v Kč včetně DPH)]]*Tabulka1343341[[#This Row],[Počet kusů]]</f>
        <v>0</v>
      </c>
      <c r="H8" s="6"/>
      <c r="I8" s="6"/>
      <c r="J8" s="6" t="s">
        <v>90</v>
      </c>
      <c r="K8" s="76"/>
      <c r="L8" s="8"/>
      <c r="M8" s="47"/>
      <c r="N8" s="6"/>
      <c r="O8" s="6"/>
    </row>
    <row r="9" spans="1:15" x14ac:dyDescent="0.25">
      <c r="A9" s="6" t="s">
        <v>7</v>
      </c>
      <c r="B9" s="61"/>
      <c r="C9" s="62">
        <f>SUM(C8)</f>
        <v>0</v>
      </c>
      <c r="D9" s="6">
        <f>SUBTOTAL(109,Tabulka1343341[Počet kusů])</f>
        <v>1</v>
      </c>
      <c r="E9" s="62">
        <f>SUM(E8)</f>
        <v>0</v>
      </c>
      <c r="F9" s="63"/>
      <c r="G9" s="62">
        <f>SUM(G8)</f>
        <v>0</v>
      </c>
      <c r="H9" s="64" t="s">
        <v>8</v>
      </c>
      <c r="I9" s="64" t="s">
        <v>8</v>
      </c>
      <c r="J9" s="64" t="s">
        <v>8</v>
      </c>
      <c r="K9" s="64"/>
      <c r="L9" s="64"/>
      <c r="M9" s="1"/>
      <c r="N9" s="1"/>
      <c r="O9" s="1"/>
    </row>
    <row r="10" spans="1:15" x14ac:dyDescent="0.25">
      <c r="A10" s="6"/>
      <c r="B10" s="61"/>
      <c r="C10" s="6"/>
      <c r="D10" s="6"/>
      <c r="E10" s="65"/>
      <c r="F10" s="63"/>
      <c r="G10" s="6"/>
      <c r="H10" s="6"/>
      <c r="I10" s="6"/>
      <c r="J10" s="6"/>
      <c r="K10" s="6"/>
      <c r="L10" s="6"/>
    </row>
    <row r="11" spans="1:15" ht="15.75" x14ac:dyDescent="0.3">
      <c r="A11" s="6"/>
      <c r="B11" s="61"/>
      <c r="C11" s="6"/>
      <c r="D11" s="6"/>
      <c r="E11" s="65"/>
      <c r="F11" s="63"/>
      <c r="G11" s="6"/>
      <c r="H11" s="6"/>
      <c r="I11" s="6"/>
      <c r="J11" s="6"/>
      <c r="K11" s="77"/>
      <c r="L11" s="6"/>
    </row>
    <row r="12" spans="1:15" x14ac:dyDescent="0.25">
      <c r="A12" s="6"/>
      <c r="B12" s="61"/>
      <c r="C12" s="6"/>
      <c r="D12" s="6"/>
      <c r="E12" s="65"/>
      <c r="F12" s="63"/>
      <c r="G12" s="6"/>
      <c r="H12" s="6"/>
      <c r="I12" s="6"/>
      <c r="J12" s="6"/>
      <c r="K12" s="6"/>
      <c r="L12" s="6"/>
    </row>
    <row r="13" spans="1:15" x14ac:dyDescent="0.25">
      <c r="K13" s="30"/>
    </row>
    <row r="14" spans="1:15" ht="15.75" x14ac:dyDescent="0.3">
      <c r="K14" s="31"/>
    </row>
  </sheetData>
  <protectedRanges>
    <protectedRange sqref="K8:M8" name="Oblast1"/>
  </protectedRanges>
  <mergeCells count="4">
    <mergeCell ref="A3:C3"/>
    <mergeCell ref="D3:J3"/>
    <mergeCell ref="A4:C4"/>
    <mergeCell ref="D4:J4"/>
  </mergeCells>
  <conditionalFormatting sqref="A8:B8 D8:M8">
    <cfRule type="expression" dxfId="619" priority="30">
      <formula>$K8=#REF!</formula>
    </cfRule>
    <cfRule type="expression" dxfId="618" priority="31">
      <formula>$K8=#REF!</formula>
    </cfRule>
    <cfRule type="expression" dxfId="617" priority="32">
      <formula>$K8=#REF!</formula>
    </cfRule>
    <cfRule type="expression" dxfId="616" priority="33">
      <formula>$K8=#REF!</formula>
    </cfRule>
    <cfRule type="expression" dxfId="615" priority="34">
      <formula>$K8=#REF!</formula>
    </cfRule>
    <cfRule type="expression" dxfId="614" priority="35">
      <formula>$K8=#REF!</formula>
    </cfRule>
    <cfRule type="expression" dxfId="613" priority="36">
      <formula>$K8=#REF!</formula>
    </cfRule>
    <cfRule type="expression" dxfId="612" priority="37">
      <formula>$K8=#REF!</formula>
    </cfRule>
    <cfRule type="expression" dxfId="611" priority="38">
      <formula>$K8=#REF!</formula>
    </cfRule>
    <cfRule type="expression" dxfId="610" priority="39">
      <formula>$K8=#REF!</formula>
    </cfRule>
    <cfRule type="expression" dxfId="609" priority="40">
      <formula>$K8=#REF!</formula>
    </cfRule>
    <cfRule type="expression" dxfId="608" priority="41">
      <formula>$K8=#REF!</formula>
    </cfRule>
    <cfRule type="expression" dxfId="607" priority="42">
      <formula>$K8=#REF!</formula>
    </cfRule>
    <cfRule type="expression" dxfId="606" priority="43">
      <formula>$K8=#REF!</formula>
    </cfRule>
    <cfRule type="expression" dxfId="605" priority="44">
      <formula>$K8=#REF!</formula>
    </cfRule>
    <cfRule type="expression" dxfId="604" priority="45">
      <formula>$K8=#REF!</formula>
    </cfRule>
    <cfRule type="expression" dxfId="603" priority="46">
      <formula>$K8=#REF!</formula>
    </cfRule>
    <cfRule type="expression" dxfId="602" priority="47">
      <formula>$K8=#REF!</formula>
    </cfRule>
    <cfRule type="expression" dxfId="601" priority="48">
      <formula>$K8=#REF!</formula>
    </cfRule>
    <cfRule type="expression" dxfId="600" priority="49">
      <formula>$K8=#REF!</formula>
    </cfRule>
    <cfRule type="expression" dxfId="599" priority="50">
      <formula>$K8=#REF!</formula>
    </cfRule>
    <cfRule type="expression" dxfId="598" priority="51">
      <formula>$K8=#REF!</formula>
    </cfRule>
    <cfRule type="expression" dxfId="597" priority="52">
      <formula>$K8=#REF!</formula>
    </cfRule>
    <cfRule type="expression" dxfId="596" priority="53">
      <formula>$K8=#REF!</formula>
    </cfRule>
    <cfRule type="expression" dxfId="595" priority="54">
      <formula>$K8=#REF!</formula>
    </cfRule>
    <cfRule type="expression" dxfId="594" priority="55">
      <formula>$K8=#REF!</formula>
    </cfRule>
    <cfRule type="expression" dxfId="593" priority="56">
      <formula>$K8=#REF!</formula>
    </cfRule>
    <cfRule type="expression" dxfId="592" priority="57">
      <formula>$K8=#REF!</formula>
    </cfRule>
    <cfRule type="expression" dxfId="591" priority="58">
      <formula>$K8=#REF!</formula>
    </cfRule>
  </conditionalFormatting>
  <conditionalFormatting sqref="C8">
    <cfRule type="expression" dxfId="590" priority="1">
      <formula>$K8=#REF!</formula>
    </cfRule>
    <cfRule type="expression" dxfId="589" priority="2">
      <formula>$K8=#REF!</formula>
    </cfRule>
    <cfRule type="expression" dxfId="588" priority="3">
      <formula>$K8=#REF!</formula>
    </cfRule>
    <cfRule type="expression" dxfId="587" priority="4">
      <formula>$K8=#REF!</formula>
    </cfRule>
    <cfRule type="expression" dxfId="586" priority="5">
      <formula>$K8=#REF!</formula>
    </cfRule>
    <cfRule type="expression" dxfId="585" priority="6">
      <formula>$K8=#REF!</formula>
    </cfRule>
    <cfRule type="expression" dxfId="584" priority="7">
      <formula>$K8=#REF!</formula>
    </cfRule>
    <cfRule type="expression" dxfId="583" priority="8">
      <formula>$K8=#REF!</formula>
    </cfRule>
    <cfRule type="expression" dxfId="582" priority="9">
      <formula>$K8=#REF!</formula>
    </cfRule>
    <cfRule type="expression" dxfId="581" priority="10">
      <formula>$K8=#REF!</formula>
    </cfRule>
    <cfRule type="expression" dxfId="580" priority="11">
      <formula>$K8=#REF!</formula>
    </cfRule>
    <cfRule type="expression" dxfId="579" priority="12">
      <formula>$K8=#REF!</formula>
    </cfRule>
    <cfRule type="expression" dxfId="578" priority="13">
      <formula>$K8=#REF!</formula>
    </cfRule>
    <cfRule type="expression" dxfId="577" priority="14">
      <formula>$K8=#REF!</formula>
    </cfRule>
    <cfRule type="expression" dxfId="576" priority="15">
      <formula>$K8=#REF!</formula>
    </cfRule>
    <cfRule type="expression" dxfId="575" priority="16">
      <formula>$K8=#REF!</formula>
    </cfRule>
    <cfRule type="expression" dxfId="574" priority="17">
      <formula>$K8=#REF!</formula>
    </cfRule>
    <cfRule type="expression" dxfId="573" priority="18">
      <formula>$K8=#REF!</formula>
    </cfRule>
    <cfRule type="expression" dxfId="572" priority="19">
      <formula>$K8=#REF!</formula>
    </cfRule>
    <cfRule type="expression" dxfId="571" priority="20">
      <formula>$K8=#REF!</formula>
    </cfRule>
    <cfRule type="expression" dxfId="570" priority="21">
      <formula>$K8=#REF!</formula>
    </cfRule>
    <cfRule type="expression" dxfId="569" priority="22">
      <formula>$K8=#REF!</formula>
    </cfRule>
    <cfRule type="expression" dxfId="568" priority="23">
      <formula>$K8=#REF!</formula>
    </cfRule>
    <cfRule type="expression" dxfId="567" priority="24">
      <formula>$K8=#REF!</formula>
    </cfRule>
    <cfRule type="expression" dxfId="566" priority="25">
      <formula>$K8=#REF!</formula>
    </cfRule>
    <cfRule type="expression" dxfId="565" priority="26">
      <formula>$K8=#REF!</formula>
    </cfRule>
    <cfRule type="expression" dxfId="564" priority="27">
      <formula>$K8=#REF!</formula>
    </cfRule>
    <cfRule type="expression" dxfId="563" priority="28">
      <formula>$K8=#REF!</formula>
    </cfRule>
    <cfRule type="expression" dxfId="562" priority="29">
      <formula>$K8=#REF!</formula>
    </cfRule>
  </conditionalFormatting>
  <dataValidations count="7">
    <dataValidation type="list" allowBlank="1" showInputMessage="1" showErrorMessage="1" sqref="M8">
      <formula1>#REF!</formula1>
    </dataValidation>
    <dataValidation type="list" errorStyle="information" allowBlank="1" showInputMessage="1" promptTitle="Vyberte skupinu" prompt="Vyberte skupinu zakázky" sqref="K8">
      <formula1>#REF!</formula1>
    </dataValidation>
    <dataValidation allowBlank="1" showInputMessage="1" showErrorMessage="1" prompt="Udávejte částku v Kč včetně DPH." sqref="C8"/>
    <dataValidation allowBlank="1" showInputMessage="1" showErrorMessage="1" promptTitle="Stáří přístroje" prompt="Vyplňte pokud se jedná o obnovu." sqref="I8"/>
    <dataValidation allowBlank="1" showInputMessage="1" showErrorMessage="1" promptTitle="Obor" prompt="Uveďte pro který obor NP bude přístroj využíván." sqref="J8"/>
    <dataValidation type="list" allowBlank="1" showInputMessage="1" showErrorMessage="1" sqref="H8">
      <formula1>$K$18:$K$19</formula1>
    </dataValidation>
    <dataValidation type="list" allowBlank="1" showInputMessage="1" showErrorMessage="1" sqref="G10:G11 G13:G41 D11:E34 D10:F10 F11:F41">
      <formula1>$N$19:$N$20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4"/>
  <sheetViews>
    <sheetView tabSelected="1" workbookViewId="0">
      <selection activeCell="E15" sqref="E15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42.7109375" hidden="1" customWidth="1"/>
    <col min="12" max="12" width="26.42578125" customWidth="1"/>
    <col min="13" max="13" width="0.140625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214</v>
      </c>
    </row>
    <row r="7" spans="1:15" ht="60.75" customHeight="1" x14ac:dyDescent="0.25">
      <c r="A7" s="2" t="s">
        <v>0</v>
      </c>
      <c r="B7" s="48" t="s">
        <v>130</v>
      </c>
      <c r="C7" s="2" t="s">
        <v>126</v>
      </c>
      <c r="D7" s="2" t="s">
        <v>6</v>
      </c>
      <c r="E7" s="35" t="s">
        <v>127</v>
      </c>
      <c r="F7" s="36" t="s">
        <v>113</v>
      </c>
      <c r="G7" s="2" t="s">
        <v>150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21" t="s">
        <v>232</v>
      </c>
      <c r="B8" s="74"/>
      <c r="C8" s="5">
        <f>B8*(F8+1)</f>
        <v>0</v>
      </c>
      <c r="D8" s="73">
        <v>1</v>
      </c>
      <c r="E8" s="74">
        <f>Tabulka1343342[[#This Row],[ pořizovací cena / ks (v Kč bez DPH)]]*Tabulka1343342[[#This Row],[Počet kusů]]</f>
        <v>0</v>
      </c>
      <c r="F8" s="75">
        <v>0.21</v>
      </c>
      <c r="G8" s="12">
        <f>Tabulka1343342[[#This Row],[ pořizovací cena / ks (v Kč včetně DPH)]]*Tabulka1343342[[#This Row],[Počet kusů]]</f>
        <v>0</v>
      </c>
      <c r="H8" s="6"/>
      <c r="I8" s="6"/>
      <c r="J8" s="6" t="s">
        <v>90</v>
      </c>
      <c r="K8" s="76"/>
      <c r="L8" s="8"/>
      <c r="M8" s="47"/>
      <c r="N8" s="6"/>
      <c r="O8" s="6"/>
    </row>
    <row r="9" spans="1:15" x14ac:dyDescent="0.25">
      <c r="A9" s="6" t="s">
        <v>7</v>
      </c>
      <c r="B9" s="61"/>
      <c r="C9" s="62">
        <f>SUM(C8)</f>
        <v>0</v>
      </c>
      <c r="D9" s="6">
        <f>SUBTOTAL(109,Tabulka1343342[Počet kusů])</f>
        <v>1</v>
      </c>
      <c r="E9" s="62">
        <f>SUM(E8)</f>
        <v>0</v>
      </c>
      <c r="F9" s="63"/>
      <c r="G9" s="62">
        <f>SUM(G8)</f>
        <v>0</v>
      </c>
      <c r="H9" s="64" t="s">
        <v>8</v>
      </c>
      <c r="I9" s="64" t="s">
        <v>8</v>
      </c>
      <c r="J9" s="64" t="s">
        <v>8</v>
      </c>
      <c r="K9" s="64"/>
      <c r="L9" s="64"/>
      <c r="M9" s="1"/>
      <c r="N9" s="1"/>
      <c r="O9" s="1"/>
    </row>
    <row r="10" spans="1:15" x14ac:dyDescent="0.25">
      <c r="A10" s="6"/>
      <c r="B10" s="61"/>
      <c r="C10" s="6"/>
      <c r="D10" s="6"/>
      <c r="E10" s="65"/>
      <c r="F10" s="63"/>
      <c r="G10" s="6"/>
      <c r="H10" s="6"/>
      <c r="I10" s="6"/>
      <c r="J10" s="6"/>
      <c r="K10" s="6"/>
      <c r="L10" s="6"/>
    </row>
    <row r="11" spans="1:15" ht="15.75" x14ac:dyDescent="0.3">
      <c r="A11" s="6"/>
      <c r="B11" s="61"/>
      <c r="C11" s="6"/>
      <c r="D11" s="6"/>
      <c r="E11" s="65"/>
      <c r="F11" s="63"/>
      <c r="G11" s="6"/>
      <c r="H11" s="6"/>
      <c r="I11" s="6"/>
      <c r="J11" s="6"/>
      <c r="K11" s="77"/>
      <c r="L11" s="6"/>
    </row>
    <row r="12" spans="1:15" x14ac:dyDescent="0.25">
      <c r="A12" s="6"/>
      <c r="B12" s="61"/>
      <c r="C12" s="6"/>
      <c r="D12" s="6"/>
      <c r="E12" s="65"/>
      <c r="F12" s="63"/>
      <c r="G12" s="6"/>
      <c r="H12" s="6"/>
      <c r="I12" s="6"/>
      <c r="J12" s="6"/>
      <c r="K12" s="6"/>
      <c r="L12" s="6"/>
    </row>
    <row r="13" spans="1:15" x14ac:dyDescent="0.25">
      <c r="K13" s="30"/>
    </row>
    <row r="14" spans="1:15" ht="15.75" x14ac:dyDescent="0.3">
      <c r="K14" s="31"/>
    </row>
  </sheetData>
  <protectedRanges>
    <protectedRange sqref="K8:M8" name="Oblast1"/>
  </protectedRanges>
  <mergeCells count="4">
    <mergeCell ref="A3:C3"/>
    <mergeCell ref="D3:J3"/>
    <mergeCell ref="A4:C4"/>
    <mergeCell ref="D4:J4"/>
  </mergeCells>
  <conditionalFormatting sqref="A8:B8 D8:M8">
    <cfRule type="expression" dxfId="530" priority="30">
      <formula>$K8=#REF!</formula>
    </cfRule>
    <cfRule type="expression" dxfId="529" priority="31">
      <formula>$K8=#REF!</formula>
    </cfRule>
    <cfRule type="expression" dxfId="528" priority="32">
      <formula>$K8=#REF!</formula>
    </cfRule>
    <cfRule type="expression" dxfId="527" priority="33">
      <formula>$K8=#REF!</formula>
    </cfRule>
    <cfRule type="expression" dxfId="526" priority="34">
      <formula>$K8=#REF!</formula>
    </cfRule>
    <cfRule type="expression" dxfId="525" priority="35">
      <formula>$K8=#REF!</formula>
    </cfRule>
    <cfRule type="expression" dxfId="524" priority="36">
      <formula>$K8=#REF!</formula>
    </cfRule>
    <cfRule type="expression" dxfId="523" priority="37">
      <formula>$K8=#REF!</formula>
    </cfRule>
    <cfRule type="expression" dxfId="522" priority="38">
      <formula>$K8=#REF!</formula>
    </cfRule>
    <cfRule type="expression" dxfId="521" priority="39">
      <formula>$K8=#REF!</formula>
    </cfRule>
    <cfRule type="expression" dxfId="520" priority="40">
      <formula>$K8=#REF!</formula>
    </cfRule>
    <cfRule type="expression" dxfId="519" priority="41">
      <formula>$K8=#REF!</formula>
    </cfRule>
    <cfRule type="expression" dxfId="518" priority="42">
      <formula>$K8=#REF!</formula>
    </cfRule>
    <cfRule type="expression" dxfId="517" priority="43">
      <formula>$K8=#REF!</formula>
    </cfRule>
    <cfRule type="expression" dxfId="516" priority="44">
      <formula>$K8=#REF!</formula>
    </cfRule>
    <cfRule type="expression" dxfId="515" priority="45">
      <formula>$K8=#REF!</formula>
    </cfRule>
    <cfRule type="expression" dxfId="514" priority="46">
      <formula>$K8=#REF!</formula>
    </cfRule>
    <cfRule type="expression" dxfId="513" priority="47">
      <formula>$K8=#REF!</formula>
    </cfRule>
    <cfRule type="expression" dxfId="512" priority="48">
      <formula>$K8=#REF!</formula>
    </cfRule>
    <cfRule type="expression" dxfId="511" priority="49">
      <formula>$K8=#REF!</formula>
    </cfRule>
    <cfRule type="expression" dxfId="510" priority="50">
      <formula>$K8=#REF!</formula>
    </cfRule>
    <cfRule type="expression" dxfId="509" priority="51">
      <formula>$K8=#REF!</formula>
    </cfRule>
    <cfRule type="expression" dxfId="508" priority="52">
      <formula>$K8=#REF!</formula>
    </cfRule>
    <cfRule type="expression" dxfId="507" priority="53">
      <formula>$K8=#REF!</formula>
    </cfRule>
    <cfRule type="expression" dxfId="506" priority="54">
      <formula>$K8=#REF!</formula>
    </cfRule>
    <cfRule type="expression" dxfId="505" priority="55">
      <formula>$K8=#REF!</formula>
    </cfRule>
    <cfRule type="expression" dxfId="504" priority="56">
      <formula>$K8=#REF!</formula>
    </cfRule>
    <cfRule type="expression" dxfId="503" priority="57">
      <formula>$K8=#REF!</formula>
    </cfRule>
    <cfRule type="expression" dxfId="502" priority="58">
      <formula>$K8=#REF!</formula>
    </cfRule>
  </conditionalFormatting>
  <conditionalFormatting sqref="C8">
    <cfRule type="expression" dxfId="501" priority="1">
      <formula>$K8=#REF!</formula>
    </cfRule>
    <cfRule type="expression" dxfId="500" priority="2">
      <formula>$K8=#REF!</formula>
    </cfRule>
    <cfRule type="expression" dxfId="499" priority="3">
      <formula>$K8=#REF!</formula>
    </cfRule>
    <cfRule type="expression" dxfId="498" priority="4">
      <formula>$K8=#REF!</formula>
    </cfRule>
    <cfRule type="expression" dxfId="497" priority="5">
      <formula>$K8=#REF!</formula>
    </cfRule>
    <cfRule type="expression" dxfId="496" priority="6">
      <formula>$K8=#REF!</formula>
    </cfRule>
    <cfRule type="expression" dxfId="495" priority="7">
      <formula>$K8=#REF!</formula>
    </cfRule>
    <cfRule type="expression" dxfId="494" priority="8">
      <formula>$K8=#REF!</formula>
    </cfRule>
    <cfRule type="expression" dxfId="493" priority="9">
      <formula>$K8=#REF!</formula>
    </cfRule>
    <cfRule type="expression" dxfId="492" priority="10">
      <formula>$K8=#REF!</formula>
    </cfRule>
    <cfRule type="expression" dxfId="491" priority="11">
      <formula>$K8=#REF!</formula>
    </cfRule>
    <cfRule type="expression" dxfId="490" priority="12">
      <formula>$K8=#REF!</formula>
    </cfRule>
    <cfRule type="expression" dxfId="489" priority="13">
      <formula>$K8=#REF!</formula>
    </cfRule>
    <cfRule type="expression" dxfId="488" priority="14">
      <formula>$K8=#REF!</formula>
    </cfRule>
    <cfRule type="expression" dxfId="487" priority="15">
      <formula>$K8=#REF!</formula>
    </cfRule>
    <cfRule type="expression" dxfId="486" priority="16">
      <formula>$K8=#REF!</formula>
    </cfRule>
    <cfRule type="expression" dxfId="485" priority="17">
      <formula>$K8=#REF!</formula>
    </cfRule>
    <cfRule type="expression" dxfId="484" priority="18">
      <formula>$K8=#REF!</formula>
    </cfRule>
    <cfRule type="expression" dxfId="483" priority="19">
      <formula>$K8=#REF!</formula>
    </cfRule>
    <cfRule type="expression" dxfId="482" priority="20">
      <formula>$K8=#REF!</formula>
    </cfRule>
    <cfRule type="expression" dxfId="481" priority="21">
      <formula>$K8=#REF!</formula>
    </cfRule>
    <cfRule type="expression" dxfId="480" priority="22">
      <formula>$K8=#REF!</formula>
    </cfRule>
    <cfRule type="expression" dxfId="479" priority="23">
      <formula>$K8=#REF!</formula>
    </cfRule>
    <cfRule type="expression" dxfId="478" priority="24">
      <formula>$K8=#REF!</formula>
    </cfRule>
    <cfRule type="expression" dxfId="477" priority="25">
      <formula>$K8=#REF!</formula>
    </cfRule>
    <cfRule type="expression" dxfId="476" priority="26">
      <formula>$K8=#REF!</formula>
    </cfRule>
    <cfRule type="expression" dxfId="475" priority="27">
      <formula>$K8=#REF!</formula>
    </cfRule>
    <cfRule type="expression" dxfId="474" priority="28">
      <formula>$K8=#REF!</formula>
    </cfRule>
    <cfRule type="expression" dxfId="473" priority="29">
      <formula>$K8=#REF!</formula>
    </cfRule>
  </conditionalFormatting>
  <dataValidations count="7">
    <dataValidation type="list" allowBlank="1" showInputMessage="1" showErrorMessage="1" sqref="M8">
      <formula1>#REF!</formula1>
    </dataValidation>
    <dataValidation type="list" errorStyle="information" allowBlank="1" showInputMessage="1" promptTitle="Vyberte skupinu" prompt="Vyberte skupinu zakázky" sqref="K8">
      <formula1>#REF!</formula1>
    </dataValidation>
    <dataValidation allowBlank="1" showInputMessage="1" showErrorMessage="1" prompt="Udávejte částku v Kč včetně DPH." sqref="C8"/>
    <dataValidation allowBlank="1" showInputMessage="1" showErrorMessage="1" promptTitle="Stáří přístroje" prompt="Vyplňte pokud se jedná o obnovu." sqref="I8"/>
    <dataValidation allowBlank="1" showInputMessage="1" showErrorMessage="1" promptTitle="Obor" prompt="Uveďte pro který obor NP bude přístroj využíván." sqref="J8"/>
    <dataValidation type="list" allowBlank="1" showInputMessage="1" showErrorMessage="1" sqref="H8">
      <formula1>$K$18:$K$19</formula1>
    </dataValidation>
    <dataValidation type="list" allowBlank="1" showInputMessage="1" showErrorMessage="1" sqref="G10:G11 G13:G41 D11:E34 D10:F10 F11:F41">
      <formula1>$N$19:$N$20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24"/>
  <sheetViews>
    <sheetView workbookViewId="0">
      <selection activeCell="D16" sqref="D16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42.7109375" hidden="1" customWidth="1"/>
    <col min="12" max="12" width="26.42578125" customWidth="1"/>
    <col min="13" max="13" width="0.140625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213</v>
      </c>
    </row>
    <row r="7" spans="1:15" ht="60.75" customHeight="1" x14ac:dyDescent="0.25">
      <c r="A7" s="2" t="s">
        <v>0</v>
      </c>
      <c r="B7" s="48" t="s">
        <v>130</v>
      </c>
      <c r="C7" s="2" t="s">
        <v>126</v>
      </c>
      <c r="D7" s="2" t="s">
        <v>6</v>
      </c>
      <c r="E7" s="35" t="s">
        <v>127</v>
      </c>
      <c r="F7" s="36" t="s">
        <v>113</v>
      </c>
      <c r="G7" s="2" t="s">
        <v>132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7" t="s">
        <v>185</v>
      </c>
      <c r="B8" s="5"/>
      <c r="C8" s="5">
        <f t="shared" ref="C8:C18" si="0">B8*(F8+1)</f>
        <v>0</v>
      </c>
      <c r="D8" s="26">
        <v>10</v>
      </c>
      <c r="E8" s="5">
        <f>Tabulka134274[[#This Row],[ pořizovací cena / ks (v Kč bez DPH)]]*Tabulka134274[[#This Row],[Počet kusů]]</f>
        <v>0</v>
      </c>
      <c r="F8" s="53">
        <v>0.21</v>
      </c>
      <c r="G8" s="12">
        <f>Tabulka134274[[#This Row],[ pořizovací cena / ks (v Kč včetně DPH)]]*Tabulka134274[[#This Row],[Počet kusů]]</f>
        <v>0</v>
      </c>
      <c r="H8" s="6" t="s">
        <v>21</v>
      </c>
      <c r="I8" s="6"/>
      <c r="J8" s="6" t="s">
        <v>96</v>
      </c>
      <c r="K8" s="8"/>
      <c r="L8" s="8"/>
      <c r="M8" s="10"/>
      <c r="N8" s="6"/>
      <c r="O8" s="6"/>
    </row>
    <row r="9" spans="1:15" x14ac:dyDescent="0.25">
      <c r="A9" s="7" t="s">
        <v>78</v>
      </c>
      <c r="B9" s="5"/>
      <c r="C9" s="5">
        <f t="shared" si="0"/>
        <v>0</v>
      </c>
      <c r="D9" s="7">
        <v>3</v>
      </c>
      <c r="E9" s="5">
        <f>Tabulka134274[[#This Row],[ pořizovací cena / ks (v Kč bez DPH)]]*Tabulka134274[[#This Row],[Počet kusů]]</f>
        <v>0</v>
      </c>
      <c r="F9" s="53">
        <v>0.21</v>
      </c>
      <c r="G9" s="12">
        <f>Tabulka134274[[#This Row],[ pořizovací cena / ks (v Kč včetně DPH)]]*Tabulka134274[[#This Row],[Počet kusů]]</f>
        <v>0</v>
      </c>
      <c r="H9" s="6" t="s">
        <v>21</v>
      </c>
      <c r="I9" s="6"/>
      <c r="J9" s="6" t="s">
        <v>96</v>
      </c>
      <c r="K9" s="8"/>
      <c r="L9" s="8"/>
      <c r="M9" s="10"/>
      <c r="N9" s="6"/>
      <c r="O9" s="6"/>
    </row>
    <row r="10" spans="1:15" x14ac:dyDescent="0.25">
      <c r="A10" s="11" t="s">
        <v>70</v>
      </c>
      <c r="B10" s="5"/>
      <c r="C10" s="5">
        <f t="shared" si="0"/>
        <v>0</v>
      </c>
      <c r="D10" s="7">
        <v>3</v>
      </c>
      <c r="E10" s="5">
        <f>Tabulka134274[[#This Row],[ pořizovací cena / ks (v Kč bez DPH)]]*Tabulka134274[[#This Row],[Počet kusů]]</f>
        <v>0</v>
      </c>
      <c r="F10" s="53">
        <v>0.21</v>
      </c>
      <c r="G10" s="12">
        <f>Tabulka134274[[#This Row],[ pořizovací cena / ks (v Kč včetně DPH)]]*Tabulka134274[[#This Row],[Počet kusů]]</f>
        <v>0</v>
      </c>
      <c r="H10" s="6" t="s">
        <v>21</v>
      </c>
      <c r="I10" s="6"/>
      <c r="J10" s="6" t="s">
        <v>94</v>
      </c>
      <c r="K10" s="8"/>
      <c r="L10" s="8"/>
      <c r="M10" s="10"/>
      <c r="N10" s="6"/>
      <c r="O10" s="6"/>
    </row>
    <row r="11" spans="1:15" x14ac:dyDescent="0.25">
      <c r="A11" s="11" t="s">
        <v>206</v>
      </c>
      <c r="B11" s="5"/>
      <c r="C11" s="5">
        <f t="shared" si="0"/>
        <v>0</v>
      </c>
      <c r="D11" s="7">
        <v>2</v>
      </c>
      <c r="E11" s="5">
        <f>Tabulka134274[[#This Row],[ pořizovací cena / ks (v Kč bez DPH)]]*Tabulka134274[[#This Row],[Počet kusů]]</f>
        <v>0</v>
      </c>
      <c r="F11" s="53">
        <v>0.21</v>
      </c>
      <c r="G11" s="12">
        <f>Tabulka134274[[#This Row],[ pořizovací cena / ks (v Kč včetně DPH)]]*Tabulka134274[[#This Row],[Počet kusů]]</f>
        <v>0</v>
      </c>
      <c r="H11" s="6" t="s">
        <v>21</v>
      </c>
      <c r="I11" s="6"/>
      <c r="J11" s="6" t="s">
        <v>96</v>
      </c>
      <c r="K11" s="8"/>
      <c r="L11" s="8"/>
      <c r="M11" s="10"/>
      <c r="N11" s="6"/>
      <c r="O11" s="6"/>
    </row>
    <row r="12" spans="1:15" x14ac:dyDescent="0.25">
      <c r="A12" s="13" t="s">
        <v>71</v>
      </c>
      <c r="B12" s="5"/>
      <c r="C12" s="5">
        <f t="shared" si="0"/>
        <v>0</v>
      </c>
      <c r="D12" s="15">
        <v>3</v>
      </c>
      <c r="E12" s="5">
        <f>Tabulka134274[[#This Row],[ pořizovací cena / ks (v Kč bez DPH)]]*Tabulka134274[[#This Row],[Počet kusů]]</f>
        <v>0</v>
      </c>
      <c r="F12" s="53">
        <v>0.21</v>
      </c>
      <c r="G12" s="12">
        <f>Tabulka134274[[#This Row],[ pořizovací cena / ks (v Kč včetně DPH)]]*Tabulka134274[[#This Row],[Počet kusů]]</f>
        <v>0</v>
      </c>
      <c r="H12" s="6" t="s">
        <v>21</v>
      </c>
      <c r="I12" s="6"/>
      <c r="J12" s="6" t="s">
        <v>94</v>
      </c>
      <c r="K12" s="8"/>
      <c r="L12" s="8"/>
      <c r="M12" s="10"/>
      <c r="N12" s="6"/>
      <c r="O12" s="6"/>
    </row>
    <row r="13" spans="1:15" x14ac:dyDescent="0.25">
      <c r="A13" s="7" t="s">
        <v>75</v>
      </c>
      <c r="B13" s="5"/>
      <c r="C13" s="5">
        <f t="shared" si="0"/>
        <v>0</v>
      </c>
      <c r="D13" s="7">
        <v>1</v>
      </c>
      <c r="E13" s="5">
        <f>Tabulka134274[[#This Row],[ pořizovací cena / ks (v Kč bez DPH)]]*Tabulka134274[[#This Row],[Počet kusů]]</f>
        <v>0</v>
      </c>
      <c r="F13" s="53">
        <v>0.21</v>
      </c>
      <c r="G13" s="12">
        <f>Tabulka134274[[#This Row],[ pořizovací cena / ks (v Kč včetně DPH)]]*Tabulka134274[[#This Row],[Počet kusů]]</f>
        <v>0</v>
      </c>
      <c r="H13" s="6" t="s">
        <v>21</v>
      </c>
      <c r="I13" s="6"/>
      <c r="J13" s="6" t="s">
        <v>96</v>
      </c>
      <c r="K13" s="8"/>
      <c r="L13" s="8"/>
      <c r="M13" s="10"/>
      <c r="N13" s="6"/>
      <c r="O13" s="6"/>
    </row>
    <row r="14" spans="1:15" x14ac:dyDescent="0.25">
      <c r="A14" s="7" t="s">
        <v>76</v>
      </c>
      <c r="B14" s="5"/>
      <c r="C14" s="5">
        <f t="shared" si="0"/>
        <v>0</v>
      </c>
      <c r="D14" s="7">
        <v>1</v>
      </c>
      <c r="E14" s="5">
        <f>Tabulka134274[[#This Row],[ pořizovací cena / ks (v Kč bez DPH)]]*Tabulka134274[[#This Row],[Počet kusů]]</f>
        <v>0</v>
      </c>
      <c r="F14" s="53">
        <v>0.21</v>
      </c>
      <c r="G14" s="12">
        <f>Tabulka134274[[#This Row],[ pořizovací cena / ks (v Kč včetně DPH)]]*Tabulka134274[[#This Row],[Počet kusů]]</f>
        <v>0</v>
      </c>
      <c r="H14" s="6" t="s">
        <v>21</v>
      </c>
      <c r="I14" s="6"/>
      <c r="J14" s="6" t="s">
        <v>96</v>
      </c>
      <c r="K14" s="8"/>
      <c r="L14" s="8"/>
      <c r="M14" s="10"/>
      <c r="N14" s="6"/>
      <c r="O14" s="6"/>
    </row>
    <row r="15" spans="1:15" x14ac:dyDescent="0.25">
      <c r="A15" s="7" t="s">
        <v>23</v>
      </c>
      <c r="B15" s="5"/>
      <c r="C15" s="5">
        <f t="shared" si="0"/>
        <v>0</v>
      </c>
      <c r="D15" s="7">
        <v>1</v>
      </c>
      <c r="E15" s="5">
        <f>Tabulka134274[[#This Row],[ pořizovací cena / ks (v Kč bez DPH)]]*Tabulka134274[[#This Row],[Počet kusů]]</f>
        <v>0</v>
      </c>
      <c r="F15" s="53">
        <v>0.21</v>
      </c>
      <c r="G15" s="12">
        <f>Tabulka134274[[#This Row],[ pořizovací cena / ks (v Kč včetně DPH)]]*Tabulka134274[[#This Row],[Počet kusů]]</f>
        <v>0</v>
      </c>
      <c r="H15" s="6" t="s">
        <v>21</v>
      </c>
      <c r="I15" s="6"/>
      <c r="J15" s="6" t="s">
        <v>88</v>
      </c>
      <c r="K15" s="8"/>
      <c r="L15" s="8"/>
      <c r="M15" s="10"/>
      <c r="N15" s="6"/>
      <c r="O15" s="6"/>
    </row>
    <row r="16" spans="1:15" x14ac:dyDescent="0.25">
      <c r="A16" s="7" t="s">
        <v>77</v>
      </c>
      <c r="B16" s="5"/>
      <c r="C16" s="5">
        <f t="shared" si="0"/>
        <v>0</v>
      </c>
      <c r="D16" s="7">
        <v>1</v>
      </c>
      <c r="E16" s="5">
        <f>Tabulka134274[[#This Row],[ pořizovací cena / ks (v Kč bez DPH)]]*Tabulka134274[[#This Row],[Počet kusů]]</f>
        <v>0</v>
      </c>
      <c r="F16" s="53">
        <v>0.21</v>
      </c>
      <c r="G16" s="12">
        <f>Tabulka134274[[#This Row],[ pořizovací cena / ks (v Kč včetně DPH)]]*Tabulka134274[[#This Row],[Počet kusů]]</f>
        <v>0</v>
      </c>
      <c r="H16" s="6" t="s">
        <v>21</v>
      </c>
      <c r="I16" s="6"/>
      <c r="J16" s="6" t="s">
        <v>96</v>
      </c>
      <c r="K16" s="8"/>
      <c r="L16" s="8"/>
      <c r="M16" s="10"/>
      <c r="N16" s="6"/>
      <c r="O16" s="6"/>
    </row>
    <row r="17" spans="1:15" x14ac:dyDescent="0.25">
      <c r="A17" s="7" t="s">
        <v>79</v>
      </c>
      <c r="B17" s="5"/>
      <c r="C17" s="5">
        <f t="shared" si="0"/>
        <v>0</v>
      </c>
      <c r="D17" s="7">
        <v>3</v>
      </c>
      <c r="E17" s="5">
        <f>Tabulka134274[[#This Row],[ pořizovací cena / ks (v Kč bez DPH)]]*Tabulka134274[[#This Row],[Počet kusů]]</f>
        <v>0</v>
      </c>
      <c r="F17" s="53">
        <v>0.21</v>
      </c>
      <c r="G17" s="12">
        <f>Tabulka134274[[#This Row],[ pořizovací cena / ks (v Kč včetně DPH)]]*Tabulka134274[[#This Row],[Počet kusů]]</f>
        <v>0</v>
      </c>
      <c r="H17" s="6" t="s">
        <v>21</v>
      </c>
      <c r="I17" s="6"/>
      <c r="J17" s="6" t="s">
        <v>96</v>
      </c>
      <c r="K17" s="8"/>
      <c r="L17" s="8"/>
      <c r="M17" s="10"/>
      <c r="N17" s="6"/>
      <c r="O17" s="6"/>
    </row>
    <row r="18" spans="1:15" x14ac:dyDescent="0.25">
      <c r="A18" s="11" t="s">
        <v>184</v>
      </c>
      <c r="B18" s="5"/>
      <c r="C18" s="5">
        <f t="shared" si="0"/>
        <v>0</v>
      </c>
      <c r="D18" s="26">
        <v>3</v>
      </c>
      <c r="E18" s="5">
        <f>Tabulka134274[[#This Row],[ pořizovací cena / ks (v Kč bez DPH)]]*Tabulka134274[[#This Row],[Počet kusů]]</f>
        <v>0</v>
      </c>
      <c r="F18" s="53">
        <v>0.21</v>
      </c>
      <c r="G18" s="12">
        <f>Tabulka134274[[#This Row],[ pořizovací cena / ks (v Kč včetně DPH)]]*Tabulka134274[[#This Row],[Počet kusů]]</f>
        <v>0</v>
      </c>
      <c r="H18" s="6" t="s">
        <v>21</v>
      </c>
      <c r="I18" s="6"/>
      <c r="J18" s="6" t="s">
        <v>96</v>
      </c>
      <c r="K18" s="8"/>
      <c r="L18" s="8"/>
      <c r="M18" s="10"/>
      <c r="N18" s="6"/>
      <c r="O18" s="6"/>
    </row>
    <row r="19" spans="1:15" x14ac:dyDescent="0.25">
      <c r="A19" t="s">
        <v>7</v>
      </c>
      <c r="B19" s="61"/>
      <c r="C19" s="62">
        <f>SUM(C8:C18)</f>
        <v>0</v>
      </c>
      <c r="D19" s="6">
        <f>SUBTOTAL(109,Tabulka134274[Počet kusů])</f>
        <v>31</v>
      </c>
      <c r="E19" s="62">
        <f>SUM(E8:E18)</f>
        <v>0</v>
      </c>
      <c r="F19" s="63"/>
      <c r="G19" s="62">
        <f>SUM(G8:G18)</f>
        <v>0</v>
      </c>
      <c r="H19" s="1" t="s">
        <v>8</v>
      </c>
      <c r="I19" s="1" t="s">
        <v>8</v>
      </c>
      <c r="J19" s="1" t="s">
        <v>8</v>
      </c>
      <c r="K19" s="1"/>
      <c r="L19" s="1"/>
      <c r="M19" s="1"/>
      <c r="N19" s="1"/>
      <c r="O19" s="1"/>
    </row>
    <row r="21" spans="1:15" ht="15.75" x14ac:dyDescent="0.3">
      <c r="K21" s="29"/>
    </row>
    <row r="23" spans="1:15" x14ac:dyDescent="0.25">
      <c r="K23" s="30"/>
    </row>
    <row r="24" spans="1:15" ht="15.75" x14ac:dyDescent="0.3">
      <c r="K24" s="31"/>
    </row>
  </sheetData>
  <protectedRanges>
    <protectedRange sqref="K8:M18" name="Oblast1"/>
  </protectedRanges>
  <mergeCells count="4">
    <mergeCell ref="A3:C3"/>
    <mergeCell ref="D3:J3"/>
    <mergeCell ref="A4:C4"/>
    <mergeCell ref="D4:J4"/>
  </mergeCells>
  <conditionalFormatting sqref="A8:B18 D8:M18">
    <cfRule type="expression" dxfId="456" priority="30">
      <formula>$K8=#REF!</formula>
    </cfRule>
    <cfRule type="expression" dxfId="455" priority="31">
      <formula>$K8=#REF!</formula>
    </cfRule>
    <cfRule type="expression" dxfId="454" priority="32">
      <formula>$K8=#REF!</formula>
    </cfRule>
    <cfRule type="expression" dxfId="453" priority="33">
      <formula>$K8=#REF!</formula>
    </cfRule>
    <cfRule type="expression" dxfId="452" priority="34">
      <formula>$K8=#REF!</formula>
    </cfRule>
    <cfRule type="expression" dxfId="451" priority="35">
      <formula>$K8=#REF!</formula>
    </cfRule>
    <cfRule type="expression" dxfId="450" priority="36">
      <formula>$K8=#REF!</formula>
    </cfRule>
    <cfRule type="expression" dxfId="449" priority="37">
      <formula>$K8=#REF!</formula>
    </cfRule>
    <cfRule type="expression" dxfId="448" priority="38">
      <formula>$K8=#REF!</formula>
    </cfRule>
    <cfRule type="expression" dxfId="447" priority="39">
      <formula>$K8=#REF!</formula>
    </cfRule>
    <cfRule type="expression" dxfId="446" priority="40">
      <formula>$K8=#REF!</formula>
    </cfRule>
    <cfRule type="expression" dxfId="445" priority="41">
      <formula>$K8=#REF!</formula>
    </cfRule>
    <cfRule type="expression" dxfId="444" priority="42">
      <formula>$K8=#REF!</formula>
    </cfRule>
    <cfRule type="expression" dxfId="443" priority="43">
      <formula>$K8=#REF!</formula>
    </cfRule>
    <cfRule type="expression" dxfId="442" priority="44">
      <formula>$K8=#REF!</formula>
    </cfRule>
    <cfRule type="expression" dxfId="441" priority="45">
      <formula>$K8=#REF!</formula>
    </cfRule>
    <cfRule type="expression" dxfId="440" priority="46">
      <formula>$K8=#REF!</formula>
    </cfRule>
    <cfRule type="expression" dxfId="439" priority="47">
      <formula>$K8=#REF!</formula>
    </cfRule>
    <cfRule type="expression" dxfId="438" priority="48">
      <formula>$K8=#REF!</formula>
    </cfRule>
    <cfRule type="expression" dxfId="437" priority="49">
      <formula>$K8=#REF!</formula>
    </cfRule>
    <cfRule type="expression" dxfId="436" priority="50">
      <formula>$K8=#REF!</formula>
    </cfRule>
    <cfRule type="expression" dxfId="435" priority="51">
      <formula>$K8=#REF!</formula>
    </cfRule>
    <cfRule type="expression" dxfId="434" priority="52">
      <formula>$K8=#REF!</formula>
    </cfRule>
    <cfRule type="expression" dxfId="433" priority="53">
      <formula>$K8=#REF!</formula>
    </cfRule>
    <cfRule type="expression" dxfId="432" priority="54">
      <formula>$K8=#REF!</formula>
    </cfRule>
    <cfRule type="expression" dxfId="431" priority="55">
      <formula>$K8=#REF!</formula>
    </cfRule>
    <cfRule type="expression" dxfId="430" priority="56">
      <formula>$K8=#REF!</formula>
    </cfRule>
    <cfRule type="expression" dxfId="429" priority="57">
      <formula>$K8=#REF!</formula>
    </cfRule>
    <cfRule type="expression" dxfId="428" priority="58">
      <formula>$K8=#REF!</formula>
    </cfRule>
  </conditionalFormatting>
  <conditionalFormatting sqref="C8:C18">
    <cfRule type="expression" dxfId="427" priority="1">
      <formula>$K8=#REF!</formula>
    </cfRule>
    <cfRule type="expression" dxfId="426" priority="2">
      <formula>$K8=#REF!</formula>
    </cfRule>
    <cfRule type="expression" dxfId="425" priority="3">
      <formula>$K8=#REF!</formula>
    </cfRule>
    <cfRule type="expression" dxfId="424" priority="4">
      <formula>$K8=#REF!</formula>
    </cfRule>
    <cfRule type="expression" dxfId="423" priority="5">
      <formula>$K8=#REF!</formula>
    </cfRule>
    <cfRule type="expression" dxfId="422" priority="6">
      <formula>$K8=#REF!</formula>
    </cfRule>
    <cfRule type="expression" dxfId="421" priority="7">
      <formula>$K8=#REF!</formula>
    </cfRule>
    <cfRule type="expression" dxfId="420" priority="8">
      <formula>$K8=#REF!</formula>
    </cfRule>
    <cfRule type="expression" dxfId="419" priority="9">
      <formula>$K8=#REF!</formula>
    </cfRule>
    <cfRule type="expression" dxfId="418" priority="10">
      <formula>$K8=#REF!</formula>
    </cfRule>
    <cfRule type="expression" dxfId="417" priority="11">
      <formula>$K8=#REF!</formula>
    </cfRule>
    <cfRule type="expression" dxfId="416" priority="12">
      <formula>$K8=#REF!</formula>
    </cfRule>
    <cfRule type="expression" dxfId="415" priority="13">
      <formula>$K8=#REF!</formula>
    </cfRule>
    <cfRule type="expression" dxfId="414" priority="14">
      <formula>$K8=#REF!</formula>
    </cfRule>
    <cfRule type="expression" dxfId="413" priority="15">
      <formula>$K8=#REF!</formula>
    </cfRule>
    <cfRule type="expression" dxfId="412" priority="16">
      <formula>$K8=#REF!</formula>
    </cfRule>
    <cfRule type="expression" dxfId="411" priority="17">
      <formula>$K8=#REF!</formula>
    </cfRule>
    <cfRule type="expression" dxfId="410" priority="18">
      <formula>$K8=#REF!</formula>
    </cfRule>
    <cfRule type="expression" dxfId="409" priority="19">
      <formula>$K8=#REF!</formula>
    </cfRule>
    <cfRule type="expression" dxfId="408" priority="20">
      <formula>$K8=#REF!</formula>
    </cfRule>
    <cfRule type="expression" dxfId="407" priority="21">
      <formula>$K8=#REF!</formula>
    </cfRule>
    <cfRule type="expression" dxfId="406" priority="22">
      <formula>$K8=#REF!</formula>
    </cfRule>
    <cfRule type="expression" dxfId="405" priority="23">
      <formula>$K8=#REF!</formula>
    </cfRule>
    <cfRule type="expression" dxfId="404" priority="24">
      <formula>$K8=#REF!</formula>
    </cfRule>
    <cfRule type="expression" dxfId="403" priority="25">
      <formula>$K8=#REF!</formula>
    </cfRule>
    <cfRule type="expression" dxfId="402" priority="26">
      <formula>$K8=#REF!</formula>
    </cfRule>
    <cfRule type="expression" dxfId="401" priority="27">
      <formula>$K8=#REF!</formula>
    </cfRule>
    <cfRule type="expression" dxfId="400" priority="28">
      <formula>$K8=#REF!</formula>
    </cfRule>
    <cfRule type="expression" dxfId="399" priority="29">
      <formula>$K8=#REF!</formula>
    </cfRule>
  </conditionalFormatting>
  <dataValidations count="7">
    <dataValidation type="list" allowBlank="1" showInputMessage="1" showErrorMessage="1" sqref="D20:F51 G20:G21 G23:G51">
      <formula1>$N$29:$N$30</formula1>
    </dataValidation>
    <dataValidation type="list" allowBlank="1" showInputMessage="1" showErrorMessage="1" sqref="M8:M18">
      <formula1>#REF!</formula1>
    </dataValidation>
    <dataValidation type="list" errorStyle="information" allowBlank="1" showInputMessage="1" promptTitle="Vyberte skupinu" prompt="Vyberte skupinu zakázky" sqref="K8:K18">
      <formula1>#REF!</formula1>
    </dataValidation>
    <dataValidation allowBlank="1" showInputMessage="1" showErrorMessage="1" promptTitle="Stáří přístroje" prompt="Vyplňte pokud se jedná o obnovu." sqref="I8:I18"/>
    <dataValidation allowBlank="1" showInputMessage="1" showErrorMessage="1" promptTitle="Obor" prompt="Uveďte pro který obor NP bude přístroj využíván." sqref="J8:J18"/>
    <dataValidation type="list" allowBlank="1" showInputMessage="1" showErrorMessage="1" sqref="H8:H18">
      <formula1>$K$28:$K$29</formula1>
    </dataValidation>
    <dataValidation allowBlank="1" showInputMessage="1" showErrorMessage="1" prompt="Udávejte částku v Kč včetně DPH." sqref="C8:C18"/>
  </dataValidations>
  <pageMargins left="0.7" right="0.7" top="0.75" bottom="0.75" header="0.3" footer="0.3"/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29"/>
  <sheetViews>
    <sheetView workbookViewId="0">
      <selection activeCell="A4" sqref="A4:C4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6.85546875" customWidth="1"/>
    <col min="8" max="8" width="14.42578125" hidden="1" customWidth="1"/>
    <col min="9" max="9" width="13.42578125" hidden="1" customWidth="1"/>
    <col min="10" max="10" width="1.85546875" hidden="1" customWidth="1"/>
    <col min="11" max="11" width="42.7109375" hidden="1" customWidth="1"/>
    <col min="12" max="12" width="26.28515625" customWidth="1"/>
    <col min="13" max="13" width="10.7109375" hidden="1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134</v>
      </c>
    </row>
    <row r="7" spans="1:15" ht="60.75" customHeight="1" x14ac:dyDescent="0.25">
      <c r="A7" s="2" t="s">
        <v>0</v>
      </c>
      <c r="B7" s="48" t="s">
        <v>118</v>
      </c>
      <c r="C7" s="2" t="s">
        <v>119</v>
      </c>
      <c r="D7" s="2" t="s">
        <v>6</v>
      </c>
      <c r="E7" s="35" t="s">
        <v>112</v>
      </c>
      <c r="F7" s="36" t="s">
        <v>113</v>
      </c>
      <c r="G7" s="2" t="s">
        <v>9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14" t="s">
        <v>40</v>
      </c>
      <c r="B8" s="5"/>
      <c r="C8" s="5">
        <f t="shared" ref="C8:C18" si="0">B8*(F8+1)</f>
        <v>0</v>
      </c>
      <c r="D8" s="15">
        <v>1</v>
      </c>
      <c r="E8" s="5">
        <f>Tabulka1348[[#This Row],[Předpokládaná pořizovací cena / ks (v Kč bez DPH)]]*Tabulka1348[[#This Row],[Počet kusů]]</f>
        <v>0</v>
      </c>
      <c r="F8" s="53">
        <v>0.21</v>
      </c>
      <c r="G8" s="12">
        <f>Tabulka1348[[#This Row],[Předpokládaná pořizovací cena / ks (v Kč včetně DPH)]]*Tabulka1348[[#This Row],[Počet kusů]]</f>
        <v>0</v>
      </c>
      <c r="H8" s="6" t="s">
        <v>11</v>
      </c>
      <c r="I8" s="6">
        <v>2004</v>
      </c>
      <c r="J8" s="6" t="s">
        <v>91</v>
      </c>
      <c r="K8" s="8"/>
      <c r="L8" s="8"/>
      <c r="M8" s="10"/>
      <c r="N8" s="6"/>
      <c r="O8" s="6"/>
    </row>
    <row r="9" spans="1:15" x14ac:dyDescent="0.25">
      <c r="A9" s="51" t="s">
        <v>17</v>
      </c>
      <c r="B9" s="5"/>
      <c r="C9" s="5">
        <f t="shared" si="0"/>
        <v>0</v>
      </c>
      <c r="D9" s="52">
        <v>1</v>
      </c>
      <c r="E9" s="5">
        <f>Tabulka1348[[#This Row],[Předpokládaná pořizovací cena / ks (v Kč bez DPH)]]*Tabulka1348[[#This Row],[Počet kusů]]</f>
        <v>0</v>
      </c>
      <c r="F9" s="53">
        <v>0.21</v>
      </c>
      <c r="G9" s="54">
        <f>Tabulka1348[[#This Row],[Předpokládaná pořizovací cena / ks (v Kč včetně DPH)]]*Tabulka1348[[#This Row],[Počet kusů]]</f>
        <v>0</v>
      </c>
      <c r="H9" s="52" t="s">
        <v>11</v>
      </c>
      <c r="I9" s="52">
        <v>2008</v>
      </c>
      <c r="J9" s="52" t="s">
        <v>88</v>
      </c>
      <c r="K9" s="55"/>
      <c r="L9" s="56"/>
      <c r="M9" s="57"/>
      <c r="N9" s="6"/>
      <c r="O9" s="6"/>
    </row>
    <row r="10" spans="1:15" x14ac:dyDescent="0.25">
      <c r="A10" s="15" t="s">
        <v>85</v>
      </c>
      <c r="B10" s="5"/>
      <c r="C10" s="5">
        <f t="shared" si="0"/>
        <v>0</v>
      </c>
      <c r="D10" s="15">
        <v>1</v>
      </c>
      <c r="E10" s="5">
        <f>Tabulka1348[[#This Row],[Předpokládaná pořizovací cena / ks (v Kč bez DPH)]]*Tabulka1348[[#This Row],[Počet kusů]]</f>
        <v>0</v>
      </c>
      <c r="F10" s="53">
        <v>0.21</v>
      </c>
      <c r="G10" s="12">
        <f>Tabulka1348[[#This Row],[Předpokládaná pořizovací cena / ks (v Kč včetně DPH)]]*Tabulka1348[[#This Row],[Počet kusů]]</f>
        <v>0</v>
      </c>
      <c r="H10" s="6" t="s">
        <v>11</v>
      </c>
      <c r="I10" s="6">
        <v>2011</v>
      </c>
      <c r="J10" s="6" t="s">
        <v>97</v>
      </c>
      <c r="K10" s="8"/>
      <c r="L10" s="8"/>
      <c r="M10" s="10"/>
      <c r="N10" s="6"/>
      <c r="O10" s="6"/>
    </row>
    <row r="11" spans="1:15" ht="30" x14ac:dyDescent="0.25">
      <c r="A11" s="16" t="s">
        <v>83</v>
      </c>
      <c r="B11" s="5"/>
      <c r="C11" s="5">
        <f t="shared" si="0"/>
        <v>0</v>
      </c>
      <c r="D11" s="15">
        <v>1</v>
      </c>
      <c r="E11" s="5">
        <f>Tabulka1348[[#This Row],[Předpokládaná pořizovací cena / ks (v Kč bez DPH)]]*Tabulka1348[[#This Row],[Počet kusů]]</f>
        <v>0</v>
      </c>
      <c r="F11" s="53">
        <v>0.21</v>
      </c>
      <c r="G11" s="12">
        <f>Tabulka1348[[#This Row],[Předpokládaná pořizovací cena / ks (v Kč včetně DPH)]]*Tabulka1348[[#This Row],[Počet kusů]]</f>
        <v>0</v>
      </c>
      <c r="H11" s="6" t="s">
        <v>11</v>
      </c>
      <c r="I11" s="6">
        <v>2000</v>
      </c>
      <c r="J11" s="6" t="s">
        <v>97</v>
      </c>
      <c r="K11" s="8"/>
      <c r="L11" s="8"/>
      <c r="M11" s="10"/>
      <c r="N11" s="6"/>
      <c r="O11" s="6"/>
    </row>
    <row r="12" spans="1:15" x14ac:dyDescent="0.25">
      <c r="A12" s="15" t="s">
        <v>86</v>
      </c>
      <c r="B12" s="5"/>
      <c r="C12" s="5">
        <f t="shared" si="0"/>
        <v>0</v>
      </c>
      <c r="D12" s="15">
        <v>1</v>
      </c>
      <c r="E12" s="5">
        <f>Tabulka1348[[#This Row],[Předpokládaná pořizovací cena / ks (v Kč bez DPH)]]*Tabulka1348[[#This Row],[Počet kusů]]</f>
        <v>0</v>
      </c>
      <c r="F12" s="53">
        <v>0.21</v>
      </c>
      <c r="G12" s="12">
        <f>Tabulka1348[[#This Row],[Předpokládaná pořizovací cena / ks (v Kč včetně DPH)]]*Tabulka1348[[#This Row],[Počet kusů]]</f>
        <v>0</v>
      </c>
      <c r="H12" s="6" t="s">
        <v>21</v>
      </c>
      <c r="I12" s="6"/>
      <c r="J12" s="6" t="s">
        <v>97</v>
      </c>
      <c r="K12" s="8"/>
      <c r="L12" s="8"/>
      <c r="M12" s="10"/>
      <c r="N12" s="6"/>
      <c r="O12" s="6"/>
    </row>
    <row r="13" spans="1:15" x14ac:dyDescent="0.25">
      <c r="A13" s="16" t="s">
        <v>190</v>
      </c>
      <c r="B13" s="5"/>
      <c r="C13" s="5">
        <f t="shared" si="0"/>
        <v>0</v>
      </c>
      <c r="D13" s="15">
        <v>1</v>
      </c>
      <c r="E13" s="5">
        <f>Tabulka1348[[#This Row],[Předpokládaná pořizovací cena / ks (v Kč bez DPH)]]*Tabulka1348[[#This Row],[Počet kusů]]</f>
        <v>0</v>
      </c>
      <c r="F13" s="53">
        <v>0.21</v>
      </c>
      <c r="G13" s="12">
        <f>Tabulka1348[[#This Row],[Předpokládaná pořizovací cena / ks (v Kč včetně DPH)]]*Tabulka1348[[#This Row],[Počet kusů]]</f>
        <v>0</v>
      </c>
      <c r="H13" s="6" t="s">
        <v>21</v>
      </c>
      <c r="I13" s="6"/>
      <c r="J13" s="6" t="s">
        <v>91</v>
      </c>
      <c r="K13" s="8"/>
      <c r="L13" s="8"/>
      <c r="M13" s="10"/>
      <c r="N13" s="6"/>
      <c r="O13" s="6"/>
    </row>
    <row r="14" spans="1:15" x14ac:dyDescent="0.25">
      <c r="A14" s="14" t="s">
        <v>84</v>
      </c>
      <c r="B14" s="5"/>
      <c r="C14" s="5">
        <f t="shared" si="0"/>
        <v>0</v>
      </c>
      <c r="D14" s="15">
        <v>1</v>
      </c>
      <c r="E14" s="5">
        <f>Tabulka1348[[#This Row],[Předpokládaná pořizovací cena / ks (v Kč bez DPH)]]*Tabulka1348[[#This Row],[Počet kusů]]</f>
        <v>0</v>
      </c>
      <c r="F14" s="53">
        <v>0.21</v>
      </c>
      <c r="G14" s="12">
        <f>Tabulka1348[[#This Row],[Předpokládaná pořizovací cena / ks (v Kč včetně DPH)]]*Tabulka1348[[#This Row],[Počet kusů]]</f>
        <v>0</v>
      </c>
      <c r="H14" s="6" t="s">
        <v>11</v>
      </c>
      <c r="I14" s="6">
        <v>1996</v>
      </c>
      <c r="J14" s="6" t="s">
        <v>97</v>
      </c>
      <c r="K14" s="8"/>
      <c r="L14" s="8"/>
      <c r="M14" s="10"/>
      <c r="N14" s="6"/>
      <c r="O14" s="6"/>
    </row>
    <row r="15" spans="1:15" x14ac:dyDescent="0.25">
      <c r="A15" s="11" t="s">
        <v>41</v>
      </c>
      <c r="B15" s="5"/>
      <c r="C15" s="5">
        <f t="shared" si="0"/>
        <v>0</v>
      </c>
      <c r="D15" s="7">
        <v>1</v>
      </c>
      <c r="E15" s="5">
        <f>Tabulka1348[[#This Row],[Předpokládaná pořizovací cena / ks (v Kč bez DPH)]]*Tabulka1348[[#This Row],[Počet kusů]]</f>
        <v>0</v>
      </c>
      <c r="F15" s="53">
        <v>0.21</v>
      </c>
      <c r="G15" s="12">
        <f>Tabulka1348[[#This Row],[Předpokládaná pořizovací cena / ks (v Kč včetně DPH)]]*Tabulka1348[[#This Row],[Počet kusů]]</f>
        <v>0</v>
      </c>
      <c r="H15" s="6" t="s">
        <v>11</v>
      </c>
      <c r="I15" s="6">
        <v>2006</v>
      </c>
      <c r="J15" s="6" t="s">
        <v>91</v>
      </c>
      <c r="K15" s="10"/>
      <c r="L15" s="8"/>
      <c r="M15" s="10"/>
      <c r="N15" s="6"/>
      <c r="O15" s="6"/>
    </row>
    <row r="16" spans="1:15" x14ac:dyDescent="0.25">
      <c r="A16" s="14" t="s">
        <v>39</v>
      </c>
      <c r="B16" s="5"/>
      <c r="C16" s="5">
        <f t="shared" si="0"/>
        <v>0</v>
      </c>
      <c r="D16" s="15">
        <v>1</v>
      </c>
      <c r="E16" s="5">
        <f>Tabulka1348[[#This Row],[Předpokládaná pořizovací cena / ks (v Kč bez DPH)]]*Tabulka1348[[#This Row],[Počet kusů]]</f>
        <v>0</v>
      </c>
      <c r="F16" s="53">
        <v>0.21</v>
      </c>
      <c r="G16" s="12">
        <f>Tabulka1348[[#This Row],[Předpokládaná pořizovací cena / ks (v Kč včetně DPH)]]*Tabulka1348[[#This Row],[Počet kusů]]</f>
        <v>0</v>
      </c>
      <c r="H16" s="6" t="s">
        <v>11</v>
      </c>
      <c r="I16" s="6">
        <v>2008</v>
      </c>
      <c r="J16" s="6" t="s">
        <v>91</v>
      </c>
      <c r="K16" s="10"/>
      <c r="L16" s="8"/>
      <c r="M16" s="10"/>
      <c r="N16" s="6"/>
      <c r="O16" s="6"/>
    </row>
    <row r="17" spans="1:15" x14ac:dyDescent="0.25">
      <c r="A17" s="14" t="s">
        <v>38</v>
      </c>
      <c r="B17" s="5"/>
      <c r="C17" s="5">
        <f t="shared" si="0"/>
        <v>0</v>
      </c>
      <c r="D17" s="15">
        <v>1</v>
      </c>
      <c r="E17" s="5">
        <f>Tabulka1348[[#This Row],[Předpokládaná pořizovací cena / ks (v Kč bez DPH)]]*Tabulka1348[[#This Row],[Počet kusů]]</f>
        <v>0</v>
      </c>
      <c r="F17" s="53">
        <v>0.21</v>
      </c>
      <c r="G17" s="12">
        <f>Tabulka1348[[#This Row],[Předpokládaná pořizovací cena / ks (v Kč včetně DPH)]]*Tabulka1348[[#This Row],[Počet kusů]]</f>
        <v>0</v>
      </c>
      <c r="H17" s="6" t="s">
        <v>11</v>
      </c>
      <c r="I17" s="6">
        <v>2006</v>
      </c>
      <c r="J17" s="6" t="s">
        <v>91</v>
      </c>
      <c r="K17" s="10"/>
      <c r="L17" s="8"/>
      <c r="M17" s="10"/>
      <c r="N17" s="6"/>
      <c r="O17" s="6"/>
    </row>
    <row r="18" spans="1:15" x14ac:dyDescent="0.25">
      <c r="A18" s="22" t="s">
        <v>32</v>
      </c>
      <c r="B18" s="5"/>
      <c r="C18" s="5">
        <f t="shared" si="0"/>
        <v>0</v>
      </c>
      <c r="D18" s="50">
        <v>1</v>
      </c>
      <c r="E18" s="5">
        <f>Tabulka1348[[#This Row],[Předpokládaná pořizovací cena / ks (v Kč bez DPH)]]*Tabulka1348[[#This Row],[Počet kusů]]</f>
        <v>0</v>
      </c>
      <c r="F18" s="58">
        <v>0.21</v>
      </c>
      <c r="G18" s="12">
        <f>Tabulka1348[[#This Row],[Předpokládaná pořizovací cena / ks (v Kč včetně DPH)]]*Tabulka1348[[#This Row],[Počet kusů]]</f>
        <v>0</v>
      </c>
      <c r="H18" s="6"/>
      <c r="I18" s="6"/>
      <c r="J18" s="6" t="s">
        <v>90</v>
      </c>
      <c r="K18" s="84"/>
      <c r="L18" s="8"/>
      <c r="M18" s="10"/>
      <c r="N18" s="6"/>
      <c r="O18" s="6"/>
    </row>
    <row r="19" spans="1:15" x14ac:dyDescent="0.25">
      <c r="A19" t="s">
        <v>7</v>
      </c>
      <c r="C19" s="4">
        <f>SUM(C8:C18)</f>
        <v>0</v>
      </c>
      <c r="D19">
        <f>SUBTOTAL(109,Tabulka1348[Počet kusů])</f>
        <v>11</v>
      </c>
      <c r="E19" s="4">
        <f>SUM(E8:E18)</f>
        <v>0</v>
      </c>
      <c r="G19" s="4">
        <f>SUM(G8:G18)</f>
        <v>0</v>
      </c>
      <c r="H19" s="1" t="s">
        <v>8</v>
      </c>
      <c r="I19" s="1" t="s">
        <v>8</v>
      </c>
      <c r="J19" s="1" t="s">
        <v>8</v>
      </c>
      <c r="K19" s="1"/>
      <c r="L19" s="1"/>
      <c r="M19" s="1"/>
      <c r="N19" s="1"/>
      <c r="O19" s="1"/>
    </row>
    <row r="21" spans="1:15" ht="15.75" x14ac:dyDescent="0.3">
      <c r="K21" s="29"/>
    </row>
    <row r="23" spans="1:15" x14ac:dyDescent="0.25">
      <c r="K23" s="30"/>
    </row>
    <row r="24" spans="1:15" ht="15.75" x14ac:dyDescent="0.3">
      <c r="K24" s="31"/>
    </row>
    <row r="28" spans="1:15" x14ac:dyDescent="0.25">
      <c r="K28" t="s">
        <v>3</v>
      </c>
    </row>
    <row r="29" spans="1:15" x14ac:dyDescent="0.25">
      <c r="K29" t="s">
        <v>2</v>
      </c>
    </row>
  </sheetData>
  <protectedRanges>
    <protectedRange sqref="K8:M14 L15:M18" name="Oblast1"/>
  </protectedRanges>
  <mergeCells count="4">
    <mergeCell ref="A3:C3"/>
    <mergeCell ref="D3:J3"/>
    <mergeCell ref="A4:C4"/>
    <mergeCell ref="D4:J4"/>
  </mergeCells>
  <conditionalFormatting sqref="A8:B18 D8:M18">
    <cfRule type="expression" dxfId="3780" priority="59">
      <formula>$K8=#REF!</formula>
    </cfRule>
    <cfRule type="expression" dxfId="3779" priority="60">
      <formula>$K8=#REF!</formula>
    </cfRule>
    <cfRule type="expression" dxfId="3778" priority="61">
      <formula>$K8=#REF!</formula>
    </cfRule>
    <cfRule type="expression" dxfId="3777" priority="62">
      <formula>$K8=#REF!</formula>
    </cfRule>
    <cfRule type="expression" dxfId="3776" priority="63">
      <formula>$K8=#REF!</formula>
    </cfRule>
    <cfRule type="expression" dxfId="3775" priority="64">
      <formula>$K8=#REF!</formula>
    </cfRule>
    <cfRule type="expression" dxfId="3774" priority="65">
      <formula>$K8=#REF!</formula>
    </cfRule>
    <cfRule type="expression" dxfId="3773" priority="66">
      <formula>$K8=#REF!</formula>
    </cfRule>
    <cfRule type="expression" dxfId="3772" priority="67">
      <formula>$K8=#REF!</formula>
    </cfRule>
    <cfRule type="expression" dxfId="3771" priority="68">
      <formula>$K8=#REF!</formula>
    </cfRule>
    <cfRule type="expression" dxfId="3770" priority="69">
      <formula>$K8=#REF!</formula>
    </cfRule>
    <cfRule type="expression" dxfId="3769" priority="70">
      <formula>$K8=#REF!</formula>
    </cfRule>
    <cfRule type="expression" dxfId="3768" priority="71">
      <formula>$K8=#REF!</formula>
    </cfRule>
    <cfRule type="expression" dxfId="3767" priority="72">
      <formula>$K8=#REF!</formula>
    </cfRule>
    <cfRule type="expression" dxfId="3766" priority="73">
      <formula>$K8=#REF!</formula>
    </cfRule>
    <cfRule type="expression" dxfId="3765" priority="74">
      <formula>$K8=#REF!</formula>
    </cfRule>
    <cfRule type="expression" dxfId="3764" priority="75">
      <formula>$K8=#REF!</formula>
    </cfRule>
    <cfRule type="expression" dxfId="3763" priority="76">
      <formula>$K8=#REF!</formula>
    </cfRule>
    <cfRule type="expression" dxfId="3762" priority="77">
      <formula>$K8=#REF!</formula>
    </cfRule>
    <cfRule type="expression" dxfId="3761" priority="78">
      <formula>$K8=#REF!</formula>
    </cfRule>
    <cfRule type="expression" dxfId="3760" priority="79">
      <formula>$K8=#REF!</formula>
    </cfRule>
    <cfRule type="expression" dxfId="3759" priority="80">
      <formula>$K8=#REF!</formula>
    </cfRule>
    <cfRule type="expression" dxfId="3758" priority="81">
      <formula>$K8=#REF!</formula>
    </cfRule>
    <cfRule type="expression" dxfId="3757" priority="82">
      <formula>$K8=#REF!</formula>
    </cfRule>
    <cfRule type="expression" dxfId="3756" priority="83">
      <formula>$K8=#REF!</formula>
    </cfRule>
    <cfRule type="expression" dxfId="3755" priority="84">
      <formula>$K8=#REF!</formula>
    </cfRule>
    <cfRule type="expression" dxfId="3754" priority="85">
      <formula>$K8=#REF!</formula>
    </cfRule>
    <cfRule type="expression" dxfId="3753" priority="86">
      <formula>$K8=#REF!</formula>
    </cfRule>
    <cfRule type="expression" dxfId="3752" priority="87">
      <formula>$K8=#REF!</formula>
    </cfRule>
  </conditionalFormatting>
  <conditionalFormatting sqref="C8:C18">
    <cfRule type="expression" dxfId="3751" priority="1">
      <formula>$K8=#REF!</formula>
    </cfRule>
    <cfRule type="expression" dxfId="3750" priority="2">
      <formula>$K8=#REF!</formula>
    </cfRule>
    <cfRule type="expression" dxfId="3749" priority="3">
      <formula>$K8=#REF!</formula>
    </cfRule>
    <cfRule type="expression" dxfId="3748" priority="4">
      <formula>$K8=#REF!</formula>
    </cfRule>
    <cfRule type="expression" dxfId="3747" priority="5">
      <formula>$K8=#REF!</formula>
    </cfRule>
    <cfRule type="expression" dxfId="3746" priority="6">
      <formula>$K8=#REF!</formula>
    </cfRule>
    <cfRule type="expression" dxfId="3745" priority="7">
      <formula>$K8=#REF!</formula>
    </cfRule>
    <cfRule type="expression" dxfId="3744" priority="8">
      <formula>$K8=#REF!</formula>
    </cfRule>
    <cfRule type="expression" dxfId="3743" priority="9">
      <formula>$K8=#REF!</formula>
    </cfRule>
    <cfRule type="expression" dxfId="3742" priority="10">
      <formula>$K8=#REF!</formula>
    </cfRule>
    <cfRule type="expression" dxfId="3741" priority="11">
      <formula>$K8=#REF!</formula>
    </cfRule>
    <cfRule type="expression" dxfId="3740" priority="12">
      <formula>$K8=#REF!</formula>
    </cfRule>
    <cfRule type="expression" dxfId="3739" priority="13">
      <formula>$K8=#REF!</formula>
    </cfRule>
    <cfRule type="expression" dxfId="3738" priority="14">
      <formula>$K8=#REF!</formula>
    </cfRule>
    <cfRule type="expression" dxfId="3737" priority="15">
      <formula>$K8=#REF!</formula>
    </cfRule>
    <cfRule type="expression" dxfId="3736" priority="16">
      <formula>$K8=#REF!</formula>
    </cfRule>
    <cfRule type="expression" dxfId="3735" priority="17">
      <formula>$K8=#REF!</formula>
    </cfRule>
    <cfRule type="expression" dxfId="3734" priority="18">
      <formula>$K8=#REF!</formula>
    </cfRule>
    <cfRule type="expression" dxfId="3733" priority="19">
      <formula>$K8=#REF!</formula>
    </cfRule>
    <cfRule type="expression" dxfId="3732" priority="20">
      <formula>$K8=#REF!</formula>
    </cfRule>
    <cfRule type="expression" dxfId="3731" priority="21">
      <formula>$K8=#REF!</formula>
    </cfRule>
    <cfRule type="expression" dxfId="3730" priority="22">
      <formula>$K8=#REF!</formula>
    </cfRule>
    <cfRule type="expression" dxfId="3729" priority="23">
      <formula>$K8=#REF!</formula>
    </cfRule>
    <cfRule type="expression" dxfId="3728" priority="24">
      <formula>$K8=#REF!</formula>
    </cfRule>
    <cfRule type="expression" dxfId="3727" priority="25">
      <formula>$K8=#REF!</formula>
    </cfRule>
    <cfRule type="expression" dxfId="3726" priority="26">
      <formula>$K8=#REF!</formula>
    </cfRule>
    <cfRule type="expression" dxfId="3725" priority="27">
      <formula>$K8=#REF!</formula>
    </cfRule>
    <cfRule type="expression" dxfId="3724" priority="28">
      <formula>$K8=#REF!</formula>
    </cfRule>
    <cfRule type="expression" dxfId="3723" priority="29">
      <formula>$K8=#REF!</formula>
    </cfRule>
  </conditionalFormatting>
  <dataValidations count="7">
    <dataValidation type="list" allowBlank="1" showInputMessage="1" showErrorMessage="1" sqref="D20:F51 G23:G51 G20:G21">
      <formula1>$N$29:$N$30</formula1>
    </dataValidation>
    <dataValidation allowBlank="1" showInputMessage="1" showErrorMessage="1" prompt="Udávejte částku v Kč včetně DPH." sqref="C8:C18"/>
    <dataValidation type="list" allowBlank="1" showInputMessage="1" showErrorMessage="1" sqref="H8:H18">
      <formula1>$K$28:$K$29</formula1>
    </dataValidation>
    <dataValidation allowBlank="1" showInputMessage="1" showErrorMessage="1" promptTitle="Obor" prompt="Uveďte pro který obor NP bude přístroj využíván." sqref="J8:J18"/>
    <dataValidation allowBlank="1" showInputMessage="1" showErrorMessage="1" promptTitle="Stáří přístroje" prompt="Vyplňte pokud se jedná o obnovu." sqref="I8:I18"/>
    <dataValidation type="list" errorStyle="information" allowBlank="1" showInputMessage="1" promptTitle="Vyberte skupinu" prompt="Vyberte skupinu zakázky" sqref="K8:K18">
      <formula1>#REF!</formula1>
    </dataValidation>
    <dataValidation type="list" allowBlank="1" showInputMessage="1" showErrorMessage="1" sqref="M8:M18">
      <formula1>#REF!</formula1>
    </dataValidation>
  </dataValidations>
  <pageMargins left="0.7" right="0.7" top="0.75" bottom="0.75" header="0.3" footer="0.3"/>
  <pageSetup paperSize="9" orientation="portrait" horizontalDpi="0" verticalDpi="0" r:id="rId1"/>
  <legacyDrawing r:id="rId2"/>
  <tableParts count="1">
    <tablePart r:id="rId3"/>
  </tablePar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5"/>
  <sheetViews>
    <sheetView workbookViewId="0">
      <selection activeCell="B23" sqref="B23:B24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42.7109375" hidden="1" customWidth="1"/>
    <col min="12" max="12" width="26.42578125" customWidth="1"/>
    <col min="13" max="13" width="0.140625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207</v>
      </c>
    </row>
    <row r="7" spans="1:15" ht="60.75" customHeight="1" x14ac:dyDescent="0.25">
      <c r="A7" s="2" t="s">
        <v>0</v>
      </c>
      <c r="B7" s="48" t="s">
        <v>130</v>
      </c>
      <c r="C7" s="2" t="s">
        <v>126</v>
      </c>
      <c r="D7" s="2" t="s">
        <v>6</v>
      </c>
      <c r="E7" s="35" t="s">
        <v>127</v>
      </c>
      <c r="F7" s="36" t="s">
        <v>113</v>
      </c>
      <c r="G7" s="2" t="s">
        <v>150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ht="30" x14ac:dyDescent="0.25">
      <c r="A8" s="66" t="s">
        <v>81</v>
      </c>
      <c r="B8" s="74"/>
      <c r="C8" s="5">
        <f>B8*(F8+1)</f>
        <v>0</v>
      </c>
      <c r="D8" s="73">
        <v>1</v>
      </c>
      <c r="E8" s="74">
        <f>Tabulka1343343[[#This Row],[ pořizovací cena / ks (v Kč bez DPH)]]*Tabulka1343343[[#This Row],[Počet kusů]]</f>
        <v>0</v>
      </c>
      <c r="F8" s="75">
        <v>0.21</v>
      </c>
      <c r="G8" s="12">
        <f>Tabulka1343343[[#This Row],[ pořizovací cena / ks (v Kč včetně DPH)]]*Tabulka1343343[[#This Row],[Počet kusů]]</f>
        <v>0</v>
      </c>
      <c r="H8" s="6"/>
      <c r="I8" s="6"/>
      <c r="J8" s="6" t="s">
        <v>90</v>
      </c>
      <c r="K8" s="85"/>
      <c r="L8" s="10"/>
      <c r="M8" s="47"/>
      <c r="N8" s="6"/>
      <c r="O8" s="6"/>
    </row>
    <row r="9" spans="1:15" x14ac:dyDescent="0.25">
      <c r="A9" s="66" t="s">
        <v>208</v>
      </c>
      <c r="B9" s="74"/>
      <c r="C9" s="5">
        <f>B9*(F9+1)</f>
        <v>0</v>
      </c>
      <c r="D9" s="73">
        <v>1</v>
      </c>
      <c r="E9" s="74">
        <f>Tabulka1343343[[#This Row],[ pořizovací cena / ks (v Kč bez DPH)]]*Tabulka1343343[[#This Row],[Počet kusů]]</f>
        <v>0</v>
      </c>
      <c r="F9" s="75"/>
      <c r="G9" s="12">
        <f>Tabulka1343343[[#This Row],[ pořizovací cena / ks (v Kč včetně DPH)]]*Tabulka1343343[[#This Row],[Počet kusů]]</f>
        <v>0</v>
      </c>
      <c r="H9" s="6"/>
      <c r="I9" s="6"/>
      <c r="J9" s="6"/>
      <c r="K9" s="76"/>
      <c r="L9" s="8"/>
      <c r="M9" s="47"/>
      <c r="N9" s="6"/>
      <c r="O9" s="6"/>
    </row>
    <row r="10" spans="1:15" x14ac:dyDescent="0.25">
      <c r="A10" s="6" t="s">
        <v>7</v>
      </c>
      <c r="B10" s="61"/>
      <c r="C10" s="62">
        <f>SUM(C9)</f>
        <v>0</v>
      </c>
      <c r="D10" s="6">
        <f>SUBTOTAL(109,Tabulka1343343[Počet kusů])</f>
        <v>2</v>
      </c>
      <c r="E10" s="62">
        <f>SUM(E9)</f>
        <v>0</v>
      </c>
      <c r="F10" s="63"/>
      <c r="G10" s="62">
        <f>SUM(G9)</f>
        <v>0</v>
      </c>
      <c r="H10" s="64" t="s">
        <v>8</v>
      </c>
      <c r="I10" s="64" t="s">
        <v>8</v>
      </c>
      <c r="J10" s="64" t="s">
        <v>8</v>
      </c>
      <c r="K10" s="64"/>
      <c r="L10" s="64"/>
      <c r="M10" s="1"/>
      <c r="N10" s="1"/>
      <c r="O10" s="1"/>
    </row>
    <row r="11" spans="1:15" x14ac:dyDescent="0.25">
      <c r="A11" s="6"/>
      <c r="B11" s="61"/>
      <c r="C11" s="6"/>
      <c r="D11" s="6"/>
      <c r="E11" s="65"/>
      <c r="F11" s="63"/>
      <c r="G11" s="6"/>
      <c r="H11" s="6"/>
      <c r="I11" s="6"/>
      <c r="J11" s="6"/>
      <c r="K11" s="6"/>
      <c r="L11" s="6"/>
    </row>
    <row r="12" spans="1:15" ht="15.75" x14ac:dyDescent="0.3">
      <c r="A12" s="6"/>
      <c r="B12" s="61"/>
      <c r="C12" s="6"/>
      <c r="D12" s="6"/>
      <c r="E12" s="65"/>
      <c r="F12" s="63"/>
      <c r="G12" s="6"/>
      <c r="H12" s="6"/>
      <c r="I12" s="6"/>
      <c r="J12" s="6"/>
      <c r="K12" s="77"/>
      <c r="L12" s="6"/>
    </row>
    <row r="13" spans="1:15" x14ac:dyDescent="0.25">
      <c r="A13" s="6"/>
      <c r="B13" s="61"/>
      <c r="C13" s="6"/>
      <c r="D13" s="6"/>
      <c r="E13" s="65"/>
      <c r="F13" s="63"/>
      <c r="G13" s="6"/>
      <c r="H13" s="6"/>
      <c r="I13" s="6"/>
      <c r="J13" s="6"/>
      <c r="K13" s="6"/>
      <c r="L13" s="6"/>
    </row>
    <row r="14" spans="1:15" x14ac:dyDescent="0.25">
      <c r="K14" s="30"/>
    </row>
    <row r="15" spans="1:15" ht="15.75" x14ac:dyDescent="0.3">
      <c r="K15" s="31"/>
    </row>
  </sheetData>
  <protectedRanges>
    <protectedRange sqref="K8:M9" name="Oblast1"/>
  </protectedRanges>
  <mergeCells count="4">
    <mergeCell ref="A3:C3"/>
    <mergeCell ref="D3:J3"/>
    <mergeCell ref="A4:C4"/>
    <mergeCell ref="D4:J4"/>
  </mergeCells>
  <conditionalFormatting sqref="A7:B9 D7:M9">
    <cfRule type="expression" dxfId="368" priority="30">
      <formula>$K7=#REF!</formula>
    </cfRule>
    <cfRule type="expression" dxfId="367" priority="31">
      <formula>$K7=#REF!</formula>
    </cfRule>
    <cfRule type="expression" dxfId="366" priority="32">
      <formula>$K7=#REF!</formula>
    </cfRule>
    <cfRule type="expression" dxfId="365" priority="33">
      <formula>$K7=#REF!</formula>
    </cfRule>
    <cfRule type="expression" dxfId="364" priority="34">
      <formula>$K7=#REF!</formula>
    </cfRule>
    <cfRule type="expression" dxfId="363" priority="35">
      <formula>$K7=#REF!</formula>
    </cfRule>
    <cfRule type="expression" dxfId="362" priority="36">
      <formula>$K7=#REF!</formula>
    </cfRule>
    <cfRule type="expression" dxfId="361" priority="37">
      <formula>$K7=#REF!</formula>
    </cfRule>
    <cfRule type="expression" dxfId="360" priority="38">
      <formula>$K7=#REF!</formula>
    </cfRule>
    <cfRule type="expression" dxfId="359" priority="39">
      <formula>$K7=#REF!</formula>
    </cfRule>
    <cfRule type="expression" dxfId="358" priority="40">
      <formula>$K7=#REF!</formula>
    </cfRule>
    <cfRule type="expression" dxfId="357" priority="41">
      <formula>$K7=#REF!</formula>
    </cfRule>
    <cfRule type="expression" dxfId="356" priority="42">
      <formula>$K7=#REF!</formula>
    </cfRule>
    <cfRule type="expression" dxfId="355" priority="43">
      <formula>$K7=#REF!</formula>
    </cfRule>
    <cfRule type="expression" dxfId="354" priority="44">
      <formula>$K7=#REF!</formula>
    </cfRule>
    <cfRule type="expression" dxfId="353" priority="45">
      <formula>$K7=#REF!</formula>
    </cfRule>
    <cfRule type="expression" dxfId="352" priority="46">
      <formula>$K7=#REF!</formula>
    </cfRule>
    <cfRule type="expression" dxfId="351" priority="47">
      <formula>$K7=#REF!</formula>
    </cfRule>
    <cfRule type="expression" dxfId="350" priority="48">
      <formula>$K7=#REF!</formula>
    </cfRule>
    <cfRule type="expression" dxfId="349" priority="49">
      <formula>$K7=#REF!</formula>
    </cfRule>
    <cfRule type="expression" dxfId="348" priority="50">
      <formula>$K7=#REF!</formula>
    </cfRule>
    <cfRule type="expression" dxfId="347" priority="51">
      <formula>$K7=#REF!</formula>
    </cfRule>
    <cfRule type="expression" dxfId="346" priority="52">
      <formula>$K7=#REF!</formula>
    </cfRule>
    <cfRule type="expression" dxfId="345" priority="53">
      <formula>$K7=#REF!</formula>
    </cfRule>
    <cfRule type="expression" dxfId="344" priority="54">
      <formula>$K7=#REF!</formula>
    </cfRule>
    <cfRule type="expression" dxfId="343" priority="55">
      <formula>$K7=#REF!</formula>
    </cfRule>
    <cfRule type="expression" dxfId="342" priority="56">
      <formula>$K7=#REF!</formula>
    </cfRule>
    <cfRule type="expression" dxfId="341" priority="57">
      <formula>$K7=#REF!</formula>
    </cfRule>
    <cfRule type="expression" dxfId="340" priority="58">
      <formula>$K7=#REF!</formula>
    </cfRule>
  </conditionalFormatting>
  <conditionalFormatting sqref="C7:C9">
    <cfRule type="expression" dxfId="339" priority="1">
      <formula>$K7=#REF!</formula>
    </cfRule>
    <cfRule type="expression" dxfId="338" priority="2">
      <formula>$K7=#REF!</formula>
    </cfRule>
    <cfRule type="expression" dxfId="337" priority="3">
      <formula>$K7=#REF!</formula>
    </cfRule>
    <cfRule type="expression" dxfId="336" priority="4">
      <formula>$K7=#REF!</formula>
    </cfRule>
    <cfRule type="expression" dxfId="335" priority="5">
      <formula>$K7=#REF!</formula>
    </cfRule>
    <cfRule type="expression" dxfId="334" priority="6">
      <formula>$K7=#REF!</formula>
    </cfRule>
    <cfRule type="expression" dxfId="333" priority="7">
      <formula>$K7=#REF!</formula>
    </cfRule>
    <cfRule type="expression" dxfId="332" priority="8">
      <formula>$K7=#REF!</formula>
    </cfRule>
    <cfRule type="expression" dxfId="331" priority="9">
      <formula>$K7=#REF!</formula>
    </cfRule>
    <cfRule type="expression" dxfId="330" priority="10">
      <formula>$K7=#REF!</formula>
    </cfRule>
    <cfRule type="expression" dxfId="329" priority="11">
      <formula>$K7=#REF!</formula>
    </cfRule>
    <cfRule type="expression" dxfId="328" priority="12">
      <formula>$K7=#REF!</formula>
    </cfRule>
    <cfRule type="expression" dxfId="327" priority="13">
      <formula>$K7=#REF!</formula>
    </cfRule>
    <cfRule type="expression" dxfId="326" priority="14">
      <formula>$K7=#REF!</formula>
    </cfRule>
    <cfRule type="expression" dxfId="325" priority="15">
      <formula>$K7=#REF!</formula>
    </cfRule>
    <cfRule type="expression" dxfId="324" priority="16">
      <formula>$K7=#REF!</formula>
    </cfRule>
    <cfRule type="expression" dxfId="323" priority="17">
      <formula>$K7=#REF!</formula>
    </cfRule>
    <cfRule type="expression" dxfId="322" priority="18">
      <formula>$K7=#REF!</formula>
    </cfRule>
    <cfRule type="expression" dxfId="321" priority="19">
      <formula>$K7=#REF!</formula>
    </cfRule>
    <cfRule type="expression" dxfId="320" priority="20">
      <formula>$K7=#REF!</formula>
    </cfRule>
    <cfRule type="expression" dxfId="319" priority="21">
      <formula>$K7=#REF!</formula>
    </cfRule>
    <cfRule type="expression" dxfId="318" priority="22">
      <formula>$K7=#REF!</formula>
    </cfRule>
    <cfRule type="expression" dxfId="317" priority="23">
      <formula>$K7=#REF!</formula>
    </cfRule>
    <cfRule type="expression" dxfId="316" priority="24">
      <formula>$K7=#REF!</formula>
    </cfRule>
    <cfRule type="expression" dxfId="315" priority="25">
      <formula>$K7=#REF!</formula>
    </cfRule>
    <cfRule type="expression" dxfId="314" priority="26">
      <formula>$K7=#REF!</formula>
    </cfRule>
    <cfRule type="expression" dxfId="313" priority="27">
      <formula>$K7=#REF!</formula>
    </cfRule>
    <cfRule type="expression" dxfId="312" priority="28">
      <formula>$K7=#REF!</formula>
    </cfRule>
    <cfRule type="expression" dxfId="311" priority="29">
      <formula>$K7=#REF!</formula>
    </cfRule>
  </conditionalFormatting>
  <dataValidations count="7">
    <dataValidation type="list" allowBlank="1" showInputMessage="1" showErrorMessage="1" sqref="M7:M9">
      <formula1>#REF!</formula1>
    </dataValidation>
    <dataValidation type="list" errorStyle="information" allowBlank="1" showInputMessage="1" promptTitle="Vyberte skupinu" prompt="Vyberte skupinu zakázky" sqref="K7:K9">
      <formula1>#REF!</formula1>
    </dataValidation>
    <dataValidation allowBlank="1" showInputMessage="1" showErrorMessage="1" prompt="Udávejte částku v Kč včetně DPH." sqref="C7:C9"/>
    <dataValidation allowBlank="1" showInputMessage="1" showErrorMessage="1" promptTitle="Stáří přístroje" prompt="Vyplňte pokud se jedná o obnovu." sqref="I7:I9"/>
    <dataValidation allowBlank="1" showInputMessage="1" showErrorMessage="1" promptTitle="Obor" prompt="Uveďte pro který obor NP bude přístroj využíván." sqref="J7:J9"/>
    <dataValidation type="list" allowBlank="1" showInputMessage="1" showErrorMessage="1" sqref="H7:H9">
      <formula1>$K$19:$K$20</formula1>
    </dataValidation>
    <dataValidation type="list" allowBlank="1" showInputMessage="1" showErrorMessage="1" sqref="G11:G12 F12:F42 D11:F11 D12:E35 G14:G42">
      <formula1>$N$20:$N$21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O21"/>
  <sheetViews>
    <sheetView workbookViewId="0">
      <selection activeCell="D10" sqref="D10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42.7109375" hidden="1" customWidth="1"/>
    <col min="12" max="12" width="26.42578125" customWidth="1"/>
    <col min="13" max="13" width="0.140625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219</v>
      </c>
    </row>
    <row r="7" spans="1:15" ht="60.75" customHeight="1" x14ac:dyDescent="0.25">
      <c r="A7" s="2" t="s">
        <v>0</v>
      </c>
      <c r="B7" s="48" t="s">
        <v>130</v>
      </c>
      <c r="C7" s="2" t="s">
        <v>126</v>
      </c>
      <c r="D7" s="2" t="s">
        <v>6</v>
      </c>
      <c r="E7" s="35" t="s">
        <v>127</v>
      </c>
      <c r="F7" s="36" t="s">
        <v>113</v>
      </c>
      <c r="G7" s="2" t="s">
        <v>132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7" t="s">
        <v>56</v>
      </c>
      <c r="B8" s="5"/>
      <c r="C8" s="5">
        <f>B8*(F8+1)</f>
        <v>0</v>
      </c>
      <c r="D8" s="15">
        <v>1</v>
      </c>
      <c r="E8" s="5">
        <f>Tabulka134143[[#This Row],[ pořizovací cena / ks (v Kč bez DPH)]]*Tabulka134143[[#This Row],[Počet kusů]]</f>
        <v>0</v>
      </c>
      <c r="F8" s="53">
        <v>0.21</v>
      </c>
      <c r="G8" s="12">
        <f>Tabulka134143[[#This Row],[ pořizovací cena / ks (v Kč včetně DPH)]]*Tabulka134143[[#This Row],[Počet kusů]]</f>
        <v>0</v>
      </c>
      <c r="H8" s="6" t="s">
        <v>21</v>
      </c>
      <c r="I8" s="6"/>
      <c r="J8" s="6" t="s">
        <v>92</v>
      </c>
      <c r="K8" s="8"/>
      <c r="L8" s="8"/>
      <c r="M8" s="10"/>
      <c r="N8" s="6"/>
      <c r="O8" s="6"/>
    </row>
    <row r="9" spans="1:15" x14ac:dyDescent="0.25">
      <c r="A9" s="13" t="s">
        <v>51</v>
      </c>
      <c r="B9" s="5"/>
      <c r="C9" s="5">
        <f>B9*(F9+1)</f>
        <v>0</v>
      </c>
      <c r="D9" s="15">
        <v>1</v>
      </c>
      <c r="E9" s="5">
        <f>Tabulka134143[[#This Row],[ pořizovací cena / ks (v Kč bez DPH)]]*Tabulka134143[[#This Row],[Počet kusů]]</f>
        <v>0</v>
      </c>
      <c r="F9" s="53">
        <v>0.21</v>
      </c>
      <c r="G9" s="12">
        <f>Tabulka134143[[#This Row],[ pořizovací cena / ks (v Kč včetně DPH)]]*Tabulka134143[[#This Row],[Počet kusů]]</f>
        <v>0</v>
      </c>
      <c r="H9" s="6" t="s">
        <v>11</v>
      </c>
      <c r="I9" s="6">
        <v>2010</v>
      </c>
      <c r="J9" s="6" t="s">
        <v>92</v>
      </c>
      <c r="K9" s="8"/>
      <c r="L9" s="8"/>
      <c r="M9" s="10"/>
      <c r="N9" s="6"/>
      <c r="O9" s="6"/>
    </row>
    <row r="10" spans="1:15" x14ac:dyDescent="0.25">
      <c r="A10" s="23" t="s">
        <v>61</v>
      </c>
      <c r="B10" s="5"/>
      <c r="C10" s="5">
        <f>B10*(F10+1)</f>
        <v>0</v>
      </c>
      <c r="D10" s="18">
        <v>1</v>
      </c>
      <c r="E10" s="5">
        <f>Tabulka134143[[#This Row],[ pořizovací cena / ks (v Kč bez DPH)]]*Tabulka134143[[#This Row],[Počet kusů]]</f>
        <v>0</v>
      </c>
      <c r="F10" s="53">
        <v>0.21</v>
      </c>
      <c r="G10" s="32">
        <f>Tabulka134143[[#This Row],[ pořizovací cena / ks (v Kč včetně DPH)]]*Tabulka134143[[#This Row],[Počet kusů]]</f>
        <v>0</v>
      </c>
      <c r="H10" s="33" t="s">
        <v>11</v>
      </c>
      <c r="I10" s="33">
        <v>2006</v>
      </c>
      <c r="J10" s="33" t="s">
        <v>92</v>
      </c>
      <c r="K10" s="34"/>
      <c r="L10" s="34"/>
      <c r="M10" s="40"/>
      <c r="N10" s="6"/>
      <c r="O10" s="6"/>
    </row>
    <row r="11" spans="1:15" x14ac:dyDescent="0.25">
      <c r="A11" s="6" t="s">
        <v>7</v>
      </c>
      <c r="B11" s="61"/>
      <c r="C11" s="62">
        <f>SUM(C8:C10)</f>
        <v>0</v>
      </c>
      <c r="D11" s="6">
        <f>SUBTOTAL(109,Tabulka134143[Počet kusů])</f>
        <v>3</v>
      </c>
      <c r="E11" s="62">
        <f>SUM(E8:E10)</f>
        <v>0</v>
      </c>
      <c r="F11" s="63"/>
      <c r="G11" s="62">
        <f>SUM(G8:G10)</f>
        <v>0</v>
      </c>
      <c r="H11" s="64" t="s">
        <v>8</v>
      </c>
      <c r="I11" s="64" t="s">
        <v>8</v>
      </c>
      <c r="J11" s="64" t="s">
        <v>8</v>
      </c>
      <c r="K11" s="64"/>
      <c r="L11" s="64"/>
      <c r="M11" s="1"/>
      <c r="N11" s="1"/>
      <c r="O11" s="1"/>
    </row>
    <row r="13" spans="1:15" ht="15.75" x14ac:dyDescent="0.3">
      <c r="K13" s="29"/>
    </row>
    <row r="15" spans="1:15" x14ac:dyDescent="0.25">
      <c r="K15" s="30" t="s">
        <v>103</v>
      </c>
    </row>
    <row r="16" spans="1:15" ht="15.75" x14ac:dyDescent="0.3">
      <c r="K16" s="31" t="e">
        <f>SUMPRODUCT(1/COUNTIF(Tabulka134143[Skupina],Tabulka134143[Skupina]))</f>
        <v>#DIV/0!</v>
      </c>
    </row>
    <row r="20" spans="11:11" x14ac:dyDescent="0.25">
      <c r="K20" t="s">
        <v>3</v>
      </c>
    </row>
    <row r="21" spans="11:11" x14ac:dyDescent="0.25">
      <c r="K21" t="s">
        <v>2</v>
      </c>
    </row>
  </sheetData>
  <protectedRanges>
    <protectedRange sqref="K8:M10" name="Oblast1"/>
  </protectedRanges>
  <mergeCells count="4">
    <mergeCell ref="A3:C3"/>
    <mergeCell ref="D3:J3"/>
    <mergeCell ref="A4:C4"/>
    <mergeCell ref="D4:J4"/>
  </mergeCells>
  <conditionalFormatting sqref="D8:M10 A8:B10">
    <cfRule type="expression" dxfId="279" priority="30">
      <formula>$K8=#REF!</formula>
    </cfRule>
    <cfRule type="expression" dxfId="278" priority="31">
      <formula>$K8=#REF!</formula>
    </cfRule>
    <cfRule type="expression" dxfId="277" priority="32">
      <formula>$K8=#REF!</formula>
    </cfRule>
    <cfRule type="expression" dxfId="276" priority="33">
      <formula>$K8=#REF!</formula>
    </cfRule>
    <cfRule type="expression" dxfId="275" priority="34">
      <formula>$K8=#REF!</formula>
    </cfRule>
    <cfRule type="expression" dxfId="274" priority="35">
      <formula>$K8=#REF!</formula>
    </cfRule>
    <cfRule type="expression" dxfId="273" priority="36">
      <formula>$K8=#REF!</formula>
    </cfRule>
    <cfRule type="expression" dxfId="272" priority="37">
      <formula>$K8=#REF!</formula>
    </cfRule>
    <cfRule type="expression" dxfId="271" priority="38">
      <formula>$K8=#REF!</formula>
    </cfRule>
    <cfRule type="expression" dxfId="270" priority="39">
      <formula>$K8=#REF!</formula>
    </cfRule>
    <cfRule type="expression" dxfId="269" priority="40">
      <formula>$K8=#REF!</formula>
    </cfRule>
    <cfRule type="expression" dxfId="268" priority="41">
      <formula>$K8=#REF!</formula>
    </cfRule>
    <cfRule type="expression" dxfId="267" priority="42">
      <formula>$K8=#REF!</formula>
    </cfRule>
    <cfRule type="expression" dxfId="266" priority="43">
      <formula>$K8=#REF!</formula>
    </cfRule>
    <cfRule type="expression" dxfId="265" priority="44">
      <formula>$K8=#REF!</formula>
    </cfRule>
    <cfRule type="expression" dxfId="264" priority="45">
      <formula>$K8=#REF!</formula>
    </cfRule>
    <cfRule type="expression" dxfId="263" priority="46">
      <formula>$K8=#REF!</formula>
    </cfRule>
    <cfRule type="expression" dxfId="262" priority="47">
      <formula>$K8=#REF!</formula>
    </cfRule>
    <cfRule type="expression" dxfId="261" priority="48">
      <formula>$K8=#REF!</formula>
    </cfRule>
    <cfRule type="expression" dxfId="260" priority="49">
      <formula>$K8=#REF!</formula>
    </cfRule>
    <cfRule type="expression" dxfId="259" priority="50">
      <formula>$K8=#REF!</formula>
    </cfRule>
    <cfRule type="expression" dxfId="258" priority="51">
      <formula>$K8=#REF!</formula>
    </cfRule>
    <cfRule type="expression" dxfId="257" priority="52">
      <formula>$K8=#REF!</formula>
    </cfRule>
    <cfRule type="expression" dxfId="256" priority="53">
      <formula>$K8=#REF!</formula>
    </cfRule>
    <cfRule type="expression" dxfId="255" priority="54">
      <formula>$K8=#REF!</formula>
    </cfRule>
    <cfRule type="expression" dxfId="254" priority="55">
      <formula>$K8=#REF!</formula>
    </cfRule>
    <cfRule type="expression" dxfId="253" priority="56">
      <formula>$K8=#REF!</formula>
    </cfRule>
    <cfRule type="expression" dxfId="252" priority="57">
      <formula>$K8=#REF!</formula>
    </cfRule>
    <cfRule type="expression" dxfId="251" priority="58">
      <formula>$K8=#REF!</formula>
    </cfRule>
  </conditionalFormatting>
  <conditionalFormatting sqref="C8:C10">
    <cfRule type="expression" dxfId="250" priority="1">
      <formula>$K8=#REF!</formula>
    </cfRule>
    <cfRule type="expression" dxfId="249" priority="2">
      <formula>$K8=#REF!</formula>
    </cfRule>
    <cfRule type="expression" dxfId="248" priority="3">
      <formula>$K8=#REF!</formula>
    </cfRule>
    <cfRule type="expression" dxfId="247" priority="4">
      <formula>$K8=#REF!</formula>
    </cfRule>
    <cfRule type="expression" dxfId="246" priority="5">
      <formula>$K8=#REF!</formula>
    </cfRule>
    <cfRule type="expression" dxfId="245" priority="6">
      <formula>$K8=#REF!</formula>
    </cfRule>
    <cfRule type="expression" dxfId="244" priority="7">
      <formula>$K8=#REF!</formula>
    </cfRule>
    <cfRule type="expression" dxfId="243" priority="8">
      <formula>$K8=#REF!</formula>
    </cfRule>
    <cfRule type="expression" dxfId="242" priority="9">
      <formula>$K8=#REF!</formula>
    </cfRule>
    <cfRule type="expression" dxfId="241" priority="10">
      <formula>$K8=#REF!</formula>
    </cfRule>
    <cfRule type="expression" dxfId="240" priority="11">
      <formula>$K8=#REF!</formula>
    </cfRule>
    <cfRule type="expression" dxfId="239" priority="12">
      <formula>$K8=#REF!</formula>
    </cfRule>
    <cfRule type="expression" dxfId="238" priority="13">
      <formula>$K8=#REF!</formula>
    </cfRule>
    <cfRule type="expression" dxfId="237" priority="14">
      <formula>$K8=#REF!</formula>
    </cfRule>
    <cfRule type="expression" dxfId="236" priority="15">
      <formula>$K8=#REF!</formula>
    </cfRule>
    <cfRule type="expression" dxfId="235" priority="16">
      <formula>$K8=#REF!</formula>
    </cfRule>
    <cfRule type="expression" dxfId="234" priority="17">
      <formula>$K8=#REF!</formula>
    </cfRule>
    <cfRule type="expression" dxfId="233" priority="18">
      <formula>$K8=#REF!</formula>
    </cfRule>
    <cfRule type="expression" dxfId="232" priority="19">
      <formula>$K8=#REF!</formula>
    </cfRule>
    <cfRule type="expression" dxfId="231" priority="20">
      <formula>$K8=#REF!</formula>
    </cfRule>
    <cfRule type="expression" dxfId="230" priority="21">
      <formula>$K8=#REF!</formula>
    </cfRule>
    <cfRule type="expression" dxfId="229" priority="22">
      <formula>$K8=#REF!</formula>
    </cfRule>
    <cfRule type="expression" dxfId="228" priority="23">
      <formula>$K8=#REF!</formula>
    </cfRule>
    <cfRule type="expression" dxfId="227" priority="24">
      <formula>$K8=#REF!</formula>
    </cfRule>
    <cfRule type="expression" dxfId="226" priority="25">
      <formula>$K8=#REF!</formula>
    </cfRule>
    <cfRule type="expression" dxfId="225" priority="26">
      <formula>$K8=#REF!</formula>
    </cfRule>
    <cfRule type="expression" dxfId="224" priority="27">
      <formula>$K8=#REF!</formula>
    </cfRule>
    <cfRule type="expression" dxfId="223" priority="28">
      <formula>$K8=#REF!</formula>
    </cfRule>
    <cfRule type="expression" dxfId="222" priority="29">
      <formula>$K8=#REF!</formula>
    </cfRule>
  </conditionalFormatting>
  <dataValidations count="7">
    <dataValidation type="list" allowBlank="1" showInputMessage="1" showErrorMessage="1" sqref="D12:F43 G12:G13 G15:G43">
      <formula1>$N$21:$N$22</formula1>
    </dataValidation>
    <dataValidation type="list" allowBlank="1" showInputMessage="1" showErrorMessage="1" sqref="M8:M10">
      <formula1>#REF!</formula1>
    </dataValidation>
    <dataValidation type="list" errorStyle="information" allowBlank="1" showInputMessage="1" promptTitle="Vyberte skupinu" prompt="Vyberte skupinu zakázky" sqref="K8:K10">
      <formula1>#REF!</formula1>
    </dataValidation>
    <dataValidation allowBlank="1" showInputMessage="1" showErrorMessage="1" promptTitle="Stáří přístroje" prompt="Vyplňte pokud se jedná o obnovu." sqref="I8:I10"/>
    <dataValidation allowBlank="1" showInputMessage="1" showErrorMessage="1" promptTitle="Obor" prompt="Uveďte pro který obor NP bude přístroj využíván." sqref="J8:J10"/>
    <dataValidation type="list" allowBlank="1" showInputMessage="1" showErrorMessage="1" sqref="H8:H10">
      <formula1>$K$20:$K$21</formula1>
    </dataValidation>
    <dataValidation allowBlank="1" showInputMessage="1" showErrorMessage="1" prompt="Udávejte částku v Kč včetně DPH." sqref="C8:C10"/>
  </dataValidations>
  <pageMargins left="0.7" right="0.7" top="0.75" bottom="0.75" header="0.3" footer="0.3"/>
  <pageSetup paperSize="9" scale="74" orientation="landscape" r:id="rId1"/>
  <legacyDrawing r:id="rId2"/>
  <tableParts count="1">
    <tablePart r:id="rId3"/>
  </tableParts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6"/>
  <sheetViews>
    <sheetView workbookViewId="0">
      <selection activeCell="B20" sqref="B20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6.85546875" customWidth="1"/>
    <col min="8" max="8" width="14.42578125" hidden="1" customWidth="1"/>
    <col min="9" max="9" width="13.42578125" hidden="1" customWidth="1"/>
    <col min="10" max="10" width="1.85546875" hidden="1" customWidth="1"/>
    <col min="11" max="11" width="42.7109375" hidden="1" customWidth="1"/>
    <col min="12" max="12" width="26.42578125" customWidth="1"/>
    <col min="13" max="13" width="0.140625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209</v>
      </c>
    </row>
    <row r="7" spans="1:15" ht="60.75" customHeight="1" x14ac:dyDescent="0.25">
      <c r="A7" s="2" t="s">
        <v>0</v>
      </c>
      <c r="B7" s="48" t="s">
        <v>130</v>
      </c>
      <c r="C7" s="2" t="s">
        <v>126</v>
      </c>
      <c r="D7" s="2" t="s">
        <v>6</v>
      </c>
      <c r="E7" s="35" t="s">
        <v>127</v>
      </c>
      <c r="F7" s="36" t="s">
        <v>113</v>
      </c>
      <c r="G7" s="2" t="s">
        <v>132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13" t="s">
        <v>20</v>
      </c>
      <c r="B8" s="5"/>
      <c r="C8" s="5">
        <f t="shared" ref="C8:C10" si="0">B8*(F8+1)</f>
        <v>0</v>
      </c>
      <c r="D8" s="15">
        <v>3</v>
      </c>
      <c r="E8" s="5">
        <f>Tabulka134132[[#This Row],[ pořizovací cena / ks (v Kč bez DPH)]]*Tabulka134132[[#This Row],[Počet kusů]]</f>
        <v>0</v>
      </c>
      <c r="F8" s="53">
        <v>0.21</v>
      </c>
      <c r="G8" s="12">
        <f>Tabulka134132[[#This Row],[ pořizovací cena / ks (v Kč včetně DPH)]]*Tabulka134132[[#This Row],[Počet kusů]]</f>
        <v>0</v>
      </c>
      <c r="H8" s="6" t="s">
        <v>21</v>
      </c>
      <c r="I8" s="6"/>
      <c r="J8" s="6" t="s">
        <v>91</v>
      </c>
      <c r="K8" s="8"/>
      <c r="L8" s="8"/>
      <c r="M8" s="42"/>
      <c r="N8" s="6"/>
      <c r="O8" s="6"/>
    </row>
    <row r="9" spans="1:15" x14ac:dyDescent="0.25">
      <c r="A9" s="13" t="s">
        <v>25</v>
      </c>
      <c r="B9" s="5"/>
      <c r="C9" s="5">
        <f t="shared" si="0"/>
        <v>0</v>
      </c>
      <c r="D9" s="15">
        <v>1</v>
      </c>
      <c r="E9" s="5">
        <f>Tabulka134132[[#This Row],[ pořizovací cena / ks (v Kč bez DPH)]]*Tabulka134132[[#This Row],[Počet kusů]]</f>
        <v>0</v>
      </c>
      <c r="F9" s="53">
        <v>0.21</v>
      </c>
      <c r="G9" s="12">
        <f>Tabulka134132[[#This Row],[ pořizovací cena / ks (v Kč včetně DPH)]]*Tabulka134132[[#This Row],[Počet kusů]]</f>
        <v>0</v>
      </c>
      <c r="H9" s="6" t="s">
        <v>21</v>
      </c>
      <c r="I9" s="6"/>
      <c r="J9" s="6" t="s">
        <v>91</v>
      </c>
      <c r="K9" s="8"/>
      <c r="L9" s="8"/>
      <c r="M9" s="42"/>
      <c r="N9" s="6"/>
      <c r="O9" s="6"/>
    </row>
    <row r="10" spans="1:15" x14ac:dyDescent="0.25">
      <c r="A10" s="7" t="s">
        <v>46</v>
      </c>
      <c r="B10" s="5"/>
      <c r="C10" s="5">
        <f t="shared" si="0"/>
        <v>0</v>
      </c>
      <c r="D10" s="7">
        <v>4</v>
      </c>
      <c r="E10" s="5">
        <f>Tabulka134132[[#This Row],[ pořizovací cena / ks (v Kč bez DPH)]]*Tabulka134132[[#This Row],[Počet kusů]]</f>
        <v>0</v>
      </c>
      <c r="F10" s="59">
        <v>0.21</v>
      </c>
      <c r="G10" s="12">
        <f>Tabulka134132[[#This Row],[ pořizovací cena / ks (v Kč včetně DPH)]]*Tabulka134132[[#This Row],[Počet kusů]]</f>
        <v>0</v>
      </c>
      <c r="H10" s="6" t="s">
        <v>21</v>
      </c>
      <c r="I10" s="6"/>
      <c r="J10" s="6" t="s">
        <v>93</v>
      </c>
      <c r="K10" s="60"/>
      <c r="L10" s="8"/>
      <c r="M10" s="43"/>
      <c r="N10" s="6"/>
      <c r="O10" s="6"/>
    </row>
    <row r="11" spans="1:15" x14ac:dyDescent="0.25">
      <c r="A11" t="s">
        <v>7</v>
      </c>
      <c r="C11" s="4">
        <f>SUM(C8:C10)</f>
        <v>0</v>
      </c>
      <c r="D11">
        <f>SUBTOTAL(109,Tabulka134132[Počet kusů])</f>
        <v>8</v>
      </c>
      <c r="E11" s="4">
        <f>SUM(E8:E10)</f>
        <v>0</v>
      </c>
      <c r="G11" s="4">
        <f>SUM(G8:G10)</f>
        <v>0</v>
      </c>
      <c r="H11" s="1" t="s">
        <v>8</v>
      </c>
      <c r="I11" s="1" t="s">
        <v>8</v>
      </c>
      <c r="J11" s="1" t="s">
        <v>8</v>
      </c>
      <c r="K11" s="1"/>
      <c r="L11" s="1"/>
      <c r="M11" s="1"/>
      <c r="N11" s="1"/>
      <c r="O11" s="1"/>
    </row>
    <row r="13" spans="1:15" ht="15.75" x14ac:dyDescent="0.3">
      <c r="K13" s="29"/>
    </row>
    <row r="15" spans="1:15" x14ac:dyDescent="0.25">
      <c r="K15" s="30"/>
    </row>
    <row r="16" spans="1:15" ht="15.75" x14ac:dyDescent="0.3">
      <c r="K16" s="31"/>
    </row>
  </sheetData>
  <protectedRanges>
    <protectedRange sqref="K8:M10" name="Oblast1"/>
  </protectedRanges>
  <mergeCells count="4">
    <mergeCell ref="A3:C3"/>
    <mergeCell ref="D3:J3"/>
    <mergeCell ref="A4:C4"/>
    <mergeCell ref="D4:J4"/>
  </mergeCells>
  <conditionalFormatting sqref="D8:M10 A8:B10">
    <cfRule type="expression" dxfId="190" priority="30">
      <formula>$K8=#REF!</formula>
    </cfRule>
    <cfRule type="expression" dxfId="189" priority="31">
      <formula>$K8=#REF!</formula>
    </cfRule>
    <cfRule type="expression" dxfId="188" priority="32">
      <formula>$K8=#REF!</formula>
    </cfRule>
    <cfRule type="expression" dxfId="187" priority="33">
      <formula>$K8=#REF!</formula>
    </cfRule>
    <cfRule type="expression" dxfId="186" priority="34">
      <formula>$K8=#REF!</formula>
    </cfRule>
    <cfRule type="expression" dxfId="185" priority="35">
      <formula>$K8=#REF!</formula>
    </cfRule>
    <cfRule type="expression" dxfId="184" priority="36">
      <formula>$K8=#REF!</formula>
    </cfRule>
    <cfRule type="expression" dxfId="183" priority="37">
      <formula>$K8=#REF!</formula>
    </cfRule>
    <cfRule type="expression" dxfId="182" priority="38">
      <formula>$K8=#REF!</formula>
    </cfRule>
    <cfRule type="expression" dxfId="181" priority="39">
      <formula>$K8=#REF!</formula>
    </cfRule>
    <cfRule type="expression" dxfId="180" priority="40">
      <formula>$K8=#REF!</formula>
    </cfRule>
    <cfRule type="expression" dxfId="179" priority="41">
      <formula>$K8=#REF!</formula>
    </cfRule>
    <cfRule type="expression" dxfId="178" priority="42">
      <formula>$K8=#REF!</formula>
    </cfRule>
    <cfRule type="expression" dxfId="177" priority="43">
      <formula>$K8=#REF!</formula>
    </cfRule>
    <cfRule type="expression" dxfId="176" priority="44">
      <formula>$K8=#REF!</formula>
    </cfRule>
    <cfRule type="expression" dxfId="175" priority="45">
      <formula>$K8=#REF!</formula>
    </cfRule>
    <cfRule type="expression" dxfId="174" priority="46">
      <formula>$K8=#REF!</formula>
    </cfRule>
    <cfRule type="expression" dxfId="173" priority="47">
      <formula>$K8=#REF!</formula>
    </cfRule>
    <cfRule type="expression" dxfId="172" priority="48">
      <formula>$K8=#REF!</formula>
    </cfRule>
    <cfRule type="expression" dxfId="171" priority="49">
      <formula>$K8=#REF!</formula>
    </cfRule>
    <cfRule type="expression" dxfId="170" priority="50">
      <formula>$K8=#REF!</formula>
    </cfRule>
    <cfRule type="expression" dxfId="169" priority="51">
      <formula>$K8=#REF!</formula>
    </cfRule>
    <cfRule type="expression" dxfId="168" priority="52">
      <formula>$K8=#REF!</formula>
    </cfRule>
    <cfRule type="expression" dxfId="167" priority="53">
      <formula>$K8=#REF!</formula>
    </cfRule>
    <cfRule type="expression" dxfId="166" priority="54">
      <formula>$K8=#REF!</formula>
    </cfRule>
    <cfRule type="expression" dxfId="165" priority="55">
      <formula>$K8=#REF!</formula>
    </cfRule>
    <cfRule type="expression" dxfId="164" priority="56">
      <formula>$K8=#REF!</formula>
    </cfRule>
    <cfRule type="expression" dxfId="163" priority="57">
      <formula>$K8=#REF!</formula>
    </cfRule>
    <cfRule type="expression" dxfId="162" priority="58">
      <formula>$K8=#REF!</formula>
    </cfRule>
  </conditionalFormatting>
  <conditionalFormatting sqref="C8:C10">
    <cfRule type="expression" dxfId="161" priority="1">
      <formula>$K8=#REF!</formula>
    </cfRule>
    <cfRule type="expression" dxfId="160" priority="2">
      <formula>$K8=#REF!</formula>
    </cfRule>
    <cfRule type="expression" dxfId="159" priority="3">
      <formula>$K8=#REF!</formula>
    </cfRule>
    <cfRule type="expression" dxfId="158" priority="4">
      <formula>$K8=#REF!</formula>
    </cfRule>
    <cfRule type="expression" dxfId="157" priority="5">
      <formula>$K8=#REF!</formula>
    </cfRule>
    <cfRule type="expression" dxfId="156" priority="6">
      <formula>$K8=#REF!</formula>
    </cfRule>
    <cfRule type="expression" dxfId="155" priority="7">
      <formula>$K8=#REF!</formula>
    </cfRule>
    <cfRule type="expression" dxfId="154" priority="8">
      <formula>$K8=#REF!</formula>
    </cfRule>
    <cfRule type="expression" dxfId="153" priority="9">
      <formula>$K8=#REF!</formula>
    </cfRule>
    <cfRule type="expression" dxfId="152" priority="10">
      <formula>$K8=#REF!</formula>
    </cfRule>
    <cfRule type="expression" dxfId="151" priority="11">
      <formula>$K8=#REF!</formula>
    </cfRule>
    <cfRule type="expression" dxfId="150" priority="12">
      <formula>$K8=#REF!</formula>
    </cfRule>
    <cfRule type="expression" dxfId="149" priority="13">
      <formula>$K8=#REF!</formula>
    </cfRule>
    <cfRule type="expression" dxfId="148" priority="14">
      <formula>$K8=#REF!</formula>
    </cfRule>
    <cfRule type="expression" dxfId="147" priority="15">
      <formula>$K8=#REF!</formula>
    </cfRule>
    <cfRule type="expression" dxfId="146" priority="16">
      <formula>$K8=#REF!</formula>
    </cfRule>
    <cfRule type="expression" dxfId="145" priority="17">
      <formula>$K8=#REF!</formula>
    </cfRule>
    <cfRule type="expression" dxfId="144" priority="18">
      <formula>$K8=#REF!</formula>
    </cfRule>
    <cfRule type="expression" dxfId="143" priority="19">
      <formula>$K8=#REF!</formula>
    </cfRule>
    <cfRule type="expression" dxfId="142" priority="20">
      <formula>$K8=#REF!</formula>
    </cfRule>
    <cfRule type="expression" dxfId="141" priority="21">
      <formula>$K8=#REF!</formula>
    </cfRule>
    <cfRule type="expression" dxfId="140" priority="22">
      <formula>$K8=#REF!</formula>
    </cfRule>
    <cfRule type="expression" dxfId="139" priority="23">
      <formula>$K8=#REF!</formula>
    </cfRule>
    <cfRule type="expression" dxfId="138" priority="24">
      <formula>$K8=#REF!</formula>
    </cfRule>
    <cfRule type="expression" dxfId="137" priority="25">
      <formula>$K8=#REF!</formula>
    </cfRule>
    <cfRule type="expression" dxfId="136" priority="26">
      <formula>$K8=#REF!</formula>
    </cfRule>
    <cfRule type="expression" dxfId="135" priority="27">
      <formula>$K8=#REF!</formula>
    </cfRule>
    <cfRule type="expression" dxfId="134" priority="28">
      <formula>$K8=#REF!</formula>
    </cfRule>
    <cfRule type="expression" dxfId="133" priority="29">
      <formula>$K8=#REF!</formula>
    </cfRule>
  </conditionalFormatting>
  <dataValidations count="7">
    <dataValidation type="list" allowBlank="1" showInputMessage="1" showErrorMessage="1" sqref="D12:F43 G15:G43 G12:G13">
      <formula1>$N$21:$N$22</formula1>
    </dataValidation>
    <dataValidation type="list" allowBlank="1" showInputMessage="1" showErrorMessage="1" sqref="M8:M10">
      <formula1>#REF!</formula1>
    </dataValidation>
    <dataValidation type="list" errorStyle="information" allowBlank="1" showInputMessage="1" promptTitle="Vyberte skupinu" prompt="Vyberte skupinu zakázky" sqref="K8:K10">
      <formula1>#REF!</formula1>
    </dataValidation>
    <dataValidation allowBlank="1" showInputMessage="1" showErrorMessage="1" promptTitle="Stáří přístroje" prompt="Vyplňte pokud se jedná o obnovu." sqref="I8:I10"/>
    <dataValidation allowBlank="1" showInputMessage="1" showErrorMessage="1" promptTitle="Obor" prompt="Uveďte pro který obor NP bude přístroj využíván." sqref="J8:J10"/>
    <dataValidation type="list" allowBlank="1" showInputMessage="1" showErrorMessage="1" sqref="H8:H10">
      <formula1>$K$20:$K$21</formula1>
    </dataValidation>
    <dataValidation allowBlank="1" showInputMessage="1" showErrorMessage="1" prompt="Udávejte částku v Kč včetně DPH." sqref="C8:C10"/>
  </dataValidations>
  <pageMargins left="0.7" right="0.7" top="0.75" bottom="0.75" header="0.3" footer="0.3"/>
  <legacyDrawing r:id="rId1"/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4"/>
  <sheetViews>
    <sheetView workbookViewId="0">
      <selection activeCell="A4" sqref="A4:C4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42.7109375" hidden="1" customWidth="1"/>
    <col min="12" max="12" width="26.42578125" customWidth="1"/>
    <col min="13" max="13" width="0.140625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210</v>
      </c>
    </row>
    <row r="7" spans="1:15" ht="60.75" customHeight="1" x14ac:dyDescent="0.25">
      <c r="A7" s="2" t="s">
        <v>0</v>
      </c>
      <c r="B7" s="48" t="s">
        <v>130</v>
      </c>
      <c r="C7" s="2" t="s">
        <v>126</v>
      </c>
      <c r="D7" s="2" t="s">
        <v>6</v>
      </c>
      <c r="E7" s="35" t="s">
        <v>127</v>
      </c>
      <c r="F7" s="36" t="s">
        <v>113</v>
      </c>
      <c r="G7" s="2" t="s">
        <v>150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21" t="s">
        <v>14</v>
      </c>
      <c r="B8" s="74"/>
      <c r="C8" s="5">
        <f>B8*(F8+1)</f>
        <v>0</v>
      </c>
      <c r="D8" s="73">
        <v>2</v>
      </c>
      <c r="E8" s="74">
        <f>Tabulka1343344[[#This Row],[ pořizovací cena / ks (v Kč bez DPH)]]*Tabulka1343344[[#This Row],[Počet kusů]]</f>
        <v>0</v>
      </c>
      <c r="F8" s="75">
        <v>0.21</v>
      </c>
      <c r="G8" s="12">
        <f>Tabulka1343344[[#This Row],[ pořizovací cena / ks (v Kč včetně DPH)]]*Tabulka1343344[[#This Row],[Počet kusů]]</f>
        <v>0</v>
      </c>
      <c r="H8" s="6"/>
      <c r="I8" s="6"/>
      <c r="J8" s="6" t="s">
        <v>90</v>
      </c>
      <c r="K8" s="76"/>
      <c r="L8" s="8"/>
      <c r="M8" s="47"/>
      <c r="N8" s="6"/>
      <c r="O8" s="6"/>
    </row>
    <row r="9" spans="1:15" x14ac:dyDescent="0.25">
      <c r="A9" s="6" t="s">
        <v>7</v>
      </c>
      <c r="B9" s="61"/>
      <c r="C9" s="62">
        <f>SUM(C8)</f>
        <v>0</v>
      </c>
      <c r="D9" s="6">
        <f>SUBTOTAL(109,Tabulka1343344[Počet kusů])</f>
        <v>2</v>
      </c>
      <c r="E9" s="62">
        <f>SUM(E8)</f>
        <v>0</v>
      </c>
      <c r="F9" s="63"/>
      <c r="G9" s="62">
        <f>SUM(G8)</f>
        <v>0</v>
      </c>
      <c r="H9" s="64" t="s">
        <v>8</v>
      </c>
      <c r="I9" s="64" t="s">
        <v>8</v>
      </c>
      <c r="J9" s="64" t="s">
        <v>8</v>
      </c>
      <c r="K9" s="64"/>
      <c r="L9" s="64"/>
      <c r="M9" s="1"/>
      <c r="N9" s="1"/>
      <c r="O9" s="1"/>
    </row>
    <row r="10" spans="1:15" x14ac:dyDescent="0.25">
      <c r="A10" s="6"/>
      <c r="B10" s="61"/>
      <c r="C10" s="6"/>
      <c r="D10" s="6"/>
      <c r="E10" s="65"/>
      <c r="F10" s="63"/>
      <c r="G10" s="6"/>
      <c r="H10" s="6"/>
      <c r="I10" s="6"/>
      <c r="J10" s="6"/>
      <c r="K10" s="6"/>
      <c r="L10" s="6"/>
    </row>
    <row r="11" spans="1:15" ht="15.75" x14ac:dyDescent="0.3">
      <c r="A11" s="6"/>
      <c r="B11" s="61"/>
      <c r="C11" s="6"/>
      <c r="D11" s="6"/>
      <c r="E11" s="65"/>
      <c r="F11" s="63"/>
      <c r="G11" s="6"/>
      <c r="H11" s="6"/>
      <c r="I11" s="6"/>
      <c r="J11" s="6"/>
      <c r="K11" s="77"/>
      <c r="L11" s="6"/>
    </row>
    <row r="12" spans="1:15" x14ac:dyDescent="0.25">
      <c r="A12" s="6"/>
      <c r="B12" s="61"/>
      <c r="C12" s="6"/>
      <c r="D12" s="6"/>
      <c r="E12" s="65"/>
      <c r="F12" s="63"/>
      <c r="G12" s="6"/>
      <c r="H12" s="6"/>
      <c r="I12" s="6"/>
      <c r="J12" s="6"/>
      <c r="K12" s="6"/>
      <c r="L12" s="6"/>
    </row>
    <row r="13" spans="1:15" x14ac:dyDescent="0.25">
      <c r="K13" s="30"/>
    </row>
    <row r="14" spans="1:15" ht="15.75" x14ac:dyDescent="0.3">
      <c r="K14" s="31"/>
    </row>
  </sheetData>
  <protectedRanges>
    <protectedRange sqref="K8:M8" name="Oblast1"/>
  </protectedRanges>
  <mergeCells count="4">
    <mergeCell ref="A3:C3"/>
    <mergeCell ref="D3:J3"/>
    <mergeCell ref="A4:C4"/>
    <mergeCell ref="D4:J4"/>
  </mergeCells>
  <conditionalFormatting sqref="A8:B8 D8:M8">
    <cfRule type="expression" dxfId="103" priority="30">
      <formula>$K8=#REF!</formula>
    </cfRule>
    <cfRule type="expression" dxfId="102" priority="31">
      <formula>$K8=#REF!</formula>
    </cfRule>
    <cfRule type="expression" dxfId="101" priority="32">
      <formula>$K8=#REF!</formula>
    </cfRule>
    <cfRule type="expression" dxfId="100" priority="33">
      <formula>$K8=#REF!</formula>
    </cfRule>
    <cfRule type="expression" dxfId="99" priority="34">
      <formula>$K8=#REF!</formula>
    </cfRule>
    <cfRule type="expression" dxfId="98" priority="35">
      <formula>$K8=#REF!</formula>
    </cfRule>
    <cfRule type="expression" dxfId="97" priority="36">
      <formula>$K8=#REF!</formula>
    </cfRule>
    <cfRule type="expression" dxfId="96" priority="37">
      <formula>$K8=#REF!</formula>
    </cfRule>
    <cfRule type="expression" dxfId="95" priority="38">
      <formula>$K8=#REF!</formula>
    </cfRule>
    <cfRule type="expression" dxfId="94" priority="39">
      <formula>$K8=#REF!</formula>
    </cfRule>
    <cfRule type="expression" dxfId="93" priority="40">
      <formula>$K8=#REF!</formula>
    </cfRule>
    <cfRule type="expression" dxfId="92" priority="41">
      <formula>$K8=#REF!</formula>
    </cfRule>
    <cfRule type="expression" dxfId="91" priority="42">
      <formula>$K8=#REF!</formula>
    </cfRule>
    <cfRule type="expression" dxfId="90" priority="43">
      <formula>$K8=#REF!</formula>
    </cfRule>
    <cfRule type="expression" dxfId="89" priority="44">
      <formula>$K8=#REF!</formula>
    </cfRule>
    <cfRule type="expression" dxfId="88" priority="45">
      <formula>$K8=#REF!</formula>
    </cfRule>
    <cfRule type="expression" dxfId="87" priority="46">
      <formula>$K8=#REF!</formula>
    </cfRule>
    <cfRule type="expression" dxfId="86" priority="47">
      <formula>$K8=#REF!</formula>
    </cfRule>
    <cfRule type="expression" dxfId="85" priority="48">
      <formula>$K8=#REF!</formula>
    </cfRule>
    <cfRule type="expression" dxfId="84" priority="49">
      <formula>$K8=#REF!</formula>
    </cfRule>
    <cfRule type="expression" dxfId="83" priority="50">
      <formula>$K8=#REF!</formula>
    </cfRule>
    <cfRule type="expression" dxfId="82" priority="51">
      <formula>$K8=#REF!</formula>
    </cfRule>
    <cfRule type="expression" dxfId="81" priority="52">
      <formula>$K8=#REF!</formula>
    </cfRule>
    <cfRule type="expression" dxfId="80" priority="53">
      <formula>$K8=#REF!</formula>
    </cfRule>
    <cfRule type="expression" dxfId="79" priority="54">
      <formula>$K8=#REF!</formula>
    </cfRule>
    <cfRule type="expression" dxfId="78" priority="55">
      <formula>$K8=#REF!</formula>
    </cfRule>
    <cfRule type="expression" dxfId="77" priority="56">
      <formula>$K8=#REF!</formula>
    </cfRule>
    <cfRule type="expression" dxfId="76" priority="57">
      <formula>$K8=#REF!</formula>
    </cfRule>
    <cfRule type="expression" dxfId="75" priority="58">
      <formula>$K8=#REF!</formula>
    </cfRule>
  </conditionalFormatting>
  <conditionalFormatting sqref="C8">
    <cfRule type="expression" dxfId="74" priority="1">
      <formula>$K8=#REF!</formula>
    </cfRule>
    <cfRule type="expression" dxfId="73" priority="2">
      <formula>$K8=#REF!</formula>
    </cfRule>
    <cfRule type="expression" dxfId="72" priority="3">
      <formula>$K8=#REF!</formula>
    </cfRule>
    <cfRule type="expression" dxfId="71" priority="4">
      <formula>$K8=#REF!</formula>
    </cfRule>
    <cfRule type="expression" dxfId="70" priority="5">
      <formula>$K8=#REF!</formula>
    </cfRule>
    <cfRule type="expression" dxfId="69" priority="6">
      <formula>$K8=#REF!</formula>
    </cfRule>
    <cfRule type="expression" dxfId="68" priority="7">
      <formula>$K8=#REF!</formula>
    </cfRule>
    <cfRule type="expression" dxfId="67" priority="8">
      <formula>$K8=#REF!</formula>
    </cfRule>
    <cfRule type="expression" dxfId="66" priority="9">
      <formula>$K8=#REF!</formula>
    </cfRule>
    <cfRule type="expression" dxfId="65" priority="10">
      <formula>$K8=#REF!</formula>
    </cfRule>
    <cfRule type="expression" dxfId="64" priority="11">
      <formula>$K8=#REF!</formula>
    </cfRule>
    <cfRule type="expression" dxfId="63" priority="12">
      <formula>$K8=#REF!</formula>
    </cfRule>
    <cfRule type="expression" dxfId="62" priority="13">
      <formula>$K8=#REF!</formula>
    </cfRule>
    <cfRule type="expression" dxfId="61" priority="14">
      <formula>$K8=#REF!</formula>
    </cfRule>
    <cfRule type="expression" dxfId="60" priority="15">
      <formula>$K8=#REF!</formula>
    </cfRule>
    <cfRule type="expression" dxfId="59" priority="16">
      <formula>$K8=#REF!</formula>
    </cfRule>
    <cfRule type="expression" dxfId="58" priority="17">
      <formula>$K8=#REF!</formula>
    </cfRule>
    <cfRule type="expression" dxfId="57" priority="18">
      <formula>$K8=#REF!</formula>
    </cfRule>
    <cfRule type="expression" dxfId="56" priority="19">
      <formula>$K8=#REF!</formula>
    </cfRule>
    <cfRule type="expression" dxfId="55" priority="20">
      <formula>$K8=#REF!</formula>
    </cfRule>
    <cfRule type="expression" dxfId="54" priority="21">
      <formula>$K8=#REF!</formula>
    </cfRule>
    <cfRule type="expression" dxfId="53" priority="22">
      <formula>$K8=#REF!</formula>
    </cfRule>
    <cfRule type="expression" dxfId="52" priority="23">
      <formula>$K8=#REF!</formula>
    </cfRule>
    <cfRule type="expression" dxfId="51" priority="24">
      <formula>$K8=#REF!</formula>
    </cfRule>
    <cfRule type="expression" dxfId="50" priority="25">
      <formula>$K8=#REF!</formula>
    </cfRule>
    <cfRule type="expression" dxfId="49" priority="26">
      <formula>$K8=#REF!</formula>
    </cfRule>
    <cfRule type="expression" dxfId="48" priority="27">
      <formula>$K8=#REF!</formula>
    </cfRule>
    <cfRule type="expression" dxfId="47" priority="28">
      <formula>$K8=#REF!</formula>
    </cfRule>
    <cfRule type="expression" dxfId="46" priority="29">
      <formula>$K8=#REF!</formula>
    </cfRule>
  </conditionalFormatting>
  <dataValidations count="7">
    <dataValidation type="list" allowBlank="1" showInputMessage="1" showErrorMessage="1" sqref="M8">
      <formula1>#REF!</formula1>
    </dataValidation>
    <dataValidation type="list" errorStyle="information" allowBlank="1" showInputMessage="1" promptTitle="Vyberte skupinu" prompt="Vyberte skupinu zakázky" sqref="K8">
      <formula1>#REF!</formula1>
    </dataValidation>
    <dataValidation allowBlank="1" showInputMessage="1" showErrorMessage="1" prompt="Udávejte částku v Kč včetně DPH." sqref="C8"/>
    <dataValidation allowBlank="1" showInputMessage="1" showErrorMessage="1" promptTitle="Stáří přístroje" prompt="Vyplňte pokud se jedná o obnovu." sqref="I8"/>
    <dataValidation allowBlank="1" showInputMessage="1" showErrorMessage="1" promptTitle="Obor" prompt="Uveďte pro který obor NP bude přístroj využíván." sqref="J8"/>
    <dataValidation type="list" allowBlank="1" showInputMessage="1" showErrorMessage="1" sqref="H8">
      <formula1>$K$18:$K$19</formula1>
    </dataValidation>
    <dataValidation type="list" allowBlank="1" showInputMessage="1" showErrorMessage="1" sqref="G10:G11 G13:G41 D11:E34 D10:F10 F11:F41">
      <formula1>$N$19:$N$20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5"/>
  <sheetViews>
    <sheetView workbookViewId="0">
      <selection activeCell="D14" sqref="D14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0.140625" customWidth="1"/>
    <col min="12" max="12" width="26.7109375" customWidth="1"/>
    <col min="13" max="13" width="0.140625" customWidth="1"/>
    <col min="14" max="14" width="25.7109375" hidden="1" customWidth="1"/>
    <col min="15" max="15" width="0.28515625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135</v>
      </c>
    </row>
    <row r="7" spans="1:15" ht="60.75" customHeight="1" x14ac:dyDescent="0.25">
      <c r="A7" s="2" t="s">
        <v>0</v>
      </c>
      <c r="B7" s="48" t="s">
        <v>130</v>
      </c>
      <c r="C7" s="2" t="s">
        <v>126</v>
      </c>
      <c r="D7" s="2" t="s">
        <v>6</v>
      </c>
      <c r="E7" s="35" t="s">
        <v>127</v>
      </c>
      <c r="F7" s="36" t="s">
        <v>113</v>
      </c>
      <c r="G7" s="2" t="s">
        <v>132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11" t="s">
        <v>229</v>
      </c>
      <c r="B8" s="83"/>
      <c r="C8" s="5">
        <f>B8*(F8+1)</f>
        <v>0</v>
      </c>
      <c r="D8" s="7">
        <v>1</v>
      </c>
      <c r="E8" s="5">
        <f>Tabulka1349[[#This Row],[ pořizovací cena / ks (v Kč bez DPH)]]*Tabulka1349[[#This Row],[Počet kusů]]</f>
        <v>0</v>
      </c>
      <c r="F8" s="53"/>
      <c r="G8" s="12">
        <f>Tabulka1349[[#This Row],[ pořizovací cena / ks (v Kč včetně DPH)]]*Tabulka1349[[#This Row],[Počet kusů]]</f>
        <v>0</v>
      </c>
      <c r="H8" s="6"/>
      <c r="I8" s="6"/>
      <c r="J8" s="6"/>
      <c r="K8" s="8"/>
      <c r="L8" s="8"/>
      <c r="M8" s="10"/>
      <c r="N8" s="6"/>
      <c r="O8" s="6"/>
    </row>
    <row r="9" spans="1:15" x14ac:dyDescent="0.25">
      <c r="A9" s="15" t="s">
        <v>72</v>
      </c>
      <c r="B9" s="5"/>
      <c r="C9" s="5">
        <f>B9*(F9+1)</f>
        <v>0</v>
      </c>
      <c r="D9" s="15">
        <v>2</v>
      </c>
      <c r="E9" s="5">
        <f>Tabulka1349[[#This Row],[ pořizovací cena / ks (v Kč bez DPH)]]*Tabulka1349[[#This Row],[Počet kusů]]</f>
        <v>0</v>
      </c>
      <c r="F9" s="53">
        <v>0.21</v>
      </c>
      <c r="G9" s="12">
        <f>Tabulka1349[[#This Row],[ pořizovací cena / ks (v Kč včetně DPH)]]*Tabulka1349[[#This Row],[Počet kusů]]</f>
        <v>0</v>
      </c>
      <c r="H9" s="6" t="s">
        <v>21</v>
      </c>
      <c r="I9" s="6"/>
      <c r="J9" s="6" t="s">
        <v>107</v>
      </c>
      <c r="K9" s="8"/>
      <c r="L9" s="8"/>
      <c r="M9" s="10"/>
      <c r="N9" s="6"/>
      <c r="O9" s="6"/>
    </row>
    <row r="10" spans="1:15" x14ac:dyDescent="0.25">
      <c r="A10" t="s">
        <v>7</v>
      </c>
      <c r="C10" s="4">
        <f>SUM(C8:C9)</f>
        <v>0</v>
      </c>
      <c r="D10">
        <f>SUBTOTAL(109,Tabulka1349[Počet kusů])</f>
        <v>3</v>
      </c>
      <c r="E10" s="4">
        <f>SUM(E8:E9)</f>
        <v>0</v>
      </c>
      <c r="G10" s="4">
        <f>SUM(G8:G9)</f>
        <v>0</v>
      </c>
      <c r="H10" s="1" t="s">
        <v>8</v>
      </c>
      <c r="I10" s="1" t="s">
        <v>8</v>
      </c>
      <c r="J10" s="1" t="s">
        <v>8</v>
      </c>
      <c r="K10" s="1"/>
      <c r="L10" s="1"/>
      <c r="M10" s="1"/>
      <c r="N10" s="1"/>
      <c r="O10" s="1"/>
    </row>
    <row r="12" spans="1:15" ht="15.75" x14ac:dyDescent="0.3">
      <c r="K12" s="29"/>
    </row>
    <row r="14" spans="1:15" x14ac:dyDescent="0.25">
      <c r="K14" s="30"/>
    </row>
    <row r="15" spans="1:15" ht="15.75" x14ac:dyDescent="0.3">
      <c r="K15" s="31"/>
    </row>
  </sheetData>
  <protectedRanges>
    <protectedRange sqref="K8:M9" name="Oblast1"/>
  </protectedRanges>
  <mergeCells count="4">
    <mergeCell ref="A3:C3"/>
    <mergeCell ref="D3:J3"/>
    <mergeCell ref="A4:C4"/>
    <mergeCell ref="D4:J4"/>
  </mergeCells>
  <conditionalFormatting sqref="D8:M9 A8:B9">
    <cfRule type="expression" dxfId="3693" priority="59">
      <formula>$K8=#REF!</formula>
    </cfRule>
    <cfRule type="expression" dxfId="3692" priority="60">
      <formula>$K8=#REF!</formula>
    </cfRule>
    <cfRule type="expression" dxfId="3691" priority="61">
      <formula>$K8=#REF!</formula>
    </cfRule>
    <cfRule type="expression" dxfId="3690" priority="62">
      <formula>$K8=#REF!</formula>
    </cfRule>
    <cfRule type="expression" dxfId="3689" priority="63">
      <formula>$K8=#REF!</formula>
    </cfRule>
    <cfRule type="expression" dxfId="3688" priority="64">
      <formula>$K8=#REF!</formula>
    </cfRule>
    <cfRule type="expression" dxfId="3687" priority="65">
      <formula>$K8=#REF!</formula>
    </cfRule>
    <cfRule type="expression" dxfId="3686" priority="66">
      <formula>$K8=#REF!</formula>
    </cfRule>
    <cfRule type="expression" dxfId="3685" priority="67">
      <formula>$K8=#REF!</formula>
    </cfRule>
    <cfRule type="expression" dxfId="3684" priority="68">
      <formula>$K8=#REF!</formula>
    </cfRule>
    <cfRule type="expression" dxfId="3683" priority="69">
      <formula>$K8=#REF!</formula>
    </cfRule>
    <cfRule type="expression" dxfId="3682" priority="70">
      <formula>$K8=#REF!</formula>
    </cfRule>
    <cfRule type="expression" dxfId="3681" priority="71">
      <formula>$K8=#REF!</formula>
    </cfRule>
    <cfRule type="expression" dxfId="3680" priority="72">
      <formula>$K8=#REF!</formula>
    </cfRule>
    <cfRule type="expression" dxfId="3679" priority="73">
      <formula>$K8=#REF!</formula>
    </cfRule>
    <cfRule type="expression" dxfId="3678" priority="74">
      <formula>$K8=#REF!</formula>
    </cfRule>
    <cfRule type="expression" dxfId="3677" priority="75">
      <formula>$K8=#REF!</formula>
    </cfRule>
    <cfRule type="expression" dxfId="3676" priority="76">
      <formula>$K8=#REF!</formula>
    </cfRule>
    <cfRule type="expression" dxfId="3675" priority="77">
      <formula>$K8=#REF!</formula>
    </cfRule>
    <cfRule type="expression" dxfId="3674" priority="78">
      <formula>$K8=#REF!</formula>
    </cfRule>
    <cfRule type="expression" dxfId="3673" priority="79">
      <formula>$K8=#REF!</formula>
    </cfRule>
    <cfRule type="expression" dxfId="3672" priority="80">
      <formula>$K8=#REF!</formula>
    </cfRule>
    <cfRule type="expression" dxfId="3671" priority="81">
      <formula>$K8=#REF!</formula>
    </cfRule>
    <cfRule type="expression" dxfId="3670" priority="82">
      <formula>$K8=#REF!</formula>
    </cfRule>
    <cfRule type="expression" dxfId="3669" priority="83">
      <formula>$K8=#REF!</formula>
    </cfRule>
    <cfRule type="expression" dxfId="3668" priority="84">
      <formula>$K8=#REF!</formula>
    </cfRule>
    <cfRule type="expression" dxfId="3667" priority="85">
      <formula>$K8=#REF!</formula>
    </cfRule>
    <cfRule type="expression" dxfId="3666" priority="86">
      <formula>$K8=#REF!</formula>
    </cfRule>
    <cfRule type="expression" dxfId="3665" priority="87">
      <formula>$K8=#REF!</formula>
    </cfRule>
  </conditionalFormatting>
  <conditionalFormatting sqref="C8:C9">
    <cfRule type="expression" dxfId="3664" priority="1">
      <formula>$K8=#REF!</formula>
    </cfRule>
    <cfRule type="expression" dxfId="3663" priority="2">
      <formula>$K8=#REF!</formula>
    </cfRule>
    <cfRule type="expression" dxfId="3662" priority="3">
      <formula>$K8=#REF!</formula>
    </cfRule>
    <cfRule type="expression" dxfId="3661" priority="4">
      <formula>$K8=#REF!</formula>
    </cfRule>
    <cfRule type="expression" dxfId="3660" priority="5">
      <formula>$K8=#REF!</formula>
    </cfRule>
    <cfRule type="expression" dxfId="3659" priority="6">
      <formula>$K8=#REF!</formula>
    </cfRule>
    <cfRule type="expression" dxfId="3658" priority="7">
      <formula>$K8=#REF!</formula>
    </cfRule>
    <cfRule type="expression" dxfId="3657" priority="8">
      <formula>$K8=#REF!</formula>
    </cfRule>
    <cfRule type="expression" dxfId="3656" priority="9">
      <formula>$K8=#REF!</formula>
    </cfRule>
    <cfRule type="expression" dxfId="3655" priority="10">
      <formula>$K8=#REF!</formula>
    </cfRule>
    <cfRule type="expression" dxfId="3654" priority="11">
      <formula>$K8=#REF!</formula>
    </cfRule>
    <cfRule type="expression" dxfId="3653" priority="12">
      <formula>$K8=#REF!</formula>
    </cfRule>
    <cfRule type="expression" dxfId="3652" priority="13">
      <formula>$K8=#REF!</formula>
    </cfRule>
    <cfRule type="expression" dxfId="3651" priority="14">
      <formula>$K8=#REF!</formula>
    </cfRule>
    <cfRule type="expression" dxfId="3650" priority="15">
      <formula>$K8=#REF!</formula>
    </cfRule>
    <cfRule type="expression" dxfId="3649" priority="16">
      <formula>$K8=#REF!</formula>
    </cfRule>
    <cfRule type="expression" dxfId="3648" priority="17">
      <formula>$K8=#REF!</formula>
    </cfRule>
    <cfRule type="expression" dxfId="3647" priority="18">
      <formula>$K8=#REF!</formula>
    </cfRule>
    <cfRule type="expression" dxfId="3646" priority="19">
      <formula>$K8=#REF!</formula>
    </cfRule>
    <cfRule type="expression" dxfId="3645" priority="20">
      <formula>$K8=#REF!</formula>
    </cfRule>
    <cfRule type="expression" dxfId="3644" priority="21">
      <formula>$K8=#REF!</formula>
    </cfRule>
    <cfRule type="expression" dxfId="3643" priority="22">
      <formula>$K8=#REF!</formula>
    </cfRule>
    <cfRule type="expression" dxfId="3642" priority="23">
      <formula>$K8=#REF!</formula>
    </cfRule>
    <cfRule type="expression" dxfId="3641" priority="24">
      <formula>$K8=#REF!</formula>
    </cfRule>
    <cfRule type="expression" dxfId="3640" priority="25">
      <formula>$K8=#REF!</formula>
    </cfRule>
    <cfRule type="expression" dxfId="3639" priority="26">
      <formula>$K8=#REF!</formula>
    </cfRule>
    <cfRule type="expression" dxfId="3638" priority="27">
      <formula>$K8=#REF!</formula>
    </cfRule>
    <cfRule type="expression" dxfId="3637" priority="28">
      <formula>$K8=#REF!</formula>
    </cfRule>
    <cfRule type="expression" dxfId="3636" priority="29">
      <formula>$K8=#REF!</formula>
    </cfRule>
  </conditionalFormatting>
  <dataValidations count="7">
    <dataValidation type="list" allowBlank="1" showInputMessage="1" showErrorMessage="1" sqref="D11:F42 G14:G42 G11:G12">
      <formula1>$N$20:$N$21</formula1>
    </dataValidation>
    <dataValidation allowBlank="1" showInputMessage="1" showErrorMessage="1" prompt="Udávejte částku v Kč včetně DPH." sqref="C8:C9"/>
    <dataValidation type="list" allowBlank="1" showInputMessage="1" showErrorMessage="1" sqref="H8:H9">
      <formula1>$K$19:$K$20</formula1>
    </dataValidation>
    <dataValidation allowBlank="1" showInputMessage="1" showErrorMessage="1" promptTitle="Obor" prompt="Uveďte pro který obor NP bude přístroj využíván." sqref="J8:J9"/>
    <dataValidation allowBlank="1" showInputMessage="1" showErrorMessage="1" promptTitle="Stáří přístroje" prompt="Vyplňte pokud se jedná o obnovu." sqref="I8:I9"/>
    <dataValidation type="list" errorStyle="information" allowBlank="1" showInputMessage="1" promptTitle="Vyberte skupinu" prompt="Vyberte skupinu zakázky" sqref="K8:K9">
      <formula1>#REF!</formula1>
    </dataValidation>
    <dataValidation type="list" allowBlank="1" showInputMessage="1" showErrorMessage="1" sqref="M8:M9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24"/>
  <sheetViews>
    <sheetView workbookViewId="0">
      <selection activeCell="D13" sqref="D13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42.7109375" hidden="1" customWidth="1"/>
    <col min="12" max="12" width="26.42578125" customWidth="1"/>
    <col min="13" max="13" width="0.28515625" hidden="1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228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136</v>
      </c>
    </row>
    <row r="7" spans="1:15" ht="60.75" customHeight="1" x14ac:dyDescent="0.25">
      <c r="A7" s="2" t="s">
        <v>0</v>
      </c>
      <c r="B7" s="48" t="s">
        <v>130</v>
      </c>
      <c r="C7" s="2" t="s">
        <v>126</v>
      </c>
      <c r="D7" s="2" t="s">
        <v>6</v>
      </c>
      <c r="E7" s="35" t="s">
        <v>127</v>
      </c>
      <c r="F7" s="36" t="s">
        <v>113</v>
      </c>
      <c r="G7" s="2" t="s">
        <v>132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13" t="s">
        <v>53</v>
      </c>
      <c r="B8" s="5"/>
      <c r="C8" s="5">
        <f t="shared" ref="C8:C13" si="0">B8*(F8+1)</f>
        <v>0</v>
      </c>
      <c r="D8" s="15">
        <v>1</v>
      </c>
      <c r="E8" s="5">
        <f>Tabulka13410[[#This Row],[ pořizovací cena / ks (v Kč bez DPH)]]*Tabulka13410[[#This Row],[Počet kusů]]</f>
        <v>0</v>
      </c>
      <c r="F8" s="53">
        <v>0.21</v>
      </c>
      <c r="G8" s="12">
        <f>Tabulka13410[[#This Row],[ pořizovací cena / ks (v Kč včetně DPH)]]*Tabulka13410[[#This Row],[Počet kusů]]</f>
        <v>0</v>
      </c>
      <c r="H8" s="6" t="s">
        <v>21</v>
      </c>
      <c r="I8" s="6"/>
      <c r="J8" s="6" t="s">
        <v>92</v>
      </c>
      <c r="K8" s="8"/>
      <c r="L8" s="8"/>
      <c r="M8" s="10"/>
      <c r="N8" s="6"/>
      <c r="O8" s="6"/>
    </row>
    <row r="9" spans="1:15" x14ac:dyDescent="0.25">
      <c r="A9" s="14" t="s">
        <v>43</v>
      </c>
      <c r="B9" s="5"/>
      <c r="C9" s="5">
        <f t="shared" si="0"/>
        <v>0</v>
      </c>
      <c r="D9" s="15">
        <v>6</v>
      </c>
      <c r="E9" s="5">
        <f>Tabulka13410[[#This Row],[ pořizovací cena / ks (v Kč bez DPH)]]*Tabulka13410[[#This Row],[Počet kusů]]</f>
        <v>0</v>
      </c>
      <c r="F9" s="53">
        <v>0.21</v>
      </c>
      <c r="G9" s="12">
        <f>Tabulka13410[[#This Row],[ pořizovací cena / ks (v Kč včetně DPH)]]*Tabulka13410[[#This Row],[Počet kusů]]</f>
        <v>0</v>
      </c>
      <c r="H9" s="6" t="s">
        <v>11</v>
      </c>
      <c r="I9" s="6">
        <v>2003</v>
      </c>
      <c r="J9" s="6" t="s">
        <v>92</v>
      </c>
      <c r="K9" s="8"/>
      <c r="L9" s="8"/>
      <c r="M9" s="10"/>
      <c r="N9" s="6"/>
      <c r="O9" s="6"/>
    </row>
    <row r="10" spans="1:15" x14ac:dyDescent="0.25">
      <c r="A10" s="13" t="s">
        <v>54</v>
      </c>
      <c r="B10" s="5"/>
      <c r="C10" s="5">
        <f t="shared" si="0"/>
        <v>0</v>
      </c>
      <c r="D10" s="15">
        <v>2</v>
      </c>
      <c r="E10" s="5">
        <f>Tabulka13410[[#This Row],[ pořizovací cena / ks (v Kč bez DPH)]]*Tabulka13410[[#This Row],[Počet kusů]]</f>
        <v>0</v>
      </c>
      <c r="F10" s="53">
        <v>0.21</v>
      </c>
      <c r="G10" s="12">
        <f>Tabulka13410[[#This Row],[ pořizovací cena / ks (v Kč včetně DPH)]]*Tabulka13410[[#This Row],[Počet kusů]]</f>
        <v>0</v>
      </c>
      <c r="H10" s="6" t="s">
        <v>21</v>
      </c>
      <c r="I10" s="6"/>
      <c r="J10" s="6" t="s">
        <v>92</v>
      </c>
      <c r="K10" s="8"/>
      <c r="L10" s="8"/>
      <c r="M10" s="10"/>
      <c r="N10" s="6"/>
      <c r="O10" s="6"/>
    </row>
    <row r="11" spans="1:15" x14ac:dyDescent="0.25">
      <c r="A11" s="13" t="s">
        <v>48</v>
      </c>
      <c r="B11" s="5"/>
      <c r="C11" s="5">
        <f t="shared" si="0"/>
        <v>0</v>
      </c>
      <c r="D11" s="15">
        <v>4</v>
      </c>
      <c r="E11" s="5">
        <f>Tabulka13410[[#This Row],[ pořizovací cena / ks (v Kč bez DPH)]]*Tabulka13410[[#This Row],[Počet kusů]]</f>
        <v>0</v>
      </c>
      <c r="F11" s="53">
        <v>0.21</v>
      </c>
      <c r="G11" s="12">
        <f>Tabulka13410[[#This Row],[ pořizovací cena / ks (v Kč včetně DPH)]]*Tabulka13410[[#This Row],[Počet kusů]]</f>
        <v>0</v>
      </c>
      <c r="H11" s="6" t="s">
        <v>11</v>
      </c>
      <c r="I11" s="6">
        <v>2003</v>
      </c>
      <c r="J11" s="6" t="s">
        <v>92</v>
      </c>
      <c r="K11" s="8"/>
      <c r="L11" s="8"/>
      <c r="M11" s="10"/>
      <c r="N11" s="6"/>
      <c r="O11" s="6"/>
    </row>
    <row r="12" spans="1:15" x14ac:dyDescent="0.25">
      <c r="A12" s="14" t="s">
        <v>44</v>
      </c>
      <c r="B12" s="5"/>
      <c r="C12" s="5">
        <f t="shared" si="0"/>
        <v>0</v>
      </c>
      <c r="D12" s="15">
        <v>2</v>
      </c>
      <c r="E12" s="5">
        <f>Tabulka13410[[#This Row],[ pořizovací cena / ks (v Kč bez DPH)]]*Tabulka13410[[#This Row],[Počet kusů]]</f>
        <v>0</v>
      </c>
      <c r="F12" s="53">
        <v>0.21</v>
      </c>
      <c r="G12" s="12">
        <f>Tabulka13410[[#This Row],[ pořizovací cena / ks (v Kč včetně DPH)]]*Tabulka13410[[#This Row],[Počet kusů]]</f>
        <v>0</v>
      </c>
      <c r="H12" s="6" t="s">
        <v>11</v>
      </c>
      <c r="I12" s="6">
        <v>2001</v>
      </c>
      <c r="J12" s="6" t="s">
        <v>92</v>
      </c>
      <c r="K12" s="8"/>
      <c r="L12" s="8"/>
      <c r="M12" s="10"/>
      <c r="N12" s="6"/>
      <c r="O12" s="6"/>
    </row>
    <row r="13" spans="1:15" x14ac:dyDescent="0.25">
      <c r="A13" s="11" t="s">
        <v>47</v>
      </c>
      <c r="B13" s="5"/>
      <c r="C13" s="5">
        <f t="shared" si="0"/>
        <v>0</v>
      </c>
      <c r="D13" s="7">
        <v>1</v>
      </c>
      <c r="E13" s="5">
        <f>Tabulka13410[[#This Row],[ pořizovací cena / ks (v Kč bez DPH)]]*Tabulka13410[[#This Row],[Počet kusů]]</f>
        <v>0</v>
      </c>
      <c r="F13" s="53">
        <v>0.21</v>
      </c>
      <c r="G13" s="12">
        <f>Tabulka13410[[#This Row],[ pořizovací cena / ks (v Kč včetně DPH)]]*Tabulka13410[[#This Row],[Počet kusů]]</f>
        <v>0</v>
      </c>
      <c r="H13" s="6" t="s">
        <v>11</v>
      </c>
      <c r="I13" s="6">
        <v>2005</v>
      </c>
      <c r="J13" s="6" t="s">
        <v>92</v>
      </c>
      <c r="K13" s="8"/>
      <c r="L13" s="8"/>
      <c r="M13" s="10"/>
      <c r="N13" s="6"/>
      <c r="O13" s="6"/>
    </row>
    <row r="14" spans="1:15" x14ac:dyDescent="0.25">
      <c r="A14" t="s">
        <v>7</v>
      </c>
      <c r="B14" s="61"/>
      <c r="C14" s="62">
        <f>SUM(C8:C13)</f>
        <v>0</v>
      </c>
      <c r="D14" s="6">
        <f>SUBTOTAL(109,Tabulka13410[Počet kusů])</f>
        <v>16</v>
      </c>
      <c r="E14" s="62">
        <f>SUM(E8:E13)</f>
        <v>0</v>
      </c>
      <c r="F14" s="63"/>
      <c r="G14" s="62">
        <f>SUM(G8:G13)</f>
        <v>0</v>
      </c>
      <c r="H14" s="1" t="s">
        <v>8</v>
      </c>
      <c r="I14" s="1" t="s">
        <v>8</v>
      </c>
      <c r="J14" s="1" t="s">
        <v>8</v>
      </c>
      <c r="K14" s="1"/>
      <c r="L14" s="1"/>
      <c r="M14" s="1"/>
      <c r="N14" s="1"/>
      <c r="O14" s="1"/>
    </row>
    <row r="16" spans="1:15" ht="15.75" x14ac:dyDescent="0.3">
      <c r="K16" s="29"/>
    </row>
    <row r="18" spans="11:11" x14ac:dyDescent="0.25">
      <c r="K18" s="30" t="s">
        <v>103</v>
      </c>
    </row>
    <row r="19" spans="11:11" ht="15.75" x14ac:dyDescent="0.3">
      <c r="K19" s="31" t="e">
        <f>SUMPRODUCT(1/COUNTIF(Tabulka13410[Skupina],Tabulka13410[Skupina]))</f>
        <v>#DIV/0!</v>
      </c>
    </row>
    <row r="23" spans="11:11" x14ac:dyDescent="0.25">
      <c r="K23" t="s">
        <v>3</v>
      </c>
    </row>
    <row r="24" spans="11:11" x14ac:dyDescent="0.25">
      <c r="K24" t="s">
        <v>2</v>
      </c>
    </row>
  </sheetData>
  <protectedRanges>
    <protectedRange sqref="K8:M13" name="Oblast1"/>
  </protectedRanges>
  <mergeCells count="4">
    <mergeCell ref="A3:C3"/>
    <mergeCell ref="D3:J3"/>
    <mergeCell ref="A4:C4"/>
    <mergeCell ref="D4:J4"/>
  </mergeCells>
  <conditionalFormatting sqref="A8:B13 D8:M13">
    <cfRule type="expression" dxfId="3606" priority="59">
      <formula>$K8=#REF!</formula>
    </cfRule>
    <cfRule type="expression" dxfId="3605" priority="60">
      <formula>$K8=#REF!</formula>
    </cfRule>
    <cfRule type="expression" dxfId="3604" priority="61">
      <formula>$K8=#REF!</formula>
    </cfRule>
    <cfRule type="expression" dxfId="3603" priority="62">
      <formula>$K8=#REF!</formula>
    </cfRule>
    <cfRule type="expression" dxfId="3602" priority="63">
      <formula>$K8=#REF!</formula>
    </cfRule>
    <cfRule type="expression" dxfId="3601" priority="64">
      <formula>$K8=#REF!</formula>
    </cfRule>
    <cfRule type="expression" dxfId="3600" priority="65">
      <formula>$K8=#REF!</formula>
    </cfRule>
    <cfRule type="expression" dxfId="3599" priority="66">
      <formula>$K8=#REF!</formula>
    </cfRule>
    <cfRule type="expression" dxfId="3598" priority="67">
      <formula>$K8=#REF!</formula>
    </cfRule>
    <cfRule type="expression" dxfId="3597" priority="68">
      <formula>$K8=#REF!</formula>
    </cfRule>
    <cfRule type="expression" dxfId="3596" priority="69">
      <formula>$K8=#REF!</formula>
    </cfRule>
    <cfRule type="expression" dxfId="3595" priority="70">
      <formula>$K8=#REF!</formula>
    </cfRule>
    <cfRule type="expression" dxfId="3594" priority="71">
      <formula>$K8=#REF!</formula>
    </cfRule>
    <cfRule type="expression" dxfId="3593" priority="72">
      <formula>$K8=#REF!</formula>
    </cfRule>
    <cfRule type="expression" dxfId="3592" priority="73">
      <formula>$K8=#REF!</formula>
    </cfRule>
    <cfRule type="expression" dxfId="3591" priority="74">
      <formula>$K8=#REF!</formula>
    </cfRule>
    <cfRule type="expression" dxfId="3590" priority="75">
      <formula>$K8=#REF!</formula>
    </cfRule>
    <cfRule type="expression" dxfId="3589" priority="76">
      <formula>$K8=#REF!</formula>
    </cfRule>
    <cfRule type="expression" dxfId="3588" priority="77">
      <formula>$K8=#REF!</formula>
    </cfRule>
    <cfRule type="expression" dxfId="3587" priority="78">
      <formula>$K8=#REF!</formula>
    </cfRule>
    <cfRule type="expression" dxfId="3586" priority="79">
      <formula>$K8=#REF!</formula>
    </cfRule>
    <cfRule type="expression" dxfId="3585" priority="80">
      <formula>$K8=#REF!</formula>
    </cfRule>
    <cfRule type="expression" dxfId="3584" priority="81">
      <formula>$K8=#REF!</formula>
    </cfRule>
    <cfRule type="expression" dxfId="3583" priority="82">
      <formula>$K8=#REF!</formula>
    </cfRule>
    <cfRule type="expression" dxfId="3582" priority="83">
      <formula>$K8=#REF!</formula>
    </cfRule>
    <cfRule type="expression" dxfId="3581" priority="84">
      <formula>$K8=#REF!</formula>
    </cfRule>
    <cfRule type="expression" dxfId="3580" priority="85">
      <formula>$K8=#REF!</formula>
    </cfRule>
    <cfRule type="expression" dxfId="3579" priority="86">
      <formula>$K8=#REF!</formula>
    </cfRule>
    <cfRule type="expression" dxfId="3578" priority="87">
      <formula>$K8=#REF!</formula>
    </cfRule>
  </conditionalFormatting>
  <conditionalFormatting sqref="C8:C13">
    <cfRule type="expression" dxfId="3577" priority="1">
      <formula>$K8=#REF!</formula>
    </cfRule>
    <cfRule type="expression" dxfId="3576" priority="2">
      <formula>$K8=#REF!</formula>
    </cfRule>
    <cfRule type="expression" dxfId="3575" priority="3">
      <formula>$K8=#REF!</formula>
    </cfRule>
    <cfRule type="expression" dxfId="3574" priority="4">
      <formula>$K8=#REF!</formula>
    </cfRule>
    <cfRule type="expression" dxfId="3573" priority="5">
      <formula>$K8=#REF!</formula>
    </cfRule>
    <cfRule type="expression" dxfId="3572" priority="6">
      <formula>$K8=#REF!</formula>
    </cfRule>
    <cfRule type="expression" dxfId="3571" priority="7">
      <formula>$K8=#REF!</formula>
    </cfRule>
    <cfRule type="expression" dxfId="3570" priority="8">
      <formula>$K8=#REF!</formula>
    </cfRule>
    <cfRule type="expression" dxfId="3569" priority="9">
      <formula>$K8=#REF!</formula>
    </cfRule>
    <cfRule type="expression" dxfId="3568" priority="10">
      <formula>$K8=#REF!</formula>
    </cfRule>
    <cfRule type="expression" dxfId="3567" priority="11">
      <formula>$K8=#REF!</formula>
    </cfRule>
    <cfRule type="expression" dxfId="3566" priority="12">
      <formula>$K8=#REF!</formula>
    </cfRule>
    <cfRule type="expression" dxfId="3565" priority="13">
      <formula>$K8=#REF!</formula>
    </cfRule>
    <cfRule type="expression" dxfId="3564" priority="14">
      <formula>$K8=#REF!</formula>
    </cfRule>
    <cfRule type="expression" dxfId="3563" priority="15">
      <formula>$K8=#REF!</formula>
    </cfRule>
    <cfRule type="expression" dxfId="3562" priority="16">
      <formula>$K8=#REF!</formula>
    </cfRule>
    <cfRule type="expression" dxfId="3561" priority="17">
      <formula>$K8=#REF!</formula>
    </cfRule>
    <cfRule type="expression" dxfId="3560" priority="18">
      <formula>$K8=#REF!</formula>
    </cfRule>
    <cfRule type="expression" dxfId="3559" priority="19">
      <formula>$K8=#REF!</formula>
    </cfRule>
    <cfRule type="expression" dxfId="3558" priority="20">
      <formula>$K8=#REF!</formula>
    </cfRule>
    <cfRule type="expression" dxfId="3557" priority="21">
      <formula>$K8=#REF!</formula>
    </cfRule>
    <cfRule type="expression" dxfId="3556" priority="22">
      <formula>$K8=#REF!</formula>
    </cfRule>
    <cfRule type="expression" dxfId="3555" priority="23">
      <formula>$K8=#REF!</formula>
    </cfRule>
    <cfRule type="expression" dxfId="3554" priority="24">
      <formula>$K8=#REF!</formula>
    </cfRule>
    <cfRule type="expression" dxfId="3553" priority="25">
      <formula>$K8=#REF!</formula>
    </cfRule>
    <cfRule type="expression" dxfId="3552" priority="26">
      <formula>$K8=#REF!</formula>
    </cfRule>
    <cfRule type="expression" dxfId="3551" priority="27">
      <formula>$K8=#REF!</formula>
    </cfRule>
    <cfRule type="expression" dxfId="3550" priority="28">
      <formula>$K8=#REF!</formula>
    </cfRule>
    <cfRule type="expression" dxfId="3549" priority="29">
      <formula>$K8=#REF!</formula>
    </cfRule>
  </conditionalFormatting>
  <dataValidations count="7">
    <dataValidation type="list" allowBlank="1" showInputMessage="1" showErrorMessage="1" sqref="D15:F46 G18:G46 G15:G16">
      <formula1>$N$24:$N$25</formula1>
    </dataValidation>
    <dataValidation allowBlank="1" showInputMessage="1" showErrorMessage="1" prompt="Udávejte částku v Kč včetně DPH." sqref="C8:C13"/>
    <dataValidation type="list" allowBlank="1" showInputMessage="1" showErrorMessage="1" sqref="H8:H13">
      <formula1>$K$23:$K$24</formula1>
    </dataValidation>
    <dataValidation allowBlank="1" showInputMessage="1" showErrorMessage="1" promptTitle="Obor" prompt="Uveďte pro který obor NP bude přístroj využíván." sqref="J8:J13"/>
    <dataValidation allowBlank="1" showInputMessage="1" showErrorMessage="1" promptTitle="Stáří přístroje" prompt="Vyplňte pokud se jedná o obnovu." sqref="I8:I13"/>
    <dataValidation type="list" errorStyle="information" allowBlank="1" showInputMessage="1" promptTitle="Vyberte skupinu" prompt="Vyberte skupinu zakázky" sqref="K8:K13">
      <formula1>#REF!</formula1>
    </dataValidation>
    <dataValidation type="list" allowBlank="1" showInputMessage="1" showErrorMessage="1" sqref="M8:M13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21"/>
  <sheetViews>
    <sheetView workbookViewId="0">
      <selection activeCell="D11" sqref="D11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42.7109375" hidden="1" customWidth="1"/>
    <col min="12" max="12" width="26.42578125" customWidth="1"/>
    <col min="13" max="13" width="10.85546875" hidden="1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137</v>
      </c>
    </row>
    <row r="7" spans="1:15" ht="60.75" customHeight="1" x14ac:dyDescent="0.25">
      <c r="A7" s="2" t="s">
        <v>0</v>
      </c>
      <c r="B7" s="48" t="s">
        <v>138</v>
      </c>
      <c r="C7" s="2" t="s">
        <v>126</v>
      </c>
      <c r="D7" s="2" t="s">
        <v>6</v>
      </c>
      <c r="E7" s="35" t="s">
        <v>127</v>
      </c>
      <c r="F7" s="36" t="s">
        <v>113</v>
      </c>
      <c r="G7" s="2" t="s">
        <v>132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14" t="s">
        <v>15</v>
      </c>
      <c r="B8" s="5"/>
      <c r="C8" s="5">
        <f>B8*(F8+1)</f>
        <v>0</v>
      </c>
      <c r="D8" s="6">
        <v>33</v>
      </c>
      <c r="E8" s="5">
        <f>Tabulka13411[[#This Row],[P pořizovací cena / ks (v Kč bez DPH)]]*Tabulka13411[[#This Row],[Počet kusů]]</f>
        <v>0</v>
      </c>
      <c r="F8" s="53">
        <v>0.21</v>
      </c>
      <c r="G8" s="12">
        <f>Tabulka13411[[#This Row],[ pořizovací cena / ks (v Kč včetně DPH)]]*Tabulka13411[[#This Row],[Počet kusů]]</f>
        <v>0</v>
      </c>
      <c r="H8" s="6" t="s">
        <v>11</v>
      </c>
      <c r="I8" s="6">
        <v>2008</v>
      </c>
      <c r="J8" s="6" t="s">
        <v>105</v>
      </c>
      <c r="K8" s="8"/>
      <c r="L8" s="8"/>
      <c r="M8" s="10"/>
      <c r="N8" s="6"/>
      <c r="O8" s="6"/>
    </row>
    <row r="9" spans="1:15" x14ac:dyDescent="0.25">
      <c r="A9" s="13" t="s">
        <v>16</v>
      </c>
      <c r="B9" s="5"/>
      <c r="C9" s="5">
        <f>B9*(F9+1)</f>
        <v>0</v>
      </c>
      <c r="D9" s="6">
        <v>106</v>
      </c>
      <c r="E9" s="5"/>
      <c r="F9" s="53">
        <v>0.21</v>
      </c>
      <c r="G9" s="12">
        <f>Tabulka13411[[#This Row],[ pořizovací cena / ks (v Kč včetně DPH)]]*Tabulka13411[[#This Row],[Počet kusů]]</f>
        <v>0</v>
      </c>
      <c r="H9" s="6" t="s">
        <v>11</v>
      </c>
      <c r="I9" s="6">
        <v>2005</v>
      </c>
      <c r="J9" s="6" t="s">
        <v>106</v>
      </c>
      <c r="K9" s="10"/>
      <c r="L9" s="8"/>
      <c r="M9" s="10"/>
      <c r="N9" s="6"/>
      <c r="O9" s="6"/>
    </row>
    <row r="10" spans="1:15" x14ac:dyDescent="0.25">
      <c r="A10" s="13" t="s">
        <v>19</v>
      </c>
      <c r="B10" s="5"/>
      <c r="C10" s="5">
        <f>B10*(F10+1)</f>
        <v>0</v>
      </c>
      <c r="D10" s="6">
        <v>71</v>
      </c>
      <c r="E10" s="5">
        <f>Tabulka13411[[#This Row],[P pořizovací cena / ks (v Kč bez DPH)]]*Tabulka13411[[#This Row],[Počet kusů]]</f>
        <v>0</v>
      </c>
      <c r="F10" s="53">
        <v>0.21</v>
      </c>
      <c r="G10" s="12">
        <f>Tabulka13411[[#This Row],[ pořizovací cena / ks (v Kč včetně DPH)]]*Tabulka13411[[#This Row],[Počet kusů]]</f>
        <v>0</v>
      </c>
      <c r="H10" s="6" t="s">
        <v>11</v>
      </c>
      <c r="I10" s="6">
        <v>2005</v>
      </c>
      <c r="J10" s="6" t="s">
        <v>106</v>
      </c>
      <c r="K10" s="8"/>
      <c r="L10" s="8"/>
      <c r="M10" s="10"/>
      <c r="N10" s="6"/>
      <c r="O10" s="6"/>
    </row>
    <row r="11" spans="1:15" x14ac:dyDescent="0.25">
      <c r="A11" t="s">
        <v>7</v>
      </c>
      <c r="C11" s="4">
        <f>SUM(C8:C10)</f>
        <v>0</v>
      </c>
      <c r="D11">
        <f>SUBTOTAL(109,Tabulka13411[Počet kusů])</f>
        <v>210</v>
      </c>
      <c r="E11" s="4">
        <f>SUM(E8:E10)</f>
        <v>0</v>
      </c>
      <c r="G11" s="4">
        <f>SUM(G8:G10)</f>
        <v>0</v>
      </c>
      <c r="H11" s="1" t="s">
        <v>8</v>
      </c>
      <c r="I11" s="1" t="s">
        <v>8</v>
      </c>
      <c r="J11" s="1" t="s">
        <v>8</v>
      </c>
      <c r="K11" s="1"/>
      <c r="L11" s="1"/>
      <c r="M11" s="1"/>
      <c r="N11" s="1"/>
      <c r="O11" s="1"/>
    </row>
    <row r="13" spans="1:15" ht="15.75" x14ac:dyDescent="0.3">
      <c r="K13" s="29"/>
    </row>
    <row r="15" spans="1:15" x14ac:dyDescent="0.25">
      <c r="K15" s="30" t="s">
        <v>103</v>
      </c>
    </row>
    <row r="16" spans="1:15" ht="15.75" x14ac:dyDescent="0.3">
      <c r="K16" s="31" t="e">
        <f>SUMPRODUCT(1/COUNTIF(Tabulka13411[Skupina],Tabulka13411[Skupina]))</f>
        <v>#DIV/0!</v>
      </c>
    </row>
    <row r="20" spans="11:11" x14ac:dyDescent="0.25">
      <c r="K20" t="s">
        <v>3</v>
      </c>
    </row>
    <row r="21" spans="11:11" x14ac:dyDescent="0.25">
      <c r="K21" t="s">
        <v>2</v>
      </c>
    </row>
  </sheetData>
  <protectedRanges>
    <protectedRange sqref="K10:M10 L9:M9 K8:M8" name="Oblast1"/>
  </protectedRanges>
  <mergeCells count="4">
    <mergeCell ref="A3:C3"/>
    <mergeCell ref="D3:J3"/>
    <mergeCell ref="A4:C4"/>
    <mergeCell ref="D4:J4"/>
  </mergeCells>
  <conditionalFormatting sqref="A8:B10 D8:M10">
    <cfRule type="expression" dxfId="3519" priority="59">
      <formula>$K8=#REF!</formula>
    </cfRule>
    <cfRule type="expression" dxfId="3518" priority="60">
      <formula>$K8=#REF!</formula>
    </cfRule>
    <cfRule type="expression" dxfId="3517" priority="61">
      <formula>$K8=#REF!</formula>
    </cfRule>
    <cfRule type="expression" dxfId="3516" priority="62">
      <formula>$K8=#REF!</formula>
    </cfRule>
    <cfRule type="expression" dxfId="3515" priority="63">
      <formula>$K8=#REF!</formula>
    </cfRule>
    <cfRule type="expression" dxfId="3514" priority="64">
      <formula>$K8=#REF!</formula>
    </cfRule>
    <cfRule type="expression" dxfId="3513" priority="65">
      <formula>$K8=#REF!</formula>
    </cfRule>
    <cfRule type="expression" dxfId="3512" priority="66">
      <formula>$K8=#REF!</formula>
    </cfRule>
    <cfRule type="expression" dxfId="3511" priority="67">
      <formula>$K8=#REF!</formula>
    </cfRule>
    <cfRule type="expression" dxfId="3510" priority="68">
      <formula>$K8=#REF!</formula>
    </cfRule>
    <cfRule type="expression" dxfId="3509" priority="69">
      <formula>$K8=#REF!</formula>
    </cfRule>
    <cfRule type="expression" dxfId="3508" priority="70">
      <formula>$K8=#REF!</formula>
    </cfRule>
    <cfRule type="expression" dxfId="3507" priority="71">
      <formula>$K8=#REF!</formula>
    </cfRule>
    <cfRule type="expression" dxfId="3506" priority="72">
      <formula>$K8=#REF!</formula>
    </cfRule>
    <cfRule type="expression" dxfId="3505" priority="73">
      <formula>$K8=#REF!</formula>
    </cfRule>
    <cfRule type="expression" dxfId="3504" priority="74">
      <formula>$K8=#REF!</formula>
    </cfRule>
    <cfRule type="expression" dxfId="3503" priority="75">
      <formula>$K8=#REF!</formula>
    </cfRule>
    <cfRule type="expression" dxfId="3502" priority="76">
      <formula>$K8=#REF!</formula>
    </cfRule>
    <cfRule type="expression" dxfId="3501" priority="77">
      <formula>$K8=#REF!</formula>
    </cfRule>
    <cfRule type="expression" dxfId="3500" priority="78">
      <formula>$K8=#REF!</formula>
    </cfRule>
    <cfRule type="expression" dxfId="3499" priority="79">
      <formula>$K8=#REF!</formula>
    </cfRule>
    <cfRule type="expression" dxfId="3498" priority="80">
      <formula>$K8=#REF!</formula>
    </cfRule>
    <cfRule type="expression" dxfId="3497" priority="81">
      <formula>$K8=#REF!</formula>
    </cfRule>
    <cfRule type="expression" dxfId="3496" priority="82">
      <formula>$K8=#REF!</formula>
    </cfRule>
    <cfRule type="expression" dxfId="3495" priority="83">
      <formula>$K8=#REF!</formula>
    </cfRule>
    <cfRule type="expression" dxfId="3494" priority="84">
      <formula>$K8=#REF!</formula>
    </cfRule>
    <cfRule type="expression" dxfId="3493" priority="85">
      <formula>$K8=#REF!</formula>
    </cfRule>
    <cfRule type="expression" dxfId="3492" priority="86">
      <formula>$K8=#REF!</formula>
    </cfRule>
    <cfRule type="expression" dxfId="3491" priority="87">
      <formula>$K8=#REF!</formula>
    </cfRule>
  </conditionalFormatting>
  <conditionalFormatting sqref="C8:C10">
    <cfRule type="expression" dxfId="3490" priority="1">
      <formula>$K8=#REF!</formula>
    </cfRule>
    <cfRule type="expression" dxfId="3489" priority="2">
      <formula>$K8=#REF!</formula>
    </cfRule>
    <cfRule type="expression" dxfId="3488" priority="3">
      <formula>$K8=#REF!</formula>
    </cfRule>
    <cfRule type="expression" dxfId="3487" priority="4">
      <formula>$K8=#REF!</formula>
    </cfRule>
    <cfRule type="expression" dxfId="3486" priority="5">
      <formula>$K8=#REF!</formula>
    </cfRule>
    <cfRule type="expression" dxfId="3485" priority="6">
      <formula>$K8=#REF!</formula>
    </cfRule>
    <cfRule type="expression" dxfId="3484" priority="7">
      <formula>$K8=#REF!</formula>
    </cfRule>
    <cfRule type="expression" dxfId="3483" priority="8">
      <formula>$K8=#REF!</formula>
    </cfRule>
    <cfRule type="expression" dxfId="3482" priority="9">
      <formula>$K8=#REF!</formula>
    </cfRule>
    <cfRule type="expression" dxfId="3481" priority="10">
      <formula>$K8=#REF!</formula>
    </cfRule>
    <cfRule type="expression" dxfId="3480" priority="11">
      <formula>$K8=#REF!</formula>
    </cfRule>
    <cfRule type="expression" dxfId="3479" priority="12">
      <formula>$K8=#REF!</formula>
    </cfRule>
    <cfRule type="expression" dxfId="3478" priority="13">
      <formula>$K8=#REF!</formula>
    </cfRule>
    <cfRule type="expression" dxfId="3477" priority="14">
      <formula>$K8=#REF!</formula>
    </cfRule>
    <cfRule type="expression" dxfId="3476" priority="15">
      <formula>$K8=#REF!</formula>
    </cfRule>
    <cfRule type="expression" dxfId="3475" priority="16">
      <formula>$K8=#REF!</formula>
    </cfRule>
    <cfRule type="expression" dxfId="3474" priority="17">
      <formula>$K8=#REF!</formula>
    </cfRule>
    <cfRule type="expression" dxfId="3473" priority="18">
      <formula>$K8=#REF!</formula>
    </cfRule>
    <cfRule type="expression" dxfId="3472" priority="19">
      <formula>$K8=#REF!</formula>
    </cfRule>
    <cfRule type="expression" dxfId="3471" priority="20">
      <formula>$K8=#REF!</formula>
    </cfRule>
    <cfRule type="expression" dxfId="3470" priority="21">
      <formula>$K8=#REF!</formula>
    </cfRule>
    <cfRule type="expression" dxfId="3469" priority="22">
      <formula>$K8=#REF!</formula>
    </cfRule>
    <cfRule type="expression" dxfId="3468" priority="23">
      <formula>$K8=#REF!</formula>
    </cfRule>
    <cfRule type="expression" dxfId="3467" priority="24">
      <formula>$K8=#REF!</formula>
    </cfRule>
    <cfRule type="expression" dxfId="3466" priority="25">
      <formula>$K8=#REF!</formula>
    </cfRule>
    <cfRule type="expression" dxfId="3465" priority="26">
      <formula>$K8=#REF!</formula>
    </cfRule>
    <cfRule type="expression" dxfId="3464" priority="27">
      <formula>$K8=#REF!</formula>
    </cfRule>
    <cfRule type="expression" dxfId="3463" priority="28">
      <formula>$K8=#REF!</formula>
    </cfRule>
    <cfRule type="expression" dxfId="3462" priority="29">
      <formula>$K8=#REF!</formula>
    </cfRule>
  </conditionalFormatting>
  <dataValidations count="7">
    <dataValidation type="list" allowBlank="1" showInputMessage="1" showErrorMessage="1" sqref="D12:F43 G12:G13 G15:G43">
      <formula1>$N$21:$N$22</formula1>
    </dataValidation>
    <dataValidation allowBlank="1" showInputMessage="1" showErrorMessage="1" prompt="Udávejte částku v Kč včetně DPH." sqref="C8:C10"/>
    <dataValidation type="list" allowBlank="1" showInputMessage="1" showErrorMessage="1" sqref="H8:H10">
      <formula1>$K$20:$K$21</formula1>
    </dataValidation>
    <dataValidation allowBlank="1" showInputMessage="1" showErrorMessage="1" promptTitle="Obor" prompt="Uveďte pro který obor NP bude přístroj využíván." sqref="J8:J10"/>
    <dataValidation allowBlank="1" showInputMessage="1" showErrorMessage="1" promptTitle="Stáří přístroje" prompt="Vyplňte pokud se jedná o obnovu." sqref="I8:I10"/>
    <dataValidation type="list" errorStyle="information" allowBlank="1" showInputMessage="1" promptTitle="Vyberte skupinu" prompt="Vyberte skupinu zakázky" sqref="K8:K10">
      <formula1>#REF!</formula1>
    </dataValidation>
    <dataValidation type="list" allowBlank="1" showInputMessage="1" showErrorMessage="1" sqref="M8:M10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6"/>
  <sheetViews>
    <sheetView workbookViewId="0">
      <selection activeCell="A4" sqref="A4:C4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7" customWidth="1"/>
    <col min="8" max="8" width="14.42578125" hidden="1" customWidth="1"/>
    <col min="9" max="9" width="13.42578125" hidden="1" customWidth="1"/>
    <col min="10" max="10" width="1.85546875" hidden="1" customWidth="1"/>
    <col min="11" max="11" width="42.7109375" hidden="1" customWidth="1"/>
    <col min="12" max="12" width="26.28515625" customWidth="1"/>
    <col min="13" max="13" width="10.85546875" hidden="1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139</v>
      </c>
    </row>
    <row r="7" spans="1:15" ht="60.75" customHeight="1" x14ac:dyDescent="0.25">
      <c r="A7" s="2" t="s">
        <v>0</v>
      </c>
      <c r="B7" s="48" t="s">
        <v>130</v>
      </c>
      <c r="C7" s="2" t="s">
        <v>126</v>
      </c>
      <c r="D7" s="2" t="s">
        <v>6</v>
      </c>
      <c r="E7" s="35" t="s">
        <v>127</v>
      </c>
      <c r="F7" s="36" t="s">
        <v>113</v>
      </c>
      <c r="G7" s="2" t="s">
        <v>132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20" t="s">
        <v>30</v>
      </c>
      <c r="B8" s="5"/>
      <c r="C8" s="5">
        <f>B8*(F8+1)</f>
        <v>0</v>
      </c>
      <c r="D8" s="21">
        <v>1</v>
      </c>
      <c r="E8" s="5">
        <f>Tabulka13412[[#This Row],[ pořizovací cena / ks (v Kč bez DPH)]]*Tabulka13412[[#This Row],[Počet kusů]]</f>
        <v>0</v>
      </c>
      <c r="F8" s="53">
        <v>0.21</v>
      </c>
      <c r="G8" s="12">
        <f>Tabulka13412[[#This Row],[ pořizovací cena / ks (v Kč včetně DPH)]]*Tabulka13412[[#This Row],[Počet kusů]]</f>
        <v>0</v>
      </c>
      <c r="H8" s="6" t="s">
        <v>11</v>
      </c>
      <c r="I8" s="6">
        <v>2004</v>
      </c>
      <c r="J8" s="6" t="s">
        <v>90</v>
      </c>
      <c r="K8" s="8"/>
      <c r="L8" s="8"/>
      <c r="M8" s="10"/>
      <c r="N8" s="6"/>
      <c r="O8" s="6"/>
    </row>
    <row r="9" spans="1:15" x14ac:dyDescent="0.25">
      <c r="A9" s="14" t="s">
        <v>82</v>
      </c>
      <c r="B9" s="5"/>
      <c r="C9" s="5">
        <f>B9*(F9+1)</f>
        <v>0</v>
      </c>
      <c r="D9" s="15">
        <v>1</v>
      </c>
      <c r="E9" s="5">
        <f>Tabulka13412[[#This Row],[ pořizovací cena / ks (v Kč bez DPH)]]*Tabulka13412[[#This Row],[Počet kusů]]</f>
        <v>0</v>
      </c>
      <c r="F9" s="53">
        <v>0.21</v>
      </c>
      <c r="G9" s="12">
        <f>Tabulka13412[[#This Row],[ pořizovací cena / ks (v Kč včetně DPH)]]*Tabulka13412[[#This Row],[Počet kusů]]</f>
        <v>0</v>
      </c>
      <c r="H9" s="6" t="s">
        <v>11</v>
      </c>
      <c r="I9" s="6">
        <v>2000</v>
      </c>
      <c r="J9" s="6" t="s">
        <v>97</v>
      </c>
      <c r="K9" s="8"/>
      <c r="L9" s="8"/>
      <c r="M9" s="10"/>
      <c r="N9" s="6"/>
      <c r="O9" s="6"/>
    </row>
    <row r="10" spans="1:15" x14ac:dyDescent="0.25">
      <c r="A10" s="15" t="s">
        <v>87</v>
      </c>
      <c r="B10" s="5"/>
      <c r="C10" s="5">
        <f>B10*(F10+1)</f>
        <v>0</v>
      </c>
      <c r="D10" s="15">
        <v>1</v>
      </c>
      <c r="E10" s="5">
        <f>Tabulka13412[[#This Row],[ pořizovací cena / ks (v Kč bez DPH)]]*Tabulka13412[[#This Row],[Počet kusů]]</f>
        <v>0</v>
      </c>
      <c r="F10" s="53">
        <v>0.21</v>
      </c>
      <c r="G10" s="12">
        <f>Tabulka13412[[#This Row],[ pořizovací cena / ks (v Kč včetně DPH)]]*Tabulka13412[[#This Row],[Počet kusů]]</f>
        <v>0</v>
      </c>
      <c r="H10" s="6" t="s">
        <v>21</v>
      </c>
      <c r="I10" s="6"/>
      <c r="J10" s="6" t="s">
        <v>97</v>
      </c>
      <c r="K10" s="8"/>
      <c r="L10" s="8"/>
      <c r="M10" s="10"/>
      <c r="N10" s="6"/>
      <c r="O10" s="6"/>
    </row>
    <row r="11" spans="1:15" x14ac:dyDescent="0.25">
      <c r="A11" t="s">
        <v>7</v>
      </c>
      <c r="C11" s="4">
        <f>SUM(C8:C10)</f>
        <v>0</v>
      </c>
      <c r="D11">
        <f>SUBTOTAL(109,Tabulka13412[Počet kusů])</f>
        <v>3</v>
      </c>
      <c r="E11" s="4">
        <f>SUM(E8:E10)</f>
        <v>0</v>
      </c>
      <c r="G11" s="4">
        <f>SUM(G8:G10)</f>
        <v>0</v>
      </c>
      <c r="H11" s="1" t="s">
        <v>8</v>
      </c>
      <c r="I11" s="1" t="s">
        <v>8</v>
      </c>
      <c r="J11" s="1" t="s">
        <v>8</v>
      </c>
      <c r="K11" s="1"/>
      <c r="L11" s="1"/>
      <c r="M11" s="1"/>
      <c r="N11" s="1"/>
      <c r="O11" s="1"/>
    </row>
    <row r="13" spans="1:15" ht="15.75" x14ac:dyDescent="0.3">
      <c r="K13" s="29"/>
    </row>
    <row r="15" spans="1:15" x14ac:dyDescent="0.25">
      <c r="K15" s="30"/>
    </row>
    <row r="16" spans="1:15" ht="15.75" x14ac:dyDescent="0.3">
      <c r="K16" s="31"/>
    </row>
  </sheetData>
  <protectedRanges>
    <protectedRange sqref="K9:M10 L8:M8" name="Oblast1"/>
  </protectedRanges>
  <mergeCells count="4">
    <mergeCell ref="A3:C3"/>
    <mergeCell ref="D3:J3"/>
    <mergeCell ref="A4:C4"/>
    <mergeCell ref="D4:J4"/>
  </mergeCells>
  <conditionalFormatting sqref="A8:B10 D8:M10">
    <cfRule type="expression" dxfId="3432" priority="59">
      <formula>$K8=#REF!</formula>
    </cfRule>
    <cfRule type="expression" dxfId="3431" priority="60">
      <formula>$K8=#REF!</formula>
    </cfRule>
    <cfRule type="expression" dxfId="3430" priority="61">
      <formula>$K8=#REF!</formula>
    </cfRule>
    <cfRule type="expression" dxfId="3429" priority="62">
      <formula>$K8=#REF!</formula>
    </cfRule>
    <cfRule type="expression" dxfId="3428" priority="63">
      <formula>$K8=#REF!</formula>
    </cfRule>
    <cfRule type="expression" dxfId="3427" priority="64">
      <formula>$K8=#REF!</formula>
    </cfRule>
    <cfRule type="expression" dxfId="3426" priority="65">
      <formula>$K8=#REF!</formula>
    </cfRule>
    <cfRule type="expression" dxfId="3425" priority="66">
      <formula>$K8=#REF!</formula>
    </cfRule>
    <cfRule type="expression" dxfId="3424" priority="67">
      <formula>$K8=#REF!</formula>
    </cfRule>
    <cfRule type="expression" dxfId="3423" priority="68">
      <formula>$K8=#REF!</formula>
    </cfRule>
    <cfRule type="expression" dxfId="3422" priority="69">
      <formula>$K8=#REF!</formula>
    </cfRule>
    <cfRule type="expression" dxfId="3421" priority="70">
      <formula>$K8=#REF!</formula>
    </cfRule>
    <cfRule type="expression" dxfId="3420" priority="71">
      <formula>$K8=#REF!</formula>
    </cfRule>
    <cfRule type="expression" dxfId="3419" priority="72">
      <formula>$K8=#REF!</formula>
    </cfRule>
    <cfRule type="expression" dxfId="3418" priority="73">
      <formula>$K8=#REF!</formula>
    </cfRule>
    <cfRule type="expression" dxfId="3417" priority="74">
      <formula>$K8=#REF!</formula>
    </cfRule>
    <cfRule type="expression" dxfId="3416" priority="75">
      <formula>$K8=#REF!</formula>
    </cfRule>
    <cfRule type="expression" dxfId="3415" priority="76">
      <formula>$K8=#REF!</formula>
    </cfRule>
    <cfRule type="expression" dxfId="3414" priority="77">
      <formula>$K8=#REF!</formula>
    </cfRule>
    <cfRule type="expression" dxfId="3413" priority="78">
      <formula>$K8=#REF!</formula>
    </cfRule>
    <cfRule type="expression" dxfId="3412" priority="79">
      <formula>$K8=#REF!</formula>
    </cfRule>
    <cfRule type="expression" dxfId="3411" priority="80">
      <formula>$K8=#REF!</formula>
    </cfRule>
    <cfRule type="expression" dxfId="3410" priority="81">
      <formula>$K8=#REF!</formula>
    </cfRule>
    <cfRule type="expression" dxfId="3409" priority="82">
      <formula>$K8=#REF!</formula>
    </cfRule>
    <cfRule type="expression" dxfId="3408" priority="83">
      <formula>$K8=#REF!</formula>
    </cfRule>
    <cfRule type="expression" dxfId="3407" priority="84">
      <formula>$K8=#REF!</formula>
    </cfRule>
    <cfRule type="expression" dxfId="3406" priority="85">
      <formula>$K8=#REF!</formula>
    </cfRule>
    <cfRule type="expression" dxfId="3405" priority="86">
      <formula>$K8=#REF!</formula>
    </cfRule>
    <cfRule type="expression" dxfId="3404" priority="87">
      <formula>$K8=#REF!</formula>
    </cfRule>
  </conditionalFormatting>
  <conditionalFormatting sqref="C8:C10">
    <cfRule type="expression" dxfId="3403" priority="1">
      <formula>$K8=#REF!</formula>
    </cfRule>
    <cfRule type="expression" dxfId="3402" priority="2">
      <formula>$K8=#REF!</formula>
    </cfRule>
    <cfRule type="expression" dxfId="3401" priority="3">
      <formula>$K8=#REF!</formula>
    </cfRule>
    <cfRule type="expression" dxfId="3400" priority="4">
      <formula>$K8=#REF!</formula>
    </cfRule>
    <cfRule type="expression" dxfId="3399" priority="5">
      <formula>$K8=#REF!</formula>
    </cfRule>
    <cfRule type="expression" dxfId="3398" priority="6">
      <formula>$K8=#REF!</formula>
    </cfRule>
    <cfRule type="expression" dxfId="3397" priority="7">
      <formula>$K8=#REF!</formula>
    </cfRule>
    <cfRule type="expression" dxfId="3396" priority="8">
      <formula>$K8=#REF!</formula>
    </cfRule>
    <cfRule type="expression" dxfId="3395" priority="9">
      <formula>$K8=#REF!</formula>
    </cfRule>
    <cfRule type="expression" dxfId="3394" priority="10">
      <formula>$K8=#REF!</formula>
    </cfRule>
    <cfRule type="expression" dxfId="3393" priority="11">
      <formula>$K8=#REF!</formula>
    </cfRule>
    <cfRule type="expression" dxfId="3392" priority="12">
      <formula>$K8=#REF!</formula>
    </cfRule>
    <cfRule type="expression" dxfId="3391" priority="13">
      <formula>$K8=#REF!</formula>
    </cfRule>
    <cfRule type="expression" dxfId="3390" priority="14">
      <formula>$K8=#REF!</formula>
    </cfRule>
    <cfRule type="expression" dxfId="3389" priority="15">
      <formula>$K8=#REF!</formula>
    </cfRule>
    <cfRule type="expression" dxfId="3388" priority="16">
      <formula>$K8=#REF!</formula>
    </cfRule>
    <cfRule type="expression" dxfId="3387" priority="17">
      <formula>$K8=#REF!</formula>
    </cfRule>
    <cfRule type="expression" dxfId="3386" priority="18">
      <formula>$K8=#REF!</formula>
    </cfRule>
    <cfRule type="expression" dxfId="3385" priority="19">
      <formula>$K8=#REF!</formula>
    </cfRule>
    <cfRule type="expression" dxfId="3384" priority="20">
      <formula>$K8=#REF!</formula>
    </cfRule>
    <cfRule type="expression" dxfId="3383" priority="21">
      <formula>$K8=#REF!</formula>
    </cfRule>
    <cfRule type="expression" dxfId="3382" priority="22">
      <formula>$K8=#REF!</formula>
    </cfRule>
    <cfRule type="expression" dxfId="3381" priority="23">
      <formula>$K8=#REF!</formula>
    </cfRule>
    <cfRule type="expression" dxfId="3380" priority="24">
      <formula>$K8=#REF!</formula>
    </cfRule>
    <cfRule type="expression" dxfId="3379" priority="25">
      <formula>$K8=#REF!</formula>
    </cfRule>
    <cfRule type="expression" dxfId="3378" priority="26">
      <formula>$K8=#REF!</formula>
    </cfRule>
    <cfRule type="expression" dxfId="3377" priority="27">
      <formula>$K8=#REF!</formula>
    </cfRule>
    <cfRule type="expression" dxfId="3376" priority="28">
      <formula>$K8=#REF!</formula>
    </cfRule>
    <cfRule type="expression" dxfId="3375" priority="29">
      <formula>$K8=#REF!</formula>
    </cfRule>
  </conditionalFormatting>
  <dataValidations count="7">
    <dataValidation type="list" allowBlank="1" showInputMessage="1" showErrorMessage="1" sqref="D12:F43 G15:G43 G12:G13">
      <formula1>$N$21:$N$22</formula1>
    </dataValidation>
    <dataValidation allowBlank="1" showInputMessage="1" showErrorMessage="1" prompt="Udávejte částku v Kč včetně DPH." sqref="C8:C10"/>
    <dataValidation type="list" allowBlank="1" showInputMessage="1" showErrorMessage="1" sqref="H8:H10">
      <formula1>$K$20:$K$21</formula1>
    </dataValidation>
    <dataValidation allowBlank="1" showInputMessage="1" showErrorMessage="1" promptTitle="Obor" prompt="Uveďte pro který obor NP bude přístroj využíván." sqref="J8:J10"/>
    <dataValidation allowBlank="1" showInputMessage="1" showErrorMessage="1" promptTitle="Stáří přístroje" prompt="Vyplňte pokud se jedná o obnovu." sqref="I8:I10"/>
    <dataValidation type="list" errorStyle="information" allowBlank="1" showInputMessage="1" promptTitle="Vyberte skupinu" prompt="Vyberte skupinu zakázky" sqref="K8:K10">
      <formula1>#REF!</formula1>
    </dataValidation>
    <dataValidation type="list" allowBlank="1" showInputMessage="1" showErrorMessage="1" sqref="M8:M10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4"/>
  <sheetViews>
    <sheetView workbookViewId="0">
      <selection activeCell="A18" sqref="A18"/>
    </sheetView>
  </sheetViews>
  <sheetFormatPr defaultRowHeight="15" x14ac:dyDescent="0.25"/>
  <cols>
    <col min="1" max="1" width="51.42578125" customWidth="1"/>
    <col min="2" max="2" width="23.28515625" style="49" customWidth="1"/>
    <col min="3" max="3" width="20.140625" customWidth="1"/>
    <col min="4" max="4" width="8.7109375" customWidth="1"/>
    <col min="5" max="5" width="19.28515625" style="3" customWidth="1"/>
    <col min="6" max="6" width="10.85546875" style="37" customWidth="1"/>
    <col min="7" max="7" width="16.85546875" customWidth="1"/>
    <col min="8" max="8" width="14.42578125" hidden="1" customWidth="1"/>
    <col min="9" max="9" width="13.42578125" hidden="1" customWidth="1"/>
    <col min="10" max="10" width="1.85546875" hidden="1" customWidth="1"/>
    <col min="11" max="11" width="42.7109375" hidden="1" customWidth="1"/>
    <col min="12" max="12" width="26.42578125" customWidth="1"/>
    <col min="13" max="13" width="0.140625" customWidth="1"/>
    <col min="14" max="14" width="25.7109375" hidden="1" customWidth="1"/>
    <col min="15" max="15" width="9.140625" hidden="1" customWidth="1"/>
  </cols>
  <sheetData>
    <row r="3" spans="1:15" ht="30.75" customHeight="1" x14ac:dyDescent="0.25">
      <c r="A3" s="86" t="s">
        <v>129</v>
      </c>
      <c r="B3" s="86"/>
      <c r="C3" s="86"/>
      <c r="D3" s="87"/>
      <c r="E3" s="87"/>
      <c r="F3" s="87"/>
      <c r="G3" s="87"/>
      <c r="H3" s="87"/>
      <c r="I3" s="87"/>
      <c r="J3" s="87"/>
    </row>
    <row r="4" spans="1:15" ht="26.25" customHeight="1" x14ac:dyDescent="0.25">
      <c r="A4" s="86" t="s">
        <v>120</v>
      </c>
      <c r="B4" s="86"/>
      <c r="C4" s="86"/>
      <c r="D4" s="87"/>
      <c r="E4" s="87"/>
      <c r="F4" s="87"/>
      <c r="G4" s="87"/>
      <c r="H4" s="87"/>
      <c r="I4" s="87"/>
      <c r="J4" s="87"/>
    </row>
    <row r="6" spans="1:15" x14ac:dyDescent="0.25">
      <c r="A6" s="78" t="s">
        <v>211</v>
      </c>
    </row>
    <row r="7" spans="1:15" ht="60.75" customHeight="1" x14ac:dyDescent="0.25">
      <c r="A7" s="2" t="s">
        <v>0</v>
      </c>
      <c r="B7" s="48" t="s">
        <v>130</v>
      </c>
      <c r="C7" s="2" t="s">
        <v>126</v>
      </c>
      <c r="D7" s="2" t="s">
        <v>6</v>
      </c>
      <c r="E7" s="35" t="s">
        <v>127</v>
      </c>
      <c r="F7" s="36" t="s">
        <v>113</v>
      </c>
      <c r="G7" s="2" t="s">
        <v>132</v>
      </c>
      <c r="H7" s="2" t="s">
        <v>1</v>
      </c>
      <c r="I7" s="2" t="s">
        <v>4</v>
      </c>
      <c r="J7" s="2" t="s">
        <v>5</v>
      </c>
      <c r="K7" s="2" t="s">
        <v>98</v>
      </c>
      <c r="L7" s="2" t="s">
        <v>99</v>
      </c>
      <c r="M7" s="2" t="s">
        <v>115</v>
      </c>
      <c r="N7" s="9" t="s">
        <v>114</v>
      </c>
      <c r="O7" s="9" t="s">
        <v>101</v>
      </c>
    </row>
    <row r="8" spans="1:15" x14ac:dyDescent="0.25">
      <c r="A8" s="13" t="s">
        <v>37</v>
      </c>
      <c r="B8" s="5"/>
      <c r="C8" s="5">
        <f t="shared" ref="C8" si="0">B8*(F8+1)</f>
        <v>0</v>
      </c>
      <c r="D8" s="15">
        <v>2</v>
      </c>
      <c r="E8" s="5">
        <f>Tabulka13413[[#This Row],[ pořizovací cena / ks (v Kč bez DPH)]]*Tabulka13413[[#This Row],[Počet kusů]]</f>
        <v>0</v>
      </c>
      <c r="F8" s="53">
        <v>0.21</v>
      </c>
      <c r="G8" s="12">
        <f>Tabulka13413[[#This Row],[ pořizovací cena / ks (v Kč včetně DPH)]]*Tabulka13413[[#This Row],[Počet kusů]]</f>
        <v>0</v>
      </c>
      <c r="H8" s="6" t="s">
        <v>21</v>
      </c>
      <c r="I8" s="6"/>
      <c r="J8" s="6" t="s">
        <v>91</v>
      </c>
      <c r="K8" s="8"/>
      <c r="L8" s="8"/>
      <c r="M8" s="42"/>
      <c r="N8" s="6"/>
      <c r="O8" s="6"/>
    </row>
    <row r="9" spans="1:15" x14ac:dyDescent="0.25">
      <c r="A9" t="s">
        <v>7</v>
      </c>
      <c r="C9" s="4">
        <f>SUM(C8:C8)</f>
        <v>0</v>
      </c>
      <c r="D9">
        <f>SUBTOTAL(109,Tabulka13413[Počet kusů])</f>
        <v>2</v>
      </c>
      <c r="E9" s="4">
        <f>SUM(E8:E8)</f>
        <v>0</v>
      </c>
      <c r="G9" s="4">
        <f>SUM(G8:G8)</f>
        <v>0</v>
      </c>
      <c r="H9" s="1" t="s">
        <v>8</v>
      </c>
      <c r="I9" s="1" t="s">
        <v>8</v>
      </c>
      <c r="J9" s="1" t="s">
        <v>8</v>
      </c>
      <c r="K9" s="1"/>
      <c r="L9" s="1"/>
      <c r="M9" s="1"/>
      <c r="N9" s="1"/>
      <c r="O9" s="1"/>
    </row>
    <row r="11" spans="1:15" ht="15.75" x14ac:dyDescent="0.3">
      <c r="K11" s="29"/>
    </row>
    <row r="13" spans="1:15" x14ac:dyDescent="0.25">
      <c r="K13" s="30"/>
    </row>
    <row r="14" spans="1:15" ht="15.75" x14ac:dyDescent="0.3">
      <c r="K14" s="31"/>
    </row>
  </sheetData>
  <protectedRanges>
    <protectedRange sqref="K8:M8" name="Oblast1"/>
  </protectedRanges>
  <mergeCells count="4">
    <mergeCell ref="A3:C3"/>
    <mergeCell ref="D3:J3"/>
    <mergeCell ref="A4:C4"/>
    <mergeCell ref="D4:J4"/>
  </mergeCells>
  <conditionalFormatting sqref="D8:M8 A8:B8">
    <cfRule type="expression" dxfId="3345" priority="59">
      <formula>$K8=#REF!</formula>
    </cfRule>
    <cfRule type="expression" dxfId="3344" priority="60">
      <formula>$K8=#REF!</formula>
    </cfRule>
    <cfRule type="expression" dxfId="3343" priority="61">
      <formula>$K8=#REF!</formula>
    </cfRule>
    <cfRule type="expression" dxfId="3342" priority="62">
      <formula>$K8=#REF!</formula>
    </cfRule>
    <cfRule type="expression" dxfId="3341" priority="63">
      <formula>$K8=#REF!</formula>
    </cfRule>
    <cfRule type="expression" dxfId="3340" priority="64">
      <formula>$K8=#REF!</formula>
    </cfRule>
    <cfRule type="expression" dxfId="3339" priority="65">
      <formula>$K8=#REF!</formula>
    </cfRule>
    <cfRule type="expression" dxfId="3338" priority="66">
      <formula>$K8=#REF!</formula>
    </cfRule>
    <cfRule type="expression" dxfId="3337" priority="67">
      <formula>$K8=#REF!</formula>
    </cfRule>
    <cfRule type="expression" dxfId="3336" priority="68">
      <formula>$K8=#REF!</formula>
    </cfRule>
    <cfRule type="expression" dxfId="3335" priority="69">
      <formula>$K8=#REF!</formula>
    </cfRule>
    <cfRule type="expression" dxfId="3334" priority="70">
      <formula>$K8=#REF!</formula>
    </cfRule>
    <cfRule type="expression" dxfId="3333" priority="71">
      <formula>$K8=#REF!</formula>
    </cfRule>
    <cfRule type="expression" dxfId="3332" priority="72">
      <formula>$K8=#REF!</formula>
    </cfRule>
    <cfRule type="expression" dxfId="3331" priority="73">
      <formula>$K8=#REF!</formula>
    </cfRule>
    <cfRule type="expression" dxfId="3330" priority="74">
      <formula>$K8=#REF!</formula>
    </cfRule>
    <cfRule type="expression" dxfId="3329" priority="75">
      <formula>$K8=#REF!</formula>
    </cfRule>
    <cfRule type="expression" dxfId="3328" priority="76">
      <formula>$K8=#REF!</formula>
    </cfRule>
    <cfRule type="expression" dxfId="3327" priority="77">
      <formula>$K8=#REF!</formula>
    </cfRule>
    <cfRule type="expression" dxfId="3326" priority="78">
      <formula>$K8=#REF!</formula>
    </cfRule>
    <cfRule type="expression" dxfId="3325" priority="79">
      <formula>$K8=#REF!</formula>
    </cfRule>
    <cfRule type="expression" dxfId="3324" priority="80">
      <formula>$K8=#REF!</formula>
    </cfRule>
    <cfRule type="expression" dxfId="3323" priority="81">
      <formula>$K8=#REF!</formula>
    </cfRule>
    <cfRule type="expression" dxfId="3322" priority="82">
      <formula>$K8=#REF!</formula>
    </cfRule>
    <cfRule type="expression" dxfId="3321" priority="83">
      <formula>$K8=#REF!</formula>
    </cfRule>
    <cfRule type="expression" dxfId="3320" priority="84">
      <formula>$K8=#REF!</formula>
    </cfRule>
    <cfRule type="expression" dxfId="3319" priority="85">
      <formula>$K8=#REF!</formula>
    </cfRule>
    <cfRule type="expression" dxfId="3318" priority="86">
      <formula>$K8=#REF!</formula>
    </cfRule>
    <cfRule type="expression" dxfId="3317" priority="87">
      <formula>$K8=#REF!</formula>
    </cfRule>
  </conditionalFormatting>
  <conditionalFormatting sqref="C8">
    <cfRule type="expression" dxfId="3316" priority="1">
      <formula>$K8=#REF!</formula>
    </cfRule>
    <cfRule type="expression" dxfId="3315" priority="2">
      <formula>$K8=#REF!</formula>
    </cfRule>
    <cfRule type="expression" dxfId="3314" priority="3">
      <formula>$K8=#REF!</formula>
    </cfRule>
    <cfRule type="expression" dxfId="3313" priority="4">
      <formula>$K8=#REF!</formula>
    </cfRule>
    <cfRule type="expression" dxfId="3312" priority="5">
      <formula>$K8=#REF!</formula>
    </cfRule>
    <cfRule type="expression" dxfId="3311" priority="6">
      <formula>$K8=#REF!</formula>
    </cfRule>
    <cfRule type="expression" dxfId="3310" priority="7">
      <formula>$K8=#REF!</formula>
    </cfRule>
    <cfRule type="expression" dxfId="3309" priority="8">
      <formula>$K8=#REF!</formula>
    </cfRule>
    <cfRule type="expression" dxfId="3308" priority="9">
      <formula>$K8=#REF!</formula>
    </cfRule>
    <cfRule type="expression" dxfId="3307" priority="10">
      <formula>$K8=#REF!</formula>
    </cfRule>
    <cfRule type="expression" dxfId="3306" priority="11">
      <formula>$K8=#REF!</formula>
    </cfRule>
    <cfRule type="expression" dxfId="3305" priority="12">
      <formula>$K8=#REF!</formula>
    </cfRule>
    <cfRule type="expression" dxfId="3304" priority="13">
      <formula>$K8=#REF!</formula>
    </cfRule>
    <cfRule type="expression" dxfId="3303" priority="14">
      <formula>$K8=#REF!</formula>
    </cfRule>
    <cfRule type="expression" dxfId="3302" priority="15">
      <formula>$K8=#REF!</formula>
    </cfRule>
    <cfRule type="expression" dxfId="3301" priority="16">
      <formula>$K8=#REF!</formula>
    </cfRule>
    <cfRule type="expression" dxfId="3300" priority="17">
      <formula>$K8=#REF!</formula>
    </cfRule>
    <cfRule type="expression" dxfId="3299" priority="18">
      <formula>$K8=#REF!</formula>
    </cfRule>
    <cfRule type="expression" dxfId="3298" priority="19">
      <formula>$K8=#REF!</formula>
    </cfRule>
    <cfRule type="expression" dxfId="3297" priority="20">
      <formula>$K8=#REF!</formula>
    </cfRule>
    <cfRule type="expression" dxfId="3296" priority="21">
      <formula>$K8=#REF!</formula>
    </cfRule>
    <cfRule type="expression" dxfId="3295" priority="22">
      <formula>$K8=#REF!</formula>
    </cfRule>
    <cfRule type="expression" dxfId="3294" priority="23">
      <formula>$K8=#REF!</formula>
    </cfRule>
    <cfRule type="expression" dxfId="3293" priority="24">
      <formula>$K8=#REF!</formula>
    </cfRule>
    <cfRule type="expression" dxfId="3292" priority="25">
      <formula>$K8=#REF!</formula>
    </cfRule>
    <cfRule type="expression" dxfId="3291" priority="26">
      <formula>$K8=#REF!</formula>
    </cfRule>
    <cfRule type="expression" dxfId="3290" priority="27">
      <formula>$K8=#REF!</formula>
    </cfRule>
    <cfRule type="expression" dxfId="3289" priority="28">
      <formula>$K8=#REF!</formula>
    </cfRule>
    <cfRule type="expression" dxfId="3288" priority="29">
      <formula>$K8=#REF!</formula>
    </cfRule>
  </conditionalFormatting>
  <dataValidations count="7">
    <dataValidation type="list" allowBlank="1" showInputMessage="1" showErrorMessage="1" sqref="D10:F41 G10:G11 G13:G41">
      <formula1>$N$19:$N$20</formula1>
    </dataValidation>
    <dataValidation allowBlank="1" showInputMessage="1" showErrorMessage="1" prompt="Udávejte částku v Kč včetně DPH." sqref="C8"/>
    <dataValidation type="list" allowBlank="1" showInputMessage="1" showErrorMessage="1" sqref="H8">
      <formula1>$K$18:$K$19</formula1>
    </dataValidation>
    <dataValidation allowBlank="1" showInputMessage="1" showErrorMessage="1" promptTitle="Obor" prompt="Uveďte pro který obor NP bude přístroj využíván." sqref="J8"/>
    <dataValidation allowBlank="1" showInputMessage="1" showErrorMessage="1" promptTitle="Stáří přístroje" prompt="Vyplňte pokud se jedná o obnovu." sqref="I8"/>
    <dataValidation type="list" errorStyle="information" allowBlank="1" showInputMessage="1" promptTitle="Vyberte skupinu" prompt="Vyberte skupinu zakázky" sqref="K8">
      <formula1>#REF!</formula1>
    </dataValidation>
    <dataValidation type="list" allowBlank="1" showInputMessage="1" showErrorMessage="1" sqref="M8">
      <formula1>#REF!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43</vt:i4>
      </vt:variant>
    </vt:vector>
  </HeadingPairs>
  <TitlesOfParts>
    <vt:vector size="43" baseType="lpstr">
      <vt:lpstr>část1</vt:lpstr>
      <vt:lpstr>část2</vt:lpstr>
      <vt:lpstr>část3</vt:lpstr>
      <vt:lpstr>část4</vt:lpstr>
      <vt:lpstr>část5</vt:lpstr>
      <vt:lpstr>část6</vt:lpstr>
      <vt:lpstr>část7</vt:lpstr>
      <vt:lpstr>část8</vt:lpstr>
      <vt:lpstr>část9</vt:lpstr>
      <vt:lpstr>část10</vt:lpstr>
      <vt:lpstr>část11</vt:lpstr>
      <vt:lpstr>část12</vt:lpstr>
      <vt:lpstr>část13</vt:lpstr>
      <vt:lpstr>část14</vt:lpstr>
      <vt:lpstr>část15</vt:lpstr>
      <vt:lpstr>část16</vt:lpstr>
      <vt:lpstr>část17</vt:lpstr>
      <vt:lpstr>část18</vt:lpstr>
      <vt:lpstr>část19</vt:lpstr>
      <vt:lpstr>část20</vt:lpstr>
      <vt:lpstr>část21</vt:lpstr>
      <vt:lpstr>část22</vt:lpstr>
      <vt:lpstr>část23</vt:lpstr>
      <vt:lpstr>část24</vt:lpstr>
      <vt:lpstr>část25</vt:lpstr>
      <vt:lpstr>část26</vt:lpstr>
      <vt:lpstr>část27</vt:lpstr>
      <vt:lpstr>část28</vt:lpstr>
      <vt:lpstr>část29</vt:lpstr>
      <vt:lpstr>část30</vt:lpstr>
      <vt:lpstr>část31</vt:lpstr>
      <vt:lpstr>část32</vt:lpstr>
      <vt:lpstr>část33</vt:lpstr>
      <vt:lpstr>část34</vt:lpstr>
      <vt:lpstr>část35</vt:lpstr>
      <vt:lpstr>část36</vt:lpstr>
      <vt:lpstr>část37</vt:lpstr>
      <vt:lpstr>část38</vt:lpstr>
      <vt:lpstr>část39</vt:lpstr>
      <vt:lpstr>část40</vt:lpstr>
      <vt:lpstr>část41</vt:lpstr>
      <vt:lpstr>část42</vt:lpstr>
      <vt:lpstr>část43</vt:lpstr>
    </vt:vector>
  </TitlesOfParts>
  <Company>MZČR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Klubalová Markéta Ing.</dc:creator>
  <cp:lastModifiedBy>User</cp:lastModifiedBy>
  <cp:lastPrinted>2017-09-13T11:56:54Z</cp:lastPrinted>
  <dcterms:created xsi:type="dcterms:W3CDTF">2016-05-25T13:15:55Z</dcterms:created>
  <dcterms:modified xsi:type="dcterms:W3CDTF">2018-02-27T16:02:52Z</dcterms:modified>
</cp:coreProperties>
</file>