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ŘZ\OVZ\Katka Kovářová\veřejné zakázky - 2018\KOH LP-PP - Vlhkostní sanace administrativní budovy - NOVÉ\Profil zadavatele\Zadávací dokumentace - přílohy\"/>
    </mc:Choice>
  </mc:AlternateContent>
  <bookViews>
    <workbookView xWindow="0" yWindow="0" windowWidth="16380" windowHeight="8190"/>
  </bookViews>
  <sheets>
    <sheet name="Krycí_list_rozpočtu" sheetId="2" r:id="rId1"/>
    <sheet name="Stavební_rozpočet" sheetId="1" r:id="rId2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2" i="2" l="1"/>
  <c r="AT144" i="1"/>
  <c r="AN144" i="1"/>
  <c r="AF144" i="1"/>
  <c r="AE144" i="1"/>
  <c r="AM144" i="1" s="1"/>
  <c r="AS144" i="1" s="1"/>
  <c r="AB144" i="1"/>
  <c r="AA144" i="1"/>
  <c r="Z144" i="1"/>
  <c r="X144" i="1"/>
  <c r="W144" i="1"/>
  <c r="V144" i="1"/>
  <c r="U144" i="1"/>
  <c r="T144" i="1"/>
  <c r="S144" i="1"/>
  <c r="R144" i="1"/>
  <c r="L144" i="1"/>
  <c r="AV144" i="1" s="1"/>
  <c r="J144" i="1"/>
  <c r="H144" i="1"/>
  <c r="AT142" i="1"/>
  <c r="AM142" i="1"/>
  <c r="AF142" i="1"/>
  <c r="AN142" i="1" s="1"/>
  <c r="AE142" i="1"/>
  <c r="AA142" i="1"/>
  <c r="Z142" i="1"/>
  <c r="X142" i="1"/>
  <c r="W142" i="1"/>
  <c r="V142" i="1"/>
  <c r="U142" i="1"/>
  <c r="T142" i="1"/>
  <c r="S142" i="1"/>
  <c r="R142" i="1"/>
  <c r="P142" i="1"/>
  <c r="L142" i="1"/>
  <c r="AV142" i="1" s="1"/>
  <c r="J142" i="1"/>
  <c r="AB142" i="1" s="1"/>
  <c r="H142" i="1"/>
  <c r="AT140" i="1"/>
  <c r="AN140" i="1"/>
  <c r="AF140" i="1"/>
  <c r="AE140" i="1"/>
  <c r="AM140" i="1" s="1"/>
  <c r="AA140" i="1"/>
  <c r="Z140" i="1"/>
  <c r="X140" i="1"/>
  <c r="W140" i="1"/>
  <c r="V140" i="1"/>
  <c r="U140" i="1"/>
  <c r="T140" i="1"/>
  <c r="S140" i="1"/>
  <c r="R140" i="1"/>
  <c r="L140" i="1"/>
  <c r="AV140" i="1" s="1"/>
  <c r="J140" i="1"/>
  <c r="H140" i="1"/>
  <c r="AT138" i="1"/>
  <c r="AM138" i="1"/>
  <c r="AS138" i="1" s="1"/>
  <c r="AF138" i="1"/>
  <c r="AN138" i="1" s="1"/>
  <c r="AE138" i="1"/>
  <c r="AA138" i="1"/>
  <c r="Z138" i="1"/>
  <c r="X138" i="1"/>
  <c r="W138" i="1"/>
  <c r="V138" i="1"/>
  <c r="U138" i="1"/>
  <c r="T138" i="1"/>
  <c r="S138" i="1"/>
  <c r="R138" i="1"/>
  <c r="P138" i="1"/>
  <c r="L138" i="1"/>
  <c r="AV138" i="1" s="1"/>
  <c r="J138" i="1"/>
  <c r="AB138" i="1" s="1"/>
  <c r="H138" i="1"/>
  <c r="AT136" i="1"/>
  <c r="AN136" i="1"/>
  <c r="AF136" i="1"/>
  <c r="AE136" i="1"/>
  <c r="AM136" i="1" s="1"/>
  <c r="AS136" i="1" s="1"/>
  <c r="AB136" i="1"/>
  <c r="AA136" i="1"/>
  <c r="Z136" i="1"/>
  <c r="X136" i="1"/>
  <c r="W136" i="1"/>
  <c r="V136" i="1"/>
  <c r="U136" i="1"/>
  <c r="T136" i="1"/>
  <c r="S136" i="1"/>
  <c r="R136" i="1"/>
  <c r="L136" i="1"/>
  <c r="AV136" i="1" s="1"/>
  <c r="J136" i="1"/>
  <c r="H136" i="1"/>
  <c r="H135" i="1" s="1"/>
  <c r="AJ135" i="1"/>
  <c r="L135" i="1"/>
  <c r="AT133" i="1"/>
  <c r="AF133" i="1"/>
  <c r="AN133" i="1" s="1"/>
  <c r="AE133" i="1"/>
  <c r="AA133" i="1"/>
  <c r="AJ132" i="1" s="1"/>
  <c r="Z133" i="1"/>
  <c r="X133" i="1"/>
  <c r="W133" i="1"/>
  <c r="V133" i="1"/>
  <c r="U133" i="1"/>
  <c r="T133" i="1"/>
  <c r="S133" i="1"/>
  <c r="R133" i="1"/>
  <c r="P133" i="1"/>
  <c r="L133" i="1"/>
  <c r="J133" i="1"/>
  <c r="AB133" i="1" s="1"/>
  <c r="AK132" i="1"/>
  <c r="AI132" i="1"/>
  <c r="AT127" i="1"/>
  <c r="AM127" i="1"/>
  <c r="AS127" i="1" s="1"/>
  <c r="AF127" i="1"/>
  <c r="AN127" i="1" s="1"/>
  <c r="AE127" i="1"/>
  <c r="AA127" i="1"/>
  <c r="Z127" i="1"/>
  <c r="AI126" i="1" s="1"/>
  <c r="X127" i="1"/>
  <c r="W127" i="1"/>
  <c r="V127" i="1"/>
  <c r="U127" i="1"/>
  <c r="T127" i="1"/>
  <c r="P127" i="1"/>
  <c r="L127" i="1"/>
  <c r="AV127" i="1" s="1"/>
  <c r="J127" i="1"/>
  <c r="AB127" i="1" s="1"/>
  <c r="AK126" i="1" s="1"/>
  <c r="H127" i="1"/>
  <c r="AJ126" i="1"/>
  <c r="L126" i="1"/>
  <c r="AV123" i="1"/>
  <c r="AT123" i="1"/>
  <c r="AN123" i="1"/>
  <c r="AM123" i="1"/>
  <c r="AS123" i="1" s="1"/>
  <c r="AF123" i="1"/>
  <c r="AE123" i="1"/>
  <c r="H123" i="1" s="1"/>
  <c r="AA123" i="1"/>
  <c r="AJ122" i="1" s="1"/>
  <c r="Z123" i="1"/>
  <c r="X123" i="1"/>
  <c r="W123" i="1"/>
  <c r="V123" i="1"/>
  <c r="U123" i="1"/>
  <c r="T123" i="1"/>
  <c r="R123" i="1"/>
  <c r="P123" i="1"/>
  <c r="L123" i="1"/>
  <c r="L122" i="1" s="1"/>
  <c r="J123" i="1"/>
  <c r="AB123" i="1" s="1"/>
  <c r="AK122" i="1" s="1"/>
  <c r="I123" i="1"/>
  <c r="AI122" i="1"/>
  <c r="H122" i="1"/>
  <c r="AT120" i="1"/>
  <c r="AN120" i="1"/>
  <c r="AF120" i="1"/>
  <c r="AE120" i="1"/>
  <c r="AM120" i="1" s="1"/>
  <c r="AS120" i="1" s="1"/>
  <c r="AB120" i="1"/>
  <c r="AK119" i="1" s="1"/>
  <c r="AA120" i="1"/>
  <c r="Z120" i="1"/>
  <c r="AI119" i="1" s="1"/>
  <c r="X120" i="1"/>
  <c r="W120" i="1"/>
  <c r="V120" i="1"/>
  <c r="U120" i="1"/>
  <c r="T120" i="1"/>
  <c r="S120" i="1"/>
  <c r="P120" i="1"/>
  <c r="L120" i="1"/>
  <c r="AV120" i="1" s="1"/>
  <c r="J120" i="1"/>
  <c r="I120" i="1" s="1"/>
  <c r="H120" i="1"/>
  <c r="R120" i="1" s="1"/>
  <c r="AJ119" i="1"/>
  <c r="L119" i="1"/>
  <c r="I119" i="1"/>
  <c r="AT117" i="1"/>
  <c r="AF117" i="1"/>
  <c r="AN117" i="1" s="1"/>
  <c r="AE117" i="1"/>
  <c r="AA117" i="1"/>
  <c r="Z117" i="1"/>
  <c r="X117" i="1"/>
  <c r="W117" i="1"/>
  <c r="V117" i="1"/>
  <c r="U117" i="1"/>
  <c r="T117" i="1"/>
  <c r="P117" i="1"/>
  <c r="L117" i="1"/>
  <c r="AV117" i="1" s="1"/>
  <c r="J117" i="1"/>
  <c r="AB117" i="1" s="1"/>
  <c r="AV115" i="1"/>
  <c r="AT115" i="1"/>
  <c r="AM115" i="1"/>
  <c r="AS115" i="1" s="1"/>
  <c r="AF115" i="1"/>
  <c r="AN115" i="1" s="1"/>
  <c r="AE115" i="1"/>
  <c r="H115" i="1" s="1"/>
  <c r="AA115" i="1"/>
  <c r="AJ114" i="1" s="1"/>
  <c r="Z115" i="1"/>
  <c r="X115" i="1"/>
  <c r="W115" i="1"/>
  <c r="V115" i="1"/>
  <c r="U115" i="1"/>
  <c r="T115" i="1"/>
  <c r="R115" i="1"/>
  <c r="P115" i="1"/>
  <c r="L115" i="1"/>
  <c r="L114" i="1" s="1"/>
  <c r="J115" i="1"/>
  <c r="AB115" i="1" s="1"/>
  <c r="AK114" i="1" s="1"/>
  <c r="I115" i="1"/>
  <c r="AI114" i="1"/>
  <c r="AT107" i="1"/>
  <c r="AN107" i="1"/>
  <c r="AF107" i="1"/>
  <c r="AE107" i="1"/>
  <c r="AM107" i="1" s="1"/>
  <c r="AS107" i="1" s="1"/>
  <c r="AA107" i="1"/>
  <c r="Z107" i="1"/>
  <c r="X107" i="1"/>
  <c r="W107" i="1"/>
  <c r="V107" i="1"/>
  <c r="S107" i="1"/>
  <c r="R107" i="1"/>
  <c r="P107" i="1"/>
  <c r="L107" i="1"/>
  <c r="AV107" i="1" s="1"/>
  <c r="J107" i="1"/>
  <c r="I107" i="1" s="1"/>
  <c r="U107" i="1" s="1"/>
  <c r="H107" i="1"/>
  <c r="T107" i="1" s="1"/>
  <c r="AT105" i="1"/>
  <c r="AM105" i="1"/>
  <c r="AF105" i="1"/>
  <c r="AN105" i="1" s="1"/>
  <c r="AE105" i="1"/>
  <c r="AA105" i="1"/>
  <c r="Z105" i="1"/>
  <c r="AI104" i="1" s="1"/>
  <c r="X105" i="1"/>
  <c r="W105" i="1"/>
  <c r="V105" i="1"/>
  <c r="S105" i="1"/>
  <c r="R105" i="1"/>
  <c r="P105" i="1"/>
  <c r="L105" i="1"/>
  <c r="AV105" i="1" s="1"/>
  <c r="J105" i="1"/>
  <c r="AB105" i="1" s="1"/>
  <c r="H105" i="1"/>
  <c r="AJ104" i="1"/>
  <c r="L104" i="1"/>
  <c r="AV98" i="1"/>
  <c r="AT98" i="1"/>
  <c r="AM98" i="1"/>
  <c r="AF98" i="1"/>
  <c r="AN98" i="1" s="1"/>
  <c r="AE98" i="1"/>
  <c r="H98" i="1" s="1"/>
  <c r="T98" i="1" s="1"/>
  <c r="AA98" i="1"/>
  <c r="Z98" i="1"/>
  <c r="X98" i="1"/>
  <c r="W98" i="1"/>
  <c r="V98" i="1"/>
  <c r="S98" i="1"/>
  <c r="R98" i="1"/>
  <c r="P98" i="1"/>
  <c r="L98" i="1"/>
  <c r="J98" i="1"/>
  <c r="AB98" i="1" s="1"/>
  <c r="AT93" i="1"/>
  <c r="AF93" i="1"/>
  <c r="AN93" i="1" s="1"/>
  <c r="AE93" i="1"/>
  <c r="AA93" i="1"/>
  <c r="Z93" i="1"/>
  <c r="X93" i="1"/>
  <c r="W93" i="1"/>
  <c r="V93" i="1"/>
  <c r="S93" i="1"/>
  <c r="R93" i="1"/>
  <c r="P93" i="1"/>
  <c r="L93" i="1"/>
  <c r="AV93" i="1" s="1"/>
  <c r="J93" i="1"/>
  <c r="AB93" i="1" s="1"/>
  <c r="AV90" i="1"/>
  <c r="AT90" i="1"/>
  <c r="AM90" i="1"/>
  <c r="AS90" i="1" s="1"/>
  <c r="AF90" i="1"/>
  <c r="AN90" i="1" s="1"/>
  <c r="AE90" i="1"/>
  <c r="AA90" i="1"/>
  <c r="Z90" i="1"/>
  <c r="X90" i="1"/>
  <c r="W90" i="1"/>
  <c r="V90" i="1"/>
  <c r="T90" i="1"/>
  <c r="S90" i="1"/>
  <c r="R90" i="1"/>
  <c r="P90" i="1"/>
  <c r="L90" i="1"/>
  <c r="L89" i="1" s="1"/>
  <c r="J90" i="1"/>
  <c r="AB90" i="1" s="1"/>
  <c r="AK89" i="1" s="1"/>
  <c r="I90" i="1"/>
  <c r="H90" i="1"/>
  <c r="AI89" i="1"/>
  <c r="AT87" i="1"/>
  <c r="AN87" i="1"/>
  <c r="AM87" i="1"/>
  <c r="AS87" i="1" s="1"/>
  <c r="AF87" i="1"/>
  <c r="AE87" i="1"/>
  <c r="AB87" i="1"/>
  <c r="AK86" i="1" s="1"/>
  <c r="AA87" i="1"/>
  <c r="Z87" i="1"/>
  <c r="X87" i="1"/>
  <c r="W87" i="1"/>
  <c r="V87" i="1"/>
  <c r="U87" i="1"/>
  <c r="T87" i="1"/>
  <c r="S87" i="1"/>
  <c r="P87" i="1"/>
  <c r="L87" i="1"/>
  <c r="AV87" i="1" s="1"/>
  <c r="J87" i="1"/>
  <c r="I87" i="1" s="1"/>
  <c r="H87" i="1"/>
  <c r="R87" i="1" s="1"/>
  <c r="AJ86" i="1"/>
  <c r="AI86" i="1"/>
  <c r="L86" i="1"/>
  <c r="I86" i="1"/>
  <c r="AT81" i="1"/>
  <c r="AF81" i="1"/>
  <c r="AN81" i="1" s="1"/>
  <c r="AE81" i="1"/>
  <c r="AA81" i="1"/>
  <c r="Z81" i="1"/>
  <c r="X81" i="1"/>
  <c r="W81" i="1"/>
  <c r="V81" i="1"/>
  <c r="U81" i="1"/>
  <c r="T81" i="1"/>
  <c r="P81" i="1"/>
  <c r="L81" i="1"/>
  <c r="AV81" i="1" s="1"/>
  <c r="J81" i="1"/>
  <c r="AB81" i="1" s="1"/>
  <c r="AV78" i="1"/>
  <c r="AT78" i="1"/>
  <c r="AM78" i="1"/>
  <c r="AS78" i="1" s="1"/>
  <c r="AF78" i="1"/>
  <c r="AN78" i="1" s="1"/>
  <c r="AE78" i="1"/>
  <c r="AA78" i="1"/>
  <c r="AJ72" i="1" s="1"/>
  <c r="Z78" i="1"/>
  <c r="X78" i="1"/>
  <c r="W78" i="1"/>
  <c r="V78" i="1"/>
  <c r="U78" i="1"/>
  <c r="T78" i="1"/>
  <c r="R78" i="1"/>
  <c r="P78" i="1"/>
  <c r="L78" i="1"/>
  <c r="J78" i="1"/>
  <c r="AB78" i="1" s="1"/>
  <c r="I78" i="1"/>
  <c r="S78" i="1" s="1"/>
  <c r="H78" i="1"/>
  <c r="AT73" i="1"/>
  <c r="AN73" i="1"/>
  <c r="AF73" i="1"/>
  <c r="AE73" i="1"/>
  <c r="AA73" i="1"/>
  <c r="Z73" i="1"/>
  <c r="X73" i="1"/>
  <c r="W73" i="1"/>
  <c r="V73" i="1"/>
  <c r="U73" i="1"/>
  <c r="T73" i="1"/>
  <c r="P73" i="1"/>
  <c r="L73" i="1"/>
  <c r="J73" i="1"/>
  <c r="AB73" i="1" s="1"/>
  <c r="AK72" i="1"/>
  <c r="AI72" i="1"/>
  <c r="AT70" i="1"/>
  <c r="AF70" i="1"/>
  <c r="AN70" i="1" s="1"/>
  <c r="AE70" i="1"/>
  <c r="AM70" i="1" s="1"/>
  <c r="AS70" i="1" s="1"/>
  <c r="AA70" i="1"/>
  <c r="Z70" i="1"/>
  <c r="AI69" i="1" s="1"/>
  <c r="X70" i="1"/>
  <c r="W70" i="1"/>
  <c r="V70" i="1"/>
  <c r="U70" i="1"/>
  <c r="T70" i="1"/>
  <c r="P70" i="1"/>
  <c r="L70" i="1"/>
  <c r="AV70" i="1" s="1"/>
  <c r="J70" i="1"/>
  <c r="AB70" i="1" s="1"/>
  <c r="AK69" i="1" s="1"/>
  <c r="H70" i="1"/>
  <c r="AJ69" i="1"/>
  <c r="L69" i="1"/>
  <c r="AV67" i="1"/>
  <c r="AT67" i="1"/>
  <c r="AM67" i="1"/>
  <c r="AS67" i="1" s="1"/>
  <c r="AF67" i="1"/>
  <c r="AN67" i="1" s="1"/>
  <c r="AE67" i="1"/>
  <c r="AA67" i="1"/>
  <c r="AJ66" i="1" s="1"/>
  <c r="Z67" i="1"/>
  <c r="X67" i="1"/>
  <c r="W67" i="1"/>
  <c r="V67" i="1"/>
  <c r="U67" i="1"/>
  <c r="T67" i="1"/>
  <c r="R67" i="1"/>
  <c r="P67" i="1"/>
  <c r="L67" i="1"/>
  <c r="J67" i="1"/>
  <c r="AB67" i="1" s="1"/>
  <c r="AK66" i="1" s="1"/>
  <c r="I67" i="1"/>
  <c r="H67" i="1"/>
  <c r="AI66" i="1"/>
  <c r="L66" i="1"/>
  <c r="H66" i="1"/>
  <c r="AT61" i="1"/>
  <c r="AN61" i="1"/>
  <c r="AM61" i="1"/>
  <c r="AF61" i="1"/>
  <c r="AE61" i="1"/>
  <c r="AA61" i="1"/>
  <c r="Z61" i="1"/>
  <c r="X61" i="1"/>
  <c r="W61" i="1"/>
  <c r="V61" i="1"/>
  <c r="U61" i="1"/>
  <c r="T61" i="1"/>
  <c r="R61" i="1"/>
  <c r="P61" i="1"/>
  <c r="L61" i="1"/>
  <c r="AV61" i="1" s="1"/>
  <c r="J61" i="1"/>
  <c r="I61" i="1" s="1"/>
  <c r="S61" i="1" s="1"/>
  <c r="H61" i="1"/>
  <c r="AJ60" i="1"/>
  <c r="AI60" i="1"/>
  <c r="L60" i="1"/>
  <c r="H60" i="1"/>
  <c r="AT58" i="1"/>
  <c r="AN58" i="1"/>
  <c r="AF58" i="1"/>
  <c r="AE58" i="1"/>
  <c r="AA58" i="1"/>
  <c r="Z58" i="1"/>
  <c r="X58" i="1"/>
  <c r="W58" i="1"/>
  <c r="V58" i="1"/>
  <c r="U58" i="1"/>
  <c r="T58" i="1"/>
  <c r="P58" i="1"/>
  <c r="L58" i="1"/>
  <c r="J58" i="1"/>
  <c r="AB58" i="1" s="1"/>
  <c r="AV56" i="1"/>
  <c r="AT56" i="1"/>
  <c r="AM56" i="1"/>
  <c r="AS56" i="1" s="1"/>
  <c r="AF56" i="1"/>
  <c r="AN56" i="1" s="1"/>
  <c r="AE56" i="1"/>
  <c r="AA56" i="1"/>
  <c r="AJ55" i="1" s="1"/>
  <c r="Z56" i="1"/>
  <c r="X56" i="1"/>
  <c r="W56" i="1"/>
  <c r="V56" i="1"/>
  <c r="U56" i="1"/>
  <c r="T56" i="1"/>
  <c r="R56" i="1"/>
  <c r="P56" i="1"/>
  <c r="L56" i="1"/>
  <c r="J56" i="1"/>
  <c r="AB56" i="1" s="1"/>
  <c r="AK55" i="1" s="1"/>
  <c r="I56" i="1"/>
  <c r="H56" i="1"/>
  <c r="AI55" i="1"/>
  <c r="AT53" i="1"/>
  <c r="AN53" i="1"/>
  <c r="AF53" i="1"/>
  <c r="AE53" i="1"/>
  <c r="AM53" i="1" s="1"/>
  <c r="AB53" i="1"/>
  <c r="AK52" i="1" s="1"/>
  <c r="AA53" i="1"/>
  <c r="Z53" i="1"/>
  <c r="X53" i="1"/>
  <c r="W53" i="1"/>
  <c r="V53" i="1"/>
  <c r="U53" i="1"/>
  <c r="T53" i="1"/>
  <c r="S53" i="1"/>
  <c r="P53" i="1"/>
  <c r="L53" i="1"/>
  <c r="AV53" i="1" s="1"/>
  <c r="J53" i="1"/>
  <c r="I53" i="1" s="1"/>
  <c r="H53" i="1"/>
  <c r="R53" i="1" s="1"/>
  <c r="AJ52" i="1"/>
  <c r="AI52" i="1"/>
  <c r="L52" i="1"/>
  <c r="I52" i="1"/>
  <c r="H52" i="1"/>
  <c r="J52" i="1" s="1"/>
  <c r="AT39" i="1"/>
  <c r="AF39" i="1"/>
  <c r="AN39" i="1" s="1"/>
  <c r="AE39" i="1"/>
  <c r="AA39" i="1"/>
  <c r="Z39" i="1"/>
  <c r="X39" i="1"/>
  <c r="W39" i="1"/>
  <c r="V39" i="1"/>
  <c r="U39" i="1"/>
  <c r="T39" i="1"/>
  <c r="P39" i="1"/>
  <c r="L39" i="1"/>
  <c r="J39" i="1"/>
  <c r="AB39" i="1" s="1"/>
  <c r="AK38" i="1"/>
  <c r="AJ38" i="1"/>
  <c r="AI38" i="1"/>
  <c r="AT36" i="1"/>
  <c r="AF36" i="1"/>
  <c r="AN36" i="1" s="1"/>
  <c r="AE36" i="1"/>
  <c r="AM36" i="1" s="1"/>
  <c r="AS36" i="1" s="1"/>
  <c r="AA36" i="1"/>
  <c r="Z36" i="1"/>
  <c r="X36" i="1"/>
  <c r="W36" i="1"/>
  <c r="V36" i="1"/>
  <c r="U36" i="1"/>
  <c r="T36" i="1"/>
  <c r="S36" i="1"/>
  <c r="P36" i="1"/>
  <c r="L36" i="1"/>
  <c r="AV36" i="1" s="1"/>
  <c r="J36" i="1"/>
  <c r="AB36" i="1" s="1"/>
  <c r="I36" i="1"/>
  <c r="H36" i="1"/>
  <c r="R36" i="1" s="1"/>
  <c r="AT34" i="1"/>
  <c r="AF34" i="1"/>
  <c r="AN34" i="1" s="1"/>
  <c r="AE34" i="1"/>
  <c r="AM34" i="1" s="1"/>
  <c r="AS34" i="1" s="1"/>
  <c r="AA34" i="1"/>
  <c r="Z34" i="1"/>
  <c r="X34" i="1"/>
  <c r="W34" i="1"/>
  <c r="V34" i="1"/>
  <c r="U34" i="1"/>
  <c r="T34" i="1"/>
  <c r="P34" i="1"/>
  <c r="L34" i="1"/>
  <c r="AV34" i="1" s="1"/>
  <c r="J34" i="1"/>
  <c r="AB34" i="1" s="1"/>
  <c r="AV31" i="1"/>
  <c r="AT31" i="1"/>
  <c r="AN31" i="1"/>
  <c r="AM31" i="1"/>
  <c r="AS31" i="1" s="1"/>
  <c r="AF31" i="1"/>
  <c r="AE31" i="1"/>
  <c r="H31" i="1" s="1"/>
  <c r="AA31" i="1"/>
  <c r="Z31" i="1"/>
  <c r="X31" i="1"/>
  <c r="W31" i="1"/>
  <c r="V31" i="1"/>
  <c r="U31" i="1"/>
  <c r="T31" i="1"/>
  <c r="P31" i="1"/>
  <c r="L31" i="1"/>
  <c r="J31" i="1"/>
  <c r="AB31" i="1" s="1"/>
  <c r="AT28" i="1"/>
  <c r="AF28" i="1"/>
  <c r="AN28" i="1" s="1"/>
  <c r="AE28" i="1"/>
  <c r="AM28" i="1" s="1"/>
  <c r="AA28" i="1"/>
  <c r="AJ27" i="1" s="1"/>
  <c r="Z28" i="1"/>
  <c r="AI27" i="1" s="1"/>
  <c r="X28" i="1"/>
  <c r="W28" i="1"/>
  <c r="V28" i="1"/>
  <c r="U28" i="1"/>
  <c r="T28" i="1"/>
  <c r="P28" i="1"/>
  <c r="L28" i="1"/>
  <c r="AV28" i="1" s="1"/>
  <c r="J28" i="1"/>
  <c r="AB28" i="1" s="1"/>
  <c r="AV22" i="1"/>
  <c r="AT22" i="1"/>
  <c r="AM22" i="1"/>
  <c r="AS22" i="1" s="1"/>
  <c r="AF22" i="1"/>
  <c r="AN22" i="1" s="1"/>
  <c r="AE22" i="1"/>
  <c r="AA22" i="1"/>
  <c r="Z22" i="1"/>
  <c r="X22" i="1"/>
  <c r="W22" i="1"/>
  <c r="V22" i="1"/>
  <c r="U22" i="1"/>
  <c r="T22" i="1"/>
  <c r="P22" i="1"/>
  <c r="L22" i="1"/>
  <c r="J22" i="1"/>
  <c r="AB22" i="1" s="1"/>
  <c r="H22" i="1"/>
  <c r="R22" i="1" s="1"/>
  <c r="AT20" i="1"/>
  <c r="AN20" i="1"/>
  <c r="AF20" i="1"/>
  <c r="AE20" i="1"/>
  <c r="H20" i="1" s="1"/>
  <c r="R20" i="1" s="1"/>
  <c r="AA20" i="1"/>
  <c r="Z20" i="1"/>
  <c r="X20" i="1"/>
  <c r="W20" i="1"/>
  <c r="V20" i="1"/>
  <c r="U20" i="1"/>
  <c r="T20" i="1"/>
  <c r="P20" i="1"/>
  <c r="L20" i="1"/>
  <c r="AV20" i="1" s="1"/>
  <c r="J20" i="1"/>
  <c r="AV16" i="1"/>
  <c r="AT16" i="1"/>
  <c r="AM16" i="1"/>
  <c r="AS16" i="1" s="1"/>
  <c r="AF16" i="1"/>
  <c r="AN16" i="1" s="1"/>
  <c r="AE16" i="1"/>
  <c r="AA16" i="1"/>
  <c r="Z16" i="1"/>
  <c r="X16" i="1"/>
  <c r="W16" i="1"/>
  <c r="V16" i="1"/>
  <c r="U16" i="1"/>
  <c r="T16" i="1"/>
  <c r="P16" i="1"/>
  <c r="L16" i="1"/>
  <c r="J16" i="1"/>
  <c r="AB16" i="1" s="1"/>
  <c r="H16" i="1"/>
  <c r="R16" i="1" s="1"/>
  <c r="AT13" i="1"/>
  <c r="AN13" i="1"/>
  <c r="AF13" i="1"/>
  <c r="AE13" i="1"/>
  <c r="H13" i="1" s="1"/>
  <c r="AA13" i="1"/>
  <c r="Z13" i="1"/>
  <c r="X13" i="1"/>
  <c r="C20" i="2" s="1"/>
  <c r="W13" i="1"/>
  <c r="C19" i="2" s="1"/>
  <c r="V13" i="1"/>
  <c r="U13" i="1"/>
  <c r="T13" i="1"/>
  <c r="P13" i="1"/>
  <c r="L13" i="1"/>
  <c r="AV13" i="1" s="1"/>
  <c r="J13" i="1"/>
  <c r="I13" i="1" s="1"/>
  <c r="AJ12" i="1"/>
  <c r="R31" i="1" l="1"/>
  <c r="I31" i="1"/>
  <c r="S31" i="1" s="1"/>
  <c r="S13" i="1"/>
  <c r="AK27" i="1"/>
  <c r="R13" i="1"/>
  <c r="H12" i="1"/>
  <c r="I20" i="1"/>
  <c r="S20" i="1" s="1"/>
  <c r="AS28" i="1"/>
  <c r="AB13" i="1"/>
  <c r="AK12" i="1" s="1"/>
  <c r="AB20" i="1"/>
  <c r="L55" i="1"/>
  <c r="AV58" i="1"/>
  <c r="I22" i="1"/>
  <c r="S22" i="1" s="1"/>
  <c r="L27" i="1"/>
  <c r="L12" i="1"/>
  <c r="C27" i="2"/>
  <c r="AI12" i="1"/>
  <c r="C18" i="2"/>
  <c r="C28" i="2"/>
  <c r="F28" i="2" s="1"/>
  <c r="AM13" i="1"/>
  <c r="AS13" i="1" s="1"/>
  <c r="AM20" i="1"/>
  <c r="AS20" i="1" s="1"/>
  <c r="AS53" i="1"/>
  <c r="I60" i="1"/>
  <c r="J60" i="1" s="1"/>
  <c r="AS61" i="1"/>
  <c r="AV73" i="1"/>
  <c r="L72" i="1"/>
  <c r="AS98" i="1"/>
  <c r="AB107" i="1"/>
  <c r="S123" i="1"/>
  <c r="I122" i="1"/>
  <c r="R127" i="1"/>
  <c r="H126" i="1"/>
  <c r="I140" i="1"/>
  <c r="P140" i="1"/>
  <c r="AS140" i="1"/>
  <c r="AM73" i="1"/>
  <c r="AS73" i="1" s="1"/>
  <c r="H73" i="1"/>
  <c r="AK135" i="1"/>
  <c r="I16" i="1"/>
  <c r="S16" i="1" s="1"/>
  <c r="H28" i="1"/>
  <c r="H34" i="1"/>
  <c r="AM39" i="1"/>
  <c r="AS39" i="1" s="1"/>
  <c r="H39" i="1"/>
  <c r="AM58" i="1"/>
  <c r="AS58" i="1" s="1"/>
  <c r="H58" i="1"/>
  <c r="R70" i="1"/>
  <c r="H69" i="1"/>
  <c r="AM81" i="1"/>
  <c r="AS81" i="1" s="1"/>
  <c r="H81" i="1"/>
  <c r="AJ89" i="1"/>
  <c r="AK104" i="1"/>
  <c r="AM117" i="1"/>
  <c r="AS117" i="1" s="1"/>
  <c r="H117" i="1"/>
  <c r="J122" i="1"/>
  <c r="AM133" i="1"/>
  <c r="AS133" i="1" s="1"/>
  <c r="H133" i="1"/>
  <c r="I136" i="1"/>
  <c r="P136" i="1"/>
  <c r="C21" i="2" s="1"/>
  <c r="I144" i="1"/>
  <c r="P144" i="1"/>
  <c r="AV39" i="1"/>
  <c r="L38" i="1"/>
  <c r="AB61" i="1"/>
  <c r="AK60" i="1" s="1"/>
  <c r="T105" i="1"/>
  <c r="H104" i="1"/>
  <c r="S56" i="1"/>
  <c r="J66" i="1"/>
  <c r="S67" i="1"/>
  <c r="I66" i="1"/>
  <c r="U90" i="1"/>
  <c r="AM93" i="1"/>
  <c r="AS93" i="1" s="1"/>
  <c r="H93" i="1"/>
  <c r="I98" i="1"/>
  <c r="U98" i="1" s="1"/>
  <c r="AS105" i="1"/>
  <c r="S115" i="1"/>
  <c r="AV133" i="1"/>
  <c r="L132" i="1"/>
  <c r="AI135" i="1"/>
  <c r="AB140" i="1"/>
  <c r="AS142" i="1"/>
  <c r="I70" i="1"/>
  <c r="I105" i="1"/>
  <c r="I127" i="1"/>
  <c r="I138" i="1"/>
  <c r="I142" i="1"/>
  <c r="I39" i="1"/>
  <c r="I73" i="1"/>
  <c r="H86" i="1"/>
  <c r="J86" i="1" s="1"/>
  <c r="H119" i="1"/>
  <c r="J119" i="1" s="1"/>
  <c r="I135" i="1" l="1"/>
  <c r="J135" i="1" s="1"/>
  <c r="R58" i="1"/>
  <c r="H55" i="1"/>
  <c r="S39" i="1"/>
  <c r="I38" i="1"/>
  <c r="I104" i="1"/>
  <c r="J104" i="1" s="1"/>
  <c r="U105" i="1"/>
  <c r="R39" i="1"/>
  <c r="H38" i="1"/>
  <c r="J38" i="1" s="1"/>
  <c r="J126" i="1"/>
  <c r="S70" i="1"/>
  <c r="I69" i="1"/>
  <c r="J69" i="1" s="1"/>
  <c r="S73" i="1"/>
  <c r="I72" i="1"/>
  <c r="R117" i="1"/>
  <c r="I117" i="1"/>
  <c r="H114" i="1"/>
  <c r="R81" i="1"/>
  <c r="I81" i="1"/>
  <c r="S81" i="1" s="1"/>
  <c r="R34" i="1"/>
  <c r="I34" i="1"/>
  <c r="S34" i="1" s="1"/>
  <c r="I58" i="1"/>
  <c r="S127" i="1"/>
  <c r="I126" i="1"/>
  <c r="I93" i="1"/>
  <c r="T93" i="1"/>
  <c r="C16" i="2" s="1"/>
  <c r="H89" i="1"/>
  <c r="I133" i="1"/>
  <c r="I132" i="1" s="1"/>
  <c r="H132" i="1"/>
  <c r="J132" i="1" s="1"/>
  <c r="R28" i="1"/>
  <c r="C14" i="2" s="1"/>
  <c r="I28" i="1"/>
  <c r="H27" i="1"/>
  <c r="R73" i="1"/>
  <c r="H72" i="1"/>
  <c r="I12" i="1"/>
  <c r="J12" i="1" s="1"/>
  <c r="J55" i="1" l="1"/>
  <c r="J72" i="1"/>
  <c r="S58" i="1"/>
  <c r="I55" i="1"/>
  <c r="U93" i="1"/>
  <c r="C17" i="2" s="1"/>
  <c r="I89" i="1"/>
  <c r="J89" i="1" s="1"/>
  <c r="S117" i="1"/>
  <c r="I114" i="1"/>
  <c r="J114" i="1" s="1"/>
  <c r="S28" i="1"/>
  <c r="C15" i="2" s="1"/>
  <c r="C22" i="2" s="1"/>
  <c r="I14" i="2" s="1"/>
  <c r="I22" i="2" s="1"/>
  <c r="C29" i="2" s="1"/>
  <c r="I27" i="1"/>
  <c r="J27" i="1" s="1"/>
  <c r="J146" i="1" s="1"/>
  <c r="F29" i="2" l="1"/>
  <c r="I28" i="2"/>
  <c r="I29" i="2" l="1"/>
</calcChain>
</file>

<file path=xl/sharedStrings.xml><?xml version="1.0" encoding="utf-8"?>
<sst xmlns="http://schemas.openxmlformats.org/spreadsheetml/2006/main" count="549" uniqueCount="335">
  <si>
    <t>Stavební rozpočet</t>
  </si>
  <si>
    <t>Název stavby:</t>
  </si>
  <si>
    <t>VLHKOSTNÍ SANACE ADMINISTRATIVNÍ BUDOVY</t>
  </si>
  <si>
    <t>Doba výstavby:</t>
  </si>
  <si>
    <t>Objednatel:</t>
  </si>
  <si>
    <t>Palivový kombinát</t>
  </si>
  <si>
    <t>Druh stavby:</t>
  </si>
  <si>
    <t>D.1.1. ARCHITEKTONICKO-STAVEBNÍ ŘEŠENÍ</t>
  </si>
  <si>
    <t>Začátek výstavby:</t>
  </si>
  <si>
    <t xml:space="preserve"> </t>
  </si>
  <si>
    <t>Projektant:</t>
  </si>
  <si>
    <t>ing. Jindřich Janoušek</t>
  </si>
  <si>
    <t>Lokalita:</t>
  </si>
  <si>
    <t>k.ú. Mariánské Radčice, st.p.p.č. 119, 132</t>
  </si>
  <si>
    <t>Konec výstavby:</t>
  </si>
  <si>
    <t>Zhotovitel:</t>
  </si>
  <si>
    <t>Dle výběrového řízení</t>
  </si>
  <si>
    <t>JKSO:</t>
  </si>
  <si>
    <t>Zpracováno dne:</t>
  </si>
  <si>
    <t>Zpracoval:</t>
  </si>
  <si>
    <t>Kamila Možná</t>
  </si>
  <si>
    <t>Č</t>
  </si>
  <si>
    <t>Objekt</t>
  </si>
  <si>
    <t>Kód</t>
  </si>
  <si>
    <t>Zkrácený popis</t>
  </si>
  <si>
    <t>M.j.</t>
  </si>
  <si>
    <t>Množství</t>
  </si>
  <si>
    <t>Jednot.</t>
  </si>
  <si>
    <t>Náklady (Kč)</t>
  </si>
  <si>
    <t>Hmotnost (t)</t>
  </si>
  <si>
    <t>Cenová</t>
  </si>
  <si>
    <t>Rozměry</t>
  </si>
  <si>
    <t>cena 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</si>
  <si>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</si>
  <si>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</si>
  <si>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</si>
  <si>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</si>
  <si>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</si>
  <si>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</si>
  <si>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</si>
  <si>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</si>
  <si>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</si>
  <si>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</si>
  <si>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</si>
  <si>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</si>
  <si>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</si>
  <si>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0</t>
  </si>
  <si>
    <t>Všeobecné konstrukce a práce</t>
  </si>
  <si>
    <t>1</t>
  </si>
  <si>
    <t>010221128VD</t>
  </si>
  <si>
    <t>Oplocení (demontáž, úprava a zpětná montáž)</t>
  </si>
  <si>
    <t>kompl</t>
  </si>
  <si>
    <t>0_</t>
  </si>
  <si>
    <t>_</t>
  </si>
  <si>
    <t>1;technická zpráva;</t>
  </si>
  <si>
    <t>;obnova oplocení u severního štítu v rozsahu dle původního stavu;</t>
  </si>
  <si>
    <t>2</t>
  </si>
  <si>
    <t>010221129VD</t>
  </si>
  <si>
    <t>Světlík - oprava</t>
  </si>
  <si>
    <t>kus</t>
  </si>
  <si>
    <t>2;světlík;</t>
  </si>
  <si>
    <t>;oprava světlíků, opatření cementovou omítkou a izolací;</t>
  </si>
  <si>
    <t>;konstrukce upřesněna při realizaci;</t>
  </si>
  <si>
    <t>3</t>
  </si>
  <si>
    <t>001222222VD</t>
  </si>
  <si>
    <t>Vytýčení sítí včetně dozoru správců sítí</t>
  </si>
  <si>
    <t>soubor</t>
  </si>
  <si>
    <t>4</t>
  </si>
  <si>
    <t>001222294VD</t>
  </si>
  <si>
    <t>Injektáž stěn</t>
  </si>
  <si>
    <t>m2</t>
  </si>
  <si>
    <t>(9,3*4+27*4+3*4)*0,3</t>
  </si>
  <si>
    <t>(11*2+15*2+13*6)*0,3</t>
  </si>
  <si>
    <t>(3*4+4,5*6+4*2+3*2)*0,3</t>
  </si>
  <si>
    <t>;injektáž stěn - popis viz technická zpráva;</t>
  </si>
  <si>
    <t>11</t>
  </si>
  <si>
    <t>Přípravné a přidružené práce</t>
  </si>
  <si>
    <t>5</t>
  </si>
  <si>
    <t>113107131R00</t>
  </si>
  <si>
    <t>Odstranění krytu, bet.prostý tl.15 cm</t>
  </si>
  <si>
    <t>11_</t>
  </si>
  <si>
    <t>1_</t>
  </si>
  <si>
    <t>7,9*2,6+1,5*0,55+15*1+5*0,6+10*0,6</t>
  </si>
  <si>
    <t>;B4-betonové plochy;</t>
  </si>
  <si>
    <t>6</t>
  </si>
  <si>
    <t>113107222RA0</t>
  </si>
  <si>
    <t>Odstranění asfal.krytu tl. 6 cm</t>
  </si>
  <si>
    <t>27*1,5+12*2,6+8*1,5+7*0,2</t>
  </si>
  <si>
    <t>;B4-asfaltové plochy;</t>
  </si>
  <si>
    <t>7</t>
  </si>
  <si>
    <t>113202111R00</t>
  </si>
  <si>
    <t>Vytrhání obrub obrubníků silničních</t>
  </si>
  <si>
    <t>m</t>
  </si>
  <si>
    <t>RTS I / 2017</t>
  </si>
  <si>
    <t>15+1,5+1,5;obrubníky silniční;</t>
  </si>
  <si>
    <t>8</t>
  </si>
  <si>
    <t>113201111R00</t>
  </si>
  <si>
    <t>Vytrhání obrubníků chodníkových a parkových</t>
  </si>
  <si>
    <t>1,5;obrubník chodníkový;</t>
  </si>
  <si>
    <t>13</t>
  </si>
  <si>
    <t>Hloubené vykopávky</t>
  </si>
  <si>
    <t>9</t>
  </si>
  <si>
    <t>139601102R00</t>
  </si>
  <si>
    <t>Ruční výkop jam, rýh a šachet v hornině tř. 3</t>
  </si>
  <si>
    <t>m3</t>
  </si>
  <si>
    <t>13_</t>
  </si>
  <si>
    <t>22*(1,3+0,8)/2*1,1</t>
  </si>
  <si>
    <t>2,5*(2,6+0,8)/2*2,2</t>
  </si>
  <si>
    <t>10*(2,6+0,8)/2*2,2</t>
  </si>
  <si>
    <t>4*(2,6+0,8)/2*1,1</t>
  </si>
  <si>
    <t>3*(1,5+0,8)/2*1,1</t>
  </si>
  <si>
    <t>16*(1,5+0,8)/2*1,1</t>
  </si>
  <si>
    <t>6*(2,6+0,8)/2*2,2</t>
  </si>
  <si>
    <t>8*(1,5+0,8)/2*1,1</t>
  </si>
  <si>
    <t>10,5*(2,6+0,8)/2*2,2</t>
  </si>
  <si>
    <t>27*(1,5+0,8)/2*1,1</t>
  </si>
  <si>
    <t>;B2;</t>
  </si>
  <si>
    <t>17</t>
  </si>
  <si>
    <t>Konstrukce ze zemin</t>
  </si>
  <si>
    <t>10</t>
  </si>
  <si>
    <t>174101102R00</t>
  </si>
  <si>
    <t>Zásyp ruční se zhutněním</t>
  </si>
  <si>
    <t>17_</t>
  </si>
  <si>
    <t>219;ciz hloubení;</t>
  </si>
  <si>
    <t>57</t>
  </si>
  <si>
    <t>Kryty pozemních komunikací, letišť a ploch z kameniva nebo živičné</t>
  </si>
  <si>
    <t>578100010RA0</t>
  </si>
  <si>
    <t>Chodník z litého asfaltu</t>
  </si>
  <si>
    <t>57_</t>
  </si>
  <si>
    <t>5_</t>
  </si>
  <si>
    <t>25*1,5;P1;</t>
  </si>
  <si>
    <t>12</t>
  </si>
  <si>
    <t>577000001RAB</t>
  </si>
  <si>
    <t>Komunikace s asfaltobeton. krytem</t>
  </si>
  <si>
    <t>10*2,6+2,5*1+2,6*3+8*1,5+7*0,2;P2;</t>
  </si>
  <si>
    <t>58</t>
  </si>
  <si>
    <t>Kryty pozemních komunikací, letišť a ploch z betonu a ostatních hmot</t>
  </si>
  <si>
    <t>581312110R00</t>
  </si>
  <si>
    <t>Chodník z.betonu</t>
  </si>
  <si>
    <t>58_</t>
  </si>
  <si>
    <t>8*2,6</t>
  </si>
  <si>
    <t>(5+10,5)*0,6</t>
  </si>
  <si>
    <t>15*1</t>
  </si>
  <si>
    <t>;P4;</t>
  </si>
  <si>
    <t>61</t>
  </si>
  <si>
    <t>Úprava povrchů vnitřní</t>
  </si>
  <si>
    <t>14</t>
  </si>
  <si>
    <t>619442431R00</t>
  </si>
  <si>
    <t>Vytažení fabionů,hran a koutů jakékoliv délky</t>
  </si>
  <si>
    <t>61_</t>
  </si>
  <si>
    <t>6_</t>
  </si>
  <si>
    <t>10,5+6+7+3,5+1,2;řez b;</t>
  </si>
  <si>
    <t>611</t>
  </si>
  <si>
    <t>Omítky sanační</t>
  </si>
  <si>
    <t>15</t>
  </si>
  <si>
    <t>611016611VD</t>
  </si>
  <si>
    <t>Omítka sanační stěn</t>
  </si>
  <si>
    <t>611_</t>
  </si>
  <si>
    <t>510,3;viz otlučení;</t>
  </si>
  <si>
    <t>62</t>
  </si>
  <si>
    <t>Úprava povrchů vnější</t>
  </si>
  <si>
    <t>16</t>
  </si>
  <si>
    <t>622903111R00</t>
  </si>
  <si>
    <t>Očištění základů včetně odmaštění</t>
  </si>
  <si>
    <t>62_</t>
  </si>
  <si>
    <t>29*2*1,1</t>
  </si>
  <si>
    <t>4,5*1,1</t>
  </si>
  <si>
    <t>(10,5+15+13,5+1,5+3+13)*0,6</t>
  </si>
  <si>
    <t>;B3;</t>
  </si>
  <si>
    <t>622451131R00</t>
  </si>
  <si>
    <t>Omítka vnější stěn, MC, hladká vč. penetrace</t>
  </si>
  <si>
    <t>41,25;viz přizdívky;</t>
  </si>
  <si>
    <t>;včetně očištění a odmaštění;</t>
  </si>
  <si>
    <t>18</t>
  </si>
  <si>
    <t>622311524RV1</t>
  </si>
  <si>
    <t>Zateplovací systém, sokl, XPS tl. 140 mm</t>
  </si>
  <si>
    <t>(29*2+4,5)*1</t>
  </si>
  <si>
    <t>;S1;</t>
  </si>
  <si>
    <t>(10,5+15+13,5+1,5+3+13)*1</t>
  </si>
  <si>
    <t>;S3;</t>
  </si>
  <si>
    <t>63</t>
  </si>
  <si>
    <t>Podlahy a podlahové konstrukce</t>
  </si>
  <si>
    <t>19</t>
  </si>
  <si>
    <t>639570010RA0</t>
  </si>
  <si>
    <t>Okapový chodník kolem budovy z kačírku šířky 0,5 m</t>
  </si>
  <si>
    <t>63_</t>
  </si>
  <si>
    <t>22+5+5+3,5+1,5+13,5+1;P3;</t>
  </si>
  <si>
    <t>711</t>
  </si>
  <si>
    <t>Izolace proti vodě</t>
  </si>
  <si>
    <t>20</t>
  </si>
  <si>
    <t>711140202R00</t>
  </si>
  <si>
    <t>Odstr.izolace proti vlhk.svis. pásy přitav.,2vrs</t>
  </si>
  <si>
    <t>711_</t>
  </si>
  <si>
    <t>71_</t>
  </si>
  <si>
    <t>(10,5+5,8+6,7+3,3+1,2)*1,5</t>
  </si>
  <si>
    <t>;B6;</t>
  </si>
  <si>
    <t>21</t>
  </si>
  <si>
    <t>711140024RAA</t>
  </si>
  <si>
    <t>Izolace proti vodě vodorovná přitavená, 2x ALP, 2x Sklobit, 1x Na</t>
  </si>
  <si>
    <t>(29*2+4,5)*1,1;S1+S2-řez a;</t>
  </si>
  <si>
    <t>(10,5+15+13,5+1,5+3+13)*0,6;S2-řez b;</t>
  </si>
  <si>
    <t>(10,5+15+13,5+1,5+3+13)*1,5;S3+S4-řez b;</t>
  </si>
  <si>
    <t>187,4*0,05;ztratné;</t>
  </si>
  <si>
    <t>22</t>
  </si>
  <si>
    <t>711132311R00</t>
  </si>
  <si>
    <t>Prov. izolace nopovou fólií svisle, vč.uchyc.prvků s geotextílií</t>
  </si>
  <si>
    <t>(29*2+4,5)*1,1</t>
  </si>
  <si>
    <t>;S1+S2-řez a;;</t>
  </si>
  <si>
    <t>784</t>
  </si>
  <si>
    <t>Malby</t>
  </si>
  <si>
    <t>23</t>
  </si>
  <si>
    <t>784451113VD</t>
  </si>
  <si>
    <t>Malba vhodná na sanační systémy</t>
  </si>
  <si>
    <t>784_</t>
  </si>
  <si>
    <t>78_</t>
  </si>
  <si>
    <t>510,3;viz sanační omítka;</t>
  </si>
  <si>
    <t>24</t>
  </si>
  <si>
    <t>784432271R00</t>
  </si>
  <si>
    <t>Malba klihová</t>
  </si>
  <si>
    <t>510,3/1,5*3,5;malba stěn;</t>
  </si>
  <si>
    <t>28*9,5+13,5*12+12*3;stropy;</t>
  </si>
  <si>
    <t>(4,5*10)*3,5+(11*2+3*6+3*2)*3,5;příčky 1np;</t>
  </si>
  <si>
    <t>(8*2+4,5*4+1,6*2+11,5*2+6,5*2+2,7*2)*2;stěny 1pp;</t>
  </si>
  <si>
    <t>(8*4,5+1,6*11,5+6,6*1+2,7*1);stropy 1pp;</t>
  </si>
  <si>
    <t>-510,3;odečet malby na sanační systémy;</t>
  </si>
  <si>
    <t>91</t>
  </si>
  <si>
    <t>Doplňující konstrukce a práce na pozemních komunikacích a zpevněných plochách</t>
  </si>
  <si>
    <t>25</t>
  </si>
  <si>
    <t>917762111RT7</t>
  </si>
  <si>
    <t>Osazení ležat. obrub. bet. s opěrou,lože z C 12/15 včetně obrubníku silničního</t>
  </si>
  <si>
    <t>91_</t>
  </si>
  <si>
    <t>9_</t>
  </si>
  <si>
    <t>15+2;silniční;</t>
  </si>
  <si>
    <t>26</t>
  </si>
  <si>
    <t>916561111RT4</t>
  </si>
  <si>
    <t>Osazení obrubníků do lože z C 12/15 s opěrou včetně obrubníku parkového</t>
  </si>
  <si>
    <t>1,5;parkový;</t>
  </si>
  <si>
    <t>94</t>
  </si>
  <si>
    <t>Lešení a stavební výtahy</t>
  </si>
  <si>
    <t>27</t>
  </si>
  <si>
    <t>941955002R00</t>
  </si>
  <si>
    <t>Lešení lehké pomocné, výška podlahy do 1,9 m</t>
  </si>
  <si>
    <t>94_</t>
  </si>
  <si>
    <t>28*9,5+13,5*12+12*3;malby stropů 1np;</t>
  </si>
  <si>
    <t>96</t>
  </si>
  <si>
    <t>Bourání konstrukcí</t>
  </si>
  <si>
    <t>28</t>
  </si>
  <si>
    <t>962031133R00</t>
  </si>
  <si>
    <t>Bourání přizdívek cihelných tl. do 15 cm</t>
  </si>
  <si>
    <t>96_</t>
  </si>
  <si>
    <t>;B5;</t>
  </si>
  <si>
    <t>97</t>
  </si>
  <si>
    <t>Prorážení otvorů a ostatní bourací práce</t>
  </si>
  <si>
    <t>29</t>
  </si>
  <si>
    <t>978013191R00</t>
  </si>
  <si>
    <t>Otlučení omítek vnitřních stěn</t>
  </si>
  <si>
    <t>97_</t>
  </si>
  <si>
    <t>(9,3*4+27*4+3*4)*1,5</t>
  </si>
  <si>
    <t>(11*2+15*2+13*6)*1,5</t>
  </si>
  <si>
    <t>(3*4+4,5*6+4*2+3*2)*1,5</t>
  </si>
  <si>
    <t>;B7;</t>
  </si>
  <si>
    <t>H99</t>
  </si>
  <si>
    <t>Ostatní přesuny hmot</t>
  </si>
  <si>
    <t>30</t>
  </si>
  <si>
    <t>999281105R00</t>
  </si>
  <si>
    <t>Přesun hmot pro opravy a údržbu do výšky 6 m</t>
  </si>
  <si>
    <t>t</t>
  </si>
  <si>
    <t>H99_</t>
  </si>
  <si>
    <t>128,97233;viz hmotnost;</t>
  </si>
  <si>
    <t>S</t>
  </si>
  <si>
    <t>Přesuny sutí</t>
  </si>
  <si>
    <t>31</t>
  </si>
  <si>
    <t>979084212R00</t>
  </si>
  <si>
    <t>Vodorovná doprava vybour. hmot po suchu do 50 m</t>
  </si>
  <si>
    <t>S_</t>
  </si>
  <si>
    <t>153,14041;viz hmotnost;</t>
  </si>
  <si>
    <t>32</t>
  </si>
  <si>
    <t>979087213R00</t>
  </si>
  <si>
    <t>Nakládání vybouraných hmot na dopravní prostředky</t>
  </si>
  <si>
    <t>33</t>
  </si>
  <si>
    <t>979084216R00</t>
  </si>
  <si>
    <t>Vodorovná doprava vybour. hmot po suchu do 5 km</t>
  </si>
  <si>
    <t>34</t>
  </si>
  <si>
    <t>979084219R00</t>
  </si>
  <si>
    <t>Příplatek k dopravě vybour.hmot za dalších 5 km</t>
  </si>
  <si>
    <t>153,14041*3;viz hmotnost-odvoz celkem do 20km;</t>
  </si>
  <si>
    <t>35</t>
  </si>
  <si>
    <t>979999999R00</t>
  </si>
  <si>
    <t>Poplatek za skladku</t>
  </si>
  <si>
    <t>Celkem:</t>
  </si>
  <si>
    <t>Poznámka:</t>
  </si>
  <si>
    <t>Krycí list rozpočtu</t>
  </si>
  <si>
    <t>IČ/DIČ: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</si>
  <si>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</si>
  <si>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</si>
  <si>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</si>
  <si>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</si>
  <si>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</si>
  <si>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</si>
  <si>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</si>
  <si>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</si>
  <si>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</si>
  <si>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</si>
  <si>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</si>
  <si>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</si>
  <si>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</si>
  <si>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</si>
  <si>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</si>
  <si>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</si>
  <si>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</si>
  <si>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</si>
  <si>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</si>
  <si>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</si>
  <si>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</si>
  <si>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</si>
  <si>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</si>
  <si>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</si>
  <si>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</si>
  <si>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</si>
  <si>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</si>
  <si>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</si>
  <si>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</si>
  <si>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ORN celkem</t>
  </si>
  <si>
    <t>ORN celkem z obj.</t>
  </si>
  <si>
    <t>Základ 0%</t>
  </si>
  <si>
    <t>Základ 15%</t>
  </si>
  <si>
    <t>DPH 15%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</si>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</sst>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\.yyyy"/>
  </numFmts>
  <fonts count="11" x14ac:knownFonts="1">
    <font>
      <sz val="10"/>
      <color rgb="FF000000"/>
      <name val="Arial"/>
    </font>
    <font>
      <sz val="18"/>
      <color rgb="FF000000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i/>
      <sz val="8"/>
      <color rgb="FF000000"/>
      <name val="Arial"/>
    </font>
    <font>
      <sz val="24"/>
      <color rgb="FF000000"/>
      <name val="Arial"/>
    </font>
    <font>
      <b/>
      <sz val="18"/>
      <color rgb="FF000000"/>
      <name val="Arial"/>
    </font>
    <font>
      <b/>
      <sz val="20"/>
      <color rgb="FF000000"/>
      <name val="Arial"/>
    </font>
    <font>
      <b/>
      <sz val="11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49" fontId="0" fillId="0" borderId="8" xfId="0" applyNumberFormat="1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/>
    </xf>
    <xf numFmtId="0" fontId="0" fillId="0" borderId="6" xfId="0" applyFont="1" applyBorder="1" applyAlignment="1" applyProtection="1">
      <alignment horizontal="left" vertical="center" wrapText="1"/>
    </xf>
    <xf numFmtId="49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0" fontId="0" fillId="0" borderId="5" xfId="0" applyFont="1" applyBorder="1" applyAlignment="1" applyProtection="1">
      <alignment horizontal="left" vertical="center" wrapText="1"/>
    </xf>
    <xf numFmtId="0" fontId="0" fillId="0" borderId="4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49" fontId="0" fillId="0" borderId="3" xfId="0" applyNumberFormat="1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/>
    </xf>
    <xf numFmtId="0" fontId="0" fillId="0" borderId="0" xfId="0" applyFont="1" applyAlignment="1">
      <alignment vertical="center"/>
    </xf>
    <xf numFmtId="0" fontId="0" fillId="0" borderId="5" xfId="0" applyFont="1" applyBorder="1" applyAlignment="1" applyProtection="1">
      <alignment vertical="center"/>
    </xf>
    <xf numFmtId="49" fontId="0" fillId="0" borderId="0" xfId="0" applyNumberFormat="1" applyFont="1" applyAlignment="1" applyProtection="1">
      <alignment horizontal="left" vertical="center"/>
    </xf>
    <xf numFmtId="49" fontId="2" fillId="0" borderId="10" xfId="0" applyNumberFormat="1" applyFont="1" applyBorder="1" applyAlignment="1" applyProtection="1">
      <alignment horizontal="left" vertical="center"/>
    </xf>
    <xf numFmtId="49" fontId="2" fillId="0" borderId="11" xfId="0" applyNumberFormat="1" applyFont="1" applyBorder="1" applyAlignment="1" applyProtection="1">
      <alignment horizontal="left" vertical="center"/>
    </xf>
    <xf numFmtId="49" fontId="2" fillId="0" borderId="11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vertical="center"/>
    </xf>
    <xf numFmtId="49" fontId="0" fillId="0" borderId="16" xfId="0" applyNumberFormat="1" applyFont="1" applyBorder="1" applyAlignment="1" applyProtection="1">
      <alignment horizontal="left" vertical="center"/>
    </xf>
    <xf numFmtId="49" fontId="0" fillId="0" borderId="17" xfId="0" applyNumberFormat="1" applyFont="1" applyBorder="1" applyAlignment="1" applyProtection="1">
      <alignment horizontal="left" vertical="center"/>
    </xf>
    <xf numFmtId="49" fontId="2" fillId="0" borderId="17" xfId="0" applyNumberFormat="1" applyFont="1" applyBorder="1" applyAlignment="1" applyProtection="1">
      <alignment horizontal="left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center" vertical="center"/>
    </xf>
    <xf numFmtId="49" fontId="2" fillId="0" borderId="22" xfId="0" applyNumberFormat="1" applyFont="1" applyBorder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right" vertical="center"/>
    </xf>
    <xf numFmtId="49" fontId="0" fillId="2" borderId="23" xfId="0" applyNumberFormat="1" applyFont="1" applyFill="1" applyBorder="1" applyAlignment="1" applyProtection="1">
      <alignment horizontal="left" vertical="center"/>
    </xf>
    <xf numFmtId="49" fontId="2" fillId="2" borderId="23" xfId="0" applyNumberFormat="1" applyFont="1" applyFill="1" applyBorder="1" applyAlignment="1" applyProtection="1">
      <alignment horizontal="left" vertical="center"/>
    </xf>
    <xf numFmtId="4" fontId="2" fillId="2" borderId="23" xfId="0" applyNumberFormat="1" applyFont="1" applyFill="1" applyBorder="1" applyAlignment="1" applyProtection="1">
      <alignment horizontal="right" vertical="center"/>
    </xf>
    <xf numFmtId="49" fontId="2" fillId="2" borderId="23" xfId="0" applyNumberFormat="1" applyFont="1" applyFill="1" applyBorder="1" applyAlignment="1" applyProtection="1">
      <alignment horizontal="right" vertical="center"/>
    </xf>
    <xf numFmtId="4" fontId="2" fillId="2" borderId="0" xfId="0" applyNumberFormat="1" applyFont="1" applyFill="1" applyAlignment="1" applyProtection="1">
      <alignment horizontal="right" vertical="center"/>
    </xf>
    <xf numFmtId="4" fontId="0" fillId="0" borderId="0" xfId="0" applyNumberFormat="1" applyFont="1" applyAlignment="1" applyProtection="1">
      <alignment horizontal="right" vertical="center"/>
    </xf>
    <xf numFmtId="49" fontId="0" fillId="0" borderId="0" xfId="0" applyNumberFormat="1" applyFont="1" applyAlignment="1" applyProtection="1">
      <alignment horizontal="right" vertical="center"/>
    </xf>
    <xf numFmtId="49" fontId="3" fillId="0" borderId="0" xfId="0" applyNumberFormat="1" applyFont="1" applyAlignment="1" applyProtection="1">
      <alignment horizontal="left" vertical="center"/>
    </xf>
    <xf numFmtId="4" fontId="3" fillId="0" borderId="0" xfId="0" applyNumberFormat="1" applyFont="1" applyAlignment="1" applyProtection="1">
      <alignment horizontal="right" vertical="center"/>
    </xf>
    <xf numFmtId="49" fontId="0" fillId="2" borderId="0" xfId="0" applyNumberFormat="1" applyFont="1" applyFill="1" applyAlignment="1" applyProtection="1">
      <alignment horizontal="left" vertical="center"/>
    </xf>
    <xf numFmtId="49" fontId="2" fillId="2" borderId="0" xfId="0" applyNumberFormat="1" applyFont="1" applyFill="1" applyAlignment="1" applyProtection="1">
      <alignment horizontal="left" vertical="center"/>
    </xf>
    <xf numFmtId="0" fontId="0" fillId="0" borderId="1" xfId="0" applyFont="1" applyBorder="1" applyAlignment="1" applyProtection="1">
      <alignment vertical="center"/>
    </xf>
    <xf numFmtId="49" fontId="3" fillId="0" borderId="1" xfId="0" applyNumberFormat="1" applyFont="1" applyBorder="1" applyAlignment="1" applyProtection="1">
      <alignment horizontal="left" vertical="center"/>
    </xf>
    <xf numFmtId="4" fontId="3" fillId="0" borderId="1" xfId="0" applyNumberFormat="1" applyFont="1" applyBorder="1" applyAlignment="1" applyProtection="1">
      <alignment horizontal="right" vertical="center"/>
    </xf>
    <xf numFmtId="0" fontId="0" fillId="0" borderId="3" xfId="0" applyFont="1" applyBorder="1" applyAlignment="1" applyProtection="1">
      <alignment vertical="center"/>
    </xf>
    <xf numFmtId="4" fontId="2" fillId="0" borderId="3" xfId="0" applyNumberFormat="1" applyFont="1" applyBorder="1" applyAlignment="1" applyProtection="1">
      <alignment horizontal="right" vertical="center"/>
    </xf>
    <xf numFmtId="49" fontId="4" fillId="0" borderId="0" xfId="0" applyNumberFormat="1" applyFont="1" applyAlignment="1" applyProtection="1">
      <alignment horizontal="left" vertical="center"/>
    </xf>
    <xf numFmtId="0" fontId="0" fillId="0" borderId="1" xfId="0" applyFont="1" applyBorder="1" applyAlignment="1" applyProtection="1"/>
    <xf numFmtId="49" fontId="7" fillId="2" borderId="27" xfId="0" applyNumberFormat="1" applyFont="1" applyFill="1" applyBorder="1" applyAlignment="1" applyProtection="1">
      <alignment horizontal="center" vertical="center"/>
    </xf>
    <xf numFmtId="49" fontId="9" fillId="0" borderId="28" xfId="0" applyNumberFormat="1" applyFont="1" applyBorder="1" applyAlignment="1" applyProtection="1">
      <alignment horizontal="left" vertical="center"/>
    </xf>
    <xf numFmtId="49" fontId="10" fillId="0" borderId="27" xfId="0" applyNumberFormat="1" applyFont="1" applyBorder="1" applyAlignment="1" applyProtection="1">
      <alignment horizontal="left" vertical="center"/>
    </xf>
    <xf numFmtId="4" fontId="10" fillId="0" borderId="27" xfId="0" applyNumberFormat="1" applyFont="1" applyBorder="1" applyAlignment="1" applyProtection="1">
      <alignment horizontal="right" vertical="center"/>
    </xf>
    <xf numFmtId="49" fontId="9" fillId="0" borderId="29" xfId="0" applyNumberFormat="1" applyFont="1" applyBorder="1" applyAlignment="1" applyProtection="1">
      <alignment horizontal="left" vertical="center"/>
    </xf>
    <xf numFmtId="49" fontId="10" fillId="0" borderId="27" xfId="0" applyNumberFormat="1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vertical="center"/>
    </xf>
    <xf numFmtId="4" fontId="10" fillId="0" borderId="20" xfId="0" applyNumberFormat="1" applyFont="1" applyBorder="1" applyAlignment="1" applyProtection="1">
      <alignment horizontal="right" vertical="center"/>
    </xf>
    <xf numFmtId="0" fontId="0" fillId="0" borderId="30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4" fontId="9" fillId="2" borderId="32" xfId="0" applyNumberFormat="1" applyFont="1" applyFill="1" applyBorder="1" applyAlignment="1" applyProtection="1">
      <alignment horizontal="right" vertical="center"/>
    </xf>
    <xf numFmtId="0" fontId="0" fillId="0" borderId="24" xfId="0" applyFont="1" applyBorder="1" applyAlignment="1" applyProtection="1">
      <alignment vertical="center"/>
    </xf>
    <xf numFmtId="0" fontId="0" fillId="0" borderId="33" xfId="0" applyFont="1" applyBorder="1" applyAlignment="1" applyProtection="1">
      <alignment vertical="center"/>
    </xf>
    <xf numFmtId="49" fontId="4" fillId="0" borderId="23" xfId="0" applyNumberFormat="1" applyFont="1" applyBorder="1" applyAlignment="1" applyProtection="1">
      <alignment horizontal="left" vertical="center"/>
    </xf>
    <xf numFmtId="0" fontId="0" fillId="0" borderId="23" xfId="0" applyFont="1" applyBorder="1" applyAlignment="1" applyProtection="1">
      <alignment vertical="center"/>
    </xf>
    <xf numFmtId="164" fontId="0" fillId="0" borderId="8" xfId="0" applyNumberFormat="1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horizontal="left" vertical="center" wrapText="1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2" borderId="23" xfId="0" applyNumberFormat="1" applyFont="1" applyFill="1" applyBorder="1" applyAlignment="1" applyProtection="1">
      <alignment horizontal="left" vertical="center"/>
    </xf>
    <xf numFmtId="49" fontId="2" fillId="2" borderId="0" xfId="0" applyNumberFormat="1" applyFont="1" applyFill="1" applyAlignment="1" applyProtection="1">
      <alignment horizontal="left" vertical="center"/>
    </xf>
    <xf numFmtId="49" fontId="2" fillId="0" borderId="3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49" fontId="0" fillId="0" borderId="4" xfId="0" applyNumberFormat="1" applyFont="1" applyBorder="1" applyAlignment="1" applyProtection="1">
      <alignment horizontal="left" vertical="center"/>
    </xf>
    <xf numFmtId="49" fontId="0" fillId="0" borderId="6" xfId="0" applyNumberFormat="1" applyFont="1" applyBorder="1" applyAlignment="1" applyProtection="1">
      <alignment horizontal="left" vertical="center"/>
    </xf>
    <xf numFmtId="0" fontId="0" fillId="0" borderId="24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49" fontId="0" fillId="0" borderId="1" xfId="0" applyNumberFormat="1" applyFont="1" applyBorder="1" applyAlignment="1" applyProtection="1">
      <alignment horizontal="left" vertical="center"/>
    </xf>
    <xf numFmtId="164" fontId="0" fillId="0" borderId="25" xfId="0" applyNumberFormat="1" applyFont="1" applyBorder="1" applyAlignment="1" applyProtection="1">
      <alignment horizontal="left" vertical="center"/>
    </xf>
    <xf numFmtId="49" fontId="6" fillId="0" borderId="26" xfId="0" applyNumberFormat="1" applyFont="1" applyBorder="1" applyAlignment="1" applyProtection="1">
      <alignment horizontal="center" vertical="center"/>
    </xf>
    <xf numFmtId="49" fontId="8" fillId="0" borderId="27" xfId="0" applyNumberFormat="1" applyFont="1" applyBorder="1" applyAlignment="1" applyProtection="1">
      <alignment horizontal="left" vertical="center"/>
    </xf>
    <xf numFmtId="49" fontId="10" fillId="0" borderId="27" xfId="0" applyNumberFormat="1" applyFont="1" applyBorder="1" applyAlignment="1" applyProtection="1">
      <alignment horizontal="left" vertical="center"/>
    </xf>
    <xf numFmtId="49" fontId="9" fillId="0" borderId="27" xfId="0" applyNumberFormat="1" applyFont="1" applyBorder="1" applyAlignment="1" applyProtection="1">
      <alignment horizontal="left" vertical="center"/>
    </xf>
    <xf numFmtId="49" fontId="9" fillId="2" borderId="31" xfId="0" applyNumberFormat="1" applyFont="1" applyFill="1" applyBorder="1" applyAlignment="1" applyProtection="1">
      <alignment horizontal="left" vertical="center"/>
    </xf>
    <xf numFmtId="49" fontId="10" fillId="0" borderId="14" xfId="0" applyNumberFormat="1" applyFont="1" applyBorder="1" applyAlignment="1" applyProtection="1">
      <alignment horizontal="left" vertical="center"/>
    </xf>
    <xf numFmtId="49" fontId="10" fillId="0" borderId="34" xfId="0" applyNumberFormat="1" applyFont="1" applyBorder="1" applyAlignment="1" applyProtection="1">
      <alignment horizontal="left" vertical="center"/>
    </xf>
    <xf numFmtId="49" fontId="10" fillId="0" borderId="22" xfId="0" applyNumberFormat="1" applyFont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285840</xdr:colOff>
      <xdr:row>0</xdr:row>
      <xdr:rowOff>885960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95320" cy="885960"/>
        </a:xfrm>
        <a:prstGeom prst="rect">
          <a:avLst/>
        </a:prstGeom>
        <a:ln w="255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228960</xdr:colOff>
      <xdr:row>0</xdr:row>
      <xdr:rowOff>885960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33480" cy="885960"/>
        </a:xfrm>
        <a:prstGeom prst="rect">
          <a:avLst/>
        </a:prstGeom>
        <a:ln w="255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6"/>
  <sheetViews>
    <sheetView tabSelected="1" zoomScaleNormal="100" zoomScalePageLayoutView="60" workbookViewId="0">
      <selection activeCell="L25" sqref="L25"/>
    </sheetView>
  </sheetViews>
  <sheetFormatPr defaultRowHeight="12.75" x14ac:dyDescent="0.2"/>
  <cols>
    <col min="1" max="1" width="8.5703125" style="15" customWidth="1"/>
    <col min="2" max="2" width="12.140625" style="15" customWidth="1"/>
    <col min="3" max="3" width="21.5703125" style="15" customWidth="1"/>
    <col min="4" max="4" width="9.42578125" style="15" customWidth="1"/>
    <col min="5" max="5" width="13.28515625" style="15" customWidth="1"/>
    <col min="6" max="6" width="21.5703125" style="15" customWidth="1"/>
    <col min="7" max="7" width="8.5703125" style="15" customWidth="1"/>
    <col min="8" max="8" width="12.140625" style="15" customWidth="1"/>
    <col min="9" max="9" width="21.5703125" style="15" customWidth="1"/>
    <col min="10" max="1025" width="11" style="15" customWidth="1"/>
  </cols>
  <sheetData>
    <row r="1" spans="1:10" ht="72.95" customHeight="1" x14ac:dyDescent="0.2">
      <c r="A1" s="50"/>
      <c r="B1" s="44"/>
      <c r="C1" s="72" t="s">
        <v>291</v>
      </c>
      <c r="D1" s="72"/>
      <c r="E1" s="72"/>
      <c r="F1" s="72"/>
      <c r="G1" s="72"/>
      <c r="H1" s="72"/>
      <c r="I1" s="72"/>
    </row>
    <row r="2" spans="1:10" ht="12.75" customHeight="1" x14ac:dyDescent="0.2">
      <c r="A2" s="13" t="s">
        <v>1</v>
      </c>
      <c r="B2" s="13"/>
      <c r="C2" s="12" t="s">
        <v>2</v>
      </c>
      <c r="D2" s="12"/>
      <c r="E2" s="10" t="s">
        <v>4</v>
      </c>
      <c r="F2" s="10" t="s">
        <v>5</v>
      </c>
      <c r="G2" s="10"/>
      <c r="H2" s="10" t="s">
        <v>292</v>
      </c>
      <c r="I2" s="73"/>
      <c r="J2" s="16"/>
    </row>
    <row r="3" spans="1:10" x14ac:dyDescent="0.2">
      <c r="A3" s="13"/>
      <c r="B3" s="13"/>
      <c r="C3" s="12"/>
      <c r="D3" s="12"/>
      <c r="E3" s="10"/>
      <c r="F3" s="10"/>
      <c r="G3" s="10"/>
      <c r="H3" s="10"/>
      <c r="I3" s="10"/>
      <c r="J3" s="16"/>
    </row>
    <row r="4" spans="1:10" ht="12.75" customHeight="1" x14ac:dyDescent="0.2">
      <c r="A4" s="8" t="s">
        <v>6</v>
      </c>
      <c r="B4" s="8"/>
      <c r="C4" s="7" t="s">
        <v>7</v>
      </c>
      <c r="D4" s="7"/>
      <c r="E4" s="7" t="s">
        <v>10</v>
      </c>
      <c r="F4" s="7" t="s">
        <v>11</v>
      </c>
      <c r="G4" s="7"/>
      <c r="H4" s="7" t="s">
        <v>292</v>
      </c>
      <c r="I4" s="74"/>
      <c r="J4" s="16"/>
    </row>
    <row r="5" spans="1:10" x14ac:dyDescent="0.2">
      <c r="A5" s="8"/>
      <c r="B5" s="8"/>
      <c r="C5" s="7"/>
      <c r="D5" s="7"/>
      <c r="E5" s="7"/>
      <c r="F5" s="7"/>
      <c r="G5" s="7"/>
      <c r="H5" s="7"/>
      <c r="I5" s="7"/>
      <c r="J5" s="16"/>
    </row>
    <row r="6" spans="1:10" ht="12.75" customHeight="1" x14ac:dyDescent="0.2">
      <c r="A6" s="8" t="s">
        <v>12</v>
      </c>
      <c r="B6" s="8"/>
      <c r="C6" s="7" t="s">
        <v>13</v>
      </c>
      <c r="D6" s="7"/>
      <c r="E6" s="7" t="s">
        <v>15</v>
      </c>
      <c r="F6" s="7" t="s">
        <v>16</v>
      </c>
      <c r="G6" s="7"/>
      <c r="H6" s="7" t="s">
        <v>292</v>
      </c>
      <c r="I6" s="74"/>
      <c r="J6" s="16"/>
    </row>
    <row r="7" spans="1:10" x14ac:dyDescent="0.2">
      <c r="A7" s="8"/>
      <c r="B7" s="8"/>
      <c r="C7" s="7"/>
      <c r="D7" s="7"/>
      <c r="E7" s="7"/>
      <c r="F7" s="7"/>
      <c r="G7" s="7"/>
      <c r="H7" s="7"/>
      <c r="I7" s="7"/>
      <c r="J7" s="16"/>
    </row>
    <row r="8" spans="1:10" ht="12.75" customHeight="1" x14ac:dyDescent="0.2">
      <c r="A8" s="8" t="s">
        <v>8</v>
      </c>
      <c r="B8" s="8"/>
      <c r="C8" s="6" t="s">
        <v>9</v>
      </c>
      <c r="D8" s="6"/>
      <c r="E8" s="7" t="s">
        <v>14</v>
      </c>
      <c r="F8" s="4"/>
      <c r="G8" s="4"/>
      <c r="H8" s="6" t="s">
        <v>293</v>
      </c>
      <c r="I8" s="74" t="s">
        <v>286</v>
      </c>
      <c r="J8" s="16"/>
    </row>
    <row r="9" spans="1:10" x14ac:dyDescent="0.2">
      <c r="A9" s="8"/>
      <c r="B9" s="8"/>
      <c r="C9" s="6"/>
      <c r="D9" s="6"/>
      <c r="E9" s="7"/>
      <c r="F9" s="7"/>
      <c r="G9" s="4"/>
      <c r="H9" s="6"/>
      <c r="I9" s="6"/>
      <c r="J9" s="16"/>
    </row>
    <row r="10" spans="1:10" ht="12.75" customHeight="1" x14ac:dyDescent="0.2">
      <c r="A10" s="75" t="s">
        <v>17</v>
      </c>
      <c r="B10" s="75"/>
      <c r="C10" s="76"/>
      <c r="D10" s="76"/>
      <c r="E10" s="76" t="s">
        <v>19</v>
      </c>
      <c r="F10" s="76" t="s">
        <v>20</v>
      </c>
      <c r="G10" s="76"/>
      <c r="H10" s="77" t="s">
        <v>294</v>
      </c>
      <c r="I10" s="78">
        <v>42958</v>
      </c>
      <c r="J10" s="16"/>
    </row>
    <row r="11" spans="1:10" x14ac:dyDescent="0.2">
      <c r="A11" s="75"/>
      <c r="B11" s="75"/>
      <c r="C11" s="76"/>
      <c r="D11" s="76"/>
      <c r="E11" s="76"/>
      <c r="F11" s="76"/>
      <c r="G11" s="76"/>
      <c r="H11" s="77"/>
      <c r="I11" s="77"/>
      <c r="J11" s="16"/>
    </row>
    <row r="12" spans="1:10" ht="23.45" customHeight="1" x14ac:dyDescent="0.2">
      <c r="A12" s="79" t="s">
        <v>295</v>
      </c>
      <c r="B12" s="79"/>
      <c r="C12" s="79"/>
      <c r="D12" s="79"/>
      <c r="E12" s="79"/>
      <c r="F12" s="79"/>
      <c r="G12" s="79"/>
      <c r="H12" s="79"/>
      <c r="I12" s="79"/>
    </row>
    <row r="13" spans="1:10" ht="26.45" customHeight="1" x14ac:dyDescent="0.2">
      <c r="A13" s="51" t="s">
        <v>296</v>
      </c>
      <c r="B13" s="80" t="s">
        <v>297</v>
      </c>
      <c r="C13" s="80"/>
      <c r="D13" s="51" t="s">
        <v>298</v>
      </c>
      <c r="E13" s="80" t="s">
        <v>299</v>
      </c>
      <c r="F13" s="80"/>
      <c r="G13" s="51" t="s">
        <v>300</v>
      </c>
      <c r="H13" s="80" t="s">
        <v>301</v>
      </c>
      <c r="I13" s="80"/>
      <c r="J13" s="16"/>
    </row>
    <row r="14" spans="1:10" ht="15.2" customHeight="1" x14ac:dyDescent="0.2">
      <c r="A14" s="52" t="s">
        <v>302</v>
      </c>
      <c r="B14" s="53" t="s">
        <v>303</v>
      </c>
      <c r="C14" s="54">
        <f>SUM(Stavební_rozpočet!R12:R145)</f>
        <v>0</v>
      </c>
      <c r="D14" s="81" t="s">
        <v>304</v>
      </c>
      <c r="E14" s="81"/>
      <c r="F14" s="54">
        <v>0</v>
      </c>
      <c r="G14" s="81" t="s">
        <v>305</v>
      </c>
      <c r="H14" s="81"/>
      <c r="I14" s="54">
        <f>ROUND(C22*(3.25/100),2)</f>
        <v>0</v>
      </c>
      <c r="J14" s="16"/>
    </row>
    <row r="15" spans="1:10" ht="15.2" customHeight="1" x14ac:dyDescent="0.2">
      <c r="A15" s="55"/>
      <c r="B15" s="53" t="s">
        <v>34</v>
      </c>
      <c r="C15" s="54">
        <f>SUM(Stavební_rozpočet!S12:S145)</f>
        <v>0</v>
      </c>
      <c r="D15" s="81" t="s">
        <v>306</v>
      </c>
      <c r="E15" s="81"/>
      <c r="F15" s="54">
        <v>0</v>
      </c>
      <c r="G15" s="81" t="s">
        <v>307</v>
      </c>
      <c r="H15" s="81"/>
      <c r="I15" s="54">
        <v>0</v>
      </c>
      <c r="J15" s="16"/>
    </row>
    <row r="16" spans="1:10" ht="15.2" customHeight="1" x14ac:dyDescent="0.2">
      <c r="A16" s="52" t="s">
        <v>308</v>
      </c>
      <c r="B16" s="53" t="s">
        <v>303</v>
      </c>
      <c r="C16" s="54">
        <f>SUM(Stavební_rozpočet!T12:T145)</f>
        <v>0</v>
      </c>
      <c r="D16" s="81" t="s">
        <v>309</v>
      </c>
      <c r="E16" s="81"/>
      <c r="F16" s="54">
        <v>0</v>
      </c>
      <c r="G16" s="81" t="s">
        <v>310</v>
      </c>
      <c r="H16" s="81"/>
      <c r="I16" s="54">
        <v>0</v>
      </c>
      <c r="J16" s="16"/>
    </row>
    <row r="17" spans="1:10" ht="15.2" customHeight="1" x14ac:dyDescent="0.2">
      <c r="A17" s="55"/>
      <c r="B17" s="53" t="s">
        <v>34</v>
      </c>
      <c r="C17" s="54">
        <f>SUM(Stavební_rozpočet!U12:U145)</f>
        <v>0</v>
      </c>
      <c r="D17" s="81"/>
      <c r="E17" s="81"/>
      <c r="F17" s="56"/>
      <c r="G17" s="81" t="s">
        <v>311</v>
      </c>
      <c r="H17" s="81"/>
      <c r="I17" s="54">
        <v>0</v>
      </c>
      <c r="J17" s="16"/>
    </row>
    <row r="18" spans="1:10" ht="15.2" customHeight="1" x14ac:dyDescent="0.2">
      <c r="A18" s="52" t="s">
        <v>312</v>
      </c>
      <c r="B18" s="53" t="s">
        <v>303</v>
      </c>
      <c r="C18" s="54">
        <f>SUM(Stavební_rozpočet!V12:V145)</f>
        <v>0</v>
      </c>
      <c r="D18" s="81"/>
      <c r="E18" s="81"/>
      <c r="F18" s="56"/>
      <c r="G18" s="81" t="s">
        <v>313</v>
      </c>
      <c r="H18" s="81"/>
      <c r="I18" s="54">
        <v>0</v>
      </c>
      <c r="J18" s="16"/>
    </row>
    <row r="19" spans="1:10" ht="15.2" customHeight="1" x14ac:dyDescent="0.2">
      <c r="A19" s="55"/>
      <c r="B19" s="53" t="s">
        <v>34</v>
      </c>
      <c r="C19" s="54">
        <f>SUM(Stavební_rozpočet!W12:W145)</f>
        <v>0</v>
      </c>
      <c r="D19" s="81"/>
      <c r="E19" s="81"/>
      <c r="F19" s="56"/>
      <c r="G19" s="81" t="s">
        <v>314</v>
      </c>
      <c r="H19" s="81"/>
      <c r="I19" s="54">
        <v>0</v>
      </c>
      <c r="J19" s="16"/>
    </row>
    <row r="20" spans="1:10" ht="15.2" customHeight="1" x14ac:dyDescent="0.2">
      <c r="A20" s="82" t="s">
        <v>315</v>
      </c>
      <c r="B20" s="82"/>
      <c r="C20" s="54">
        <f>SUM(Stavební_rozpočet!X12:X145)</f>
        <v>0</v>
      </c>
      <c r="D20" s="81"/>
      <c r="E20" s="81"/>
      <c r="F20" s="56"/>
      <c r="G20" s="81"/>
      <c r="H20" s="81"/>
      <c r="I20" s="56"/>
      <c r="J20" s="16"/>
    </row>
    <row r="21" spans="1:10" ht="15.2" customHeight="1" x14ac:dyDescent="0.2">
      <c r="A21" s="82" t="s">
        <v>316</v>
      </c>
      <c r="B21" s="82"/>
      <c r="C21" s="54">
        <f>SUM(Stavební_rozpočet!P12:P145)</f>
        <v>0</v>
      </c>
      <c r="D21" s="81"/>
      <c r="E21" s="81"/>
      <c r="F21" s="56"/>
      <c r="G21" s="81"/>
      <c r="H21" s="81"/>
      <c r="I21" s="56"/>
      <c r="J21" s="16"/>
    </row>
    <row r="22" spans="1:10" ht="16.7" customHeight="1" x14ac:dyDescent="0.2">
      <c r="A22" s="82" t="s">
        <v>317</v>
      </c>
      <c r="B22" s="82"/>
      <c r="C22" s="54">
        <f>SUM(C14:C21)</f>
        <v>0</v>
      </c>
      <c r="D22" s="82" t="s">
        <v>318</v>
      </c>
      <c r="E22" s="82"/>
      <c r="F22" s="54">
        <f>SUM(F14:F21)</f>
        <v>0</v>
      </c>
      <c r="G22" s="82" t="s">
        <v>319</v>
      </c>
      <c r="H22" s="82"/>
      <c r="I22" s="54">
        <f>SUM(I14:I21)</f>
        <v>0</v>
      </c>
      <c r="J22" s="16"/>
    </row>
    <row r="23" spans="1:10" ht="15.2" customHeight="1" x14ac:dyDescent="0.2">
      <c r="A23" s="47"/>
      <c r="B23" s="47"/>
      <c r="C23" s="57"/>
      <c r="D23" s="82" t="s">
        <v>320</v>
      </c>
      <c r="E23" s="82"/>
      <c r="F23" s="58">
        <v>0</v>
      </c>
      <c r="G23" s="82" t="s">
        <v>321</v>
      </c>
      <c r="H23" s="82"/>
      <c r="I23" s="54">
        <v>0</v>
      </c>
      <c r="J23" s="16"/>
    </row>
    <row r="24" spans="1:10" ht="15.2" customHeight="1" x14ac:dyDescent="0.2">
      <c r="D24" s="47"/>
      <c r="E24" s="47"/>
      <c r="F24" s="59"/>
      <c r="G24" s="82" t="s">
        <v>322</v>
      </c>
      <c r="H24" s="82"/>
      <c r="I24" s="54">
        <v>0</v>
      </c>
      <c r="J24" s="16"/>
    </row>
    <row r="25" spans="1:10" ht="15.2" customHeight="1" x14ac:dyDescent="0.2">
      <c r="F25" s="60"/>
      <c r="G25" s="82" t="s">
        <v>323</v>
      </c>
      <c r="H25" s="82"/>
      <c r="I25" s="54">
        <v>0</v>
      </c>
      <c r="J25" s="16"/>
    </row>
    <row r="26" spans="1:10" x14ac:dyDescent="0.2">
      <c r="A26" s="44"/>
      <c r="B26" s="44"/>
      <c r="C26" s="44"/>
      <c r="G26" s="47"/>
      <c r="H26" s="47"/>
      <c r="I26" s="47"/>
    </row>
    <row r="27" spans="1:10" ht="15.2" customHeight="1" x14ac:dyDescent="0.2">
      <c r="A27" s="83" t="s">
        <v>324</v>
      </c>
      <c r="B27" s="83"/>
      <c r="C27" s="61">
        <f>SUM(Stavební_rozpočet!Z12:Z145)</f>
        <v>0</v>
      </c>
      <c r="D27" s="62"/>
      <c r="E27" s="44"/>
      <c r="F27" s="44"/>
      <c r="G27" s="44"/>
      <c r="H27" s="44"/>
      <c r="I27" s="44"/>
    </row>
    <row r="28" spans="1:10" ht="15.2" customHeight="1" x14ac:dyDescent="0.2">
      <c r="A28" s="83" t="s">
        <v>325</v>
      </c>
      <c r="B28" s="83"/>
      <c r="C28" s="61">
        <f>SUM(Stavební_rozpočet!AA12:AA145)</f>
        <v>0</v>
      </c>
      <c r="D28" s="83" t="s">
        <v>326</v>
      </c>
      <c r="E28" s="83"/>
      <c r="F28" s="61">
        <f>ROUND(C28*(15/100),2)</f>
        <v>0</v>
      </c>
      <c r="G28" s="83" t="s">
        <v>327</v>
      </c>
      <c r="H28" s="83"/>
      <c r="I28" s="61">
        <f>SUM(C27:C29)</f>
        <v>0</v>
      </c>
      <c r="J28" s="16"/>
    </row>
    <row r="29" spans="1:10" ht="15.2" customHeight="1" x14ac:dyDescent="0.2">
      <c r="A29" s="83" t="s">
        <v>328</v>
      </c>
      <c r="B29" s="83"/>
      <c r="C29" s="61">
        <f>SUM(Stavební_rozpočet!AB12:AB145)+(F22+I22+F23+I23+I24+I25)</f>
        <v>0</v>
      </c>
      <c r="D29" s="83" t="s">
        <v>329</v>
      </c>
      <c r="E29" s="83"/>
      <c r="F29" s="61">
        <f>ROUND(C29*(21/100),2)</f>
        <v>0</v>
      </c>
      <c r="G29" s="83" t="s">
        <v>330</v>
      </c>
      <c r="H29" s="83"/>
      <c r="I29" s="61">
        <f>SUM(F28:F29)+I28</f>
        <v>0</v>
      </c>
      <c r="J29" s="16"/>
    </row>
    <row r="30" spans="1:10" x14ac:dyDescent="0.2">
      <c r="A30" s="63"/>
      <c r="B30" s="63"/>
      <c r="C30" s="63"/>
      <c r="D30" s="63"/>
      <c r="E30" s="63"/>
      <c r="F30" s="63"/>
      <c r="G30" s="63"/>
      <c r="H30" s="63"/>
      <c r="I30" s="63"/>
    </row>
    <row r="31" spans="1:10" ht="14.45" customHeight="1" x14ac:dyDescent="0.2">
      <c r="A31" s="84" t="s">
        <v>331</v>
      </c>
      <c r="B31" s="84"/>
      <c r="C31" s="84"/>
      <c r="D31" s="84" t="s">
        <v>332</v>
      </c>
      <c r="E31" s="84"/>
      <c r="F31" s="84"/>
      <c r="G31" s="84" t="s">
        <v>333</v>
      </c>
      <c r="H31" s="84"/>
      <c r="I31" s="84"/>
      <c r="J31" s="23"/>
    </row>
    <row r="32" spans="1:10" ht="14.45" customHeight="1" x14ac:dyDescent="0.2">
      <c r="A32" s="85"/>
      <c r="B32" s="85"/>
      <c r="C32" s="85"/>
      <c r="D32" s="85"/>
      <c r="E32" s="85"/>
      <c r="F32" s="85"/>
      <c r="G32" s="85"/>
      <c r="H32" s="85"/>
      <c r="I32" s="85"/>
      <c r="J32" s="23"/>
    </row>
    <row r="33" spans="1:10" ht="14.45" customHeight="1" x14ac:dyDescent="0.2">
      <c r="A33" s="85"/>
      <c r="B33" s="85"/>
      <c r="C33" s="85"/>
      <c r="D33" s="85"/>
      <c r="E33" s="85"/>
      <c r="F33" s="85"/>
      <c r="G33" s="85"/>
      <c r="H33" s="85"/>
      <c r="I33" s="85"/>
      <c r="J33" s="23"/>
    </row>
    <row r="34" spans="1:10" ht="14.45" customHeight="1" x14ac:dyDescent="0.2">
      <c r="A34" s="85"/>
      <c r="B34" s="85"/>
      <c r="C34" s="85"/>
      <c r="D34" s="85"/>
      <c r="E34" s="85"/>
      <c r="F34" s="85"/>
      <c r="G34" s="85"/>
      <c r="H34" s="85"/>
      <c r="I34" s="85"/>
      <c r="J34" s="23"/>
    </row>
    <row r="35" spans="1:10" ht="14.45" customHeight="1" x14ac:dyDescent="0.2">
      <c r="A35" s="86" t="s">
        <v>334</v>
      </c>
      <c r="B35" s="86"/>
      <c r="C35" s="86"/>
      <c r="D35" s="86" t="s">
        <v>334</v>
      </c>
      <c r="E35" s="86"/>
      <c r="F35" s="86"/>
      <c r="G35" s="86" t="s">
        <v>334</v>
      </c>
      <c r="H35" s="86"/>
      <c r="I35" s="86"/>
      <c r="J35" s="23"/>
    </row>
    <row r="36" spans="1:10" ht="11.25" customHeight="1" x14ac:dyDescent="0.2">
      <c r="A36" s="64" t="s">
        <v>290</v>
      </c>
      <c r="B36" s="65"/>
      <c r="C36" s="65"/>
      <c r="D36" s="65"/>
      <c r="E36" s="65"/>
      <c r="F36" s="65"/>
      <c r="G36" s="65"/>
      <c r="H36" s="65"/>
      <c r="I36" s="65"/>
    </row>
  </sheetData>
  <mergeCells count="82">
    <mergeCell ref="A35:C35"/>
    <mergeCell ref="D35:F35"/>
    <mergeCell ref="G35:I35"/>
    <mergeCell ref="A33:C33"/>
    <mergeCell ref="D33:F33"/>
    <mergeCell ref="G33:I33"/>
    <mergeCell ref="A34:C34"/>
    <mergeCell ref="D34:F34"/>
    <mergeCell ref="G34:I34"/>
    <mergeCell ref="A31:C31"/>
    <mergeCell ref="D31:F31"/>
    <mergeCell ref="G31:I31"/>
    <mergeCell ref="A32:C32"/>
    <mergeCell ref="D32:F32"/>
    <mergeCell ref="G32:I32"/>
    <mergeCell ref="A28:B28"/>
    <mergeCell ref="D28:E28"/>
    <mergeCell ref="G28:H28"/>
    <mergeCell ref="A29:B29"/>
    <mergeCell ref="D29:E29"/>
    <mergeCell ref="G29:H29"/>
    <mergeCell ref="D23:E23"/>
    <mergeCell ref="G23:H23"/>
    <mergeCell ref="G24:H24"/>
    <mergeCell ref="G25:H25"/>
    <mergeCell ref="A27:B27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8:I9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I4:I5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C1:I1"/>
    <mergeCell ref="A2:B3"/>
    <mergeCell ref="C2:D3"/>
    <mergeCell ref="E2:E3"/>
    <mergeCell ref="F2:G3"/>
    <mergeCell ref="H2:H3"/>
    <mergeCell ref="I2:I3"/>
  </mergeCells>
  <pageMargins left="0.39374999999999999" right="0.39374999999999999" top="0.5" bottom="0.5" header="0.5" footer="0.5"/>
  <pageSetup paperSize="75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47"/>
  <sheetViews>
    <sheetView zoomScaleNormal="100" zoomScalePageLayoutView="60" workbookViewId="0">
      <selection sqref="A1:M1"/>
    </sheetView>
  </sheetViews>
  <sheetFormatPr defaultRowHeight="12.75" x14ac:dyDescent="0.2"/>
  <cols>
    <col min="1" max="1" width="3.5703125" style="15" customWidth="1"/>
    <col min="2" max="2" width="6.42578125" style="15" customWidth="1"/>
    <col min="3" max="3" width="12.5703125" style="15" customWidth="1"/>
    <col min="4" max="4" width="61.7109375" style="15" customWidth="1"/>
    <col min="5" max="5" width="6.140625" style="15" customWidth="1"/>
    <col min="6" max="6" width="12.140625" style="15" customWidth="1"/>
    <col min="7" max="7" width="11.28515625" style="15" customWidth="1"/>
    <col min="8" max="10" width="13.42578125" style="15" customWidth="1"/>
    <col min="11" max="13" width="11" style="15" customWidth="1"/>
    <col min="14" max="14" width="11.5703125" style="15" hidden="1"/>
    <col min="15" max="48" width="11.42578125" style="15" hidden="1" customWidth="1"/>
    <col min="49" max="1025" width="11" style="15" customWidth="1"/>
  </cols>
  <sheetData>
    <row r="1" spans="1:48" ht="72.95" customHeight="1" x14ac:dyDescent="0.3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48" ht="12.75" customHeight="1" x14ac:dyDescent="0.2">
      <c r="A2" s="13" t="s">
        <v>1</v>
      </c>
      <c r="B2" s="13"/>
      <c r="C2" s="13"/>
      <c r="D2" s="12" t="s">
        <v>2</v>
      </c>
      <c r="E2" s="11" t="s">
        <v>3</v>
      </c>
      <c r="F2" s="11"/>
      <c r="G2" s="11"/>
      <c r="H2" s="11"/>
      <c r="I2" s="10" t="s">
        <v>4</v>
      </c>
      <c r="J2" s="9" t="s">
        <v>5</v>
      </c>
      <c r="K2" s="9"/>
      <c r="L2" s="9"/>
      <c r="M2" s="9"/>
      <c r="N2" s="16"/>
    </row>
    <row r="3" spans="1:48" x14ac:dyDescent="0.2">
      <c r="A3" s="13"/>
      <c r="B3" s="13"/>
      <c r="C3" s="13"/>
      <c r="D3" s="12"/>
      <c r="E3" s="12"/>
      <c r="F3" s="11"/>
      <c r="G3" s="11"/>
      <c r="H3" s="11"/>
      <c r="I3" s="10"/>
      <c r="J3" s="10"/>
      <c r="K3" s="9"/>
      <c r="L3" s="9"/>
      <c r="M3" s="9"/>
      <c r="N3" s="16"/>
    </row>
    <row r="4" spans="1:48" ht="12.75" customHeight="1" x14ac:dyDescent="0.2">
      <c r="A4" s="8" t="s">
        <v>6</v>
      </c>
      <c r="B4" s="8"/>
      <c r="C4" s="8"/>
      <c r="D4" s="7" t="s">
        <v>7</v>
      </c>
      <c r="E4" s="6" t="s">
        <v>8</v>
      </c>
      <c r="F4" s="6"/>
      <c r="G4" s="6" t="s">
        <v>9</v>
      </c>
      <c r="H4" s="6"/>
      <c r="I4" s="7" t="s">
        <v>10</v>
      </c>
      <c r="J4" s="5" t="s">
        <v>11</v>
      </c>
      <c r="K4" s="5"/>
      <c r="L4" s="5"/>
      <c r="M4" s="5"/>
      <c r="N4" s="16"/>
    </row>
    <row r="5" spans="1:48" x14ac:dyDescent="0.2">
      <c r="A5" s="8"/>
      <c r="B5" s="8"/>
      <c r="C5" s="8"/>
      <c r="D5" s="7"/>
      <c r="E5" s="7"/>
      <c r="F5" s="6"/>
      <c r="G5" s="6"/>
      <c r="H5" s="6"/>
      <c r="I5" s="7"/>
      <c r="J5" s="7"/>
      <c r="K5" s="5"/>
      <c r="L5" s="5"/>
      <c r="M5" s="5"/>
      <c r="N5" s="16"/>
    </row>
    <row r="6" spans="1:48" ht="12.75" customHeight="1" x14ac:dyDescent="0.2">
      <c r="A6" s="8" t="s">
        <v>12</v>
      </c>
      <c r="B6" s="8"/>
      <c r="C6" s="8"/>
      <c r="D6" s="7" t="s">
        <v>13</v>
      </c>
      <c r="E6" s="6" t="s">
        <v>14</v>
      </c>
      <c r="F6" s="6"/>
      <c r="G6" s="4"/>
      <c r="H6" s="4"/>
      <c r="I6" s="7" t="s">
        <v>15</v>
      </c>
      <c r="J6" s="5" t="s">
        <v>16</v>
      </c>
      <c r="K6" s="5"/>
      <c r="L6" s="5"/>
      <c r="M6" s="5"/>
      <c r="N6" s="16"/>
    </row>
    <row r="7" spans="1:48" x14ac:dyDescent="0.2">
      <c r="A7" s="8"/>
      <c r="B7" s="8"/>
      <c r="C7" s="8"/>
      <c r="D7" s="7"/>
      <c r="E7" s="7"/>
      <c r="F7" s="6"/>
      <c r="G7" s="4"/>
      <c r="H7" s="4"/>
      <c r="I7" s="7"/>
      <c r="J7" s="7"/>
      <c r="K7" s="5"/>
      <c r="L7" s="5"/>
      <c r="M7" s="5"/>
      <c r="N7" s="16"/>
    </row>
    <row r="8" spans="1:48" ht="12.75" customHeight="1" x14ac:dyDescent="0.2">
      <c r="A8" s="3" t="s">
        <v>17</v>
      </c>
      <c r="B8" s="3"/>
      <c r="C8" s="3"/>
      <c r="D8" s="2"/>
      <c r="E8" s="1" t="s">
        <v>18</v>
      </c>
      <c r="F8" s="1"/>
      <c r="G8" s="66">
        <v>42958</v>
      </c>
      <c r="H8" s="66"/>
      <c r="I8" s="2" t="s">
        <v>19</v>
      </c>
      <c r="J8" s="67" t="s">
        <v>20</v>
      </c>
      <c r="K8" s="67"/>
      <c r="L8" s="67"/>
      <c r="M8" s="67"/>
      <c r="N8" s="16"/>
    </row>
    <row r="9" spans="1:48" x14ac:dyDescent="0.2">
      <c r="A9" s="3"/>
      <c r="B9" s="3"/>
      <c r="C9" s="3"/>
      <c r="D9" s="2"/>
      <c r="E9" s="2"/>
      <c r="F9" s="1"/>
      <c r="G9" s="66"/>
      <c r="H9" s="66"/>
      <c r="I9" s="2"/>
      <c r="J9" s="2"/>
      <c r="K9" s="67"/>
      <c r="L9" s="67"/>
      <c r="M9" s="67"/>
      <c r="N9" s="16"/>
    </row>
    <row r="10" spans="1:48" x14ac:dyDescent="0.2">
      <c r="A10" s="18" t="s">
        <v>21</v>
      </c>
      <c r="B10" s="19" t="s">
        <v>22</v>
      </c>
      <c r="C10" s="19" t="s">
        <v>23</v>
      </c>
      <c r="D10" s="19" t="s">
        <v>24</v>
      </c>
      <c r="E10" s="19" t="s">
        <v>25</v>
      </c>
      <c r="F10" s="20" t="s">
        <v>26</v>
      </c>
      <c r="G10" s="21" t="s">
        <v>27</v>
      </c>
      <c r="H10" s="68" t="s">
        <v>28</v>
      </c>
      <c r="I10" s="68"/>
      <c r="J10" s="68"/>
      <c r="K10" s="68" t="s">
        <v>29</v>
      </c>
      <c r="L10" s="68"/>
      <c r="M10" s="22" t="s">
        <v>30</v>
      </c>
      <c r="N10" s="23"/>
    </row>
    <row r="11" spans="1:48" x14ac:dyDescent="0.2">
      <c r="A11" s="24" t="s">
        <v>9</v>
      </c>
      <c r="B11" s="25" t="s">
        <v>9</v>
      </c>
      <c r="C11" s="25" t="s">
        <v>9</v>
      </c>
      <c r="D11" s="26" t="s">
        <v>31</v>
      </c>
      <c r="E11" s="25" t="s">
        <v>9</v>
      </c>
      <c r="F11" s="25" t="s">
        <v>9</v>
      </c>
      <c r="G11" s="27" t="s">
        <v>32</v>
      </c>
      <c r="H11" s="28" t="s">
        <v>33</v>
      </c>
      <c r="I11" s="29" t="s">
        <v>34</v>
      </c>
      <c r="J11" s="30" t="s">
        <v>35</v>
      </c>
      <c r="K11" s="28" t="s">
        <v>27</v>
      </c>
      <c r="L11" s="30" t="s">
        <v>35</v>
      </c>
      <c r="M11" s="31" t="s">
        <v>36</v>
      </c>
      <c r="N11" s="23"/>
      <c r="P11" s="32" t="s">
        <v>37</v>
      </c>
      <c r="Q11" s="32" t="s">
        <v>38</v>
      </c>
      <c r="R11" s="32" t="s">
        <v>39</v>
      </c>
      <c r="S11" s="32" t="s">
        <v>40</v>
      </c>
      <c r="T11" s="32" t="s">
        <v>41</v>
      </c>
      <c r="U11" s="32" t="s">
        <v>42</v>
      </c>
      <c r="V11" s="32" t="s">
        <v>43</v>
      </c>
      <c r="W11" s="32" t="s">
        <v>44</v>
      </c>
      <c r="X11" s="32" t="s">
        <v>45</v>
      </c>
    </row>
    <row r="12" spans="1:48" x14ac:dyDescent="0.2">
      <c r="A12" s="33"/>
      <c r="B12" s="34"/>
      <c r="C12" s="34" t="s">
        <v>46</v>
      </c>
      <c r="D12" s="69" t="s">
        <v>47</v>
      </c>
      <c r="E12" s="69"/>
      <c r="F12" s="69"/>
      <c r="G12" s="69"/>
      <c r="H12" s="35">
        <f>SUM(H13:H22)</f>
        <v>0</v>
      </c>
      <c r="I12" s="35">
        <f>SUM(I13:I22)</f>
        <v>0</v>
      </c>
      <c r="J12" s="35">
        <f>H12+I12</f>
        <v>0</v>
      </c>
      <c r="K12" s="36"/>
      <c r="L12" s="35">
        <f>SUM(L13:L22)</f>
        <v>0</v>
      </c>
      <c r="M12" s="36"/>
      <c r="Y12" s="32"/>
      <c r="AI12" s="37">
        <f>SUM(Z13:Z22)</f>
        <v>0</v>
      </c>
      <c r="AJ12" s="37">
        <f>SUM(AA13:AA22)</f>
        <v>0</v>
      </c>
      <c r="AK12" s="37">
        <f>SUM(AB13:AB22)</f>
        <v>0</v>
      </c>
    </row>
    <row r="13" spans="1:48" x14ac:dyDescent="0.2">
      <c r="A13" s="17" t="s">
        <v>48</v>
      </c>
      <c r="B13" s="17"/>
      <c r="C13" s="17" t="s">
        <v>49</v>
      </c>
      <c r="D13" s="17" t="s">
        <v>50</v>
      </c>
      <c r="E13" s="17" t="s">
        <v>51</v>
      </c>
      <c r="F13" s="38">
        <v>1</v>
      </c>
      <c r="G13" s="38"/>
      <c r="H13" s="38">
        <f>F13*AE13</f>
        <v>0</v>
      </c>
      <c r="I13" s="38">
        <f>J13-H13</f>
        <v>0</v>
      </c>
      <c r="J13" s="38">
        <f>F13*G13</f>
        <v>0</v>
      </c>
      <c r="K13" s="38">
        <v>0</v>
      </c>
      <c r="L13" s="38">
        <f>F13*K13</f>
        <v>0</v>
      </c>
      <c r="M13" s="39"/>
      <c r="P13" s="38">
        <f>IF(AG13="5",J13,0)</f>
        <v>0</v>
      </c>
      <c r="R13" s="38">
        <f>IF(AG13="1",H13,0)</f>
        <v>0</v>
      </c>
      <c r="S13" s="38">
        <f>IF(AG13="1",I13,0)</f>
        <v>0</v>
      </c>
      <c r="T13" s="38">
        <f>IF(AG13="7",H13,0)</f>
        <v>0</v>
      </c>
      <c r="U13" s="38">
        <f>IF(AG13="7",I13,0)</f>
        <v>0</v>
      </c>
      <c r="V13" s="38">
        <f>IF(AG13="2",H13,0)</f>
        <v>0</v>
      </c>
      <c r="W13" s="38">
        <f>IF(AG13="2",I13,0)</f>
        <v>0</v>
      </c>
      <c r="X13" s="38">
        <f>IF(AG13="0",J13,0)</f>
        <v>0</v>
      </c>
      <c r="Y13" s="32"/>
      <c r="Z13" s="38">
        <f>IF(AD13=0,J13,0)</f>
        <v>0</v>
      </c>
      <c r="AA13" s="38">
        <f>IF(AD13=15,J13,0)</f>
        <v>0</v>
      </c>
      <c r="AB13" s="38">
        <f>IF(AD13=21,J13,0)</f>
        <v>0</v>
      </c>
      <c r="AD13" s="38">
        <v>21</v>
      </c>
      <c r="AE13" s="38">
        <f>G13*0.5</f>
        <v>0</v>
      </c>
      <c r="AF13" s="38">
        <f>G13*(1-0.5)</f>
        <v>0</v>
      </c>
      <c r="AG13" s="39" t="s">
        <v>48</v>
      </c>
      <c r="AM13" s="38">
        <f>F13*AE13</f>
        <v>0</v>
      </c>
      <c r="AN13" s="38">
        <f>F13*AF13</f>
        <v>0</v>
      </c>
      <c r="AO13" s="39" t="s">
        <v>52</v>
      </c>
      <c r="AP13" s="39" t="s">
        <v>52</v>
      </c>
      <c r="AQ13" s="32" t="s">
        <v>53</v>
      </c>
      <c r="AS13" s="38">
        <f>AM13+AN13</f>
        <v>0</v>
      </c>
      <c r="AT13" s="38">
        <f>G13/(100-AU13)*100</f>
        <v>0</v>
      </c>
      <c r="AU13" s="38">
        <v>0</v>
      </c>
      <c r="AV13" s="38">
        <f>L13</f>
        <v>0</v>
      </c>
    </row>
    <row r="14" spans="1:48" x14ac:dyDescent="0.2">
      <c r="D14" s="40" t="s">
        <v>54</v>
      </c>
      <c r="F14" s="41">
        <v>1</v>
      </c>
    </row>
    <row r="15" spans="1:48" x14ac:dyDescent="0.2">
      <c r="D15" s="40" t="s">
        <v>55</v>
      </c>
      <c r="F15" s="41">
        <v>0</v>
      </c>
    </row>
    <row r="16" spans="1:48" x14ac:dyDescent="0.2">
      <c r="A16" s="17" t="s">
        <v>56</v>
      </c>
      <c r="B16" s="17"/>
      <c r="C16" s="17" t="s">
        <v>57</v>
      </c>
      <c r="D16" s="17" t="s">
        <v>58</v>
      </c>
      <c r="E16" s="17" t="s">
        <v>59</v>
      </c>
      <c r="F16" s="38">
        <v>2</v>
      </c>
      <c r="G16" s="38"/>
      <c r="H16" s="38">
        <f>F16*AE16</f>
        <v>0</v>
      </c>
      <c r="I16" s="38">
        <f>J16-H16</f>
        <v>0</v>
      </c>
      <c r="J16" s="38">
        <f>F16*G16</f>
        <v>0</v>
      </c>
      <c r="K16" s="38">
        <v>0</v>
      </c>
      <c r="L16" s="38">
        <f>F16*K16</f>
        <v>0</v>
      </c>
      <c r="M16" s="39"/>
      <c r="P16" s="38">
        <f>IF(AG16="5",J16,0)</f>
        <v>0</v>
      </c>
      <c r="R16" s="38">
        <f>IF(AG16="1",H16,0)</f>
        <v>0</v>
      </c>
      <c r="S16" s="38">
        <f>IF(AG16="1",I16,0)</f>
        <v>0</v>
      </c>
      <c r="T16" s="38">
        <f>IF(AG16="7",H16,0)</f>
        <v>0</v>
      </c>
      <c r="U16" s="38">
        <f>IF(AG16="7",I16,0)</f>
        <v>0</v>
      </c>
      <c r="V16" s="38">
        <f>IF(AG16="2",H16,0)</f>
        <v>0</v>
      </c>
      <c r="W16" s="38">
        <f>IF(AG16="2",I16,0)</f>
        <v>0</v>
      </c>
      <c r="X16" s="38">
        <f>IF(AG16="0",J16,0)</f>
        <v>0</v>
      </c>
      <c r="Y16" s="32"/>
      <c r="Z16" s="38">
        <f>IF(AD16=0,J16,0)</f>
        <v>0</v>
      </c>
      <c r="AA16" s="38">
        <f>IF(AD16=15,J16,0)</f>
        <v>0</v>
      </c>
      <c r="AB16" s="38">
        <f>IF(AD16=21,J16,0)</f>
        <v>0</v>
      </c>
      <c r="AD16" s="38">
        <v>21</v>
      </c>
      <c r="AE16" s="38">
        <f>G16*0.4</f>
        <v>0</v>
      </c>
      <c r="AF16" s="38">
        <f>G16*(1-0.4)</f>
        <v>0</v>
      </c>
      <c r="AG16" s="39" t="s">
        <v>48</v>
      </c>
      <c r="AM16" s="38">
        <f>F16*AE16</f>
        <v>0</v>
      </c>
      <c r="AN16" s="38">
        <f>F16*AF16</f>
        <v>0</v>
      </c>
      <c r="AO16" s="39" t="s">
        <v>52</v>
      </c>
      <c r="AP16" s="39" t="s">
        <v>52</v>
      </c>
      <c r="AQ16" s="32" t="s">
        <v>53</v>
      </c>
      <c r="AS16" s="38">
        <f>AM16+AN16</f>
        <v>0</v>
      </c>
      <c r="AT16" s="38">
        <f>G16/(100-AU16)*100</f>
        <v>0</v>
      </c>
      <c r="AU16" s="38">
        <v>0</v>
      </c>
      <c r="AV16" s="38">
        <f>L16</f>
        <v>0</v>
      </c>
    </row>
    <row r="17" spans="1:48" x14ac:dyDescent="0.2">
      <c r="D17" s="40" t="s">
        <v>60</v>
      </c>
      <c r="F17" s="41">
        <v>2</v>
      </c>
    </row>
    <row r="18" spans="1:48" x14ac:dyDescent="0.2">
      <c r="D18" s="40" t="s">
        <v>61</v>
      </c>
      <c r="F18" s="41">
        <v>0</v>
      </c>
    </row>
    <row r="19" spans="1:48" x14ac:dyDescent="0.2">
      <c r="D19" s="40" t="s">
        <v>62</v>
      </c>
      <c r="F19" s="41">
        <v>0</v>
      </c>
    </row>
    <row r="20" spans="1:48" x14ac:dyDescent="0.2">
      <c r="A20" s="17" t="s">
        <v>63</v>
      </c>
      <c r="B20" s="17"/>
      <c r="C20" s="17" t="s">
        <v>64</v>
      </c>
      <c r="D20" s="17" t="s">
        <v>65</v>
      </c>
      <c r="E20" s="17" t="s">
        <v>66</v>
      </c>
      <c r="F20" s="38">
        <v>1</v>
      </c>
      <c r="G20" s="38"/>
      <c r="H20" s="38">
        <f>F20*AE20</f>
        <v>0</v>
      </c>
      <c r="I20" s="38">
        <f>J20-H20</f>
        <v>0</v>
      </c>
      <c r="J20" s="38">
        <f>F20*G20</f>
        <v>0</v>
      </c>
      <c r="K20" s="38">
        <v>0</v>
      </c>
      <c r="L20" s="38">
        <f>F20*K20</f>
        <v>0</v>
      </c>
      <c r="M20" s="39"/>
      <c r="P20" s="38">
        <f>IF(AG20="5",J20,0)</f>
        <v>0</v>
      </c>
      <c r="R20" s="38">
        <f>IF(AG20="1",H20,0)</f>
        <v>0</v>
      </c>
      <c r="S20" s="38">
        <f>IF(AG20="1",I20,0)</f>
        <v>0</v>
      </c>
      <c r="T20" s="38">
        <f>IF(AG20="7",H20,0)</f>
        <v>0</v>
      </c>
      <c r="U20" s="38">
        <f>IF(AG20="7",I20,0)</f>
        <v>0</v>
      </c>
      <c r="V20" s="38">
        <f>IF(AG20="2",H20,0)</f>
        <v>0</v>
      </c>
      <c r="W20" s="38">
        <f>IF(AG20="2",I20,0)</f>
        <v>0</v>
      </c>
      <c r="X20" s="38">
        <f>IF(AG20="0",J20,0)</f>
        <v>0</v>
      </c>
      <c r="Y20" s="32"/>
      <c r="Z20" s="38">
        <f>IF(AD20=0,J20,0)</f>
        <v>0</v>
      </c>
      <c r="AA20" s="38">
        <f>IF(AD20=15,J20,0)</f>
        <v>0</v>
      </c>
      <c r="AB20" s="38">
        <f>IF(AD20=21,J20,0)</f>
        <v>0</v>
      </c>
      <c r="AD20" s="38">
        <v>21</v>
      </c>
      <c r="AE20" s="38">
        <f>G20*0</f>
        <v>0</v>
      </c>
      <c r="AF20" s="38">
        <f>G20*(1-0)</f>
        <v>0</v>
      </c>
      <c r="AG20" s="39" t="s">
        <v>48</v>
      </c>
      <c r="AM20" s="38">
        <f>F20*AE20</f>
        <v>0</v>
      </c>
      <c r="AN20" s="38">
        <f>F20*AF20</f>
        <v>0</v>
      </c>
      <c r="AO20" s="39" t="s">
        <v>52</v>
      </c>
      <c r="AP20" s="39" t="s">
        <v>52</v>
      </c>
      <c r="AQ20" s="32" t="s">
        <v>53</v>
      </c>
      <c r="AS20" s="38">
        <f>AM20+AN20</f>
        <v>0</v>
      </c>
      <c r="AT20" s="38">
        <f>G20/(100-AU20)*100</f>
        <v>0</v>
      </c>
      <c r="AU20" s="38">
        <v>0</v>
      </c>
      <c r="AV20" s="38">
        <f>L20</f>
        <v>0</v>
      </c>
    </row>
    <row r="21" spans="1:48" x14ac:dyDescent="0.2">
      <c r="D21" s="40" t="s">
        <v>54</v>
      </c>
      <c r="F21" s="41">
        <v>1</v>
      </c>
    </row>
    <row r="22" spans="1:48" x14ac:dyDescent="0.2">
      <c r="A22" s="17" t="s">
        <v>67</v>
      </c>
      <c r="B22" s="17"/>
      <c r="C22" s="17" t="s">
        <v>68</v>
      </c>
      <c r="D22" s="17" t="s">
        <v>69</v>
      </c>
      <c r="E22" s="17" t="s">
        <v>70</v>
      </c>
      <c r="F22" s="38">
        <v>102.06</v>
      </c>
      <c r="G22" s="38"/>
      <c r="H22" s="38">
        <f>F22*AE22</f>
        <v>0</v>
      </c>
      <c r="I22" s="38">
        <f>J22-H22</f>
        <v>0</v>
      </c>
      <c r="J22" s="38">
        <f>F22*G22</f>
        <v>0</v>
      </c>
      <c r="K22" s="38">
        <v>0</v>
      </c>
      <c r="L22" s="38">
        <f>F22*K22</f>
        <v>0</v>
      </c>
      <c r="M22" s="39"/>
      <c r="P22" s="38">
        <f>IF(AG22="5",J22,0)</f>
        <v>0</v>
      </c>
      <c r="R22" s="38">
        <f>IF(AG22="1",H22,0)</f>
        <v>0</v>
      </c>
      <c r="S22" s="38">
        <f>IF(AG22="1",I22,0)</f>
        <v>0</v>
      </c>
      <c r="T22" s="38">
        <f>IF(AG22="7",H22,0)</f>
        <v>0</v>
      </c>
      <c r="U22" s="38">
        <f>IF(AG22="7",I22,0)</f>
        <v>0</v>
      </c>
      <c r="V22" s="38">
        <f>IF(AG22="2",H22,0)</f>
        <v>0</v>
      </c>
      <c r="W22" s="38">
        <f>IF(AG22="2",I22,0)</f>
        <v>0</v>
      </c>
      <c r="X22" s="38">
        <f>IF(AG22="0",J22,0)</f>
        <v>0</v>
      </c>
      <c r="Y22" s="32"/>
      <c r="Z22" s="38">
        <f>IF(AD22=0,J22,0)</f>
        <v>0</v>
      </c>
      <c r="AA22" s="38">
        <f>IF(AD22=15,J22,0)</f>
        <v>0</v>
      </c>
      <c r="AB22" s="38">
        <f>IF(AD22=21,J22,0)</f>
        <v>0</v>
      </c>
      <c r="AD22" s="38">
        <v>21</v>
      </c>
      <c r="AE22" s="38">
        <f>G22*0.75</f>
        <v>0</v>
      </c>
      <c r="AF22" s="38">
        <f>G22*(1-0.75)</f>
        <v>0</v>
      </c>
      <c r="AG22" s="39" t="s">
        <v>48</v>
      </c>
      <c r="AM22" s="38">
        <f>F22*AE22</f>
        <v>0</v>
      </c>
      <c r="AN22" s="38">
        <f>F22*AF22</f>
        <v>0</v>
      </c>
      <c r="AO22" s="39" t="s">
        <v>52</v>
      </c>
      <c r="AP22" s="39" t="s">
        <v>52</v>
      </c>
      <c r="AQ22" s="32" t="s">
        <v>53</v>
      </c>
      <c r="AS22" s="38">
        <f>AM22+AN22</f>
        <v>0</v>
      </c>
      <c r="AT22" s="38">
        <f>G22/(100-AU22)*100</f>
        <v>0</v>
      </c>
      <c r="AU22" s="38">
        <v>0</v>
      </c>
      <c r="AV22" s="38">
        <f>L22</f>
        <v>0</v>
      </c>
    </row>
    <row r="23" spans="1:48" x14ac:dyDescent="0.2">
      <c r="D23" s="40" t="s">
        <v>71</v>
      </c>
      <c r="F23" s="41">
        <v>47.16</v>
      </c>
    </row>
    <row r="24" spans="1:48" x14ac:dyDescent="0.2">
      <c r="D24" s="40" t="s">
        <v>72</v>
      </c>
      <c r="F24" s="41">
        <v>39</v>
      </c>
    </row>
    <row r="25" spans="1:48" x14ac:dyDescent="0.2">
      <c r="D25" s="40" t="s">
        <v>73</v>
      </c>
      <c r="F25" s="41">
        <v>15.9</v>
      </c>
    </row>
    <row r="26" spans="1:48" x14ac:dyDescent="0.2">
      <c r="D26" s="40" t="s">
        <v>74</v>
      </c>
      <c r="F26" s="41">
        <v>0</v>
      </c>
    </row>
    <row r="27" spans="1:48" x14ac:dyDescent="0.2">
      <c r="A27" s="42"/>
      <c r="B27" s="43"/>
      <c r="C27" s="43" t="s">
        <v>75</v>
      </c>
      <c r="D27" s="70" t="s">
        <v>76</v>
      </c>
      <c r="E27" s="70"/>
      <c r="F27" s="70"/>
      <c r="G27" s="70"/>
      <c r="H27" s="37">
        <f>SUM(H28:H36)</f>
        <v>0</v>
      </c>
      <c r="I27" s="37">
        <f>SUM(I28:I36)</f>
        <v>0</v>
      </c>
      <c r="J27" s="37">
        <f>H27+I27</f>
        <v>0</v>
      </c>
      <c r="K27" s="32"/>
      <c r="L27" s="37">
        <f>SUM(L28:L36)</f>
        <v>118.447845</v>
      </c>
      <c r="M27" s="32"/>
      <c r="Y27" s="32"/>
      <c r="AI27" s="37">
        <f>SUM(Z28:Z36)</f>
        <v>0</v>
      </c>
      <c r="AJ27" s="37">
        <f>SUM(AA28:AA36)</f>
        <v>0</v>
      </c>
      <c r="AK27" s="37">
        <f>SUM(AB28:AB36)</f>
        <v>0</v>
      </c>
    </row>
    <row r="28" spans="1:48" x14ac:dyDescent="0.2">
      <c r="A28" s="17" t="s">
        <v>77</v>
      </c>
      <c r="B28" s="17"/>
      <c r="C28" s="17" t="s">
        <v>78</v>
      </c>
      <c r="D28" s="17" t="s">
        <v>79</v>
      </c>
      <c r="E28" s="17" t="s">
        <v>70</v>
      </c>
      <c r="F28" s="38">
        <v>45.365000000000002</v>
      </c>
      <c r="G28" s="38"/>
      <c r="H28" s="38">
        <f>F28*AE28</f>
        <v>0</v>
      </c>
      <c r="I28" s="38">
        <f>J28-H28</f>
        <v>0</v>
      </c>
      <c r="J28" s="38">
        <f>F28*G28</f>
        <v>0</v>
      </c>
      <c r="K28" s="38">
        <v>0.22500000000000001</v>
      </c>
      <c r="L28" s="38">
        <f>F28*K28</f>
        <v>10.207125000000001</v>
      </c>
      <c r="M28" s="39"/>
      <c r="P28" s="38">
        <f>IF(AG28="5",J28,0)</f>
        <v>0</v>
      </c>
      <c r="R28" s="38">
        <f>IF(AG28="1",H28,0)</f>
        <v>0</v>
      </c>
      <c r="S28" s="38">
        <f>IF(AG28="1",I28,0)</f>
        <v>0</v>
      </c>
      <c r="T28" s="38">
        <f>IF(AG28="7",H28,0)</f>
        <v>0</v>
      </c>
      <c r="U28" s="38">
        <f>IF(AG28="7",I28,0)</f>
        <v>0</v>
      </c>
      <c r="V28" s="38">
        <f>IF(AG28="2",H28,0)</f>
        <v>0</v>
      </c>
      <c r="W28" s="38">
        <f>IF(AG28="2",I28,0)</f>
        <v>0</v>
      </c>
      <c r="X28" s="38">
        <f>IF(AG28="0",J28,0)</f>
        <v>0</v>
      </c>
      <c r="Y28" s="32"/>
      <c r="Z28" s="38">
        <f>IF(AD28=0,J28,0)</f>
        <v>0</v>
      </c>
      <c r="AA28" s="38">
        <f>IF(AD28=15,J28,0)</f>
        <v>0</v>
      </c>
      <c r="AB28" s="38">
        <f>IF(AD28=21,J28,0)</f>
        <v>0</v>
      </c>
      <c r="AD28" s="38">
        <v>21</v>
      </c>
      <c r="AE28" s="38">
        <f>G28*0</f>
        <v>0</v>
      </c>
      <c r="AF28" s="38">
        <f>G28*(1-0)</f>
        <v>0</v>
      </c>
      <c r="AG28" s="39" t="s">
        <v>48</v>
      </c>
      <c r="AM28" s="38">
        <f>F28*AE28</f>
        <v>0</v>
      </c>
      <c r="AN28" s="38">
        <f>F28*AF28</f>
        <v>0</v>
      </c>
      <c r="AO28" s="39" t="s">
        <v>80</v>
      </c>
      <c r="AP28" s="39" t="s">
        <v>81</v>
      </c>
      <c r="AQ28" s="32" t="s">
        <v>53</v>
      </c>
      <c r="AS28" s="38">
        <f>AM28+AN28</f>
        <v>0</v>
      </c>
      <c r="AT28" s="38">
        <f>G28/(100-AU28)*100</f>
        <v>0</v>
      </c>
      <c r="AU28" s="38">
        <v>0</v>
      </c>
      <c r="AV28" s="38">
        <f>L28</f>
        <v>10.207125000000001</v>
      </c>
    </row>
    <row r="29" spans="1:48" x14ac:dyDescent="0.2">
      <c r="D29" s="40" t="s">
        <v>82</v>
      </c>
      <c r="F29" s="41">
        <v>45.365000000000002</v>
      </c>
    </row>
    <row r="30" spans="1:48" x14ac:dyDescent="0.2">
      <c r="D30" s="40" t="s">
        <v>83</v>
      </c>
      <c r="F30" s="41">
        <v>0</v>
      </c>
    </row>
    <row r="31" spans="1:48" x14ac:dyDescent="0.2">
      <c r="A31" s="17" t="s">
        <v>84</v>
      </c>
      <c r="B31" s="17"/>
      <c r="C31" s="17" t="s">
        <v>85</v>
      </c>
      <c r="D31" s="17" t="s">
        <v>86</v>
      </c>
      <c r="E31" s="17" t="s">
        <v>70</v>
      </c>
      <c r="F31" s="38">
        <v>85.1</v>
      </c>
      <c r="G31" s="38"/>
      <c r="H31" s="38">
        <f>F31*AE31</f>
        <v>0</v>
      </c>
      <c r="I31" s="38">
        <f>J31-H31</f>
        <v>0</v>
      </c>
      <c r="J31" s="38">
        <f>F31*G31</f>
        <v>0</v>
      </c>
      <c r="K31" s="38">
        <v>1.2372000000000001</v>
      </c>
      <c r="L31" s="38">
        <f>F31*K31</f>
        <v>105.28572</v>
      </c>
      <c r="M31" s="39"/>
      <c r="P31" s="38">
        <f>IF(AG31="5",J31,0)</f>
        <v>0</v>
      </c>
      <c r="R31" s="38">
        <f>IF(AG31="1",H31,0)</f>
        <v>0</v>
      </c>
      <c r="S31" s="38">
        <f>IF(AG31="1",I31,0)</f>
        <v>0</v>
      </c>
      <c r="T31" s="38">
        <f>IF(AG31="7",H31,0)</f>
        <v>0</v>
      </c>
      <c r="U31" s="38">
        <f>IF(AG31="7",I31,0)</f>
        <v>0</v>
      </c>
      <c r="V31" s="38">
        <f>IF(AG31="2",H31,0)</f>
        <v>0</v>
      </c>
      <c r="W31" s="38">
        <f>IF(AG31="2",I31,0)</f>
        <v>0</v>
      </c>
      <c r="X31" s="38">
        <f>IF(AG31="0",J31,0)</f>
        <v>0</v>
      </c>
      <c r="Y31" s="32"/>
      <c r="Z31" s="38">
        <f>IF(AD31=0,J31,0)</f>
        <v>0</v>
      </c>
      <c r="AA31" s="38">
        <f>IF(AD31=15,J31,0)</f>
        <v>0</v>
      </c>
      <c r="AB31" s="38">
        <f>IF(AD31=21,J31,0)</f>
        <v>0</v>
      </c>
      <c r="AD31" s="38">
        <v>21</v>
      </c>
      <c r="AE31" s="38">
        <f>G31*0.0274461538461538</f>
        <v>0</v>
      </c>
      <c r="AF31" s="38">
        <f>G31*(1-0.0274461538461538)</f>
        <v>0</v>
      </c>
      <c r="AG31" s="39" t="s">
        <v>48</v>
      </c>
      <c r="AM31" s="38">
        <f>F31*AE31</f>
        <v>0</v>
      </c>
      <c r="AN31" s="38">
        <f>F31*AF31</f>
        <v>0</v>
      </c>
      <c r="AO31" s="39" t="s">
        <v>80</v>
      </c>
      <c r="AP31" s="39" t="s">
        <v>81</v>
      </c>
      <c r="AQ31" s="32" t="s">
        <v>53</v>
      </c>
      <c r="AS31" s="38">
        <f>AM31+AN31</f>
        <v>0</v>
      </c>
      <c r="AT31" s="38">
        <f>G31/(100-AU31)*100</f>
        <v>0</v>
      </c>
      <c r="AU31" s="38">
        <v>0</v>
      </c>
      <c r="AV31" s="38">
        <f>L31</f>
        <v>105.28572</v>
      </c>
    </row>
    <row r="32" spans="1:48" x14ac:dyDescent="0.2">
      <c r="D32" s="40" t="s">
        <v>87</v>
      </c>
      <c r="F32" s="41">
        <v>85.1</v>
      </c>
    </row>
    <row r="33" spans="1:48" x14ac:dyDescent="0.2">
      <c r="D33" s="40" t="s">
        <v>88</v>
      </c>
      <c r="F33" s="41">
        <v>0</v>
      </c>
    </row>
    <row r="34" spans="1:48" x14ac:dyDescent="0.2">
      <c r="A34" s="17" t="s">
        <v>89</v>
      </c>
      <c r="B34" s="17"/>
      <c r="C34" s="17" t="s">
        <v>90</v>
      </c>
      <c r="D34" s="17" t="s">
        <v>91</v>
      </c>
      <c r="E34" s="17" t="s">
        <v>92</v>
      </c>
      <c r="F34" s="38">
        <v>18</v>
      </c>
      <c r="G34" s="38"/>
      <c r="H34" s="38">
        <f>F34*AE34</f>
        <v>0</v>
      </c>
      <c r="I34" s="38">
        <f>J34-H34</f>
        <v>0</v>
      </c>
      <c r="J34" s="38">
        <f>F34*G34</f>
        <v>0</v>
      </c>
      <c r="K34" s="38">
        <v>0.14499999999999999</v>
      </c>
      <c r="L34" s="38">
        <f>F34*K34</f>
        <v>2.61</v>
      </c>
      <c r="M34" s="39" t="s">
        <v>93</v>
      </c>
      <c r="P34" s="38">
        <f>IF(AG34="5",J34,0)</f>
        <v>0</v>
      </c>
      <c r="R34" s="38">
        <f>IF(AG34="1",H34,0)</f>
        <v>0</v>
      </c>
      <c r="S34" s="38">
        <f>IF(AG34="1",I34,0)</f>
        <v>0</v>
      </c>
      <c r="T34" s="38">
        <f>IF(AG34="7",H34,0)</f>
        <v>0</v>
      </c>
      <c r="U34" s="38">
        <f>IF(AG34="7",I34,0)</f>
        <v>0</v>
      </c>
      <c r="V34" s="38">
        <f>IF(AG34="2",H34,0)</f>
        <v>0</v>
      </c>
      <c r="W34" s="38">
        <f>IF(AG34="2",I34,0)</f>
        <v>0</v>
      </c>
      <c r="X34" s="38">
        <f>IF(AG34="0",J34,0)</f>
        <v>0</v>
      </c>
      <c r="Y34" s="32"/>
      <c r="Z34" s="38">
        <f>IF(AD34=0,J34,0)</f>
        <v>0</v>
      </c>
      <c r="AA34" s="38">
        <f>IF(AD34=15,J34,0)</f>
        <v>0</v>
      </c>
      <c r="AB34" s="38">
        <f>IF(AD34=21,J34,0)</f>
        <v>0</v>
      </c>
      <c r="AD34" s="38">
        <v>21</v>
      </c>
      <c r="AE34" s="38">
        <f>G34*0</f>
        <v>0</v>
      </c>
      <c r="AF34" s="38">
        <f>G34*(1-0)</f>
        <v>0</v>
      </c>
      <c r="AG34" s="39" t="s">
        <v>48</v>
      </c>
      <c r="AM34" s="38">
        <f>F34*AE34</f>
        <v>0</v>
      </c>
      <c r="AN34" s="38">
        <f>F34*AF34</f>
        <v>0</v>
      </c>
      <c r="AO34" s="39" t="s">
        <v>80</v>
      </c>
      <c r="AP34" s="39" t="s">
        <v>81</v>
      </c>
      <c r="AQ34" s="32" t="s">
        <v>53</v>
      </c>
      <c r="AS34" s="38">
        <f>AM34+AN34</f>
        <v>0</v>
      </c>
      <c r="AT34" s="38">
        <f>G34/(100-AU34)*100</f>
        <v>0</v>
      </c>
      <c r="AU34" s="38">
        <v>0</v>
      </c>
      <c r="AV34" s="38">
        <f>L34</f>
        <v>2.61</v>
      </c>
    </row>
    <row r="35" spans="1:48" x14ac:dyDescent="0.2">
      <c r="D35" s="40" t="s">
        <v>94</v>
      </c>
      <c r="F35" s="41">
        <v>18</v>
      </c>
    </row>
    <row r="36" spans="1:48" x14ac:dyDescent="0.2">
      <c r="A36" s="17" t="s">
        <v>95</v>
      </c>
      <c r="B36" s="17"/>
      <c r="C36" s="17" t="s">
        <v>96</v>
      </c>
      <c r="D36" s="17" t="s">
        <v>97</v>
      </c>
      <c r="E36" s="17" t="s">
        <v>92</v>
      </c>
      <c r="F36" s="38">
        <v>1.5</v>
      </c>
      <c r="G36" s="38"/>
      <c r="H36" s="38">
        <f>F36*AE36</f>
        <v>0</v>
      </c>
      <c r="I36" s="38">
        <f>J36-H36</f>
        <v>0</v>
      </c>
      <c r="J36" s="38">
        <f>F36*G36</f>
        <v>0</v>
      </c>
      <c r="K36" s="38">
        <v>0.23</v>
      </c>
      <c r="L36" s="38">
        <f>F36*K36</f>
        <v>0.34500000000000003</v>
      </c>
      <c r="M36" s="39" t="s">
        <v>93</v>
      </c>
      <c r="P36" s="38">
        <f>IF(AG36="5",J36,0)</f>
        <v>0</v>
      </c>
      <c r="R36" s="38">
        <f>IF(AG36="1",H36,0)</f>
        <v>0</v>
      </c>
      <c r="S36" s="38">
        <f>IF(AG36="1",I36,0)</f>
        <v>0</v>
      </c>
      <c r="T36" s="38">
        <f>IF(AG36="7",H36,0)</f>
        <v>0</v>
      </c>
      <c r="U36" s="38">
        <f>IF(AG36="7",I36,0)</f>
        <v>0</v>
      </c>
      <c r="V36" s="38">
        <f>IF(AG36="2",H36,0)</f>
        <v>0</v>
      </c>
      <c r="W36" s="38">
        <f>IF(AG36="2",I36,0)</f>
        <v>0</v>
      </c>
      <c r="X36" s="38">
        <f>IF(AG36="0",J36,0)</f>
        <v>0</v>
      </c>
      <c r="Y36" s="32"/>
      <c r="Z36" s="38">
        <f>IF(AD36=0,J36,0)</f>
        <v>0</v>
      </c>
      <c r="AA36" s="38">
        <f>IF(AD36=15,J36,0)</f>
        <v>0</v>
      </c>
      <c r="AB36" s="38">
        <f>IF(AD36=21,J36,0)</f>
        <v>0</v>
      </c>
      <c r="AD36" s="38">
        <v>21</v>
      </c>
      <c r="AE36" s="38">
        <f>G36*0</f>
        <v>0</v>
      </c>
      <c r="AF36" s="38">
        <f>G36*(1-0)</f>
        <v>0</v>
      </c>
      <c r="AG36" s="39" t="s">
        <v>48</v>
      </c>
      <c r="AM36" s="38">
        <f>F36*AE36</f>
        <v>0</v>
      </c>
      <c r="AN36" s="38">
        <f>F36*AF36</f>
        <v>0</v>
      </c>
      <c r="AO36" s="39" t="s">
        <v>80</v>
      </c>
      <c r="AP36" s="39" t="s">
        <v>81</v>
      </c>
      <c r="AQ36" s="32" t="s">
        <v>53</v>
      </c>
      <c r="AS36" s="38">
        <f>AM36+AN36</f>
        <v>0</v>
      </c>
      <c r="AT36" s="38">
        <f>G36/(100-AU36)*100</f>
        <v>0</v>
      </c>
      <c r="AU36" s="38">
        <v>0</v>
      </c>
      <c r="AV36" s="38">
        <f>L36</f>
        <v>0.34500000000000003</v>
      </c>
    </row>
    <row r="37" spans="1:48" x14ac:dyDescent="0.2">
      <c r="D37" s="40" t="s">
        <v>98</v>
      </c>
      <c r="F37" s="41">
        <v>1.5</v>
      </c>
    </row>
    <row r="38" spans="1:48" x14ac:dyDescent="0.2">
      <c r="A38" s="42"/>
      <c r="B38" s="43"/>
      <c r="C38" s="43" t="s">
        <v>99</v>
      </c>
      <c r="D38" s="70" t="s">
        <v>100</v>
      </c>
      <c r="E38" s="70"/>
      <c r="F38" s="70"/>
      <c r="G38" s="70"/>
      <c r="H38" s="37">
        <f>SUM(H39:H39)</f>
        <v>0</v>
      </c>
      <c r="I38" s="37">
        <f>SUM(I39:I39)</f>
        <v>0</v>
      </c>
      <c r="J38" s="37">
        <f>H38+I38</f>
        <v>0</v>
      </c>
      <c r="K38" s="32"/>
      <c r="L38" s="37">
        <f>SUM(L39:L39)</f>
        <v>0</v>
      </c>
      <c r="M38" s="32"/>
      <c r="Y38" s="32"/>
      <c r="AI38" s="37">
        <f>SUM(Z39:Z39)</f>
        <v>0</v>
      </c>
      <c r="AJ38" s="37">
        <f>SUM(AA39:AA39)</f>
        <v>0</v>
      </c>
      <c r="AK38" s="37">
        <f>SUM(AB39:AB39)</f>
        <v>0</v>
      </c>
    </row>
    <row r="39" spans="1:48" x14ac:dyDescent="0.2">
      <c r="A39" s="17" t="s">
        <v>101</v>
      </c>
      <c r="B39" s="17"/>
      <c r="C39" s="17" t="s">
        <v>102</v>
      </c>
      <c r="D39" s="17" t="s">
        <v>103</v>
      </c>
      <c r="E39" s="17" t="s">
        <v>104</v>
      </c>
      <c r="F39" s="38">
        <v>219.01</v>
      </c>
      <c r="G39" s="38"/>
      <c r="H39" s="38">
        <f>F39*AE39</f>
        <v>0</v>
      </c>
      <c r="I39" s="38">
        <f>J39-H39</f>
        <v>0</v>
      </c>
      <c r="J39" s="38">
        <f>F39*G39</f>
        <v>0</v>
      </c>
      <c r="K39" s="38">
        <v>0</v>
      </c>
      <c r="L39" s="38">
        <f>F39*K39</f>
        <v>0</v>
      </c>
      <c r="M39" s="39" t="s">
        <v>93</v>
      </c>
      <c r="P39" s="38">
        <f>IF(AG39="5",J39,0)</f>
        <v>0</v>
      </c>
      <c r="R39" s="38">
        <f>IF(AG39="1",H39,0)</f>
        <v>0</v>
      </c>
      <c r="S39" s="38">
        <f>IF(AG39="1",I39,0)</f>
        <v>0</v>
      </c>
      <c r="T39" s="38">
        <f>IF(AG39="7",H39,0)</f>
        <v>0</v>
      </c>
      <c r="U39" s="38">
        <f>IF(AG39="7",I39,0)</f>
        <v>0</v>
      </c>
      <c r="V39" s="38">
        <f>IF(AG39="2",H39,0)</f>
        <v>0</v>
      </c>
      <c r="W39" s="38">
        <f>IF(AG39="2",I39,0)</f>
        <v>0</v>
      </c>
      <c r="X39" s="38">
        <f>IF(AG39="0",J39,0)</f>
        <v>0</v>
      </c>
      <c r="Y39" s="32"/>
      <c r="Z39" s="38">
        <f>IF(AD39=0,J39,0)</f>
        <v>0</v>
      </c>
      <c r="AA39" s="38">
        <f>IF(AD39=15,J39,0)</f>
        <v>0</v>
      </c>
      <c r="AB39" s="38">
        <f>IF(AD39=21,J39,0)</f>
        <v>0</v>
      </c>
      <c r="AD39" s="38">
        <v>21</v>
      </c>
      <c r="AE39" s="38">
        <f>G39*0</f>
        <v>0</v>
      </c>
      <c r="AF39" s="38">
        <f>G39*(1-0)</f>
        <v>0</v>
      </c>
      <c r="AG39" s="39" t="s">
        <v>48</v>
      </c>
      <c r="AM39" s="38">
        <f>F39*AE39</f>
        <v>0</v>
      </c>
      <c r="AN39" s="38">
        <f>F39*AF39</f>
        <v>0</v>
      </c>
      <c r="AO39" s="39" t="s">
        <v>105</v>
      </c>
      <c r="AP39" s="39" t="s">
        <v>81</v>
      </c>
      <c r="AQ39" s="32" t="s">
        <v>53</v>
      </c>
      <c r="AS39" s="38">
        <f>AM39+AN39</f>
        <v>0</v>
      </c>
      <c r="AT39" s="38">
        <f>G39/(100-AU39)*100</f>
        <v>0</v>
      </c>
      <c r="AU39" s="38">
        <v>0</v>
      </c>
      <c r="AV39" s="38">
        <f>L39</f>
        <v>0</v>
      </c>
    </row>
    <row r="40" spans="1:48" x14ac:dyDescent="0.2">
      <c r="D40" s="40" t="s">
        <v>106</v>
      </c>
      <c r="F40" s="41">
        <v>25.41</v>
      </c>
    </row>
    <row r="41" spans="1:48" x14ac:dyDescent="0.2">
      <c r="D41" s="40" t="s">
        <v>107</v>
      </c>
      <c r="F41" s="41">
        <v>9.35</v>
      </c>
    </row>
    <row r="42" spans="1:48" x14ac:dyDescent="0.2">
      <c r="D42" s="40" t="s">
        <v>108</v>
      </c>
      <c r="F42" s="41">
        <v>37.4</v>
      </c>
    </row>
    <row r="43" spans="1:48" x14ac:dyDescent="0.2">
      <c r="D43" s="40" t="s">
        <v>109</v>
      </c>
      <c r="F43" s="41">
        <v>7.48</v>
      </c>
    </row>
    <row r="44" spans="1:48" x14ac:dyDescent="0.2">
      <c r="D44" s="40" t="s">
        <v>110</v>
      </c>
      <c r="F44" s="41">
        <v>3.7949999999999999</v>
      </c>
    </row>
    <row r="45" spans="1:48" x14ac:dyDescent="0.2">
      <c r="D45" s="40" t="s">
        <v>111</v>
      </c>
      <c r="F45" s="41">
        <v>20.239999999999998</v>
      </c>
    </row>
    <row r="46" spans="1:48" x14ac:dyDescent="0.2">
      <c r="D46" s="40" t="s">
        <v>112</v>
      </c>
      <c r="F46" s="41">
        <v>22.44</v>
      </c>
    </row>
    <row r="47" spans="1:48" x14ac:dyDescent="0.2">
      <c r="D47" s="40" t="s">
        <v>113</v>
      </c>
      <c r="F47" s="41">
        <v>10.119999999999999</v>
      </c>
    </row>
    <row r="48" spans="1:48" x14ac:dyDescent="0.2">
      <c r="D48" s="40" t="s">
        <v>107</v>
      </c>
      <c r="F48" s="41">
        <v>9.35</v>
      </c>
    </row>
    <row r="49" spans="1:48" x14ac:dyDescent="0.2">
      <c r="D49" s="40" t="s">
        <v>114</v>
      </c>
      <c r="F49" s="41">
        <v>39.270000000000003</v>
      </c>
    </row>
    <row r="50" spans="1:48" x14ac:dyDescent="0.2">
      <c r="D50" s="40" t="s">
        <v>115</v>
      </c>
      <c r="F50" s="41">
        <v>34.155000000000001</v>
      </c>
    </row>
    <row r="51" spans="1:48" x14ac:dyDescent="0.2">
      <c r="D51" s="40" t="s">
        <v>116</v>
      </c>
      <c r="F51" s="41">
        <v>0</v>
      </c>
    </row>
    <row r="52" spans="1:48" x14ac:dyDescent="0.2">
      <c r="A52" s="42"/>
      <c r="B52" s="43"/>
      <c r="C52" s="43" t="s">
        <v>117</v>
      </c>
      <c r="D52" s="70" t="s">
        <v>118</v>
      </c>
      <c r="E52" s="70"/>
      <c r="F52" s="70"/>
      <c r="G52" s="70"/>
      <c r="H52" s="37">
        <f>SUM(H53:H53)</f>
        <v>0</v>
      </c>
      <c r="I52" s="37">
        <f>SUM(I53:I53)</f>
        <v>0</v>
      </c>
      <c r="J52" s="37">
        <f>H52+I52</f>
        <v>0</v>
      </c>
      <c r="K52" s="32"/>
      <c r="L52" s="37">
        <f>SUM(L53:L53)</f>
        <v>0</v>
      </c>
      <c r="M52" s="32"/>
      <c r="Y52" s="32"/>
      <c r="AI52" s="37">
        <f>SUM(Z53:Z53)</f>
        <v>0</v>
      </c>
      <c r="AJ52" s="37">
        <f>SUM(AA53:AA53)</f>
        <v>0</v>
      </c>
      <c r="AK52" s="37">
        <f>SUM(AB53:AB53)</f>
        <v>0</v>
      </c>
    </row>
    <row r="53" spans="1:48" x14ac:dyDescent="0.2">
      <c r="A53" s="17" t="s">
        <v>119</v>
      </c>
      <c r="B53" s="17"/>
      <c r="C53" s="17" t="s">
        <v>120</v>
      </c>
      <c r="D53" s="17" t="s">
        <v>121</v>
      </c>
      <c r="E53" s="17" t="s">
        <v>104</v>
      </c>
      <c r="F53" s="38">
        <v>219</v>
      </c>
      <c r="G53" s="38"/>
      <c r="H53" s="38">
        <f>F53*AE53</f>
        <v>0</v>
      </c>
      <c r="I53" s="38">
        <f>J53-H53</f>
        <v>0</v>
      </c>
      <c r="J53" s="38">
        <f>F53*G53</f>
        <v>0</v>
      </c>
      <c r="K53" s="38">
        <v>0</v>
      </c>
      <c r="L53" s="38">
        <f>F53*K53</f>
        <v>0</v>
      </c>
      <c r="M53" s="39" t="s">
        <v>93</v>
      </c>
      <c r="P53" s="38">
        <f>IF(AG53="5",J53,0)</f>
        <v>0</v>
      </c>
      <c r="R53" s="38">
        <f>IF(AG53="1",H53,0)</f>
        <v>0</v>
      </c>
      <c r="S53" s="38">
        <f>IF(AG53="1",I53,0)</f>
        <v>0</v>
      </c>
      <c r="T53" s="38">
        <f>IF(AG53="7",H53,0)</f>
        <v>0</v>
      </c>
      <c r="U53" s="38">
        <f>IF(AG53="7",I53,0)</f>
        <v>0</v>
      </c>
      <c r="V53" s="38">
        <f>IF(AG53="2",H53,0)</f>
        <v>0</v>
      </c>
      <c r="W53" s="38">
        <f>IF(AG53="2",I53,0)</f>
        <v>0</v>
      </c>
      <c r="X53" s="38">
        <f>IF(AG53="0",J53,0)</f>
        <v>0</v>
      </c>
      <c r="Y53" s="32"/>
      <c r="Z53" s="38">
        <f>IF(AD53=0,J53,0)</f>
        <v>0</v>
      </c>
      <c r="AA53" s="38">
        <f>IF(AD53=15,J53,0)</f>
        <v>0</v>
      </c>
      <c r="AB53" s="38">
        <f>IF(AD53=21,J53,0)</f>
        <v>0</v>
      </c>
      <c r="AD53" s="38">
        <v>21</v>
      </c>
      <c r="AE53" s="38">
        <f>G53*0</f>
        <v>0</v>
      </c>
      <c r="AF53" s="38">
        <f>G53*(1-0)</f>
        <v>0</v>
      </c>
      <c r="AG53" s="39" t="s">
        <v>48</v>
      </c>
      <c r="AM53" s="38">
        <f>F53*AE53</f>
        <v>0</v>
      </c>
      <c r="AN53" s="38">
        <f>F53*AF53</f>
        <v>0</v>
      </c>
      <c r="AO53" s="39" t="s">
        <v>122</v>
      </c>
      <c r="AP53" s="39" t="s">
        <v>81</v>
      </c>
      <c r="AQ53" s="32" t="s">
        <v>53</v>
      </c>
      <c r="AS53" s="38">
        <f>AM53+AN53</f>
        <v>0</v>
      </c>
      <c r="AT53" s="38">
        <f>G53/(100-AU53)*100</f>
        <v>0</v>
      </c>
      <c r="AU53" s="38">
        <v>0</v>
      </c>
      <c r="AV53" s="38">
        <f>L53</f>
        <v>0</v>
      </c>
    </row>
    <row r="54" spans="1:48" x14ac:dyDescent="0.2">
      <c r="D54" s="40" t="s">
        <v>123</v>
      </c>
      <c r="F54" s="41">
        <v>219</v>
      </c>
    </row>
    <row r="55" spans="1:48" x14ac:dyDescent="0.2">
      <c r="A55" s="42"/>
      <c r="B55" s="43"/>
      <c r="C55" s="43" t="s">
        <v>124</v>
      </c>
      <c r="D55" s="70" t="s">
        <v>125</v>
      </c>
      <c r="E55" s="70"/>
      <c r="F55" s="70"/>
      <c r="G55" s="70"/>
      <c r="H55" s="37">
        <f>SUM(H56:H58)</f>
        <v>0</v>
      </c>
      <c r="I55" s="37">
        <f>SUM(I56:I58)</f>
        <v>0</v>
      </c>
      <c r="J55" s="37">
        <f>H55+I55</f>
        <v>0</v>
      </c>
      <c r="K55" s="32"/>
      <c r="L55" s="37">
        <f>SUM(L56:L58)</f>
        <v>76.506333000000012</v>
      </c>
      <c r="M55" s="32"/>
      <c r="Y55" s="32"/>
      <c r="AI55" s="37">
        <f>SUM(Z56:Z58)</f>
        <v>0</v>
      </c>
      <c r="AJ55" s="37">
        <f>SUM(AA56:AA58)</f>
        <v>0</v>
      </c>
      <c r="AK55" s="37">
        <f>SUM(AB56:AB58)</f>
        <v>0</v>
      </c>
    </row>
    <row r="56" spans="1:48" x14ac:dyDescent="0.2">
      <c r="A56" s="17" t="s">
        <v>75</v>
      </c>
      <c r="B56" s="17"/>
      <c r="C56" s="17" t="s">
        <v>126</v>
      </c>
      <c r="D56" s="17" t="s">
        <v>127</v>
      </c>
      <c r="E56" s="17" t="s">
        <v>70</v>
      </c>
      <c r="F56" s="38">
        <v>37.5</v>
      </c>
      <c r="G56" s="38"/>
      <c r="H56" s="38">
        <f>F56*AE56</f>
        <v>0</v>
      </c>
      <c r="I56" s="38">
        <f>J56-H56</f>
        <v>0</v>
      </c>
      <c r="J56" s="38">
        <f>F56*G56</f>
        <v>0</v>
      </c>
      <c r="K56" s="38">
        <v>0.52081999999999995</v>
      </c>
      <c r="L56" s="38">
        <f>F56*K56</f>
        <v>19.530749999999998</v>
      </c>
      <c r="M56" s="39" t="s">
        <v>93</v>
      </c>
      <c r="P56" s="38">
        <f>IF(AG56="5",J56,0)</f>
        <v>0</v>
      </c>
      <c r="R56" s="38">
        <f>IF(AG56="1",H56,0)</f>
        <v>0</v>
      </c>
      <c r="S56" s="38">
        <f>IF(AG56="1",I56,0)</f>
        <v>0</v>
      </c>
      <c r="T56" s="38">
        <f>IF(AG56="7",H56,0)</f>
        <v>0</v>
      </c>
      <c r="U56" s="38">
        <f>IF(AG56="7",I56,0)</f>
        <v>0</v>
      </c>
      <c r="V56" s="38">
        <f>IF(AG56="2",H56,0)</f>
        <v>0</v>
      </c>
      <c r="W56" s="38">
        <f>IF(AG56="2",I56,0)</f>
        <v>0</v>
      </c>
      <c r="X56" s="38">
        <f>IF(AG56="0",J56,0)</f>
        <v>0</v>
      </c>
      <c r="Y56" s="32"/>
      <c r="Z56" s="38">
        <f>IF(AD56=0,J56,0)</f>
        <v>0</v>
      </c>
      <c r="AA56" s="38">
        <f>IF(AD56=15,J56,0)</f>
        <v>0</v>
      </c>
      <c r="AB56" s="38">
        <f>IF(AD56=21,J56,0)</f>
        <v>0</v>
      </c>
      <c r="AD56" s="38">
        <v>21</v>
      </c>
      <c r="AE56" s="38">
        <f>G56*0.62349727314865</f>
        <v>0</v>
      </c>
      <c r="AF56" s="38">
        <f>G56*(1-0.62349727314865)</f>
        <v>0</v>
      </c>
      <c r="AG56" s="39" t="s">
        <v>48</v>
      </c>
      <c r="AM56" s="38">
        <f>F56*AE56</f>
        <v>0</v>
      </c>
      <c r="AN56" s="38">
        <f>F56*AF56</f>
        <v>0</v>
      </c>
      <c r="AO56" s="39" t="s">
        <v>128</v>
      </c>
      <c r="AP56" s="39" t="s">
        <v>129</v>
      </c>
      <c r="AQ56" s="32" t="s">
        <v>53</v>
      </c>
      <c r="AS56" s="38">
        <f>AM56+AN56</f>
        <v>0</v>
      </c>
      <c r="AT56" s="38">
        <f>G56/(100-AU56)*100</f>
        <v>0</v>
      </c>
      <c r="AU56" s="38">
        <v>0</v>
      </c>
      <c r="AV56" s="38">
        <f>L56</f>
        <v>19.530749999999998</v>
      </c>
    </row>
    <row r="57" spans="1:48" x14ac:dyDescent="0.2">
      <c r="D57" s="40" t="s">
        <v>130</v>
      </c>
      <c r="F57" s="41">
        <v>37.5</v>
      </c>
    </row>
    <row r="58" spans="1:48" x14ac:dyDescent="0.2">
      <c r="A58" s="17" t="s">
        <v>131</v>
      </c>
      <c r="B58" s="17"/>
      <c r="C58" s="17" t="s">
        <v>132</v>
      </c>
      <c r="D58" s="17" t="s">
        <v>133</v>
      </c>
      <c r="E58" s="17" t="s">
        <v>70</v>
      </c>
      <c r="F58" s="38">
        <v>49.7</v>
      </c>
      <c r="G58" s="38"/>
      <c r="H58" s="38">
        <f>F58*AE58</f>
        <v>0</v>
      </c>
      <c r="I58" s="38">
        <f>J58-H58</f>
        <v>0</v>
      </c>
      <c r="J58" s="38">
        <f>F58*G58</f>
        <v>0</v>
      </c>
      <c r="K58" s="38">
        <v>1.14639</v>
      </c>
      <c r="L58" s="38">
        <f>F58*K58</f>
        <v>56.975583000000007</v>
      </c>
      <c r="M58" s="39" t="s">
        <v>93</v>
      </c>
      <c r="P58" s="38">
        <f>IF(AG58="5",J58,0)</f>
        <v>0</v>
      </c>
      <c r="R58" s="38">
        <f>IF(AG58="1",H58,0)</f>
        <v>0</v>
      </c>
      <c r="S58" s="38">
        <f>IF(AG58="1",I58,0)</f>
        <v>0</v>
      </c>
      <c r="T58" s="38">
        <f>IF(AG58="7",H58,0)</f>
        <v>0</v>
      </c>
      <c r="U58" s="38">
        <f>IF(AG58="7",I58,0)</f>
        <v>0</v>
      </c>
      <c r="V58" s="38">
        <f>IF(AG58="2",H58,0)</f>
        <v>0</v>
      </c>
      <c r="W58" s="38">
        <f>IF(AG58="2",I58,0)</f>
        <v>0</v>
      </c>
      <c r="X58" s="38">
        <f>IF(AG58="0",J58,0)</f>
        <v>0</v>
      </c>
      <c r="Y58" s="32"/>
      <c r="Z58" s="38">
        <f>IF(AD58=0,J58,0)</f>
        <v>0</v>
      </c>
      <c r="AA58" s="38">
        <f>IF(AD58=15,J58,0)</f>
        <v>0</v>
      </c>
      <c r="AB58" s="38">
        <f>IF(AD58=21,J58,0)</f>
        <v>0</v>
      </c>
      <c r="AD58" s="38">
        <v>21</v>
      </c>
      <c r="AE58" s="38">
        <f>G58*0.821699285605273</f>
        <v>0</v>
      </c>
      <c r="AF58" s="38">
        <f>G58*(1-0.821699285605273)</f>
        <v>0</v>
      </c>
      <c r="AG58" s="39" t="s">
        <v>48</v>
      </c>
      <c r="AM58" s="38">
        <f>F58*AE58</f>
        <v>0</v>
      </c>
      <c r="AN58" s="38">
        <f>F58*AF58</f>
        <v>0</v>
      </c>
      <c r="AO58" s="39" t="s">
        <v>128</v>
      </c>
      <c r="AP58" s="39" t="s">
        <v>129</v>
      </c>
      <c r="AQ58" s="32" t="s">
        <v>53</v>
      </c>
      <c r="AS58" s="38">
        <f>AM58+AN58</f>
        <v>0</v>
      </c>
      <c r="AT58" s="38">
        <f>G58/(100-AU58)*100</f>
        <v>0</v>
      </c>
      <c r="AU58" s="38">
        <v>0</v>
      </c>
      <c r="AV58" s="38">
        <f>L58</f>
        <v>56.975583000000007</v>
      </c>
    </row>
    <row r="59" spans="1:48" x14ac:dyDescent="0.2">
      <c r="D59" s="40" t="s">
        <v>134</v>
      </c>
      <c r="F59" s="41">
        <v>49.7</v>
      </c>
    </row>
    <row r="60" spans="1:48" x14ac:dyDescent="0.2">
      <c r="A60" s="42"/>
      <c r="B60" s="43"/>
      <c r="C60" s="43" t="s">
        <v>135</v>
      </c>
      <c r="D60" s="70" t="s">
        <v>136</v>
      </c>
      <c r="E60" s="70"/>
      <c r="F60" s="70"/>
      <c r="G60" s="70"/>
      <c r="H60" s="37">
        <f>SUM(H61:H61)</f>
        <v>0</v>
      </c>
      <c r="I60" s="37">
        <f>SUM(I61:I61)</f>
        <v>0</v>
      </c>
      <c r="J60" s="37">
        <f>H60+I60</f>
        <v>0</v>
      </c>
      <c r="K60" s="32"/>
      <c r="L60" s="37">
        <f>SUM(L61:L61)</f>
        <v>10.485750000000001</v>
      </c>
      <c r="M60" s="32"/>
      <c r="Y60" s="32"/>
      <c r="AI60" s="37">
        <f>SUM(Z61:Z61)</f>
        <v>0</v>
      </c>
      <c r="AJ60" s="37">
        <f>SUM(AA61:AA61)</f>
        <v>0</v>
      </c>
      <c r="AK60" s="37">
        <f>SUM(AB61:AB61)</f>
        <v>0</v>
      </c>
    </row>
    <row r="61" spans="1:48" x14ac:dyDescent="0.2">
      <c r="A61" s="17" t="s">
        <v>99</v>
      </c>
      <c r="B61" s="17"/>
      <c r="C61" s="17" t="s">
        <v>137</v>
      </c>
      <c r="D61" s="17" t="s">
        <v>138</v>
      </c>
      <c r="E61" s="17" t="s">
        <v>70</v>
      </c>
      <c r="F61" s="38">
        <v>45.1</v>
      </c>
      <c r="G61" s="38"/>
      <c r="H61" s="38">
        <f>F61*AE61</f>
        <v>0</v>
      </c>
      <c r="I61" s="38">
        <f>J61-H61</f>
        <v>0</v>
      </c>
      <c r="J61" s="38">
        <f>F61*G61</f>
        <v>0</v>
      </c>
      <c r="K61" s="38">
        <v>0.23250000000000001</v>
      </c>
      <c r="L61" s="38">
        <f>F61*K61</f>
        <v>10.485750000000001</v>
      </c>
      <c r="M61" s="39" t="s">
        <v>93</v>
      </c>
      <c r="P61" s="38">
        <f>IF(AG61="5",J61,0)</f>
        <v>0</v>
      </c>
      <c r="R61" s="38">
        <f>IF(AG61="1",H61,0)</f>
        <v>0</v>
      </c>
      <c r="S61" s="38">
        <f>IF(AG61="1",I61,0)</f>
        <v>0</v>
      </c>
      <c r="T61" s="38">
        <f>IF(AG61="7",H61,0)</f>
        <v>0</v>
      </c>
      <c r="U61" s="38">
        <f>IF(AG61="7",I61,0)</f>
        <v>0</v>
      </c>
      <c r="V61" s="38">
        <f>IF(AG61="2",H61,0)</f>
        <v>0</v>
      </c>
      <c r="W61" s="38">
        <f>IF(AG61="2",I61,0)</f>
        <v>0</v>
      </c>
      <c r="X61" s="38">
        <f>IF(AG61="0",J61,0)</f>
        <v>0</v>
      </c>
      <c r="Y61" s="32"/>
      <c r="Z61" s="38">
        <f>IF(AD61=0,J61,0)</f>
        <v>0</v>
      </c>
      <c r="AA61" s="38">
        <f>IF(AD61=15,J61,0)</f>
        <v>0</v>
      </c>
      <c r="AB61" s="38">
        <f>IF(AD61=21,J61,0)</f>
        <v>0</v>
      </c>
      <c r="AD61" s="38">
        <v>21</v>
      </c>
      <c r="AE61" s="38">
        <f>G61*0.415758323057953</f>
        <v>0</v>
      </c>
      <c r="AF61" s="38">
        <f>G61*(1-0.415758323057953)</f>
        <v>0</v>
      </c>
      <c r="AG61" s="39" t="s">
        <v>48</v>
      </c>
      <c r="AM61" s="38">
        <f>F61*AE61</f>
        <v>0</v>
      </c>
      <c r="AN61" s="38">
        <f>F61*AF61</f>
        <v>0</v>
      </c>
      <c r="AO61" s="39" t="s">
        <v>139</v>
      </c>
      <c r="AP61" s="39" t="s">
        <v>129</v>
      </c>
      <c r="AQ61" s="32" t="s">
        <v>53</v>
      </c>
      <c r="AS61" s="38">
        <f>AM61+AN61</f>
        <v>0</v>
      </c>
      <c r="AT61" s="38">
        <f>G61/(100-AU61)*100</f>
        <v>0</v>
      </c>
      <c r="AU61" s="38">
        <v>0</v>
      </c>
      <c r="AV61" s="38">
        <f>L61</f>
        <v>10.485750000000001</v>
      </c>
    </row>
    <row r="62" spans="1:48" x14ac:dyDescent="0.2">
      <c r="D62" s="40" t="s">
        <v>140</v>
      </c>
      <c r="F62" s="41">
        <v>20.8</v>
      </c>
    </row>
    <row r="63" spans="1:48" x14ac:dyDescent="0.2">
      <c r="D63" s="40" t="s">
        <v>141</v>
      </c>
      <c r="F63" s="41">
        <v>9.3000000000000007</v>
      </c>
    </row>
    <row r="64" spans="1:48" x14ac:dyDescent="0.2">
      <c r="D64" s="40" t="s">
        <v>142</v>
      </c>
      <c r="F64" s="41">
        <v>15</v>
      </c>
    </row>
    <row r="65" spans="1:48" x14ac:dyDescent="0.2">
      <c r="D65" s="40" t="s">
        <v>143</v>
      </c>
      <c r="F65" s="41">
        <v>0</v>
      </c>
    </row>
    <row r="66" spans="1:48" x14ac:dyDescent="0.2">
      <c r="A66" s="42"/>
      <c r="B66" s="43"/>
      <c r="C66" s="43" t="s">
        <v>144</v>
      </c>
      <c r="D66" s="70" t="s">
        <v>145</v>
      </c>
      <c r="E66" s="70"/>
      <c r="F66" s="70"/>
      <c r="G66" s="70"/>
      <c r="H66" s="37">
        <f>SUM(H67:H67)</f>
        <v>0</v>
      </c>
      <c r="I66" s="37">
        <f>SUM(I67:I67)</f>
        <v>0</v>
      </c>
      <c r="J66" s="37">
        <f>H66+I66</f>
        <v>0</v>
      </c>
      <c r="K66" s="32"/>
      <c r="L66" s="37">
        <f>SUM(L67:L67)</f>
        <v>0.43258799999999997</v>
      </c>
      <c r="M66" s="32"/>
      <c r="Y66" s="32"/>
      <c r="AI66" s="37">
        <f>SUM(Z67:Z67)</f>
        <v>0</v>
      </c>
      <c r="AJ66" s="37">
        <f>SUM(AA67:AA67)</f>
        <v>0</v>
      </c>
      <c r="AK66" s="37">
        <f>SUM(AB67:AB67)</f>
        <v>0</v>
      </c>
    </row>
    <row r="67" spans="1:48" x14ac:dyDescent="0.2">
      <c r="A67" s="17" t="s">
        <v>146</v>
      </c>
      <c r="B67" s="17"/>
      <c r="C67" s="17" t="s">
        <v>147</v>
      </c>
      <c r="D67" s="17" t="s">
        <v>148</v>
      </c>
      <c r="E67" s="17" t="s">
        <v>92</v>
      </c>
      <c r="F67" s="38">
        <v>28.2</v>
      </c>
      <c r="G67" s="38"/>
      <c r="H67" s="38">
        <f>F67*AE67</f>
        <v>0</v>
      </c>
      <c r="I67" s="38">
        <f>J67-H67</f>
        <v>0</v>
      </c>
      <c r="J67" s="38">
        <f>F67*G67</f>
        <v>0</v>
      </c>
      <c r="K67" s="38">
        <v>1.5339999999999999E-2</v>
      </c>
      <c r="L67" s="38">
        <f>F67*K67</f>
        <v>0.43258799999999997</v>
      </c>
      <c r="M67" s="39" t="s">
        <v>93</v>
      </c>
      <c r="P67" s="38">
        <f>IF(AG67="5",J67,0)</f>
        <v>0</v>
      </c>
      <c r="R67" s="38">
        <f>IF(AG67="1",H67,0)</f>
        <v>0</v>
      </c>
      <c r="S67" s="38">
        <f>IF(AG67="1",I67,0)</f>
        <v>0</v>
      </c>
      <c r="T67" s="38">
        <f>IF(AG67="7",H67,0)</f>
        <v>0</v>
      </c>
      <c r="U67" s="38">
        <f>IF(AG67="7",I67,0)</f>
        <v>0</v>
      </c>
      <c r="V67" s="38">
        <f>IF(AG67="2",H67,0)</f>
        <v>0</v>
      </c>
      <c r="W67" s="38">
        <f>IF(AG67="2",I67,0)</f>
        <v>0</v>
      </c>
      <c r="X67" s="38">
        <f>IF(AG67="0",J67,0)</f>
        <v>0</v>
      </c>
      <c r="Y67" s="32"/>
      <c r="Z67" s="38">
        <f>IF(AD67=0,J67,0)</f>
        <v>0</v>
      </c>
      <c r="AA67" s="38">
        <f>IF(AD67=15,J67,0)</f>
        <v>0</v>
      </c>
      <c r="AB67" s="38">
        <f>IF(AD67=21,J67,0)</f>
        <v>0</v>
      </c>
      <c r="AD67" s="38">
        <v>21</v>
      </c>
      <c r="AE67" s="38">
        <f>G67*0.0968983957219251</f>
        <v>0</v>
      </c>
      <c r="AF67" s="38">
        <f>G67*(1-0.0968983957219251)</f>
        <v>0</v>
      </c>
      <c r="AG67" s="39" t="s">
        <v>48</v>
      </c>
      <c r="AM67" s="38">
        <f>F67*AE67</f>
        <v>0</v>
      </c>
      <c r="AN67" s="38">
        <f>F67*AF67</f>
        <v>0</v>
      </c>
      <c r="AO67" s="39" t="s">
        <v>149</v>
      </c>
      <c r="AP67" s="39" t="s">
        <v>150</v>
      </c>
      <c r="AQ67" s="32" t="s">
        <v>53</v>
      </c>
      <c r="AS67" s="38">
        <f>AM67+AN67</f>
        <v>0</v>
      </c>
      <c r="AT67" s="38">
        <f>G67/(100-AU67)*100</f>
        <v>0</v>
      </c>
      <c r="AU67" s="38">
        <v>0</v>
      </c>
      <c r="AV67" s="38">
        <f>L67</f>
        <v>0.43258799999999997</v>
      </c>
    </row>
    <row r="68" spans="1:48" x14ac:dyDescent="0.2">
      <c r="D68" s="40" t="s">
        <v>151</v>
      </c>
      <c r="F68" s="41">
        <v>28.2</v>
      </c>
    </row>
    <row r="69" spans="1:48" x14ac:dyDescent="0.2">
      <c r="A69" s="42"/>
      <c r="B69" s="43"/>
      <c r="C69" s="43" t="s">
        <v>152</v>
      </c>
      <c r="D69" s="70" t="s">
        <v>153</v>
      </c>
      <c r="E69" s="70"/>
      <c r="F69" s="70"/>
      <c r="G69" s="70"/>
      <c r="H69" s="37">
        <f>SUM(H70:H70)</f>
        <v>0</v>
      </c>
      <c r="I69" s="37">
        <f>SUM(I70:I70)</f>
        <v>0</v>
      </c>
      <c r="J69" s="37">
        <f>H69+I69</f>
        <v>0</v>
      </c>
      <c r="K69" s="32"/>
      <c r="L69" s="37">
        <f>SUM(L70:L70)</f>
        <v>11.226599999999999</v>
      </c>
      <c r="M69" s="32"/>
      <c r="Y69" s="32"/>
      <c r="AI69" s="37">
        <f>SUM(Z70:Z70)</f>
        <v>0</v>
      </c>
      <c r="AJ69" s="37">
        <f>SUM(AA70:AA70)</f>
        <v>0</v>
      </c>
      <c r="AK69" s="37">
        <f>SUM(AB70:AB70)</f>
        <v>0</v>
      </c>
    </row>
    <row r="70" spans="1:48" x14ac:dyDescent="0.2">
      <c r="A70" s="17" t="s">
        <v>154</v>
      </c>
      <c r="B70" s="17"/>
      <c r="C70" s="17" t="s">
        <v>155</v>
      </c>
      <c r="D70" s="17" t="s">
        <v>156</v>
      </c>
      <c r="E70" s="17" t="s">
        <v>70</v>
      </c>
      <c r="F70" s="38">
        <v>510.3</v>
      </c>
      <c r="G70" s="38"/>
      <c r="H70" s="38">
        <f>F70*AE70</f>
        <v>0</v>
      </c>
      <c r="I70" s="38">
        <f>J70-H70</f>
        <v>0</v>
      </c>
      <c r="J70" s="38">
        <f>F70*G70</f>
        <v>0</v>
      </c>
      <c r="K70" s="38">
        <v>2.1999999999999999E-2</v>
      </c>
      <c r="L70" s="38">
        <f>F70*K70</f>
        <v>11.226599999999999</v>
      </c>
      <c r="M70" s="39"/>
      <c r="P70" s="38">
        <f>IF(AG70="5",J70,0)</f>
        <v>0</v>
      </c>
      <c r="R70" s="38">
        <f>IF(AG70="1",H70,0)</f>
        <v>0</v>
      </c>
      <c r="S70" s="38">
        <f>IF(AG70="1",I70,0)</f>
        <v>0</v>
      </c>
      <c r="T70" s="38">
        <f>IF(AG70="7",H70,0)</f>
        <v>0</v>
      </c>
      <c r="U70" s="38">
        <f>IF(AG70="7",I70,0)</f>
        <v>0</v>
      </c>
      <c r="V70" s="38">
        <f>IF(AG70="2",H70,0)</f>
        <v>0</v>
      </c>
      <c r="W70" s="38">
        <f>IF(AG70="2",I70,0)</f>
        <v>0</v>
      </c>
      <c r="X70" s="38">
        <f>IF(AG70="0",J70,0)</f>
        <v>0</v>
      </c>
      <c r="Y70" s="32"/>
      <c r="Z70" s="38">
        <f>IF(AD70=0,J70,0)</f>
        <v>0</v>
      </c>
      <c r="AA70" s="38">
        <f>IF(AD70=15,J70,0)</f>
        <v>0</v>
      </c>
      <c r="AB70" s="38">
        <f>IF(AD70=21,J70,0)</f>
        <v>0</v>
      </c>
      <c r="AD70" s="38">
        <v>21</v>
      </c>
      <c r="AE70" s="38">
        <f>G70*0.588235294117647</f>
        <v>0</v>
      </c>
      <c r="AF70" s="38">
        <f>G70*(1-0.588235294117647)</f>
        <v>0</v>
      </c>
      <c r="AG70" s="39" t="s">
        <v>48</v>
      </c>
      <c r="AM70" s="38">
        <f>F70*AE70</f>
        <v>0</v>
      </c>
      <c r="AN70" s="38">
        <f>F70*AF70</f>
        <v>0</v>
      </c>
      <c r="AO70" s="39" t="s">
        <v>157</v>
      </c>
      <c r="AP70" s="39" t="s">
        <v>150</v>
      </c>
      <c r="AQ70" s="32" t="s">
        <v>53</v>
      </c>
      <c r="AS70" s="38">
        <f>AM70+AN70</f>
        <v>0</v>
      </c>
      <c r="AT70" s="38">
        <f>G70/(100-AU70)*100</f>
        <v>0</v>
      </c>
      <c r="AU70" s="38">
        <v>0</v>
      </c>
      <c r="AV70" s="38">
        <f>L70</f>
        <v>11.226599999999999</v>
      </c>
    </row>
    <row r="71" spans="1:48" x14ac:dyDescent="0.2">
      <c r="D71" s="40" t="s">
        <v>158</v>
      </c>
      <c r="F71" s="41">
        <v>510.3</v>
      </c>
    </row>
    <row r="72" spans="1:48" x14ac:dyDescent="0.2">
      <c r="A72" s="42"/>
      <c r="B72" s="43"/>
      <c r="C72" s="43" t="s">
        <v>159</v>
      </c>
      <c r="D72" s="70" t="s">
        <v>160</v>
      </c>
      <c r="E72" s="70"/>
      <c r="F72" s="70"/>
      <c r="G72" s="70"/>
      <c r="H72" s="37">
        <f>SUM(H73:H81)</f>
        <v>0</v>
      </c>
      <c r="I72" s="37">
        <f>SUM(I73:I81)</f>
        <v>0</v>
      </c>
      <c r="J72" s="37">
        <f>H72+I72</f>
        <v>0</v>
      </c>
      <c r="K72" s="32"/>
      <c r="L72" s="37">
        <f>SUM(L73:L81)</f>
        <v>3.6628825000000003</v>
      </c>
      <c r="M72" s="32"/>
      <c r="Y72" s="32"/>
      <c r="AI72" s="37">
        <f>SUM(Z73:Z81)</f>
        <v>0</v>
      </c>
      <c r="AJ72" s="37">
        <f>SUM(AA73:AA81)</f>
        <v>0</v>
      </c>
      <c r="AK72" s="37">
        <f>SUM(AB73:AB81)</f>
        <v>0</v>
      </c>
    </row>
    <row r="73" spans="1:48" x14ac:dyDescent="0.2">
      <c r="A73" s="17" t="s">
        <v>161</v>
      </c>
      <c r="B73" s="17"/>
      <c r="C73" s="17" t="s">
        <v>162</v>
      </c>
      <c r="D73" s="17" t="s">
        <v>163</v>
      </c>
      <c r="E73" s="17" t="s">
        <v>70</v>
      </c>
      <c r="F73" s="38">
        <v>102.65</v>
      </c>
      <c r="G73" s="38"/>
      <c r="H73" s="38">
        <f>F73*AE73</f>
        <v>0</v>
      </c>
      <c r="I73" s="38">
        <f>J73-H73</f>
        <v>0</v>
      </c>
      <c r="J73" s="38">
        <f>F73*G73</f>
        <v>0</v>
      </c>
      <c r="K73" s="38">
        <v>0</v>
      </c>
      <c r="L73" s="38">
        <f>F73*K73</f>
        <v>0</v>
      </c>
      <c r="M73" s="39" t="s">
        <v>93</v>
      </c>
      <c r="P73" s="38">
        <f>IF(AG73="5",J73,0)</f>
        <v>0</v>
      </c>
      <c r="R73" s="38">
        <f>IF(AG73="1",H73,0)</f>
        <v>0</v>
      </c>
      <c r="S73" s="38">
        <f>IF(AG73="1",I73,0)</f>
        <v>0</v>
      </c>
      <c r="T73" s="38">
        <f>IF(AG73="7",H73,0)</f>
        <v>0</v>
      </c>
      <c r="U73" s="38">
        <f>IF(AG73="7",I73,0)</f>
        <v>0</v>
      </c>
      <c r="V73" s="38">
        <f>IF(AG73="2",H73,0)</f>
        <v>0</v>
      </c>
      <c r="W73" s="38">
        <f>IF(AG73="2",I73,0)</f>
        <v>0</v>
      </c>
      <c r="X73" s="38">
        <f>IF(AG73="0",J73,0)</f>
        <v>0</v>
      </c>
      <c r="Y73" s="32"/>
      <c r="Z73" s="38">
        <f>IF(AD73=0,J73,0)</f>
        <v>0</v>
      </c>
      <c r="AA73" s="38">
        <f>IF(AD73=15,J73,0)</f>
        <v>0</v>
      </c>
      <c r="AB73" s="38">
        <f>IF(AD73=21,J73,0)</f>
        <v>0</v>
      </c>
      <c r="AD73" s="38">
        <v>21</v>
      </c>
      <c r="AE73" s="38">
        <f>G73*0</f>
        <v>0</v>
      </c>
      <c r="AF73" s="38">
        <f>G73*(1-0)</f>
        <v>0</v>
      </c>
      <c r="AG73" s="39" t="s">
        <v>48</v>
      </c>
      <c r="AM73" s="38">
        <f>F73*AE73</f>
        <v>0</v>
      </c>
      <c r="AN73" s="38">
        <f>F73*AF73</f>
        <v>0</v>
      </c>
      <c r="AO73" s="39" t="s">
        <v>164</v>
      </c>
      <c r="AP73" s="39" t="s">
        <v>150</v>
      </c>
      <c r="AQ73" s="32" t="s">
        <v>53</v>
      </c>
      <c r="AS73" s="38">
        <f>AM73+AN73</f>
        <v>0</v>
      </c>
      <c r="AT73" s="38">
        <f>G73/(100-AU73)*100</f>
        <v>0</v>
      </c>
      <c r="AU73" s="38">
        <v>0</v>
      </c>
      <c r="AV73" s="38">
        <f>L73</f>
        <v>0</v>
      </c>
    </row>
    <row r="74" spans="1:48" x14ac:dyDescent="0.2">
      <c r="D74" s="40" t="s">
        <v>165</v>
      </c>
      <c r="F74" s="41">
        <v>63.8</v>
      </c>
    </row>
    <row r="75" spans="1:48" x14ac:dyDescent="0.2">
      <c r="D75" s="40" t="s">
        <v>166</v>
      </c>
      <c r="F75" s="41">
        <v>4.95</v>
      </c>
    </row>
    <row r="76" spans="1:48" x14ac:dyDescent="0.2">
      <c r="D76" s="40" t="s">
        <v>167</v>
      </c>
      <c r="F76" s="41">
        <v>33.9</v>
      </c>
    </row>
    <row r="77" spans="1:48" x14ac:dyDescent="0.2">
      <c r="D77" s="40" t="s">
        <v>168</v>
      </c>
      <c r="F77" s="41">
        <v>0</v>
      </c>
    </row>
    <row r="78" spans="1:48" x14ac:dyDescent="0.2">
      <c r="A78" s="17" t="s">
        <v>117</v>
      </c>
      <c r="B78" s="17"/>
      <c r="C78" s="17" t="s">
        <v>169</v>
      </c>
      <c r="D78" s="17" t="s">
        <v>170</v>
      </c>
      <c r="E78" s="17" t="s">
        <v>70</v>
      </c>
      <c r="F78" s="38">
        <v>41.25</v>
      </c>
      <c r="G78" s="38"/>
      <c r="H78" s="38">
        <f>F78*AE78</f>
        <v>0</v>
      </c>
      <c r="I78" s="38">
        <f>J78-H78</f>
        <v>0</v>
      </c>
      <c r="J78" s="38">
        <f>F78*G78</f>
        <v>0</v>
      </c>
      <c r="K78" s="38">
        <v>5.2650000000000002E-2</v>
      </c>
      <c r="L78" s="38">
        <f>F78*K78</f>
        <v>2.1718125000000001</v>
      </c>
      <c r="M78" s="39" t="s">
        <v>93</v>
      </c>
      <c r="P78" s="38">
        <f>IF(AG78="5",J78,0)</f>
        <v>0</v>
      </c>
      <c r="R78" s="38">
        <f>IF(AG78="1",H78,0)</f>
        <v>0</v>
      </c>
      <c r="S78" s="38">
        <f>IF(AG78="1",I78,0)</f>
        <v>0</v>
      </c>
      <c r="T78" s="38">
        <f>IF(AG78="7",H78,0)</f>
        <v>0</v>
      </c>
      <c r="U78" s="38">
        <f>IF(AG78="7",I78,0)</f>
        <v>0</v>
      </c>
      <c r="V78" s="38">
        <f>IF(AG78="2",H78,0)</f>
        <v>0</v>
      </c>
      <c r="W78" s="38">
        <f>IF(AG78="2",I78,0)</f>
        <v>0</v>
      </c>
      <c r="X78" s="38">
        <f>IF(AG78="0",J78,0)</f>
        <v>0</v>
      </c>
      <c r="Y78" s="32"/>
      <c r="Z78" s="38">
        <f>IF(AD78=0,J78,0)</f>
        <v>0</v>
      </c>
      <c r="AA78" s="38">
        <f>IF(AD78=15,J78,0)</f>
        <v>0</v>
      </c>
      <c r="AB78" s="38">
        <f>IF(AD78=21,J78,0)</f>
        <v>0</v>
      </c>
      <c r="AD78" s="38">
        <v>21</v>
      </c>
      <c r="AE78" s="38">
        <f>G78*0.156662143826323</f>
        <v>0</v>
      </c>
      <c r="AF78" s="38">
        <f>G78*(1-0.156662143826323)</f>
        <v>0</v>
      </c>
      <c r="AG78" s="39" t="s">
        <v>48</v>
      </c>
      <c r="AM78" s="38">
        <f>F78*AE78</f>
        <v>0</v>
      </c>
      <c r="AN78" s="38">
        <f>F78*AF78</f>
        <v>0</v>
      </c>
      <c r="AO78" s="39" t="s">
        <v>164</v>
      </c>
      <c r="AP78" s="39" t="s">
        <v>150</v>
      </c>
      <c r="AQ78" s="32" t="s">
        <v>53</v>
      </c>
      <c r="AS78" s="38">
        <f>AM78+AN78</f>
        <v>0</v>
      </c>
      <c r="AT78" s="38">
        <f>G78/(100-AU78)*100</f>
        <v>0</v>
      </c>
      <c r="AU78" s="38">
        <v>0</v>
      </c>
      <c r="AV78" s="38">
        <f>L78</f>
        <v>2.1718125000000001</v>
      </c>
    </row>
    <row r="79" spans="1:48" x14ac:dyDescent="0.2">
      <c r="D79" s="40" t="s">
        <v>171</v>
      </c>
      <c r="F79" s="41">
        <v>41.25</v>
      </c>
    </row>
    <row r="80" spans="1:48" x14ac:dyDescent="0.2">
      <c r="D80" s="40" t="s">
        <v>172</v>
      </c>
      <c r="F80" s="41">
        <v>0</v>
      </c>
    </row>
    <row r="81" spans="1:48" x14ac:dyDescent="0.2">
      <c r="A81" s="17" t="s">
        <v>173</v>
      </c>
      <c r="B81" s="17"/>
      <c r="C81" s="17" t="s">
        <v>174</v>
      </c>
      <c r="D81" s="17" t="s">
        <v>175</v>
      </c>
      <c r="E81" s="17" t="s">
        <v>70</v>
      </c>
      <c r="F81" s="38">
        <v>119</v>
      </c>
      <c r="G81" s="38"/>
      <c r="H81" s="38">
        <f>F81*AE81</f>
        <v>0</v>
      </c>
      <c r="I81" s="38">
        <f>J81-H81</f>
        <v>0</v>
      </c>
      <c r="J81" s="38">
        <f>F81*G81</f>
        <v>0</v>
      </c>
      <c r="K81" s="38">
        <v>1.2529999999999999E-2</v>
      </c>
      <c r="L81" s="38">
        <f>F81*K81</f>
        <v>1.4910699999999999</v>
      </c>
      <c r="M81" s="39" t="s">
        <v>93</v>
      </c>
      <c r="P81" s="38">
        <f>IF(AG81="5",J81,0)</f>
        <v>0</v>
      </c>
      <c r="R81" s="38">
        <f>IF(AG81="1",H81,0)</f>
        <v>0</v>
      </c>
      <c r="S81" s="38">
        <f>IF(AG81="1",I81,0)</f>
        <v>0</v>
      </c>
      <c r="T81" s="38">
        <f>IF(AG81="7",H81,0)</f>
        <v>0</v>
      </c>
      <c r="U81" s="38">
        <f>IF(AG81="7",I81,0)</f>
        <v>0</v>
      </c>
      <c r="V81" s="38">
        <f>IF(AG81="2",H81,0)</f>
        <v>0</v>
      </c>
      <c r="W81" s="38">
        <f>IF(AG81="2",I81,0)</f>
        <v>0</v>
      </c>
      <c r="X81" s="38">
        <f>IF(AG81="0",J81,0)</f>
        <v>0</v>
      </c>
      <c r="Y81" s="32"/>
      <c r="Z81" s="38">
        <f>IF(AD81=0,J81,0)</f>
        <v>0</v>
      </c>
      <c r="AA81" s="38">
        <f>IF(AD81=15,J81,0)</f>
        <v>0</v>
      </c>
      <c r="AB81" s="38">
        <f>IF(AD81=21,J81,0)</f>
        <v>0</v>
      </c>
      <c r="AD81" s="38">
        <v>21</v>
      </c>
      <c r="AE81" s="38">
        <f>G81*0.651154285714286</f>
        <v>0</v>
      </c>
      <c r="AF81" s="38">
        <f>G81*(1-0.651154285714286)</f>
        <v>0</v>
      </c>
      <c r="AG81" s="39" t="s">
        <v>48</v>
      </c>
      <c r="AM81" s="38">
        <f>F81*AE81</f>
        <v>0</v>
      </c>
      <c r="AN81" s="38">
        <f>F81*AF81</f>
        <v>0</v>
      </c>
      <c r="AO81" s="39" t="s">
        <v>164</v>
      </c>
      <c r="AP81" s="39" t="s">
        <v>150</v>
      </c>
      <c r="AQ81" s="32" t="s">
        <v>53</v>
      </c>
      <c r="AS81" s="38">
        <f>AM81+AN81</f>
        <v>0</v>
      </c>
      <c r="AT81" s="38">
        <f>G81/(100-AU81)*100</f>
        <v>0</v>
      </c>
      <c r="AU81" s="38">
        <v>0</v>
      </c>
      <c r="AV81" s="38">
        <f>L81</f>
        <v>1.4910699999999999</v>
      </c>
    </row>
    <row r="82" spans="1:48" x14ac:dyDescent="0.2">
      <c r="D82" s="40" t="s">
        <v>176</v>
      </c>
      <c r="F82" s="41">
        <v>62.5</v>
      </c>
    </row>
    <row r="83" spans="1:48" x14ac:dyDescent="0.2">
      <c r="D83" s="40" t="s">
        <v>177</v>
      </c>
      <c r="F83" s="41">
        <v>0</v>
      </c>
    </row>
    <row r="84" spans="1:48" x14ac:dyDescent="0.2">
      <c r="D84" s="40" t="s">
        <v>178</v>
      </c>
      <c r="F84" s="41">
        <v>56.5</v>
      </c>
    </row>
    <row r="85" spans="1:48" x14ac:dyDescent="0.2">
      <c r="D85" s="40" t="s">
        <v>179</v>
      </c>
      <c r="F85" s="41">
        <v>0</v>
      </c>
    </row>
    <row r="86" spans="1:48" x14ac:dyDescent="0.2">
      <c r="A86" s="42"/>
      <c r="B86" s="43"/>
      <c r="C86" s="43" t="s">
        <v>180</v>
      </c>
      <c r="D86" s="70" t="s">
        <v>181</v>
      </c>
      <c r="E86" s="70"/>
      <c r="F86" s="70"/>
      <c r="G86" s="70"/>
      <c r="H86" s="37">
        <f>SUM(H87:H87)</f>
        <v>0</v>
      </c>
      <c r="I86" s="37">
        <f>SUM(I87:I87)</f>
        <v>0</v>
      </c>
      <c r="J86" s="37">
        <f>H86+I86</f>
        <v>0</v>
      </c>
      <c r="K86" s="32"/>
      <c r="L86" s="37">
        <f>SUM(L87:L87)</f>
        <v>18.013155000000001</v>
      </c>
      <c r="M86" s="32"/>
      <c r="Y86" s="32"/>
      <c r="AI86" s="37">
        <f>SUM(Z87:Z87)</f>
        <v>0</v>
      </c>
      <c r="AJ86" s="37">
        <f>SUM(AA87:AA87)</f>
        <v>0</v>
      </c>
      <c r="AK86" s="37">
        <f>SUM(AB87:AB87)</f>
        <v>0</v>
      </c>
    </row>
    <row r="87" spans="1:48" x14ac:dyDescent="0.2">
      <c r="A87" s="17" t="s">
        <v>182</v>
      </c>
      <c r="B87" s="17"/>
      <c r="C87" s="17" t="s">
        <v>183</v>
      </c>
      <c r="D87" s="17" t="s">
        <v>184</v>
      </c>
      <c r="E87" s="17" t="s">
        <v>92</v>
      </c>
      <c r="F87" s="38">
        <v>51.5</v>
      </c>
      <c r="G87" s="38"/>
      <c r="H87" s="38">
        <f>F87*AE87</f>
        <v>0</v>
      </c>
      <c r="I87" s="38">
        <f>J87-H87</f>
        <v>0</v>
      </c>
      <c r="J87" s="38">
        <f>F87*G87</f>
        <v>0</v>
      </c>
      <c r="K87" s="38">
        <v>0.34977000000000003</v>
      </c>
      <c r="L87" s="38">
        <f>F87*K87</f>
        <v>18.013155000000001</v>
      </c>
      <c r="M87" s="39" t="s">
        <v>93</v>
      </c>
      <c r="P87" s="38">
        <f>IF(AG87="5",J87,0)</f>
        <v>0</v>
      </c>
      <c r="R87" s="38">
        <f>IF(AG87="1",H87,0)</f>
        <v>0</v>
      </c>
      <c r="S87" s="38">
        <f>IF(AG87="1",I87,0)</f>
        <v>0</v>
      </c>
      <c r="T87" s="38">
        <f>IF(AG87="7",H87,0)</f>
        <v>0</v>
      </c>
      <c r="U87" s="38">
        <f>IF(AG87="7",I87,0)</f>
        <v>0</v>
      </c>
      <c r="V87" s="38">
        <f>IF(AG87="2",H87,0)</f>
        <v>0</v>
      </c>
      <c r="W87" s="38">
        <f>IF(AG87="2",I87,0)</f>
        <v>0</v>
      </c>
      <c r="X87" s="38">
        <f>IF(AG87="0",J87,0)</f>
        <v>0</v>
      </c>
      <c r="Y87" s="32"/>
      <c r="Z87" s="38">
        <f>IF(AD87=0,J87,0)</f>
        <v>0</v>
      </c>
      <c r="AA87" s="38">
        <f>IF(AD87=15,J87,0)</f>
        <v>0</v>
      </c>
      <c r="AB87" s="38">
        <f>IF(AD87=21,J87,0)</f>
        <v>0</v>
      </c>
      <c r="AD87" s="38">
        <v>21</v>
      </c>
      <c r="AE87" s="38">
        <f>G87*0.592278358603828</f>
        <v>0</v>
      </c>
      <c r="AF87" s="38">
        <f>G87*(1-0.592278358603828)</f>
        <v>0</v>
      </c>
      <c r="AG87" s="39" t="s">
        <v>48</v>
      </c>
      <c r="AM87" s="38">
        <f>F87*AE87</f>
        <v>0</v>
      </c>
      <c r="AN87" s="38">
        <f>F87*AF87</f>
        <v>0</v>
      </c>
      <c r="AO87" s="39" t="s">
        <v>185</v>
      </c>
      <c r="AP87" s="39" t="s">
        <v>150</v>
      </c>
      <c r="AQ87" s="32" t="s">
        <v>53</v>
      </c>
      <c r="AS87" s="38">
        <f>AM87+AN87</f>
        <v>0</v>
      </c>
      <c r="AT87" s="38">
        <f>G87/(100-AU87)*100</f>
        <v>0</v>
      </c>
      <c r="AU87" s="38">
        <v>0</v>
      </c>
      <c r="AV87" s="38">
        <f>L87</f>
        <v>18.013155000000001</v>
      </c>
    </row>
    <row r="88" spans="1:48" x14ac:dyDescent="0.2">
      <c r="D88" s="40" t="s">
        <v>186</v>
      </c>
      <c r="F88" s="41">
        <v>51.5</v>
      </c>
    </row>
    <row r="89" spans="1:48" x14ac:dyDescent="0.2">
      <c r="A89" s="42"/>
      <c r="B89" s="43"/>
      <c r="C89" s="43" t="s">
        <v>187</v>
      </c>
      <c r="D89" s="70" t="s">
        <v>188</v>
      </c>
      <c r="E89" s="70"/>
      <c r="F89" s="70"/>
      <c r="G89" s="70"/>
      <c r="H89" s="37">
        <f>SUM(H90:H98)</f>
        <v>0</v>
      </c>
      <c r="I89" s="37">
        <f>SUM(I90:I98)</f>
        <v>0</v>
      </c>
      <c r="J89" s="37">
        <f>H89+I89</f>
        <v>0</v>
      </c>
      <c r="K89" s="32"/>
      <c r="L89" s="37">
        <f>SUM(L90:L98)</f>
        <v>3.1068501000000004</v>
      </c>
      <c r="M89" s="32"/>
      <c r="Y89" s="32"/>
      <c r="AI89" s="37">
        <f>SUM(Z90:Z98)</f>
        <v>0</v>
      </c>
      <c r="AJ89" s="37">
        <f>SUM(AA90:AA98)</f>
        <v>0</v>
      </c>
      <c r="AK89" s="37">
        <f>SUM(AB90:AB98)</f>
        <v>0</v>
      </c>
    </row>
    <row r="90" spans="1:48" x14ac:dyDescent="0.2">
      <c r="A90" s="17" t="s">
        <v>189</v>
      </c>
      <c r="B90" s="17"/>
      <c r="C90" s="17" t="s">
        <v>190</v>
      </c>
      <c r="D90" s="17" t="s">
        <v>191</v>
      </c>
      <c r="E90" s="17" t="s">
        <v>70</v>
      </c>
      <c r="F90" s="38">
        <v>41.25</v>
      </c>
      <c r="G90" s="38"/>
      <c r="H90" s="38">
        <f>F90*AE90</f>
        <v>0</v>
      </c>
      <c r="I90" s="38">
        <f>J90-H90</f>
        <v>0</v>
      </c>
      <c r="J90" s="38">
        <f>F90*G90</f>
        <v>0</v>
      </c>
      <c r="K90" s="38">
        <v>1.03E-2</v>
      </c>
      <c r="L90" s="38">
        <f>F90*K90</f>
        <v>0.424875</v>
      </c>
      <c r="M90" s="39" t="s">
        <v>93</v>
      </c>
      <c r="P90" s="38">
        <f>IF(AG90="5",J90,0)</f>
        <v>0</v>
      </c>
      <c r="R90" s="38">
        <f>IF(AG90="1",H90,0)</f>
        <v>0</v>
      </c>
      <c r="S90" s="38">
        <f>IF(AG90="1",I90,0)</f>
        <v>0</v>
      </c>
      <c r="T90" s="38">
        <f>IF(AG90="7",H90,0)</f>
        <v>0</v>
      </c>
      <c r="U90" s="38">
        <f>IF(AG90="7",I90,0)</f>
        <v>0</v>
      </c>
      <c r="V90" s="38">
        <f>IF(AG90="2",H90,0)</f>
        <v>0</v>
      </c>
      <c r="W90" s="38">
        <f>IF(AG90="2",I90,0)</f>
        <v>0</v>
      </c>
      <c r="X90" s="38">
        <f>IF(AG90="0",J90,0)</f>
        <v>0</v>
      </c>
      <c r="Y90" s="32"/>
      <c r="Z90" s="38">
        <f>IF(AD90=0,J90,0)</f>
        <v>0</v>
      </c>
      <c r="AA90" s="38">
        <f>IF(AD90=15,J90,0)</f>
        <v>0</v>
      </c>
      <c r="AB90" s="38">
        <f>IF(AD90=21,J90,0)</f>
        <v>0</v>
      </c>
      <c r="AD90" s="38">
        <v>21</v>
      </c>
      <c r="AE90" s="38">
        <f>G90*0</f>
        <v>0</v>
      </c>
      <c r="AF90" s="38">
        <f>G90*(1-0)</f>
        <v>0</v>
      </c>
      <c r="AG90" s="39" t="s">
        <v>89</v>
      </c>
      <c r="AM90" s="38">
        <f>F90*AE90</f>
        <v>0</v>
      </c>
      <c r="AN90" s="38">
        <f>F90*AF90</f>
        <v>0</v>
      </c>
      <c r="AO90" s="39" t="s">
        <v>192</v>
      </c>
      <c r="AP90" s="39" t="s">
        <v>193</v>
      </c>
      <c r="AQ90" s="32" t="s">
        <v>53</v>
      </c>
      <c r="AS90" s="38">
        <f>AM90+AN90</f>
        <v>0</v>
      </c>
      <c r="AT90" s="38">
        <f>G90/(100-AU90)*100</f>
        <v>0</v>
      </c>
      <c r="AU90" s="38">
        <v>0</v>
      </c>
      <c r="AV90" s="38">
        <f>L90</f>
        <v>0.424875</v>
      </c>
    </row>
    <row r="91" spans="1:48" x14ac:dyDescent="0.2">
      <c r="D91" s="40" t="s">
        <v>194</v>
      </c>
      <c r="F91" s="41">
        <v>41.25</v>
      </c>
    </row>
    <row r="92" spans="1:48" x14ac:dyDescent="0.2">
      <c r="D92" s="40" t="s">
        <v>195</v>
      </c>
      <c r="F92" s="41">
        <v>0</v>
      </c>
    </row>
    <row r="93" spans="1:48" x14ac:dyDescent="0.2">
      <c r="A93" s="17" t="s">
        <v>196</v>
      </c>
      <c r="B93" s="17"/>
      <c r="C93" s="17" t="s">
        <v>197</v>
      </c>
      <c r="D93" s="17" t="s">
        <v>198</v>
      </c>
      <c r="E93" s="17" t="s">
        <v>70</v>
      </c>
      <c r="F93" s="38">
        <v>196.77</v>
      </c>
      <c r="G93" s="38"/>
      <c r="H93" s="38">
        <f>F93*AE93</f>
        <v>0</v>
      </c>
      <c r="I93" s="38">
        <f>J93-H93</f>
        <v>0</v>
      </c>
      <c r="J93" s="38">
        <f>F93*G93</f>
        <v>0</v>
      </c>
      <c r="K93" s="38">
        <v>1.355E-2</v>
      </c>
      <c r="L93" s="38">
        <f>F93*K93</f>
        <v>2.6662335000000001</v>
      </c>
      <c r="M93" s="39" t="s">
        <v>93</v>
      </c>
      <c r="P93" s="38">
        <f>IF(AG93="5",J93,0)</f>
        <v>0</v>
      </c>
      <c r="R93" s="38">
        <f>IF(AG93="1",H93,0)</f>
        <v>0</v>
      </c>
      <c r="S93" s="38">
        <f>IF(AG93="1",I93,0)</f>
        <v>0</v>
      </c>
      <c r="T93" s="38">
        <f>IF(AG93="7",H93,0)</f>
        <v>0</v>
      </c>
      <c r="U93" s="38">
        <f>IF(AG93="7",I93,0)</f>
        <v>0</v>
      </c>
      <c r="V93" s="38">
        <f>IF(AG93="2",H93,0)</f>
        <v>0</v>
      </c>
      <c r="W93" s="38">
        <f>IF(AG93="2",I93,0)</f>
        <v>0</v>
      </c>
      <c r="X93" s="38">
        <f>IF(AG93="0",J93,0)</f>
        <v>0</v>
      </c>
      <c r="Y93" s="32"/>
      <c r="Z93" s="38">
        <f>IF(AD93=0,J93,0)</f>
        <v>0</v>
      </c>
      <c r="AA93" s="38">
        <f>IF(AD93=15,J93,0)</f>
        <v>0</v>
      </c>
      <c r="AB93" s="38">
        <f>IF(AD93=21,J93,0)</f>
        <v>0</v>
      </c>
      <c r="AD93" s="38">
        <v>21</v>
      </c>
      <c r="AE93" s="38">
        <f>G93*0.546095165656249</f>
        <v>0</v>
      </c>
      <c r="AF93" s="38">
        <f>G93*(1-0.546095165656249)</f>
        <v>0</v>
      </c>
      <c r="AG93" s="39" t="s">
        <v>89</v>
      </c>
      <c r="AM93" s="38">
        <f>F93*AE93</f>
        <v>0</v>
      </c>
      <c r="AN93" s="38">
        <f>F93*AF93</f>
        <v>0</v>
      </c>
      <c r="AO93" s="39" t="s">
        <v>192</v>
      </c>
      <c r="AP93" s="39" t="s">
        <v>193</v>
      </c>
      <c r="AQ93" s="32" t="s">
        <v>53</v>
      </c>
      <c r="AS93" s="38">
        <f>AM93+AN93</f>
        <v>0</v>
      </c>
      <c r="AT93" s="38">
        <f>G93/(100-AU93)*100</f>
        <v>0</v>
      </c>
      <c r="AU93" s="38">
        <v>0</v>
      </c>
      <c r="AV93" s="38">
        <f>L93</f>
        <v>2.6662335000000001</v>
      </c>
    </row>
    <row r="94" spans="1:48" x14ac:dyDescent="0.2">
      <c r="D94" s="40" t="s">
        <v>199</v>
      </c>
      <c r="F94" s="41">
        <v>68.75</v>
      </c>
    </row>
    <row r="95" spans="1:48" x14ac:dyDescent="0.2">
      <c r="D95" s="40" t="s">
        <v>200</v>
      </c>
      <c r="F95" s="41">
        <v>33.9</v>
      </c>
    </row>
    <row r="96" spans="1:48" x14ac:dyDescent="0.2">
      <c r="D96" s="40" t="s">
        <v>201</v>
      </c>
      <c r="F96" s="41">
        <v>84.75</v>
      </c>
    </row>
    <row r="97" spans="1:48" x14ac:dyDescent="0.2">
      <c r="D97" s="40" t="s">
        <v>202</v>
      </c>
      <c r="F97" s="41">
        <v>9.3699999999999992</v>
      </c>
    </row>
    <row r="98" spans="1:48" x14ac:dyDescent="0.2">
      <c r="A98" s="17" t="s">
        <v>203</v>
      </c>
      <c r="B98" s="17"/>
      <c r="C98" s="17" t="s">
        <v>204</v>
      </c>
      <c r="D98" s="17" t="s">
        <v>205</v>
      </c>
      <c r="E98" s="17" t="s">
        <v>70</v>
      </c>
      <c r="F98" s="38">
        <v>196.77</v>
      </c>
      <c r="G98" s="38"/>
      <c r="H98" s="38">
        <f>F98*AE98</f>
        <v>0</v>
      </c>
      <c r="I98" s="38">
        <f>J98-H98</f>
        <v>0</v>
      </c>
      <c r="J98" s="38">
        <f>F98*G98</f>
        <v>0</v>
      </c>
      <c r="K98" s="38">
        <v>8.0000000000000007E-5</v>
      </c>
      <c r="L98" s="38">
        <f>F98*K98</f>
        <v>1.5741600000000001E-2</v>
      </c>
      <c r="M98" s="39" t="s">
        <v>93</v>
      </c>
      <c r="P98" s="38">
        <f>IF(AG98="5",J98,0)</f>
        <v>0</v>
      </c>
      <c r="R98" s="38">
        <f>IF(AG98="1",H98,0)</f>
        <v>0</v>
      </c>
      <c r="S98" s="38">
        <f>IF(AG98="1",I98,0)</f>
        <v>0</v>
      </c>
      <c r="T98" s="38">
        <f>IF(AG98="7",H98,0)</f>
        <v>0</v>
      </c>
      <c r="U98" s="38">
        <f>IF(AG98="7",I98,0)</f>
        <v>0</v>
      </c>
      <c r="V98" s="38">
        <f>IF(AG98="2",H98,0)</f>
        <v>0</v>
      </c>
      <c r="W98" s="38">
        <f>IF(AG98="2",I98,0)</f>
        <v>0</v>
      </c>
      <c r="X98" s="38">
        <f>IF(AG98="0",J98,0)</f>
        <v>0</v>
      </c>
      <c r="Y98" s="32"/>
      <c r="Z98" s="38">
        <f>IF(AD98=0,J98,0)</f>
        <v>0</v>
      </c>
      <c r="AA98" s="38">
        <f>IF(AD98=15,J98,0)</f>
        <v>0</v>
      </c>
      <c r="AB98" s="38">
        <f>IF(AD98=21,J98,0)</f>
        <v>0</v>
      </c>
      <c r="AD98" s="38">
        <v>21</v>
      </c>
      <c r="AE98" s="38">
        <f>G98*0.376129032258064</f>
        <v>0</v>
      </c>
      <c r="AF98" s="38">
        <f>G98*(1-0.376129032258064)</f>
        <v>0</v>
      </c>
      <c r="AG98" s="39" t="s">
        <v>89</v>
      </c>
      <c r="AM98" s="38">
        <f>F98*AE98</f>
        <v>0</v>
      </c>
      <c r="AN98" s="38">
        <f>F98*AF98</f>
        <v>0</v>
      </c>
      <c r="AO98" s="39" t="s">
        <v>192</v>
      </c>
      <c r="AP98" s="39" t="s">
        <v>193</v>
      </c>
      <c r="AQ98" s="32" t="s">
        <v>53</v>
      </c>
      <c r="AS98" s="38">
        <f>AM98+AN98</f>
        <v>0</v>
      </c>
      <c r="AT98" s="38">
        <f>G98/(100-AU98)*100</f>
        <v>0</v>
      </c>
      <c r="AU98" s="38">
        <v>0</v>
      </c>
      <c r="AV98" s="38">
        <f>L98</f>
        <v>1.5741600000000001E-2</v>
      </c>
    </row>
    <row r="99" spans="1:48" x14ac:dyDescent="0.2">
      <c r="D99" s="40" t="s">
        <v>206</v>
      </c>
      <c r="F99" s="41">
        <v>68.75</v>
      </c>
    </row>
    <row r="100" spans="1:48" x14ac:dyDescent="0.2">
      <c r="D100" s="40" t="s">
        <v>207</v>
      </c>
      <c r="F100" s="41">
        <v>0</v>
      </c>
    </row>
    <row r="101" spans="1:48" x14ac:dyDescent="0.2">
      <c r="D101" s="40" t="s">
        <v>200</v>
      </c>
      <c r="F101" s="41">
        <v>33.9</v>
      </c>
    </row>
    <row r="102" spans="1:48" x14ac:dyDescent="0.2">
      <c r="D102" s="40" t="s">
        <v>201</v>
      </c>
      <c r="F102" s="41">
        <v>84.75</v>
      </c>
    </row>
    <row r="103" spans="1:48" x14ac:dyDescent="0.2">
      <c r="D103" s="40" t="s">
        <v>202</v>
      </c>
      <c r="F103" s="41">
        <v>9.3699999999999992</v>
      </c>
    </row>
    <row r="104" spans="1:48" x14ac:dyDescent="0.2">
      <c r="A104" s="42"/>
      <c r="B104" s="43"/>
      <c r="C104" s="43" t="s">
        <v>208</v>
      </c>
      <c r="D104" s="70" t="s">
        <v>209</v>
      </c>
      <c r="E104" s="70"/>
      <c r="F104" s="70"/>
      <c r="G104" s="70"/>
      <c r="H104" s="37">
        <f>SUM(H105:H107)</f>
        <v>0</v>
      </c>
      <c r="I104" s="37">
        <f>SUM(I105:I107)</f>
        <v>0</v>
      </c>
      <c r="J104" s="37">
        <f>H104+I104</f>
        <v>0</v>
      </c>
      <c r="K104" s="32"/>
      <c r="L104" s="37">
        <f>SUM(L105:L107)</f>
        <v>0.45462599999999997</v>
      </c>
      <c r="M104" s="32"/>
      <c r="Y104" s="32"/>
      <c r="AI104" s="37">
        <f>SUM(Z105:Z107)</f>
        <v>0</v>
      </c>
      <c r="AJ104" s="37">
        <f>SUM(AA105:AA107)</f>
        <v>0</v>
      </c>
      <c r="AK104" s="37">
        <f>SUM(AB105:AB107)</f>
        <v>0</v>
      </c>
    </row>
    <row r="105" spans="1:48" x14ac:dyDescent="0.2">
      <c r="A105" s="17" t="s">
        <v>210</v>
      </c>
      <c r="B105" s="17"/>
      <c r="C105" s="17" t="s">
        <v>211</v>
      </c>
      <c r="D105" s="17" t="s">
        <v>212</v>
      </c>
      <c r="E105" s="17" t="s">
        <v>70</v>
      </c>
      <c r="F105" s="38">
        <v>510.3</v>
      </c>
      <c r="G105" s="38"/>
      <c r="H105" s="38">
        <f>F105*AE105</f>
        <v>0</v>
      </c>
      <c r="I105" s="38">
        <f>J105-H105</f>
        <v>0</v>
      </c>
      <c r="J105" s="38">
        <f>F105*G105</f>
        <v>0</v>
      </c>
      <c r="K105" s="38">
        <v>0</v>
      </c>
      <c r="L105" s="38">
        <f>F105*K105</f>
        <v>0</v>
      </c>
      <c r="M105" s="39"/>
      <c r="P105" s="38">
        <f>IF(AG105="5",J105,0)</f>
        <v>0</v>
      </c>
      <c r="R105" s="38">
        <f>IF(AG105="1",H105,0)</f>
        <v>0</v>
      </c>
      <c r="S105" s="38">
        <f>IF(AG105="1",I105,0)</f>
        <v>0</v>
      </c>
      <c r="T105" s="38">
        <f>IF(AG105="7",H105,0)</f>
        <v>0</v>
      </c>
      <c r="U105" s="38">
        <f>IF(AG105="7",I105,0)</f>
        <v>0</v>
      </c>
      <c r="V105" s="38">
        <f>IF(AG105="2",H105,0)</f>
        <v>0</v>
      </c>
      <c r="W105" s="38">
        <f>IF(AG105="2",I105,0)</f>
        <v>0</v>
      </c>
      <c r="X105" s="38">
        <f>IF(AG105="0",J105,0)</f>
        <v>0</v>
      </c>
      <c r="Y105" s="32"/>
      <c r="Z105" s="38">
        <f>IF(AD105=0,J105,0)</f>
        <v>0</v>
      </c>
      <c r="AA105" s="38">
        <f>IF(AD105=15,J105,0)</f>
        <v>0</v>
      </c>
      <c r="AB105" s="38">
        <f>IF(AD105=21,J105,0)</f>
        <v>0</v>
      </c>
      <c r="AD105" s="38">
        <v>21</v>
      </c>
      <c r="AE105" s="38">
        <f>G105*0.666666666666667</f>
        <v>0</v>
      </c>
      <c r="AF105" s="38">
        <f>G105*(1-0.666666666666667)</f>
        <v>0</v>
      </c>
      <c r="AG105" s="39" t="s">
        <v>89</v>
      </c>
      <c r="AM105" s="38">
        <f>F105*AE105</f>
        <v>0</v>
      </c>
      <c r="AN105" s="38">
        <f>F105*AF105</f>
        <v>0</v>
      </c>
      <c r="AO105" s="39" t="s">
        <v>213</v>
      </c>
      <c r="AP105" s="39" t="s">
        <v>214</v>
      </c>
      <c r="AQ105" s="32" t="s">
        <v>53</v>
      </c>
      <c r="AS105" s="38">
        <f>AM105+AN105</f>
        <v>0</v>
      </c>
      <c r="AT105" s="38">
        <f>G105/(100-AU105)*100</f>
        <v>0</v>
      </c>
      <c r="AU105" s="38">
        <v>0</v>
      </c>
      <c r="AV105" s="38">
        <f>L105</f>
        <v>0</v>
      </c>
    </row>
    <row r="106" spans="1:48" x14ac:dyDescent="0.2">
      <c r="D106" s="40" t="s">
        <v>215</v>
      </c>
      <c r="F106" s="41">
        <v>510.3</v>
      </c>
    </row>
    <row r="107" spans="1:48" x14ac:dyDescent="0.2">
      <c r="A107" s="17" t="s">
        <v>216</v>
      </c>
      <c r="B107" s="17"/>
      <c r="C107" s="17" t="s">
        <v>217</v>
      </c>
      <c r="D107" s="17" t="s">
        <v>218</v>
      </c>
      <c r="E107" s="17" t="s">
        <v>70</v>
      </c>
      <c r="F107" s="38">
        <v>1683.8</v>
      </c>
      <c r="G107" s="38"/>
      <c r="H107" s="38">
        <f>F107*AE107</f>
        <v>0</v>
      </c>
      <c r="I107" s="38">
        <f>J107-H107</f>
        <v>0</v>
      </c>
      <c r="J107" s="38">
        <f>F107*G107</f>
        <v>0</v>
      </c>
      <c r="K107" s="38">
        <v>2.7E-4</v>
      </c>
      <c r="L107" s="38">
        <f>F107*K107</f>
        <v>0.45462599999999997</v>
      </c>
      <c r="M107" s="39" t="s">
        <v>93</v>
      </c>
      <c r="P107" s="38">
        <f>IF(AG107="5",J107,0)</f>
        <v>0</v>
      </c>
      <c r="R107" s="38">
        <f>IF(AG107="1",H107,0)</f>
        <v>0</v>
      </c>
      <c r="S107" s="38">
        <f>IF(AG107="1",I107,0)</f>
        <v>0</v>
      </c>
      <c r="T107" s="38">
        <f>IF(AG107="7",H107,0)</f>
        <v>0</v>
      </c>
      <c r="U107" s="38">
        <f>IF(AG107="7",I107,0)</f>
        <v>0</v>
      </c>
      <c r="V107" s="38">
        <f>IF(AG107="2",H107,0)</f>
        <v>0</v>
      </c>
      <c r="W107" s="38">
        <f>IF(AG107="2",I107,0)</f>
        <v>0</v>
      </c>
      <c r="X107" s="38">
        <f>IF(AG107="0",J107,0)</f>
        <v>0</v>
      </c>
      <c r="Y107" s="32"/>
      <c r="Z107" s="38">
        <f>IF(AD107=0,J107,0)</f>
        <v>0</v>
      </c>
      <c r="AA107" s="38">
        <f>IF(AD107=15,J107,0)</f>
        <v>0</v>
      </c>
      <c r="AB107" s="38">
        <f>IF(AD107=21,J107,0)</f>
        <v>0</v>
      </c>
      <c r="AD107" s="38">
        <v>21</v>
      </c>
      <c r="AE107" s="38">
        <f>G107*0.0892670157068063</f>
        <v>0</v>
      </c>
      <c r="AF107" s="38">
        <f>G107*(1-0.0892670157068063)</f>
        <v>0</v>
      </c>
      <c r="AG107" s="39" t="s">
        <v>89</v>
      </c>
      <c r="AM107" s="38">
        <f>F107*AE107</f>
        <v>0</v>
      </c>
      <c r="AN107" s="38">
        <f>F107*AF107</f>
        <v>0</v>
      </c>
      <c r="AO107" s="39" t="s">
        <v>213</v>
      </c>
      <c r="AP107" s="39" t="s">
        <v>214</v>
      </c>
      <c r="AQ107" s="32" t="s">
        <v>53</v>
      </c>
      <c r="AS107" s="38">
        <f>AM107+AN107</f>
        <v>0</v>
      </c>
      <c r="AT107" s="38">
        <f>G107/(100-AU107)*100</f>
        <v>0</v>
      </c>
      <c r="AU107" s="38">
        <v>0</v>
      </c>
      <c r="AV107" s="38">
        <f>L107</f>
        <v>0.45462599999999997</v>
      </c>
    </row>
    <row r="108" spans="1:48" x14ac:dyDescent="0.2">
      <c r="D108" s="40" t="s">
        <v>219</v>
      </c>
      <c r="F108" s="41">
        <v>1190.7</v>
      </c>
    </row>
    <row r="109" spans="1:48" x14ac:dyDescent="0.2">
      <c r="D109" s="40" t="s">
        <v>220</v>
      </c>
      <c r="F109" s="41">
        <v>464</v>
      </c>
    </row>
    <row r="110" spans="1:48" x14ac:dyDescent="0.2">
      <c r="D110" s="40" t="s">
        <v>221</v>
      </c>
      <c r="F110" s="41">
        <v>318.5</v>
      </c>
    </row>
    <row r="111" spans="1:48" x14ac:dyDescent="0.2">
      <c r="D111" s="40" t="s">
        <v>222</v>
      </c>
      <c r="F111" s="41">
        <v>157.19999999999999</v>
      </c>
    </row>
    <row r="112" spans="1:48" x14ac:dyDescent="0.2">
      <c r="D112" s="40" t="s">
        <v>223</v>
      </c>
      <c r="F112" s="41">
        <v>63.7</v>
      </c>
    </row>
    <row r="113" spans="1:48" x14ac:dyDescent="0.2">
      <c r="D113" s="40" t="s">
        <v>224</v>
      </c>
      <c r="F113" s="41">
        <v>-510.3</v>
      </c>
    </row>
    <row r="114" spans="1:48" x14ac:dyDescent="0.2">
      <c r="A114" s="42"/>
      <c r="B114" s="43"/>
      <c r="C114" s="43" t="s">
        <v>225</v>
      </c>
      <c r="D114" s="70" t="s">
        <v>226</v>
      </c>
      <c r="E114" s="70"/>
      <c r="F114" s="70"/>
      <c r="G114" s="70"/>
      <c r="H114" s="37">
        <f>SUM(H115:H117)</f>
        <v>0</v>
      </c>
      <c r="I114" s="37">
        <f>SUM(I115:I117)</f>
        <v>0</v>
      </c>
      <c r="J114" s="37">
        <f>H114+I114</f>
        <v>0</v>
      </c>
      <c r="K114" s="32"/>
      <c r="L114" s="37">
        <f>SUM(L115:L117)</f>
        <v>4.7753050000000004</v>
      </c>
      <c r="M114" s="32"/>
      <c r="Y114" s="32"/>
      <c r="AI114" s="37">
        <f>SUM(Z115:Z117)</f>
        <v>0</v>
      </c>
      <c r="AJ114" s="37">
        <f>SUM(AA115:AA117)</f>
        <v>0</v>
      </c>
      <c r="AK114" s="37">
        <f>SUM(AB115:AB117)</f>
        <v>0</v>
      </c>
    </row>
    <row r="115" spans="1:48" x14ac:dyDescent="0.2">
      <c r="A115" s="17" t="s">
        <v>227</v>
      </c>
      <c r="B115" s="17"/>
      <c r="C115" s="17" t="s">
        <v>228</v>
      </c>
      <c r="D115" s="17" t="s">
        <v>229</v>
      </c>
      <c r="E115" s="17" t="s">
        <v>92</v>
      </c>
      <c r="F115" s="38">
        <v>17</v>
      </c>
      <c r="G115" s="38"/>
      <c r="H115" s="38">
        <f>F115*AE115</f>
        <v>0</v>
      </c>
      <c r="I115" s="38">
        <f>J115-H115</f>
        <v>0</v>
      </c>
      <c r="J115" s="38">
        <f>F115*G115</f>
        <v>0</v>
      </c>
      <c r="K115" s="38">
        <v>0.26987</v>
      </c>
      <c r="L115" s="38">
        <f>F115*K115</f>
        <v>4.58779</v>
      </c>
      <c r="M115" s="39"/>
      <c r="P115" s="38">
        <f>IF(AG115="5",J115,0)</f>
        <v>0</v>
      </c>
      <c r="R115" s="38">
        <f>IF(AG115="1",H115,0)</f>
        <v>0</v>
      </c>
      <c r="S115" s="38">
        <f>IF(AG115="1",I115,0)</f>
        <v>0</v>
      </c>
      <c r="T115" s="38">
        <f>IF(AG115="7",H115,0)</f>
        <v>0</v>
      </c>
      <c r="U115" s="38">
        <f>IF(AG115="7",I115,0)</f>
        <v>0</v>
      </c>
      <c r="V115" s="38">
        <f>IF(AG115="2",H115,0)</f>
        <v>0</v>
      </c>
      <c r="W115" s="38">
        <f>IF(AG115="2",I115,0)</f>
        <v>0</v>
      </c>
      <c r="X115" s="38">
        <f>IF(AG115="0",J115,0)</f>
        <v>0</v>
      </c>
      <c r="Y115" s="32"/>
      <c r="Z115" s="38">
        <f>IF(AD115=0,J115,0)</f>
        <v>0</v>
      </c>
      <c r="AA115" s="38">
        <f>IF(AD115=15,J115,0)</f>
        <v>0</v>
      </c>
      <c r="AB115" s="38">
        <f>IF(AD115=21,J115,0)</f>
        <v>0</v>
      </c>
      <c r="AD115" s="38">
        <v>21</v>
      </c>
      <c r="AE115" s="38">
        <f>G115*0.784234461849419</f>
        <v>0</v>
      </c>
      <c r="AF115" s="38">
        <f>G115*(1-0.784234461849419)</f>
        <v>0</v>
      </c>
      <c r="AG115" s="39" t="s">
        <v>48</v>
      </c>
      <c r="AM115" s="38">
        <f>F115*AE115</f>
        <v>0</v>
      </c>
      <c r="AN115" s="38">
        <f>F115*AF115</f>
        <v>0</v>
      </c>
      <c r="AO115" s="39" t="s">
        <v>230</v>
      </c>
      <c r="AP115" s="39" t="s">
        <v>231</v>
      </c>
      <c r="AQ115" s="32" t="s">
        <v>53</v>
      </c>
      <c r="AS115" s="38">
        <f>AM115+AN115</f>
        <v>0</v>
      </c>
      <c r="AT115" s="38">
        <f>G115/(100-AU115)*100</f>
        <v>0</v>
      </c>
      <c r="AU115" s="38">
        <v>0</v>
      </c>
      <c r="AV115" s="38">
        <f>L115</f>
        <v>4.58779</v>
      </c>
    </row>
    <row r="116" spans="1:48" x14ac:dyDescent="0.2">
      <c r="D116" s="40" t="s">
        <v>232</v>
      </c>
      <c r="F116" s="41">
        <v>17</v>
      </c>
    </row>
    <row r="117" spans="1:48" x14ac:dyDescent="0.2">
      <c r="A117" s="17" t="s">
        <v>233</v>
      </c>
      <c r="B117" s="17"/>
      <c r="C117" s="17" t="s">
        <v>234</v>
      </c>
      <c r="D117" s="17" t="s">
        <v>235</v>
      </c>
      <c r="E117" s="17" t="s">
        <v>92</v>
      </c>
      <c r="F117" s="38">
        <v>1.5</v>
      </c>
      <c r="G117" s="38"/>
      <c r="H117" s="38">
        <f>F117*AE117</f>
        <v>0</v>
      </c>
      <c r="I117" s="38">
        <f>J117-H117</f>
        <v>0</v>
      </c>
      <c r="J117" s="38">
        <f>F117*G117</f>
        <v>0</v>
      </c>
      <c r="K117" s="38">
        <v>0.12501000000000001</v>
      </c>
      <c r="L117" s="38">
        <f>F117*K117</f>
        <v>0.18751500000000002</v>
      </c>
      <c r="M117" s="39"/>
      <c r="P117" s="38">
        <f>IF(AG117="5",J117,0)</f>
        <v>0</v>
      </c>
      <c r="R117" s="38">
        <f>IF(AG117="1",H117,0)</f>
        <v>0</v>
      </c>
      <c r="S117" s="38">
        <f>IF(AG117="1",I117,0)</f>
        <v>0</v>
      </c>
      <c r="T117" s="38">
        <f>IF(AG117="7",H117,0)</f>
        <v>0</v>
      </c>
      <c r="U117" s="38">
        <f>IF(AG117="7",I117,0)</f>
        <v>0</v>
      </c>
      <c r="V117" s="38">
        <f>IF(AG117="2",H117,0)</f>
        <v>0</v>
      </c>
      <c r="W117" s="38">
        <f>IF(AG117="2",I117,0)</f>
        <v>0</v>
      </c>
      <c r="X117" s="38">
        <f>IF(AG117="0",J117,0)</f>
        <v>0</v>
      </c>
      <c r="Y117" s="32"/>
      <c r="Z117" s="38">
        <f>IF(AD117=0,J117,0)</f>
        <v>0</v>
      </c>
      <c r="AA117" s="38">
        <f>IF(AD117=15,J117,0)</f>
        <v>0</v>
      </c>
      <c r="AB117" s="38">
        <f>IF(AD117=21,J117,0)</f>
        <v>0</v>
      </c>
      <c r="AD117" s="38">
        <v>21</v>
      </c>
      <c r="AE117" s="38">
        <f>G117*0.790109400524726</f>
        <v>0</v>
      </c>
      <c r="AF117" s="38">
        <f>G117*(1-0.790109400524726)</f>
        <v>0</v>
      </c>
      <c r="AG117" s="39" t="s">
        <v>48</v>
      </c>
      <c r="AM117" s="38">
        <f>F117*AE117</f>
        <v>0</v>
      </c>
      <c r="AN117" s="38">
        <f>F117*AF117</f>
        <v>0</v>
      </c>
      <c r="AO117" s="39" t="s">
        <v>230</v>
      </c>
      <c r="AP117" s="39" t="s">
        <v>231</v>
      </c>
      <c r="AQ117" s="32" t="s">
        <v>53</v>
      </c>
      <c r="AS117" s="38">
        <f>AM117+AN117</f>
        <v>0</v>
      </c>
      <c r="AT117" s="38">
        <f>G117/(100-AU117)*100</f>
        <v>0</v>
      </c>
      <c r="AU117" s="38">
        <v>0</v>
      </c>
      <c r="AV117" s="38">
        <f>L117</f>
        <v>0.18751500000000002</v>
      </c>
    </row>
    <row r="118" spans="1:48" x14ac:dyDescent="0.2">
      <c r="D118" s="40" t="s">
        <v>236</v>
      </c>
      <c r="F118" s="41">
        <v>1.5</v>
      </c>
    </row>
    <row r="119" spans="1:48" x14ac:dyDescent="0.2">
      <c r="A119" s="42"/>
      <c r="B119" s="43"/>
      <c r="C119" s="43" t="s">
        <v>237</v>
      </c>
      <c r="D119" s="70" t="s">
        <v>238</v>
      </c>
      <c r="E119" s="70"/>
      <c r="F119" s="70"/>
      <c r="G119" s="70"/>
      <c r="H119" s="37">
        <f>SUM(H120:H120)</f>
        <v>0</v>
      </c>
      <c r="I119" s="37">
        <f>SUM(I120:I120)</f>
        <v>0</v>
      </c>
      <c r="J119" s="37">
        <f>H119+I119</f>
        <v>0</v>
      </c>
      <c r="K119" s="32"/>
      <c r="L119" s="37">
        <f>SUM(L120:L120)</f>
        <v>0.73311999999999999</v>
      </c>
      <c r="M119" s="32"/>
      <c r="Y119" s="32"/>
      <c r="AI119" s="37">
        <f>SUM(Z120:Z120)</f>
        <v>0</v>
      </c>
      <c r="AJ119" s="37">
        <f>SUM(AA120:AA120)</f>
        <v>0</v>
      </c>
      <c r="AK119" s="37">
        <f>SUM(AB120:AB120)</f>
        <v>0</v>
      </c>
    </row>
    <row r="120" spans="1:48" x14ac:dyDescent="0.2">
      <c r="A120" s="17" t="s">
        <v>239</v>
      </c>
      <c r="B120" s="17"/>
      <c r="C120" s="17" t="s">
        <v>240</v>
      </c>
      <c r="D120" s="17" t="s">
        <v>241</v>
      </c>
      <c r="E120" s="17" t="s">
        <v>70</v>
      </c>
      <c r="F120" s="38">
        <v>464</v>
      </c>
      <c r="G120" s="38"/>
      <c r="H120" s="38">
        <f>F120*AE120</f>
        <v>0</v>
      </c>
      <c r="I120" s="38">
        <f>J120-H120</f>
        <v>0</v>
      </c>
      <c r="J120" s="38">
        <f>F120*G120</f>
        <v>0</v>
      </c>
      <c r="K120" s="38">
        <v>1.58E-3</v>
      </c>
      <c r="L120" s="38">
        <f>F120*K120</f>
        <v>0.73311999999999999</v>
      </c>
      <c r="M120" s="39" t="s">
        <v>93</v>
      </c>
      <c r="P120" s="38">
        <f>IF(AG120="5",J120,0)</f>
        <v>0</v>
      </c>
      <c r="R120" s="38">
        <f>IF(AG120="1",H120,0)</f>
        <v>0</v>
      </c>
      <c r="S120" s="38">
        <f>IF(AG120="1",I120,0)</f>
        <v>0</v>
      </c>
      <c r="T120" s="38">
        <f>IF(AG120="7",H120,0)</f>
        <v>0</v>
      </c>
      <c r="U120" s="38">
        <f>IF(AG120="7",I120,0)</f>
        <v>0</v>
      </c>
      <c r="V120" s="38">
        <f>IF(AG120="2",H120,0)</f>
        <v>0</v>
      </c>
      <c r="W120" s="38">
        <f>IF(AG120="2",I120,0)</f>
        <v>0</v>
      </c>
      <c r="X120" s="38">
        <f>IF(AG120="0",J120,0)</f>
        <v>0</v>
      </c>
      <c r="Y120" s="32"/>
      <c r="Z120" s="38">
        <f>IF(AD120=0,J120,0)</f>
        <v>0</v>
      </c>
      <c r="AA120" s="38">
        <f>IF(AD120=15,J120,0)</f>
        <v>0</v>
      </c>
      <c r="AB120" s="38">
        <f>IF(AD120=21,J120,0)</f>
        <v>0</v>
      </c>
      <c r="AD120" s="38">
        <v>21</v>
      </c>
      <c r="AE120" s="38">
        <f>G120*0.412818181818182</f>
        <v>0</v>
      </c>
      <c r="AF120" s="38">
        <f>G120*(1-0.412818181818182)</f>
        <v>0</v>
      </c>
      <c r="AG120" s="39" t="s">
        <v>48</v>
      </c>
      <c r="AM120" s="38">
        <f>F120*AE120</f>
        <v>0</v>
      </c>
      <c r="AN120" s="38">
        <f>F120*AF120</f>
        <v>0</v>
      </c>
      <c r="AO120" s="39" t="s">
        <v>242</v>
      </c>
      <c r="AP120" s="39" t="s">
        <v>231</v>
      </c>
      <c r="AQ120" s="32" t="s">
        <v>53</v>
      </c>
      <c r="AS120" s="38">
        <f>AM120+AN120</f>
        <v>0</v>
      </c>
      <c r="AT120" s="38">
        <f>G120/(100-AU120)*100</f>
        <v>0</v>
      </c>
      <c r="AU120" s="38">
        <v>0</v>
      </c>
      <c r="AV120" s="38">
        <f>L120</f>
        <v>0.73311999999999999</v>
      </c>
    </row>
    <row r="121" spans="1:48" x14ac:dyDescent="0.2">
      <c r="D121" s="40" t="s">
        <v>243</v>
      </c>
      <c r="F121" s="41">
        <v>464</v>
      </c>
    </row>
    <row r="122" spans="1:48" x14ac:dyDescent="0.2">
      <c r="A122" s="42"/>
      <c r="B122" s="43"/>
      <c r="C122" s="43" t="s">
        <v>244</v>
      </c>
      <c r="D122" s="70" t="s">
        <v>245</v>
      </c>
      <c r="E122" s="70"/>
      <c r="F122" s="70"/>
      <c r="G122" s="70"/>
      <c r="H122" s="37">
        <f>SUM(H123:H123)</f>
        <v>0</v>
      </c>
      <c r="I122" s="37">
        <f>SUM(I123:I123)</f>
        <v>0</v>
      </c>
      <c r="J122" s="37">
        <f>H122+I122</f>
        <v>0</v>
      </c>
      <c r="K122" s="32"/>
      <c r="L122" s="37">
        <f>SUM(L123:L123)</f>
        <v>10.7938875</v>
      </c>
      <c r="M122" s="32"/>
      <c r="Y122" s="32"/>
      <c r="AI122" s="37">
        <f>SUM(Z123:Z123)</f>
        <v>0</v>
      </c>
      <c r="AJ122" s="37">
        <f>SUM(AA123:AA123)</f>
        <v>0</v>
      </c>
      <c r="AK122" s="37">
        <f>SUM(AB123:AB123)</f>
        <v>0</v>
      </c>
    </row>
    <row r="123" spans="1:48" x14ac:dyDescent="0.2">
      <c r="A123" s="17" t="s">
        <v>246</v>
      </c>
      <c r="B123" s="17"/>
      <c r="C123" s="17" t="s">
        <v>247</v>
      </c>
      <c r="D123" s="17" t="s">
        <v>248</v>
      </c>
      <c r="E123" s="17" t="s">
        <v>70</v>
      </c>
      <c r="F123" s="38">
        <v>41.25</v>
      </c>
      <c r="G123" s="38"/>
      <c r="H123" s="38">
        <f>F123*AE123</f>
        <v>0</v>
      </c>
      <c r="I123" s="38">
        <f>J123-H123</f>
        <v>0</v>
      </c>
      <c r="J123" s="38">
        <f>F123*G123</f>
        <v>0</v>
      </c>
      <c r="K123" s="38">
        <v>0.26167000000000001</v>
      </c>
      <c r="L123" s="38">
        <f>F123*K123</f>
        <v>10.7938875</v>
      </c>
      <c r="M123" s="39" t="s">
        <v>93</v>
      </c>
      <c r="P123" s="38">
        <f>IF(AG123="5",J123,0)</f>
        <v>0</v>
      </c>
      <c r="R123" s="38">
        <f>IF(AG123="1",H123,0)</f>
        <v>0</v>
      </c>
      <c r="S123" s="38">
        <f>IF(AG123="1",I123,0)</f>
        <v>0</v>
      </c>
      <c r="T123" s="38">
        <f>IF(AG123="7",H123,0)</f>
        <v>0</v>
      </c>
      <c r="U123" s="38">
        <f>IF(AG123="7",I123,0)</f>
        <v>0</v>
      </c>
      <c r="V123" s="38">
        <f>IF(AG123="2",H123,0)</f>
        <v>0</v>
      </c>
      <c r="W123" s="38">
        <f>IF(AG123="2",I123,0)</f>
        <v>0</v>
      </c>
      <c r="X123" s="38">
        <f>IF(AG123="0",J123,0)</f>
        <v>0</v>
      </c>
      <c r="Y123" s="32"/>
      <c r="Z123" s="38">
        <f>IF(AD123=0,J123,0)</f>
        <v>0</v>
      </c>
      <c r="AA123" s="38">
        <f>IF(AD123=15,J123,0)</f>
        <v>0</v>
      </c>
      <c r="AB123" s="38">
        <f>IF(AD123=21,J123,0)</f>
        <v>0</v>
      </c>
      <c r="AD123" s="38">
        <v>21</v>
      </c>
      <c r="AE123" s="38">
        <f>G123*0.146666666666667</f>
        <v>0</v>
      </c>
      <c r="AF123" s="38">
        <f>G123*(1-0.146666666666667)</f>
        <v>0</v>
      </c>
      <c r="AG123" s="39" t="s">
        <v>48</v>
      </c>
      <c r="AM123" s="38">
        <f>F123*AE123</f>
        <v>0</v>
      </c>
      <c r="AN123" s="38">
        <f>F123*AF123</f>
        <v>0</v>
      </c>
      <c r="AO123" s="39" t="s">
        <v>249</v>
      </c>
      <c r="AP123" s="39" t="s">
        <v>231</v>
      </c>
      <c r="AQ123" s="32" t="s">
        <v>53</v>
      </c>
      <c r="AS123" s="38">
        <f>AM123+AN123</f>
        <v>0</v>
      </c>
      <c r="AT123" s="38">
        <f>G123/(100-AU123)*100</f>
        <v>0</v>
      </c>
      <c r="AU123" s="38">
        <v>0</v>
      </c>
      <c r="AV123" s="38">
        <f>L123</f>
        <v>10.7938875</v>
      </c>
    </row>
    <row r="124" spans="1:48" x14ac:dyDescent="0.2">
      <c r="D124" s="40" t="s">
        <v>194</v>
      </c>
      <c r="F124" s="41">
        <v>41.25</v>
      </c>
    </row>
    <row r="125" spans="1:48" x14ac:dyDescent="0.2">
      <c r="D125" s="40" t="s">
        <v>250</v>
      </c>
      <c r="F125" s="41">
        <v>0</v>
      </c>
    </row>
    <row r="126" spans="1:48" x14ac:dyDescent="0.2">
      <c r="A126" s="42"/>
      <c r="B126" s="43"/>
      <c r="C126" s="43" t="s">
        <v>251</v>
      </c>
      <c r="D126" s="70" t="s">
        <v>252</v>
      </c>
      <c r="E126" s="70"/>
      <c r="F126" s="70"/>
      <c r="G126" s="70"/>
      <c r="H126" s="37">
        <f>SUM(H127:H127)</f>
        <v>0</v>
      </c>
      <c r="I126" s="37">
        <f>SUM(I127:I127)</f>
        <v>0</v>
      </c>
      <c r="J126" s="37">
        <f>H126+I126</f>
        <v>0</v>
      </c>
      <c r="K126" s="32"/>
      <c r="L126" s="37">
        <f>SUM(L127:L127)</f>
        <v>23.473800000000001</v>
      </c>
      <c r="M126" s="32"/>
      <c r="Y126" s="32"/>
      <c r="AI126" s="37">
        <f>SUM(Z127:Z127)</f>
        <v>0</v>
      </c>
      <c r="AJ126" s="37">
        <f>SUM(AA127:AA127)</f>
        <v>0</v>
      </c>
      <c r="AK126" s="37">
        <f>SUM(AB127:AB127)</f>
        <v>0</v>
      </c>
    </row>
    <row r="127" spans="1:48" x14ac:dyDescent="0.2">
      <c r="A127" s="17" t="s">
        <v>253</v>
      </c>
      <c r="B127" s="17"/>
      <c r="C127" s="17" t="s">
        <v>254</v>
      </c>
      <c r="D127" s="17" t="s">
        <v>255</v>
      </c>
      <c r="E127" s="17" t="s">
        <v>70</v>
      </c>
      <c r="F127" s="38">
        <v>510.3</v>
      </c>
      <c r="G127" s="38"/>
      <c r="H127" s="38">
        <f>F127*AE127</f>
        <v>0</v>
      </c>
      <c r="I127" s="38">
        <f>J127-H127</f>
        <v>0</v>
      </c>
      <c r="J127" s="38">
        <f>F127*G127</f>
        <v>0</v>
      </c>
      <c r="K127" s="38">
        <v>4.5999999999999999E-2</v>
      </c>
      <c r="L127" s="38">
        <f>F127*K127</f>
        <v>23.473800000000001</v>
      </c>
      <c r="M127" s="39" t="s">
        <v>93</v>
      </c>
      <c r="P127" s="38">
        <f>IF(AG127="5",J127,0)</f>
        <v>0</v>
      </c>
      <c r="R127" s="38">
        <f>IF(AG127="1",H127,0)</f>
        <v>0</v>
      </c>
      <c r="S127" s="38">
        <f>IF(AG127="1",I127,0)</f>
        <v>0</v>
      </c>
      <c r="T127" s="38">
        <f>IF(AG127="7",H127,0)</f>
        <v>0</v>
      </c>
      <c r="U127" s="38">
        <f>IF(AG127="7",I127,0)</f>
        <v>0</v>
      </c>
      <c r="V127" s="38">
        <f>IF(AG127="2",H127,0)</f>
        <v>0</v>
      </c>
      <c r="W127" s="38">
        <f>IF(AG127="2",I127,0)</f>
        <v>0</v>
      </c>
      <c r="X127" s="38">
        <f>IF(AG127="0",J127,0)</f>
        <v>0</v>
      </c>
      <c r="Y127" s="32"/>
      <c r="Z127" s="38">
        <f>IF(AD127=0,J127,0)</f>
        <v>0</v>
      </c>
      <c r="AA127" s="38">
        <f>IF(AD127=15,J127,0)</f>
        <v>0</v>
      </c>
      <c r="AB127" s="38">
        <f>IF(AD127=21,J127,0)</f>
        <v>0</v>
      </c>
      <c r="AD127" s="38">
        <v>21</v>
      </c>
      <c r="AE127" s="38">
        <f>G127*0</f>
        <v>0</v>
      </c>
      <c r="AF127" s="38">
        <f>G127*(1-0)</f>
        <v>0</v>
      </c>
      <c r="AG127" s="39" t="s">
        <v>48</v>
      </c>
      <c r="AM127" s="38">
        <f>F127*AE127</f>
        <v>0</v>
      </c>
      <c r="AN127" s="38">
        <f>F127*AF127</f>
        <v>0</v>
      </c>
      <c r="AO127" s="39" t="s">
        <v>256</v>
      </c>
      <c r="AP127" s="39" t="s">
        <v>231</v>
      </c>
      <c r="AQ127" s="32" t="s">
        <v>53</v>
      </c>
      <c r="AS127" s="38">
        <f>AM127+AN127</f>
        <v>0</v>
      </c>
      <c r="AT127" s="38">
        <f>G127/(100-AU127)*100</f>
        <v>0</v>
      </c>
      <c r="AU127" s="38">
        <v>0</v>
      </c>
      <c r="AV127" s="38">
        <f>L127</f>
        <v>23.473800000000001</v>
      </c>
    </row>
    <row r="128" spans="1:48" x14ac:dyDescent="0.2">
      <c r="D128" s="40" t="s">
        <v>257</v>
      </c>
      <c r="F128" s="41">
        <v>235.8</v>
      </c>
    </row>
    <row r="129" spans="1:48" x14ac:dyDescent="0.2">
      <c r="D129" s="40" t="s">
        <v>258</v>
      </c>
      <c r="F129" s="41">
        <v>195</v>
      </c>
    </row>
    <row r="130" spans="1:48" x14ac:dyDescent="0.2">
      <c r="D130" s="40" t="s">
        <v>259</v>
      </c>
      <c r="F130" s="41">
        <v>79.5</v>
      </c>
    </row>
    <row r="131" spans="1:48" x14ac:dyDescent="0.2">
      <c r="D131" s="40" t="s">
        <v>260</v>
      </c>
      <c r="F131" s="41">
        <v>0</v>
      </c>
    </row>
    <row r="132" spans="1:48" x14ac:dyDescent="0.2">
      <c r="A132" s="42"/>
      <c r="B132" s="43"/>
      <c r="C132" s="43" t="s">
        <v>261</v>
      </c>
      <c r="D132" s="70" t="s">
        <v>262</v>
      </c>
      <c r="E132" s="70"/>
      <c r="F132" s="70"/>
      <c r="G132" s="70"/>
      <c r="H132" s="37">
        <f>SUM(H133:H133)</f>
        <v>0</v>
      </c>
      <c r="I132" s="37">
        <f>SUM(I133:I133)</f>
        <v>0</v>
      </c>
      <c r="J132" s="37">
        <f>H132+I132</f>
        <v>0</v>
      </c>
      <c r="K132" s="32"/>
      <c r="L132" s="37">
        <f>SUM(L133:L133)</f>
        <v>0</v>
      </c>
      <c r="M132" s="32"/>
      <c r="Y132" s="32"/>
      <c r="AI132" s="37">
        <f>SUM(Z133:Z133)</f>
        <v>0</v>
      </c>
      <c r="AJ132" s="37">
        <f>SUM(AA133:AA133)</f>
        <v>0</v>
      </c>
      <c r="AK132" s="37">
        <f>SUM(AB133:AB133)</f>
        <v>0</v>
      </c>
    </row>
    <row r="133" spans="1:48" x14ac:dyDescent="0.2">
      <c r="A133" s="17" t="s">
        <v>263</v>
      </c>
      <c r="B133" s="17"/>
      <c r="C133" s="17" t="s">
        <v>264</v>
      </c>
      <c r="D133" s="17" t="s">
        <v>265</v>
      </c>
      <c r="E133" s="17" t="s">
        <v>266</v>
      </c>
      <c r="F133" s="38">
        <v>128.97233</v>
      </c>
      <c r="G133" s="38"/>
      <c r="H133" s="38">
        <f>F133*AE133</f>
        <v>0</v>
      </c>
      <c r="I133" s="38">
        <f>J133-H133</f>
        <v>0</v>
      </c>
      <c r="J133" s="38">
        <f>F133*G133</f>
        <v>0</v>
      </c>
      <c r="K133" s="38">
        <v>0</v>
      </c>
      <c r="L133" s="38">
        <f>F133*K133</f>
        <v>0</v>
      </c>
      <c r="M133" s="39" t="s">
        <v>93</v>
      </c>
      <c r="P133" s="38">
        <f>IF(AG133="5",J133,0)</f>
        <v>0</v>
      </c>
      <c r="R133" s="38">
        <f>IF(AG133="1",H133,0)</f>
        <v>0</v>
      </c>
      <c r="S133" s="38">
        <f>IF(AG133="1",I133,0)</f>
        <v>0</v>
      </c>
      <c r="T133" s="38">
        <f>IF(AG133="7",H133,0)</f>
        <v>0</v>
      </c>
      <c r="U133" s="38">
        <f>IF(AG133="7",I133,0)</f>
        <v>0</v>
      </c>
      <c r="V133" s="38">
        <f>IF(AG133="2",H133,0)</f>
        <v>0</v>
      </c>
      <c r="W133" s="38">
        <f>IF(AG133="2",I133,0)</f>
        <v>0</v>
      </c>
      <c r="X133" s="38">
        <f>IF(AG133="0",J133,0)</f>
        <v>0</v>
      </c>
      <c r="Y133" s="32"/>
      <c r="Z133" s="38">
        <f>IF(AD133=0,J133,0)</f>
        <v>0</v>
      </c>
      <c r="AA133" s="38">
        <f>IF(AD133=15,J133,0)</f>
        <v>0</v>
      </c>
      <c r="AB133" s="38">
        <f>IF(AD133=21,J133,0)</f>
        <v>0</v>
      </c>
      <c r="AD133" s="38">
        <v>21</v>
      </c>
      <c r="AE133" s="38">
        <f>G133*0</f>
        <v>0</v>
      </c>
      <c r="AF133" s="38">
        <f>G133*(1-0)</f>
        <v>0</v>
      </c>
      <c r="AG133" s="39" t="s">
        <v>77</v>
      </c>
      <c r="AM133" s="38">
        <f>F133*AE133</f>
        <v>0</v>
      </c>
      <c r="AN133" s="38">
        <f>F133*AF133</f>
        <v>0</v>
      </c>
      <c r="AO133" s="39" t="s">
        <v>267</v>
      </c>
      <c r="AP133" s="39" t="s">
        <v>231</v>
      </c>
      <c r="AQ133" s="32" t="s">
        <v>53</v>
      </c>
      <c r="AS133" s="38">
        <f>AM133+AN133</f>
        <v>0</v>
      </c>
      <c r="AT133" s="38">
        <f>G133/(100-AU133)*100</f>
        <v>0</v>
      </c>
      <c r="AU133" s="38">
        <v>0</v>
      </c>
      <c r="AV133" s="38">
        <f>L133</f>
        <v>0</v>
      </c>
    </row>
    <row r="134" spans="1:48" x14ac:dyDescent="0.2">
      <c r="D134" s="40" t="s">
        <v>268</v>
      </c>
      <c r="F134" s="41">
        <v>128.97233</v>
      </c>
    </row>
    <row r="135" spans="1:48" x14ac:dyDescent="0.2">
      <c r="A135" s="42"/>
      <c r="B135" s="43"/>
      <c r="C135" s="43" t="s">
        <v>269</v>
      </c>
      <c r="D135" s="70" t="s">
        <v>270</v>
      </c>
      <c r="E135" s="70"/>
      <c r="F135" s="70"/>
      <c r="G135" s="70"/>
      <c r="H135" s="37">
        <f>SUM(H136:H144)</f>
        <v>0</v>
      </c>
      <c r="I135" s="37">
        <f>SUM(I136:I144)</f>
        <v>0</v>
      </c>
      <c r="J135" s="37">
        <f>H135+I135</f>
        <v>0</v>
      </c>
      <c r="K135" s="32"/>
      <c r="L135" s="37">
        <f>SUM(L136:L144)</f>
        <v>0</v>
      </c>
      <c r="M135" s="32"/>
      <c r="Y135" s="32"/>
      <c r="AI135" s="37">
        <f>SUM(Z136:Z144)</f>
        <v>0</v>
      </c>
      <c r="AJ135" s="37">
        <f>SUM(AA136:AA144)</f>
        <v>0</v>
      </c>
      <c r="AK135" s="37">
        <f>SUM(AB136:AB144)</f>
        <v>0</v>
      </c>
    </row>
    <row r="136" spans="1:48" x14ac:dyDescent="0.2">
      <c r="A136" s="17" t="s">
        <v>271</v>
      </c>
      <c r="B136" s="17"/>
      <c r="C136" s="17" t="s">
        <v>272</v>
      </c>
      <c r="D136" s="17" t="s">
        <v>273</v>
      </c>
      <c r="E136" s="17" t="s">
        <v>266</v>
      </c>
      <c r="F136" s="38">
        <v>153.14041</v>
      </c>
      <c r="G136" s="38"/>
      <c r="H136" s="38">
        <f>F136*AE136</f>
        <v>0</v>
      </c>
      <c r="I136" s="38">
        <f>J136-H136</f>
        <v>0</v>
      </c>
      <c r="J136" s="38">
        <f>F136*G136</f>
        <v>0</v>
      </c>
      <c r="K136" s="38">
        <v>0</v>
      </c>
      <c r="L136" s="38">
        <f>F136*K136</f>
        <v>0</v>
      </c>
      <c r="M136" s="39" t="s">
        <v>93</v>
      </c>
      <c r="P136" s="38">
        <f>IF(AG136="5",J136,0)</f>
        <v>0</v>
      </c>
      <c r="R136" s="38">
        <f>IF(AG136="1",H136,0)</f>
        <v>0</v>
      </c>
      <c r="S136" s="38">
        <f>IF(AG136="1",I136,0)</f>
        <v>0</v>
      </c>
      <c r="T136" s="38">
        <f>IF(AG136="7",H136,0)</f>
        <v>0</v>
      </c>
      <c r="U136" s="38">
        <f>IF(AG136="7",I136,0)</f>
        <v>0</v>
      </c>
      <c r="V136" s="38">
        <f>IF(AG136="2",H136,0)</f>
        <v>0</v>
      </c>
      <c r="W136" s="38">
        <f>IF(AG136="2",I136,0)</f>
        <v>0</v>
      </c>
      <c r="X136" s="38">
        <f>IF(AG136="0",J136,0)</f>
        <v>0</v>
      </c>
      <c r="Y136" s="32"/>
      <c r="Z136" s="38">
        <f>IF(AD136=0,J136,0)</f>
        <v>0</v>
      </c>
      <c r="AA136" s="38">
        <f>IF(AD136=15,J136,0)</f>
        <v>0</v>
      </c>
      <c r="AB136" s="38">
        <f>IF(AD136=21,J136,0)</f>
        <v>0</v>
      </c>
      <c r="AD136" s="38">
        <v>21</v>
      </c>
      <c r="AE136" s="38">
        <f>G136*0</f>
        <v>0</v>
      </c>
      <c r="AF136" s="38">
        <f>G136*(1-0)</f>
        <v>0</v>
      </c>
      <c r="AG136" s="39" t="s">
        <v>77</v>
      </c>
      <c r="AM136" s="38">
        <f>F136*AE136</f>
        <v>0</v>
      </c>
      <c r="AN136" s="38">
        <f>F136*AF136</f>
        <v>0</v>
      </c>
      <c r="AO136" s="39" t="s">
        <v>274</v>
      </c>
      <c r="AP136" s="39" t="s">
        <v>231</v>
      </c>
      <c r="AQ136" s="32" t="s">
        <v>53</v>
      </c>
      <c r="AS136" s="38">
        <f>AM136+AN136</f>
        <v>0</v>
      </c>
      <c r="AT136" s="38">
        <f>G136/(100-AU136)*100</f>
        <v>0</v>
      </c>
      <c r="AU136" s="38">
        <v>0</v>
      </c>
      <c r="AV136" s="38">
        <f>L136</f>
        <v>0</v>
      </c>
    </row>
    <row r="137" spans="1:48" x14ac:dyDescent="0.2">
      <c r="D137" s="40" t="s">
        <v>275</v>
      </c>
      <c r="F137" s="41">
        <v>153.14041</v>
      </c>
    </row>
    <row r="138" spans="1:48" x14ac:dyDescent="0.2">
      <c r="A138" s="17" t="s">
        <v>276</v>
      </c>
      <c r="B138" s="17"/>
      <c r="C138" s="17" t="s">
        <v>277</v>
      </c>
      <c r="D138" s="17" t="s">
        <v>278</v>
      </c>
      <c r="E138" s="17" t="s">
        <v>266</v>
      </c>
      <c r="F138" s="38">
        <v>153.14041</v>
      </c>
      <c r="G138" s="38"/>
      <c r="H138" s="38">
        <f>F138*AE138</f>
        <v>0</v>
      </c>
      <c r="I138" s="38">
        <f>J138-H138</f>
        <v>0</v>
      </c>
      <c r="J138" s="38">
        <f>F138*G138</f>
        <v>0</v>
      </c>
      <c r="K138" s="38">
        <v>0</v>
      </c>
      <c r="L138" s="38">
        <f>F138*K138</f>
        <v>0</v>
      </c>
      <c r="M138" s="39" t="s">
        <v>93</v>
      </c>
      <c r="P138" s="38">
        <f>IF(AG138="5",J138,0)</f>
        <v>0</v>
      </c>
      <c r="R138" s="38">
        <f>IF(AG138="1",H138,0)</f>
        <v>0</v>
      </c>
      <c r="S138" s="38">
        <f>IF(AG138="1",I138,0)</f>
        <v>0</v>
      </c>
      <c r="T138" s="38">
        <f>IF(AG138="7",H138,0)</f>
        <v>0</v>
      </c>
      <c r="U138" s="38">
        <f>IF(AG138="7",I138,0)</f>
        <v>0</v>
      </c>
      <c r="V138" s="38">
        <f>IF(AG138="2",H138,0)</f>
        <v>0</v>
      </c>
      <c r="W138" s="38">
        <f>IF(AG138="2",I138,0)</f>
        <v>0</v>
      </c>
      <c r="X138" s="38">
        <f>IF(AG138="0",J138,0)</f>
        <v>0</v>
      </c>
      <c r="Y138" s="32"/>
      <c r="Z138" s="38">
        <f>IF(AD138=0,J138,0)</f>
        <v>0</v>
      </c>
      <c r="AA138" s="38">
        <f>IF(AD138=15,J138,0)</f>
        <v>0</v>
      </c>
      <c r="AB138" s="38">
        <f>IF(AD138=21,J138,0)</f>
        <v>0</v>
      </c>
      <c r="AD138" s="38">
        <v>21</v>
      </c>
      <c r="AE138" s="38">
        <f>G138*0</f>
        <v>0</v>
      </c>
      <c r="AF138" s="38">
        <f>G138*(1-0)</f>
        <v>0</v>
      </c>
      <c r="AG138" s="39" t="s">
        <v>77</v>
      </c>
      <c r="AM138" s="38">
        <f>F138*AE138</f>
        <v>0</v>
      </c>
      <c r="AN138" s="38">
        <f>F138*AF138</f>
        <v>0</v>
      </c>
      <c r="AO138" s="39" t="s">
        <v>274</v>
      </c>
      <c r="AP138" s="39" t="s">
        <v>231</v>
      </c>
      <c r="AQ138" s="32" t="s">
        <v>53</v>
      </c>
      <c r="AS138" s="38">
        <f>AM138+AN138</f>
        <v>0</v>
      </c>
      <c r="AT138" s="38">
        <f>G138/(100-AU138)*100</f>
        <v>0</v>
      </c>
      <c r="AU138" s="38">
        <v>0</v>
      </c>
      <c r="AV138" s="38">
        <f>L138</f>
        <v>0</v>
      </c>
    </row>
    <row r="139" spans="1:48" x14ac:dyDescent="0.2">
      <c r="D139" s="40" t="s">
        <v>275</v>
      </c>
      <c r="F139" s="41">
        <v>153.14041</v>
      </c>
    </row>
    <row r="140" spans="1:48" x14ac:dyDescent="0.2">
      <c r="A140" s="17" t="s">
        <v>279</v>
      </c>
      <c r="B140" s="17"/>
      <c r="C140" s="17" t="s">
        <v>280</v>
      </c>
      <c r="D140" s="17" t="s">
        <v>281</v>
      </c>
      <c r="E140" s="17" t="s">
        <v>266</v>
      </c>
      <c r="F140" s="38">
        <v>153.14041</v>
      </c>
      <c r="G140" s="38"/>
      <c r="H140" s="38">
        <f>F140*AE140</f>
        <v>0</v>
      </c>
      <c r="I140" s="38">
        <f>J140-H140</f>
        <v>0</v>
      </c>
      <c r="J140" s="38">
        <f>F140*G140</f>
        <v>0</v>
      </c>
      <c r="K140" s="38">
        <v>0</v>
      </c>
      <c r="L140" s="38">
        <f>F140*K140</f>
        <v>0</v>
      </c>
      <c r="M140" s="39" t="s">
        <v>93</v>
      </c>
      <c r="P140" s="38">
        <f>IF(AG140="5",J140,0)</f>
        <v>0</v>
      </c>
      <c r="R140" s="38">
        <f>IF(AG140="1",H140,0)</f>
        <v>0</v>
      </c>
      <c r="S140" s="38">
        <f>IF(AG140="1",I140,0)</f>
        <v>0</v>
      </c>
      <c r="T140" s="38">
        <f>IF(AG140="7",H140,0)</f>
        <v>0</v>
      </c>
      <c r="U140" s="38">
        <f>IF(AG140="7",I140,0)</f>
        <v>0</v>
      </c>
      <c r="V140" s="38">
        <f>IF(AG140="2",H140,0)</f>
        <v>0</v>
      </c>
      <c r="W140" s="38">
        <f>IF(AG140="2",I140,0)</f>
        <v>0</v>
      </c>
      <c r="X140" s="38">
        <f>IF(AG140="0",J140,0)</f>
        <v>0</v>
      </c>
      <c r="Y140" s="32"/>
      <c r="Z140" s="38">
        <f>IF(AD140=0,J140,0)</f>
        <v>0</v>
      </c>
      <c r="AA140" s="38">
        <f>IF(AD140=15,J140,0)</f>
        <v>0</v>
      </c>
      <c r="AB140" s="38">
        <f>IF(AD140=21,J140,0)</f>
        <v>0</v>
      </c>
      <c r="AD140" s="38">
        <v>21</v>
      </c>
      <c r="AE140" s="38">
        <f>G140*0</f>
        <v>0</v>
      </c>
      <c r="AF140" s="38">
        <f>G140*(1-0)</f>
        <v>0</v>
      </c>
      <c r="AG140" s="39" t="s">
        <v>77</v>
      </c>
      <c r="AM140" s="38">
        <f>F140*AE140</f>
        <v>0</v>
      </c>
      <c r="AN140" s="38">
        <f>F140*AF140</f>
        <v>0</v>
      </c>
      <c r="AO140" s="39" t="s">
        <v>274</v>
      </c>
      <c r="AP140" s="39" t="s">
        <v>231</v>
      </c>
      <c r="AQ140" s="32" t="s">
        <v>53</v>
      </c>
      <c r="AS140" s="38">
        <f>AM140+AN140</f>
        <v>0</v>
      </c>
      <c r="AT140" s="38">
        <f>G140/(100-AU140)*100</f>
        <v>0</v>
      </c>
      <c r="AU140" s="38">
        <v>0</v>
      </c>
      <c r="AV140" s="38">
        <f>L140</f>
        <v>0</v>
      </c>
    </row>
    <row r="141" spans="1:48" x14ac:dyDescent="0.2">
      <c r="D141" s="40" t="s">
        <v>275</v>
      </c>
      <c r="F141" s="41">
        <v>153.14041</v>
      </c>
    </row>
    <row r="142" spans="1:48" x14ac:dyDescent="0.2">
      <c r="A142" s="17" t="s">
        <v>282</v>
      </c>
      <c r="B142" s="17"/>
      <c r="C142" s="17" t="s">
        <v>283</v>
      </c>
      <c r="D142" s="17" t="s">
        <v>284</v>
      </c>
      <c r="E142" s="17" t="s">
        <v>266</v>
      </c>
      <c r="F142" s="38">
        <v>459.42122999999998</v>
      </c>
      <c r="G142" s="38"/>
      <c r="H142" s="38">
        <f>F142*AE142</f>
        <v>0</v>
      </c>
      <c r="I142" s="38">
        <f>J142-H142</f>
        <v>0</v>
      </c>
      <c r="J142" s="38">
        <f>F142*G142</f>
        <v>0</v>
      </c>
      <c r="K142" s="38">
        <v>0</v>
      </c>
      <c r="L142" s="38">
        <f>F142*K142</f>
        <v>0</v>
      </c>
      <c r="M142" s="39" t="s">
        <v>93</v>
      </c>
      <c r="P142" s="38">
        <f>IF(AG142="5",J142,0)</f>
        <v>0</v>
      </c>
      <c r="R142" s="38">
        <f>IF(AG142="1",H142,0)</f>
        <v>0</v>
      </c>
      <c r="S142" s="38">
        <f>IF(AG142="1",I142,0)</f>
        <v>0</v>
      </c>
      <c r="T142" s="38">
        <f>IF(AG142="7",H142,0)</f>
        <v>0</v>
      </c>
      <c r="U142" s="38">
        <f>IF(AG142="7",I142,0)</f>
        <v>0</v>
      </c>
      <c r="V142" s="38">
        <f>IF(AG142="2",H142,0)</f>
        <v>0</v>
      </c>
      <c r="W142" s="38">
        <f>IF(AG142="2",I142,0)</f>
        <v>0</v>
      </c>
      <c r="X142" s="38">
        <f>IF(AG142="0",J142,0)</f>
        <v>0</v>
      </c>
      <c r="Y142" s="32"/>
      <c r="Z142" s="38">
        <f>IF(AD142=0,J142,0)</f>
        <v>0</v>
      </c>
      <c r="AA142" s="38">
        <f>IF(AD142=15,J142,0)</f>
        <v>0</v>
      </c>
      <c r="AB142" s="38">
        <f>IF(AD142=21,J142,0)</f>
        <v>0</v>
      </c>
      <c r="AD142" s="38">
        <v>21</v>
      </c>
      <c r="AE142" s="38">
        <f>G142*0</f>
        <v>0</v>
      </c>
      <c r="AF142" s="38">
        <f>G142*(1-0)</f>
        <v>0</v>
      </c>
      <c r="AG142" s="39" t="s">
        <v>77</v>
      </c>
      <c r="AM142" s="38">
        <f>F142*AE142</f>
        <v>0</v>
      </c>
      <c r="AN142" s="38">
        <f>F142*AF142</f>
        <v>0</v>
      </c>
      <c r="AO142" s="39" t="s">
        <v>274</v>
      </c>
      <c r="AP142" s="39" t="s">
        <v>231</v>
      </c>
      <c r="AQ142" s="32" t="s">
        <v>53</v>
      </c>
      <c r="AS142" s="38">
        <f>AM142+AN142</f>
        <v>0</v>
      </c>
      <c r="AT142" s="38">
        <f>G142/(100-AU142)*100</f>
        <v>0</v>
      </c>
      <c r="AU142" s="38">
        <v>0</v>
      </c>
      <c r="AV142" s="38">
        <f>L142</f>
        <v>0</v>
      </c>
    </row>
    <row r="143" spans="1:48" x14ac:dyDescent="0.2">
      <c r="D143" s="40" t="s">
        <v>285</v>
      </c>
      <c r="F143" s="41">
        <v>459.42122999999998</v>
      </c>
    </row>
    <row r="144" spans="1:48" x14ac:dyDescent="0.2">
      <c r="A144" s="17" t="s">
        <v>286</v>
      </c>
      <c r="B144" s="17"/>
      <c r="C144" s="17" t="s">
        <v>287</v>
      </c>
      <c r="D144" s="17" t="s">
        <v>288</v>
      </c>
      <c r="E144" s="17" t="s">
        <v>266</v>
      </c>
      <c r="F144" s="38">
        <v>153.14041</v>
      </c>
      <c r="G144" s="38"/>
      <c r="H144" s="38">
        <f>F144*AE144</f>
        <v>0</v>
      </c>
      <c r="I144" s="38">
        <f>J144-H144</f>
        <v>0</v>
      </c>
      <c r="J144" s="38">
        <f>F144*G144</f>
        <v>0</v>
      </c>
      <c r="K144" s="38">
        <v>0</v>
      </c>
      <c r="L144" s="38">
        <f>F144*K144</f>
        <v>0</v>
      </c>
      <c r="M144" s="39"/>
      <c r="P144" s="38">
        <f>IF(AG144="5",J144,0)</f>
        <v>0</v>
      </c>
      <c r="R144" s="38">
        <f>IF(AG144="1",H144,0)</f>
        <v>0</v>
      </c>
      <c r="S144" s="38">
        <f>IF(AG144="1",I144,0)</f>
        <v>0</v>
      </c>
      <c r="T144" s="38">
        <f>IF(AG144="7",H144,0)</f>
        <v>0</v>
      </c>
      <c r="U144" s="38">
        <f>IF(AG144="7",I144,0)</f>
        <v>0</v>
      </c>
      <c r="V144" s="38">
        <f>IF(AG144="2",H144,0)</f>
        <v>0</v>
      </c>
      <c r="W144" s="38">
        <f>IF(AG144="2",I144,0)</f>
        <v>0</v>
      </c>
      <c r="X144" s="38">
        <f>IF(AG144="0",J144,0)</f>
        <v>0</v>
      </c>
      <c r="Y144" s="32"/>
      <c r="Z144" s="38">
        <f>IF(AD144=0,J144,0)</f>
        <v>0</v>
      </c>
      <c r="AA144" s="38">
        <f>IF(AD144=15,J144,0)</f>
        <v>0</v>
      </c>
      <c r="AB144" s="38">
        <f>IF(AD144=21,J144,0)</f>
        <v>0</v>
      </c>
      <c r="AD144" s="38">
        <v>21</v>
      </c>
      <c r="AE144" s="38">
        <f>G144*0</f>
        <v>0</v>
      </c>
      <c r="AF144" s="38">
        <f>G144*(1-0)</f>
        <v>0</v>
      </c>
      <c r="AG144" s="39" t="s">
        <v>77</v>
      </c>
      <c r="AM144" s="38">
        <f>F144*AE144</f>
        <v>0</v>
      </c>
      <c r="AN144" s="38">
        <f>F144*AF144</f>
        <v>0</v>
      </c>
      <c r="AO144" s="39" t="s">
        <v>274</v>
      </c>
      <c r="AP144" s="39" t="s">
        <v>231</v>
      </c>
      <c r="AQ144" s="32" t="s">
        <v>53</v>
      </c>
      <c r="AS144" s="38">
        <f>AM144+AN144</f>
        <v>0</v>
      </c>
      <c r="AT144" s="38">
        <f>G144/(100-AU144)*100</f>
        <v>0</v>
      </c>
      <c r="AU144" s="38">
        <v>0</v>
      </c>
      <c r="AV144" s="38">
        <f>L144</f>
        <v>0</v>
      </c>
    </row>
    <row r="145" spans="1:13" x14ac:dyDescent="0.2">
      <c r="A145" s="44"/>
      <c r="B145" s="44"/>
      <c r="C145" s="44"/>
      <c r="D145" s="45" t="s">
        <v>275</v>
      </c>
      <c r="E145" s="44"/>
      <c r="F145" s="46">
        <v>153.14041</v>
      </c>
      <c r="G145" s="44"/>
      <c r="H145" s="44"/>
      <c r="I145" s="44"/>
      <c r="J145" s="44"/>
      <c r="K145" s="44"/>
      <c r="L145" s="44"/>
      <c r="M145" s="44"/>
    </row>
    <row r="146" spans="1:13" x14ac:dyDescent="0.2">
      <c r="A146" s="47"/>
      <c r="B146" s="47"/>
      <c r="C146" s="47"/>
      <c r="D146" s="47"/>
      <c r="E146" s="47"/>
      <c r="F146" s="47"/>
      <c r="G146" s="47"/>
      <c r="H146" s="71" t="s">
        <v>289</v>
      </c>
      <c r="I146" s="71"/>
      <c r="J146" s="48">
        <f>J12+J27+J38+J52+J55+J60+J66+J69+J72+J86+J89+J104+J114+J119+J122+J126+J132+J135</f>
        <v>0</v>
      </c>
      <c r="K146" s="47"/>
      <c r="L146" s="47"/>
      <c r="M146" s="47"/>
    </row>
    <row r="147" spans="1:13" ht="11.25" customHeight="1" x14ac:dyDescent="0.2">
      <c r="A147" s="49" t="s">
        <v>290</v>
      </c>
    </row>
  </sheetData>
  <mergeCells count="46">
    <mergeCell ref="D135:G135"/>
    <mergeCell ref="H146:I146"/>
    <mergeCell ref="D114:G114"/>
    <mergeCell ref="D119:G119"/>
    <mergeCell ref="D122:G122"/>
    <mergeCell ref="D126:G126"/>
    <mergeCell ref="D132:G132"/>
    <mergeCell ref="D69:G69"/>
    <mergeCell ref="D72:G72"/>
    <mergeCell ref="D86:G86"/>
    <mergeCell ref="D89:G89"/>
    <mergeCell ref="D104:G104"/>
    <mergeCell ref="D38:G38"/>
    <mergeCell ref="D52:G52"/>
    <mergeCell ref="D55:G55"/>
    <mergeCell ref="D60:G60"/>
    <mergeCell ref="D66:G66"/>
    <mergeCell ref="J8:M9"/>
    <mergeCell ref="H10:J10"/>
    <mergeCell ref="K10:L10"/>
    <mergeCell ref="D12:G12"/>
    <mergeCell ref="D27:G27"/>
    <mergeCell ref="A8:C9"/>
    <mergeCell ref="D8:D9"/>
    <mergeCell ref="E8:F9"/>
    <mergeCell ref="G8:H9"/>
    <mergeCell ref="I8:I9"/>
    <mergeCell ref="J4:M5"/>
    <mergeCell ref="A6:C7"/>
    <mergeCell ref="D6:D7"/>
    <mergeCell ref="E6:F7"/>
    <mergeCell ref="G6:H7"/>
    <mergeCell ref="I6:I7"/>
    <mergeCell ref="J6:M7"/>
    <mergeCell ref="A4:C5"/>
    <mergeCell ref="D4:D5"/>
    <mergeCell ref="E4:F5"/>
    <mergeCell ref="G4:H5"/>
    <mergeCell ref="I4:I5"/>
    <mergeCell ref="A1:M1"/>
    <mergeCell ref="A2:C3"/>
    <mergeCell ref="D2:D3"/>
    <mergeCell ref="E2:F3"/>
    <mergeCell ref="G2:H3"/>
    <mergeCell ref="I2:I3"/>
    <mergeCell ref="J2:M3"/>
  </mergeCells>
  <pageMargins left="0.39374999999999999" right="0.39374999999999999" top="0.5" bottom="0.5" header="0.5" footer="0.5"/>
  <pageSetup paperSize="75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Krycí_list_rozpočtu</vt:lpstr>
      <vt:lpstr>Stavební_rozpočet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Kolací Kateřina</cp:lastModifiedBy>
  <cp:revision>0</cp:revision>
  <dcterms:created xsi:type="dcterms:W3CDTF">2017-08-12T08:23:30Z</dcterms:created>
  <dcterms:modified xsi:type="dcterms:W3CDTF">2018-06-13T12:07:28Z</dcterms:modified>
  <dc:language>en-US</dc:language>
</cp:coreProperties>
</file>