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icka\Documents\"/>
    </mc:Choice>
  </mc:AlternateContent>
  <bookViews>
    <workbookView xWindow="0" yWindow="0" windowWidth="28800" windowHeight="12330"/>
  </bookViews>
  <sheets>
    <sheet name="Stavební rozpočet" sheetId="1" r:id="rId1"/>
    <sheet name="Stavební rozpočet - součet" sheetId="2" r:id="rId2"/>
    <sheet name="Krycí list rozpočtu" sheetId="3" r:id="rId3"/>
    <sheet name="VORN" sheetId="4" state="hidden" r:id="rId4"/>
  </sheets>
  <definedNames>
    <definedName name="vorn_sum">VORN!$I$36</definedName>
  </definedNames>
  <calcPr calcId="162913"/>
</workbook>
</file>

<file path=xl/calcChain.xml><?xml version="1.0" encoding="utf-8"?>
<calcChain xmlns="http://schemas.openxmlformats.org/spreadsheetml/2006/main">
  <c r="I35" i="4" l="1"/>
  <c r="I36" i="4" s="1"/>
  <c r="I26" i="4"/>
  <c r="I25" i="4"/>
  <c r="I24" i="4"/>
  <c r="I23" i="4"/>
  <c r="I22" i="4"/>
  <c r="I15" i="3" s="1"/>
  <c r="I21" i="4"/>
  <c r="I17" i="4"/>
  <c r="I16" i="4"/>
  <c r="I18" i="4" s="1"/>
  <c r="I15" i="4"/>
  <c r="I10" i="4"/>
  <c r="F10" i="4"/>
  <c r="C10" i="4"/>
  <c r="F8" i="4"/>
  <c r="C8" i="4"/>
  <c r="F6" i="4"/>
  <c r="C6" i="4"/>
  <c r="F4" i="4"/>
  <c r="C4" i="4"/>
  <c r="F2" i="4"/>
  <c r="C2" i="4"/>
  <c r="I24" i="3"/>
  <c r="I19" i="3"/>
  <c r="I18" i="3"/>
  <c r="I17" i="3"/>
  <c r="I16" i="3"/>
  <c r="F16" i="3"/>
  <c r="F15" i="3"/>
  <c r="F22" i="3" s="1"/>
  <c r="I14" i="3"/>
  <c r="F14" i="3"/>
  <c r="I10" i="3"/>
  <c r="F10" i="3"/>
  <c r="C10" i="3"/>
  <c r="F8" i="3"/>
  <c r="C8" i="3"/>
  <c r="F6" i="3"/>
  <c r="C6" i="3"/>
  <c r="F4" i="3"/>
  <c r="C4" i="3"/>
  <c r="F2" i="3"/>
  <c r="C2" i="3"/>
  <c r="G28" i="2"/>
  <c r="I28" i="2" s="1"/>
  <c r="G23" i="2"/>
  <c r="I23" i="2" s="1"/>
  <c r="G18" i="2"/>
  <c r="I18" i="2" s="1"/>
  <c r="G16" i="2"/>
  <c r="I16" i="2" s="1"/>
  <c r="G12" i="2"/>
  <c r="I12" i="2" s="1"/>
  <c r="G8" i="2"/>
  <c r="C8" i="2"/>
  <c r="G6" i="2"/>
  <c r="C6" i="2"/>
  <c r="G4" i="2"/>
  <c r="C4" i="2"/>
  <c r="G2" i="2"/>
  <c r="C2" i="2"/>
  <c r="BJ144" i="1"/>
  <c r="BF144" i="1"/>
  <c r="BD144" i="1"/>
  <c r="AX144" i="1"/>
  <c r="AP144" i="1"/>
  <c r="BI144" i="1" s="1"/>
  <c r="AG144" i="1" s="1"/>
  <c r="AO144" i="1"/>
  <c r="AW144" i="1" s="1"/>
  <c r="AK144" i="1"/>
  <c r="AJ144" i="1"/>
  <c r="AH144" i="1"/>
  <c r="AE144" i="1"/>
  <c r="AD144" i="1"/>
  <c r="AC144" i="1"/>
  <c r="AB144" i="1"/>
  <c r="Z144" i="1"/>
  <c r="J144" i="1"/>
  <c r="AL144" i="1" s="1"/>
  <c r="I144" i="1"/>
  <c r="H144" i="1"/>
  <c r="BJ143" i="1"/>
  <c r="BF143" i="1"/>
  <c r="BD143" i="1"/>
  <c r="AW143" i="1"/>
  <c r="AP143" i="1"/>
  <c r="AO143" i="1"/>
  <c r="BH143" i="1" s="1"/>
  <c r="AF143" i="1" s="1"/>
  <c r="AL143" i="1"/>
  <c r="AK143" i="1"/>
  <c r="AJ143" i="1"/>
  <c r="AH143" i="1"/>
  <c r="AE143" i="1"/>
  <c r="AD143" i="1"/>
  <c r="AC143" i="1"/>
  <c r="AB143" i="1"/>
  <c r="Z143" i="1"/>
  <c r="J143" i="1"/>
  <c r="H143" i="1"/>
  <c r="BJ142" i="1"/>
  <c r="BF142" i="1"/>
  <c r="BD142" i="1"/>
  <c r="AX142" i="1"/>
  <c r="AP142" i="1"/>
  <c r="BI142" i="1" s="1"/>
  <c r="AG142" i="1" s="1"/>
  <c r="AO142" i="1"/>
  <c r="AW142" i="1" s="1"/>
  <c r="BC142" i="1" s="1"/>
  <c r="AK142" i="1"/>
  <c r="AJ142" i="1"/>
  <c r="AH142" i="1"/>
  <c r="AE142" i="1"/>
  <c r="AD142" i="1"/>
  <c r="AC142" i="1"/>
  <c r="AB142" i="1"/>
  <c r="Z142" i="1"/>
  <c r="J142" i="1"/>
  <c r="I142" i="1"/>
  <c r="H142" i="1"/>
  <c r="BJ141" i="1"/>
  <c r="BI141" i="1"/>
  <c r="AG141" i="1" s="1"/>
  <c r="BF141" i="1"/>
  <c r="BD141" i="1"/>
  <c r="AW141" i="1"/>
  <c r="AP141" i="1"/>
  <c r="AX141" i="1" s="1"/>
  <c r="AO141" i="1"/>
  <c r="BH141" i="1" s="1"/>
  <c r="AF141" i="1" s="1"/>
  <c r="AL141" i="1"/>
  <c r="AK141" i="1"/>
  <c r="AJ141" i="1"/>
  <c r="AH141" i="1"/>
  <c r="AE141" i="1"/>
  <c r="AD141" i="1"/>
  <c r="AC141" i="1"/>
  <c r="AB141" i="1"/>
  <c r="Z141" i="1"/>
  <c r="J141" i="1"/>
  <c r="I141" i="1"/>
  <c r="H141" i="1"/>
  <c r="BJ140" i="1"/>
  <c r="BF140" i="1"/>
  <c r="BD140" i="1"/>
  <c r="AX140" i="1"/>
  <c r="AP140" i="1"/>
  <c r="BI140" i="1" s="1"/>
  <c r="AG140" i="1" s="1"/>
  <c r="AO140" i="1"/>
  <c r="AW140" i="1" s="1"/>
  <c r="AK140" i="1"/>
  <c r="AJ140" i="1"/>
  <c r="AH140" i="1"/>
  <c r="AE140" i="1"/>
  <c r="AD140" i="1"/>
  <c r="AC140" i="1"/>
  <c r="AB140" i="1"/>
  <c r="Z140" i="1"/>
  <c r="J140" i="1"/>
  <c r="AL140" i="1" s="1"/>
  <c r="I140" i="1"/>
  <c r="H140" i="1"/>
  <c r="AT139" i="1"/>
  <c r="H139" i="1"/>
  <c r="E30" i="2" s="1"/>
  <c r="BJ137" i="1"/>
  <c r="BI137" i="1"/>
  <c r="AG137" i="1" s="1"/>
  <c r="BF137" i="1"/>
  <c r="BD137" i="1"/>
  <c r="AP137" i="1"/>
  <c r="AX137" i="1" s="1"/>
  <c r="AO137" i="1"/>
  <c r="BH137" i="1" s="1"/>
  <c r="AK137" i="1"/>
  <c r="AJ137" i="1"/>
  <c r="AH137" i="1"/>
  <c r="AF137" i="1"/>
  <c r="AE137" i="1"/>
  <c r="AD137" i="1"/>
  <c r="AC137" i="1"/>
  <c r="AB137" i="1"/>
  <c r="Z137" i="1"/>
  <c r="J137" i="1"/>
  <c r="I137" i="1"/>
  <c r="H137" i="1"/>
  <c r="BJ136" i="1"/>
  <c r="BI136" i="1"/>
  <c r="AG136" i="1" s="1"/>
  <c r="BF136" i="1"/>
  <c r="BD136" i="1"/>
  <c r="AW136" i="1"/>
  <c r="AP136" i="1"/>
  <c r="AX136" i="1" s="1"/>
  <c r="AO136" i="1"/>
  <c r="BH136" i="1" s="1"/>
  <c r="AF136" i="1" s="1"/>
  <c r="AL136" i="1"/>
  <c r="AK136" i="1"/>
  <c r="AJ136" i="1"/>
  <c r="AS133" i="1" s="1"/>
  <c r="AH136" i="1"/>
  <c r="AE136" i="1"/>
  <c r="AD136" i="1"/>
  <c r="AC136" i="1"/>
  <c r="AB136" i="1"/>
  <c r="Z136" i="1"/>
  <c r="J136" i="1"/>
  <c r="I136" i="1"/>
  <c r="I133" i="1" s="1"/>
  <c r="F29" i="2" s="1"/>
  <c r="H136" i="1"/>
  <c r="BJ134" i="1"/>
  <c r="BF134" i="1"/>
  <c r="BD134" i="1"/>
  <c r="AX134" i="1"/>
  <c r="AP134" i="1"/>
  <c r="BI134" i="1" s="1"/>
  <c r="AG134" i="1" s="1"/>
  <c r="AO134" i="1"/>
  <c r="AW134" i="1" s="1"/>
  <c r="AK134" i="1"/>
  <c r="AT133" i="1" s="1"/>
  <c r="AJ134" i="1"/>
  <c r="AH134" i="1"/>
  <c r="AE134" i="1"/>
  <c r="AD134" i="1"/>
  <c r="AC134" i="1"/>
  <c r="AB134" i="1"/>
  <c r="Z134" i="1"/>
  <c r="J134" i="1"/>
  <c r="AL134" i="1" s="1"/>
  <c r="I134" i="1"/>
  <c r="H134" i="1"/>
  <c r="H133" i="1"/>
  <c r="E29" i="2" s="1"/>
  <c r="BJ131" i="1"/>
  <c r="BI131" i="1"/>
  <c r="AG131" i="1" s="1"/>
  <c r="BF131" i="1"/>
  <c r="BD131" i="1"/>
  <c r="AW131" i="1"/>
  <c r="AP131" i="1"/>
  <c r="AX131" i="1" s="1"/>
  <c r="AO131" i="1"/>
  <c r="BH131" i="1" s="1"/>
  <c r="AF131" i="1" s="1"/>
  <c r="AL131" i="1"/>
  <c r="AK131" i="1"/>
  <c r="AJ131" i="1"/>
  <c r="AS128" i="1" s="1"/>
  <c r="AH131" i="1"/>
  <c r="AE131" i="1"/>
  <c r="AD131" i="1"/>
  <c r="AC131" i="1"/>
  <c r="AB131" i="1"/>
  <c r="Z131" i="1"/>
  <c r="J131" i="1"/>
  <c r="I131" i="1"/>
  <c r="I128" i="1" s="1"/>
  <c r="F28" i="2" s="1"/>
  <c r="H131" i="1"/>
  <c r="BJ129" i="1"/>
  <c r="BF129" i="1"/>
  <c r="BD129" i="1"/>
  <c r="AX129" i="1"/>
  <c r="AP129" i="1"/>
  <c r="BI129" i="1" s="1"/>
  <c r="AG129" i="1" s="1"/>
  <c r="AO129" i="1"/>
  <c r="AW129" i="1" s="1"/>
  <c r="AK129" i="1"/>
  <c r="AT128" i="1" s="1"/>
  <c r="AJ129" i="1"/>
  <c r="AH129" i="1"/>
  <c r="AE129" i="1"/>
  <c r="AD129" i="1"/>
  <c r="AC129" i="1"/>
  <c r="AB129" i="1"/>
  <c r="Z129" i="1"/>
  <c r="J129" i="1"/>
  <c r="AL129" i="1" s="1"/>
  <c r="AU128" i="1" s="1"/>
  <c r="I129" i="1"/>
  <c r="H129" i="1"/>
  <c r="J128" i="1"/>
  <c r="H128" i="1"/>
  <c r="E28" i="2" s="1"/>
  <c r="BJ127" i="1"/>
  <c r="BI127" i="1"/>
  <c r="BF127" i="1"/>
  <c r="BD127" i="1"/>
  <c r="AW127" i="1"/>
  <c r="AP127" i="1"/>
  <c r="AX127" i="1" s="1"/>
  <c r="AO127" i="1"/>
  <c r="BH127" i="1" s="1"/>
  <c r="AL127" i="1"/>
  <c r="AK127" i="1"/>
  <c r="AJ127" i="1"/>
  <c r="AH127" i="1"/>
  <c r="AG127" i="1"/>
  <c r="AF127" i="1"/>
  <c r="AE127" i="1"/>
  <c r="AD127" i="1"/>
  <c r="AC127" i="1"/>
  <c r="AB127" i="1"/>
  <c r="Z127" i="1"/>
  <c r="J127" i="1"/>
  <c r="I127" i="1"/>
  <c r="H127" i="1"/>
  <c r="BJ126" i="1"/>
  <c r="BF126" i="1"/>
  <c r="BD126" i="1"/>
  <c r="AX126" i="1"/>
  <c r="AP126" i="1"/>
  <c r="BI126" i="1" s="1"/>
  <c r="AE126" i="1" s="1"/>
  <c r="AO126" i="1"/>
  <c r="AW126" i="1" s="1"/>
  <c r="BC126" i="1" s="1"/>
  <c r="AK126" i="1"/>
  <c r="AJ126" i="1"/>
  <c r="AH126" i="1"/>
  <c r="AG126" i="1"/>
  <c r="AF126" i="1"/>
  <c r="AC126" i="1"/>
  <c r="AB126" i="1"/>
  <c r="Z126" i="1"/>
  <c r="J126" i="1"/>
  <c r="I126" i="1"/>
  <c r="H126" i="1"/>
  <c r="BJ125" i="1"/>
  <c r="BI125" i="1"/>
  <c r="AE125" i="1" s="1"/>
  <c r="BF125" i="1"/>
  <c r="BD125" i="1"/>
  <c r="AW125" i="1"/>
  <c r="AP125" i="1"/>
  <c r="AX125" i="1" s="1"/>
  <c r="AO125" i="1"/>
  <c r="BH125" i="1" s="1"/>
  <c r="AD125" i="1" s="1"/>
  <c r="AL125" i="1"/>
  <c r="AK125" i="1"/>
  <c r="AJ125" i="1"/>
  <c r="AS123" i="1" s="1"/>
  <c r="AH125" i="1"/>
  <c r="AG125" i="1"/>
  <c r="AF125" i="1"/>
  <c r="AC125" i="1"/>
  <c r="AB125" i="1"/>
  <c r="Z125" i="1"/>
  <c r="J125" i="1"/>
  <c r="I125" i="1"/>
  <c r="I123" i="1" s="1"/>
  <c r="F27" i="2" s="1"/>
  <c r="H125" i="1"/>
  <c r="BJ124" i="1"/>
  <c r="BF124" i="1"/>
  <c r="BD124" i="1"/>
  <c r="AX124" i="1"/>
  <c r="AP124" i="1"/>
  <c r="BI124" i="1" s="1"/>
  <c r="AE124" i="1" s="1"/>
  <c r="AO124" i="1"/>
  <c r="AW124" i="1" s="1"/>
  <c r="AK124" i="1"/>
  <c r="AT123" i="1" s="1"/>
  <c r="AJ124" i="1"/>
  <c r="AH124" i="1"/>
  <c r="AG124" i="1"/>
  <c r="AF124" i="1"/>
  <c r="AC124" i="1"/>
  <c r="AB124" i="1"/>
  <c r="Z124" i="1"/>
  <c r="J124" i="1"/>
  <c r="AL124" i="1" s="1"/>
  <c r="I124" i="1"/>
  <c r="H124" i="1"/>
  <c r="H123" i="1"/>
  <c r="E27" i="2" s="1"/>
  <c r="BJ122" i="1"/>
  <c r="BI122" i="1"/>
  <c r="BF122" i="1"/>
  <c r="BD122" i="1"/>
  <c r="AW122" i="1"/>
  <c r="AP122" i="1"/>
  <c r="AX122" i="1" s="1"/>
  <c r="AO122" i="1"/>
  <c r="BH122" i="1" s="1"/>
  <c r="AL122" i="1"/>
  <c r="AK122" i="1"/>
  <c r="AJ122" i="1"/>
  <c r="AH122" i="1"/>
  <c r="AG122" i="1"/>
  <c r="AF122" i="1"/>
  <c r="AE122" i="1"/>
  <c r="AD122" i="1"/>
  <c r="AC122" i="1"/>
  <c r="AB122" i="1"/>
  <c r="Z122" i="1"/>
  <c r="J122" i="1"/>
  <c r="I122" i="1"/>
  <c r="H122" i="1"/>
  <c r="BJ121" i="1"/>
  <c r="BF121" i="1"/>
  <c r="BD121" i="1"/>
  <c r="AX121" i="1"/>
  <c r="AP121" i="1"/>
  <c r="BI121" i="1" s="1"/>
  <c r="AE121" i="1" s="1"/>
  <c r="AO121" i="1"/>
  <c r="AW121" i="1" s="1"/>
  <c r="BC121" i="1" s="1"/>
  <c r="AK121" i="1"/>
  <c r="AT119" i="1" s="1"/>
  <c r="AJ121" i="1"/>
  <c r="AH121" i="1"/>
  <c r="AG121" i="1"/>
  <c r="AF121" i="1"/>
  <c r="AC121" i="1"/>
  <c r="AB121" i="1"/>
  <c r="Z121" i="1"/>
  <c r="J121" i="1"/>
  <c r="I121" i="1"/>
  <c r="H121" i="1"/>
  <c r="H119" i="1" s="1"/>
  <c r="E26" i="2" s="1"/>
  <c r="BJ120" i="1"/>
  <c r="BI120" i="1"/>
  <c r="AE120" i="1" s="1"/>
  <c r="BF120" i="1"/>
  <c r="BD120" i="1"/>
  <c r="AW120" i="1"/>
  <c r="AP120" i="1"/>
  <c r="AX120" i="1" s="1"/>
  <c r="AO120" i="1"/>
  <c r="BH120" i="1" s="1"/>
  <c r="AD120" i="1" s="1"/>
  <c r="AL120" i="1"/>
  <c r="AK120" i="1"/>
  <c r="AJ120" i="1"/>
  <c r="AH120" i="1"/>
  <c r="AG120" i="1"/>
  <c r="AF120" i="1"/>
  <c r="AC120" i="1"/>
  <c r="AB120" i="1"/>
  <c r="Z120" i="1"/>
  <c r="J120" i="1"/>
  <c r="I120" i="1"/>
  <c r="H120" i="1"/>
  <c r="AS119" i="1"/>
  <c r="I119" i="1"/>
  <c r="F26" i="2" s="1"/>
  <c r="BJ118" i="1"/>
  <c r="BF118" i="1"/>
  <c r="BD118" i="1"/>
  <c r="AX118" i="1"/>
  <c r="AP118" i="1"/>
  <c r="BI118" i="1" s="1"/>
  <c r="AC118" i="1" s="1"/>
  <c r="AO118" i="1"/>
  <c r="AW118" i="1" s="1"/>
  <c r="BC118" i="1" s="1"/>
  <c r="AK118" i="1"/>
  <c r="AJ118" i="1"/>
  <c r="AH118" i="1"/>
  <c r="AG118" i="1"/>
  <c r="AF118" i="1"/>
  <c r="AE118" i="1"/>
  <c r="AD118" i="1"/>
  <c r="Z118" i="1"/>
  <c r="J118" i="1"/>
  <c r="AL118" i="1" s="1"/>
  <c r="I118" i="1"/>
  <c r="H118" i="1"/>
  <c r="BJ117" i="1"/>
  <c r="BI117" i="1"/>
  <c r="BF117" i="1"/>
  <c r="BD117" i="1"/>
  <c r="AW117" i="1"/>
  <c r="AP117" i="1"/>
  <c r="AX117" i="1" s="1"/>
  <c r="AO117" i="1"/>
  <c r="BH117" i="1" s="1"/>
  <c r="AL117" i="1"/>
  <c r="AK117" i="1"/>
  <c r="AJ117" i="1"/>
  <c r="AH117" i="1"/>
  <c r="AG117" i="1"/>
  <c r="AF117" i="1"/>
  <c r="AE117" i="1"/>
  <c r="AD117" i="1"/>
  <c r="AC117" i="1"/>
  <c r="AB117" i="1"/>
  <c r="Z117" i="1"/>
  <c r="J117" i="1"/>
  <c r="I117" i="1"/>
  <c r="H117" i="1"/>
  <c r="BJ116" i="1"/>
  <c r="Z116" i="1" s="1"/>
  <c r="BF116" i="1"/>
  <c r="BD116" i="1"/>
  <c r="AX116" i="1"/>
  <c r="AP116" i="1"/>
  <c r="BI116" i="1" s="1"/>
  <c r="AO116" i="1"/>
  <c r="AW116" i="1" s="1"/>
  <c r="BC116" i="1" s="1"/>
  <c r="AK116" i="1"/>
  <c r="AT113" i="1" s="1"/>
  <c r="AJ116" i="1"/>
  <c r="AH116" i="1"/>
  <c r="AG116" i="1"/>
  <c r="AF116" i="1"/>
  <c r="AE116" i="1"/>
  <c r="AD116" i="1"/>
  <c r="AC116" i="1"/>
  <c r="AB116" i="1"/>
  <c r="J116" i="1"/>
  <c r="I116" i="1"/>
  <c r="H116" i="1"/>
  <c r="H113" i="1" s="1"/>
  <c r="E25" i="2" s="1"/>
  <c r="BJ114" i="1"/>
  <c r="BI114" i="1"/>
  <c r="BF114" i="1"/>
  <c r="BD114" i="1"/>
  <c r="AW114" i="1"/>
  <c r="AP114" i="1"/>
  <c r="AX114" i="1" s="1"/>
  <c r="AO114" i="1"/>
  <c r="BH114" i="1" s="1"/>
  <c r="AL114" i="1"/>
  <c r="AK114" i="1"/>
  <c r="AJ114" i="1"/>
  <c r="AH114" i="1"/>
  <c r="AG114" i="1"/>
  <c r="AF114" i="1"/>
  <c r="AE114" i="1"/>
  <c r="AD114" i="1"/>
  <c r="AC114" i="1"/>
  <c r="AB114" i="1"/>
  <c r="Z114" i="1"/>
  <c r="J114" i="1"/>
  <c r="I114" i="1"/>
  <c r="H114" i="1"/>
  <c r="AS113" i="1"/>
  <c r="I113" i="1"/>
  <c r="F25" i="2" s="1"/>
  <c r="BJ112" i="1"/>
  <c r="BF112" i="1"/>
  <c r="BD112" i="1"/>
  <c r="AX112" i="1"/>
  <c r="AP112" i="1"/>
  <c r="BI112" i="1" s="1"/>
  <c r="AC112" i="1" s="1"/>
  <c r="AO112" i="1"/>
  <c r="AW112" i="1" s="1"/>
  <c r="AK112" i="1"/>
  <c r="AT111" i="1" s="1"/>
  <c r="AJ112" i="1"/>
  <c r="AH112" i="1"/>
  <c r="AG112" i="1"/>
  <c r="AF112" i="1"/>
  <c r="AE112" i="1"/>
  <c r="AD112" i="1"/>
  <c r="Z112" i="1"/>
  <c r="J112" i="1"/>
  <c r="AL112" i="1" s="1"/>
  <c r="AU111" i="1" s="1"/>
  <c r="I112" i="1"/>
  <c r="H112" i="1"/>
  <c r="AS111" i="1"/>
  <c r="J111" i="1"/>
  <c r="G24" i="2" s="1"/>
  <c r="I24" i="2" s="1"/>
  <c r="I111" i="1"/>
  <c r="F24" i="2" s="1"/>
  <c r="H111" i="1"/>
  <c r="E24" i="2" s="1"/>
  <c r="BJ110" i="1"/>
  <c r="BI110" i="1"/>
  <c r="BF110" i="1"/>
  <c r="BD110" i="1"/>
  <c r="AW110" i="1"/>
  <c r="AP110" i="1"/>
  <c r="AX110" i="1" s="1"/>
  <c r="AO110" i="1"/>
  <c r="BH110" i="1" s="1"/>
  <c r="AL110" i="1"/>
  <c r="AK110" i="1"/>
  <c r="AJ110" i="1"/>
  <c r="AH110" i="1"/>
  <c r="AG110" i="1"/>
  <c r="AF110" i="1"/>
  <c r="AE110" i="1"/>
  <c r="AD110" i="1"/>
  <c r="AC110" i="1"/>
  <c r="AB110" i="1"/>
  <c r="Z110" i="1"/>
  <c r="J110" i="1"/>
  <c r="I110" i="1"/>
  <c r="H110" i="1"/>
  <c r="AU109" i="1"/>
  <c r="AT109" i="1"/>
  <c r="AS109" i="1"/>
  <c r="J109" i="1"/>
  <c r="I109" i="1"/>
  <c r="F23" i="2" s="1"/>
  <c r="H109" i="1"/>
  <c r="E23" i="2" s="1"/>
  <c r="BJ108" i="1"/>
  <c r="BF108" i="1"/>
  <c r="BD108" i="1"/>
  <c r="AX108" i="1"/>
  <c r="AP108" i="1"/>
  <c r="BI108" i="1" s="1"/>
  <c r="AC108" i="1" s="1"/>
  <c r="AO108" i="1"/>
  <c r="AW108" i="1" s="1"/>
  <c r="BC108" i="1" s="1"/>
  <c r="AK108" i="1"/>
  <c r="AJ108" i="1"/>
  <c r="AH108" i="1"/>
  <c r="AG108" i="1"/>
  <c r="AF108" i="1"/>
  <c r="AE108" i="1"/>
  <c r="AD108" i="1"/>
  <c r="Z108" i="1"/>
  <c r="J108" i="1"/>
  <c r="AL108" i="1" s="1"/>
  <c r="I108" i="1"/>
  <c r="H108" i="1"/>
  <c r="BJ107" i="1"/>
  <c r="BI107" i="1"/>
  <c r="AC107" i="1" s="1"/>
  <c r="BF107" i="1"/>
  <c r="BD107" i="1"/>
  <c r="AW107" i="1"/>
  <c r="AP107" i="1"/>
  <c r="AX107" i="1" s="1"/>
  <c r="AO107" i="1"/>
  <c r="BH107" i="1" s="1"/>
  <c r="AB107" i="1" s="1"/>
  <c r="AL107" i="1"/>
  <c r="AK107" i="1"/>
  <c r="AJ107" i="1"/>
  <c r="AH107" i="1"/>
  <c r="AG107" i="1"/>
  <c r="AF107" i="1"/>
  <c r="AE107" i="1"/>
  <c r="AD107" i="1"/>
  <c r="Z107" i="1"/>
  <c r="J107" i="1"/>
  <c r="I107" i="1"/>
  <c r="H107" i="1"/>
  <c r="BJ106" i="1"/>
  <c r="BF106" i="1"/>
  <c r="BD106" i="1"/>
  <c r="AX106" i="1"/>
  <c r="AP106" i="1"/>
  <c r="BI106" i="1" s="1"/>
  <c r="AC106" i="1" s="1"/>
  <c r="AO106" i="1"/>
  <c r="AW106" i="1" s="1"/>
  <c r="AK106" i="1"/>
  <c r="AJ106" i="1"/>
  <c r="AH106" i="1"/>
  <c r="AG106" i="1"/>
  <c r="AF106" i="1"/>
  <c r="AE106" i="1"/>
  <c r="AD106" i="1"/>
  <c r="Z106" i="1"/>
  <c r="J106" i="1"/>
  <c r="AL106" i="1" s="1"/>
  <c r="I106" i="1"/>
  <c r="H106" i="1"/>
  <c r="BJ105" i="1"/>
  <c r="BF105" i="1"/>
  <c r="BD105" i="1"/>
  <c r="AW105" i="1"/>
  <c r="AP105" i="1"/>
  <c r="AO105" i="1"/>
  <c r="BH105" i="1" s="1"/>
  <c r="AB105" i="1" s="1"/>
  <c r="AL105" i="1"/>
  <c r="AK105" i="1"/>
  <c r="AJ105" i="1"/>
  <c r="AS100" i="1" s="1"/>
  <c r="AH105" i="1"/>
  <c r="AG105" i="1"/>
  <c r="AF105" i="1"/>
  <c r="AE105" i="1"/>
  <c r="AD105" i="1"/>
  <c r="Z105" i="1"/>
  <c r="J105" i="1"/>
  <c r="H105" i="1"/>
  <c r="BJ104" i="1"/>
  <c r="BF104" i="1"/>
  <c r="BD104" i="1"/>
  <c r="AX104" i="1"/>
  <c r="AP104" i="1"/>
  <c r="BI104" i="1" s="1"/>
  <c r="AC104" i="1" s="1"/>
  <c r="AO104" i="1"/>
  <c r="AW104" i="1" s="1"/>
  <c r="BC104" i="1" s="1"/>
  <c r="AK104" i="1"/>
  <c r="AJ104" i="1"/>
  <c r="AH104" i="1"/>
  <c r="AG104" i="1"/>
  <c r="AF104" i="1"/>
  <c r="AE104" i="1"/>
  <c r="AD104" i="1"/>
  <c r="Z104" i="1"/>
  <c r="J104" i="1"/>
  <c r="AL104" i="1" s="1"/>
  <c r="I104" i="1"/>
  <c r="H104" i="1"/>
  <c r="BJ103" i="1"/>
  <c r="BI103" i="1"/>
  <c r="AC103" i="1" s="1"/>
  <c r="BF103" i="1"/>
  <c r="BD103" i="1"/>
  <c r="AW103" i="1"/>
  <c r="AP103" i="1"/>
  <c r="AX103" i="1" s="1"/>
  <c r="AO103" i="1"/>
  <c r="BH103" i="1" s="1"/>
  <c r="AB103" i="1" s="1"/>
  <c r="AL103" i="1"/>
  <c r="AK103" i="1"/>
  <c r="AJ103" i="1"/>
  <c r="AH103" i="1"/>
  <c r="AG103" i="1"/>
  <c r="AF103" i="1"/>
  <c r="AE103" i="1"/>
  <c r="AD103" i="1"/>
  <c r="Z103" i="1"/>
  <c r="J103" i="1"/>
  <c r="I103" i="1"/>
  <c r="H103" i="1"/>
  <c r="BJ102" i="1"/>
  <c r="BF102" i="1"/>
  <c r="BD102" i="1"/>
  <c r="AX102" i="1"/>
  <c r="AP102" i="1"/>
  <c r="BI102" i="1" s="1"/>
  <c r="AC102" i="1" s="1"/>
  <c r="AO102" i="1"/>
  <c r="AW102" i="1" s="1"/>
  <c r="AK102" i="1"/>
  <c r="AJ102" i="1"/>
  <c r="AH102" i="1"/>
  <c r="AG102" i="1"/>
  <c r="AF102" i="1"/>
  <c r="AE102" i="1"/>
  <c r="AD102" i="1"/>
  <c r="Z102" i="1"/>
  <c r="J102" i="1"/>
  <c r="I102" i="1"/>
  <c r="H102" i="1"/>
  <c r="BJ101" i="1"/>
  <c r="BF101" i="1"/>
  <c r="BD101" i="1"/>
  <c r="AW101" i="1"/>
  <c r="AP101" i="1"/>
  <c r="AO101" i="1"/>
  <c r="BH101" i="1" s="1"/>
  <c r="AB101" i="1" s="1"/>
  <c r="AL101" i="1"/>
  <c r="AK101" i="1"/>
  <c r="AJ101" i="1"/>
  <c r="AH101" i="1"/>
  <c r="AG101" i="1"/>
  <c r="AF101" i="1"/>
  <c r="AE101" i="1"/>
  <c r="AD101" i="1"/>
  <c r="Z101" i="1"/>
  <c r="J101" i="1"/>
  <c r="H101" i="1"/>
  <c r="H100" i="1"/>
  <c r="E22" i="2" s="1"/>
  <c r="BJ99" i="1"/>
  <c r="BI99" i="1"/>
  <c r="AC99" i="1" s="1"/>
  <c r="BF99" i="1"/>
  <c r="BD99" i="1"/>
  <c r="AW99" i="1"/>
  <c r="AV99" i="1" s="1"/>
  <c r="AP99" i="1"/>
  <c r="AX99" i="1" s="1"/>
  <c r="AO99" i="1"/>
  <c r="BH99" i="1" s="1"/>
  <c r="AB99" i="1" s="1"/>
  <c r="AL99" i="1"/>
  <c r="AK99" i="1"/>
  <c r="AJ99" i="1"/>
  <c r="AH99" i="1"/>
  <c r="AG99" i="1"/>
  <c r="AF99" i="1"/>
  <c r="AE99" i="1"/>
  <c r="AD99" i="1"/>
  <c r="Z99" i="1"/>
  <c r="J99" i="1"/>
  <c r="I99" i="1"/>
  <c r="H99" i="1"/>
  <c r="BJ98" i="1"/>
  <c r="BF98" i="1"/>
  <c r="BD98" i="1"/>
  <c r="AX98" i="1"/>
  <c r="AP98" i="1"/>
  <c r="BI98" i="1" s="1"/>
  <c r="AC98" i="1" s="1"/>
  <c r="AO98" i="1"/>
  <c r="AW98" i="1" s="1"/>
  <c r="AK98" i="1"/>
  <c r="AJ98" i="1"/>
  <c r="AH98" i="1"/>
  <c r="AG98" i="1"/>
  <c r="AF98" i="1"/>
  <c r="AE98" i="1"/>
  <c r="AD98" i="1"/>
  <c r="Z98" i="1"/>
  <c r="J98" i="1"/>
  <c r="AL98" i="1" s="1"/>
  <c r="I98" i="1"/>
  <c r="H98" i="1"/>
  <c r="BJ97" i="1"/>
  <c r="BF97" i="1"/>
  <c r="BD97" i="1"/>
  <c r="AW97" i="1"/>
  <c r="AP97" i="1"/>
  <c r="AX97" i="1" s="1"/>
  <c r="BC97" i="1" s="1"/>
  <c r="AO97" i="1"/>
  <c r="BH97" i="1" s="1"/>
  <c r="AB97" i="1" s="1"/>
  <c r="AL97" i="1"/>
  <c r="AK97" i="1"/>
  <c r="AJ97" i="1"/>
  <c r="AH97" i="1"/>
  <c r="AG97" i="1"/>
  <c r="AF97" i="1"/>
  <c r="AE97" i="1"/>
  <c r="AD97" i="1"/>
  <c r="Z97" i="1"/>
  <c r="J97" i="1"/>
  <c r="H97" i="1"/>
  <c r="BJ96" i="1"/>
  <c r="BF96" i="1"/>
  <c r="BD96" i="1"/>
  <c r="AX96" i="1"/>
  <c r="AP96" i="1"/>
  <c r="BI96" i="1" s="1"/>
  <c r="AC96" i="1" s="1"/>
  <c r="AO96" i="1"/>
  <c r="AW96" i="1" s="1"/>
  <c r="BC96" i="1" s="1"/>
  <c r="AK96" i="1"/>
  <c r="AJ96" i="1"/>
  <c r="AH96" i="1"/>
  <c r="AG96" i="1"/>
  <c r="AF96" i="1"/>
  <c r="AE96" i="1"/>
  <c r="AD96" i="1"/>
  <c r="Z96" i="1"/>
  <c r="J96" i="1"/>
  <c r="AL96" i="1" s="1"/>
  <c r="I96" i="1"/>
  <c r="H96" i="1"/>
  <c r="BJ95" i="1"/>
  <c r="BI95" i="1"/>
  <c r="AC95" i="1" s="1"/>
  <c r="BF95" i="1"/>
  <c r="BD95" i="1"/>
  <c r="AW95" i="1"/>
  <c r="AV95" i="1" s="1"/>
  <c r="AP95" i="1"/>
  <c r="AX95" i="1" s="1"/>
  <c r="AO95" i="1"/>
  <c r="BH95" i="1" s="1"/>
  <c r="AB95" i="1" s="1"/>
  <c r="AL95" i="1"/>
  <c r="AK95" i="1"/>
  <c r="AJ95" i="1"/>
  <c r="AH95" i="1"/>
  <c r="AG95" i="1"/>
  <c r="AF95" i="1"/>
  <c r="AE95" i="1"/>
  <c r="AD95" i="1"/>
  <c r="Z95" i="1"/>
  <c r="J95" i="1"/>
  <c r="I95" i="1"/>
  <c r="H95" i="1"/>
  <c r="BJ94" i="1"/>
  <c r="BF94" i="1"/>
  <c r="BD94" i="1"/>
  <c r="AX94" i="1"/>
  <c r="AP94" i="1"/>
  <c r="BI94" i="1" s="1"/>
  <c r="AC94" i="1" s="1"/>
  <c r="AO94" i="1"/>
  <c r="AW94" i="1" s="1"/>
  <c r="AK94" i="1"/>
  <c r="AJ94" i="1"/>
  <c r="AH94" i="1"/>
  <c r="AG94" i="1"/>
  <c r="AF94" i="1"/>
  <c r="AE94" i="1"/>
  <c r="AD94" i="1"/>
  <c r="Z94" i="1"/>
  <c r="J94" i="1"/>
  <c r="AL94" i="1" s="1"/>
  <c r="I94" i="1"/>
  <c r="H94" i="1"/>
  <c r="BJ93" i="1"/>
  <c r="BF93" i="1"/>
  <c r="BD93" i="1"/>
  <c r="AW93" i="1"/>
  <c r="AP93" i="1"/>
  <c r="AX93" i="1" s="1"/>
  <c r="BC93" i="1" s="1"/>
  <c r="AO93" i="1"/>
  <c r="BH93" i="1" s="1"/>
  <c r="AB93" i="1" s="1"/>
  <c r="AL93" i="1"/>
  <c r="AK93" i="1"/>
  <c r="AJ93" i="1"/>
  <c r="AH93" i="1"/>
  <c r="AG93" i="1"/>
  <c r="AF93" i="1"/>
  <c r="AE93" i="1"/>
  <c r="AD93" i="1"/>
  <c r="Z93" i="1"/>
  <c r="J93" i="1"/>
  <c r="H93" i="1"/>
  <c r="BJ92" i="1"/>
  <c r="BF92" i="1"/>
  <c r="BD92" i="1"/>
  <c r="AX92" i="1"/>
  <c r="AP92" i="1"/>
  <c r="BI92" i="1" s="1"/>
  <c r="AC92" i="1" s="1"/>
  <c r="AO92" i="1"/>
  <c r="AW92" i="1" s="1"/>
  <c r="BC92" i="1" s="1"/>
  <c r="AK92" i="1"/>
  <c r="AJ92" i="1"/>
  <c r="AH92" i="1"/>
  <c r="AG92" i="1"/>
  <c r="AF92" i="1"/>
  <c r="AE92" i="1"/>
  <c r="AD92" i="1"/>
  <c r="Z92" i="1"/>
  <c r="J92" i="1"/>
  <c r="AL92" i="1" s="1"/>
  <c r="I92" i="1"/>
  <c r="H92" i="1"/>
  <c r="BJ90" i="1"/>
  <c r="BI90" i="1"/>
  <c r="AC90" i="1" s="1"/>
  <c r="BF90" i="1"/>
  <c r="BD90" i="1"/>
  <c r="AW90" i="1"/>
  <c r="AV90" i="1" s="1"/>
  <c r="AP90" i="1"/>
  <c r="AX90" i="1" s="1"/>
  <c r="AO90" i="1"/>
  <c r="BH90" i="1" s="1"/>
  <c r="AB90" i="1" s="1"/>
  <c r="AL90" i="1"/>
  <c r="AK90" i="1"/>
  <c r="AJ90" i="1"/>
  <c r="AH90" i="1"/>
  <c r="AG90" i="1"/>
  <c r="AF90" i="1"/>
  <c r="AE90" i="1"/>
  <c r="AD90" i="1"/>
  <c r="Z90" i="1"/>
  <c r="J90" i="1"/>
  <c r="I90" i="1"/>
  <c r="H90" i="1"/>
  <c r="BJ89" i="1"/>
  <c r="BF89" i="1"/>
  <c r="BD89" i="1"/>
  <c r="AX89" i="1"/>
  <c r="AP89" i="1"/>
  <c r="BI89" i="1" s="1"/>
  <c r="AC89" i="1" s="1"/>
  <c r="AO89" i="1"/>
  <c r="AW89" i="1" s="1"/>
  <c r="AK89" i="1"/>
  <c r="AJ89" i="1"/>
  <c r="AH89" i="1"/>
  <c r="AG89" i="1"/>
  <c r="AF89" i="1"/>
  <c r="AE89" i="1"/>
  <c r="AD89" i="1"/>
  <c r="Z89" i="1"/>
  <c r="J89" i="1"/>
  <c r="AL89" i="1" s="1"/>
  <c r="I89" i="1"/>
  <c r="H89" i="1"/>
  <c r="BJ88" i="1"/>
  <c r="BF88" i="1"/>
  <c r="BD88" i="1"/>
  <c r="AW88" i="1"/>
  <c r="AP88" i="1"/>
  <c r="AX88" i="1" s="1"/>
  <c r="BC88" i="1" s="1"/>
  <c r="AO88" i="1"/>
  <c r="BH88" i="1" s="1"/>
  <c r="AB88" i="1" s="1"/>
  <c r="AL88" i="1"/>
  <c r="AK88" i="1"/>
  <c r="AJ88" i="1"/>
  <c r="AS83" i="1" s="1"/>
  <c r="AH88" i="1"/>
  <c r="AG88" i="1"/>
  <c r="AF88" i="1"/>
  <c r="AE88" i="1"/>
  <c r="AD88" i="1"/>
  <c r="Z88" i="1"/>
  <c r="J88" i="1"/>
  <c r="H88" i="1"/>
  <c r="BJ86" i="1"/>
  <c r="BF86" i="1"/>
  <c r="BD86" i="1"/>
  <c r="AX86" i="1"/>
  <c r="AP86" i="1"/>
  <c r="BI86" i="1" s="1"/>
  <c r="AC86" i="1" s="1"/>
  <c r="AO86" i="1"/>
  <c r="AW86" i="1" s="1"/>
  <c r="BC86" i="1" s="1"/>
  <c r="AK86" i="1"/>
  <c r="AJ86" i="1"/>
  <c r="AH86" i="1"/>
  <c r="AG86" i="1"/>
  <c r="AF86" i="1"/>
  <c r="AE86" i="1"/>
  <c r="AD86" i="1"/>
  <c r="Z86" i="1"/>
  <c r="J86" i="1"/>
  <c r="I86" i="1"/>
  <c r="H86" i="1"/>
  <c r="H83" i="1" s="1"/>
  <c r="E21" i="2" s="1"/>
  <c r="BJ84" i="1"/>
  <c r="BI84" i="1"/>
  <c r="AC84" i="1" s="1"/>
  <c r="BF84" i="1"/>
  <c r="BD84" i="1"/>
  <c r="AW84" i="1"/>
  <c r="AV84" i="1" s="1"/>
  <c r="AP84" i="1"/>
  <c r="AX84" i="1" s="1"/>
  <c r="AO84" i="1"/>
  <c r="BH84" i="1" s="1"/>
  <c r="AB84" i="1" s="1"/>
  <c r="AL84" i="1"/>
  <c r="AK84" i="1"/>
  <c r="AJ84" i="1"/>
  <c r="AH84" i="1"/>
  <c r="AG84" i="1"/>
  <c r="AF84" i="1"/>
  <c r="AE84" i="1"/>
  <c r="AD84" i="1"/>
  <c r="Z84" i="1"/>
  <c r="J84" i="1"/>
  <c r="I84" i="1"/>
  <c r="H84" i="1"/>
  <c r="BJ82" i="1"/>
  <c r="BF82" i="1"/>
  <c r="BD82" i="1"/>
  <c r="AX82" i="1"/>
  <c r="AP82" i="1"/>
  <c r="BI82" i="1" s="1"/>
  <c r="AC82" i="1" s="1"/>
  <c r="AO82" i="1"/>
  <c r="AW82" i="1" s="1"/>
  <c r="BC82" i="1" s="1"/>
  <c r="AK82" i="1"/>
  <c r="AT79" i="1" s="1"/>
  <c r="AJ82" i="1"/>
  <c r="AH82" i="1"/>
  <c r="AG82" i="1"/>
  <c r="AF82" i="1"/>
  <c r="AE82" i="1"/>
  <c r="AD82" i="1"/>
  <c r="Z82" i="1"/>
  <c r="J82" i="1"/>
  <c r="I82" i="1"/>
  <c r="H82" i="1"/>
  <c r="H79" i="1" s="1"/>
  <c r="E20" i="2" s="1"/>
  <c r="BJ80" i="1"/>
  <c r="BI80" i="1"/>
  <c r="AC80" i="1" s="1"/>
  <c r="BF80" i="1"/>
  <c r="BD80" i="1"/>
  <c r="AW80" i="1"/>
  <c r="AV80" i="1" s="1"/>
  <c r="AP80" i="1"/>
  <c r="AX80" i="1" s="1"/>
  <c r="AO80" i="1"/>
  <c r="BH80" i="1" s="1"/>
  <c r="AB80" i="1" s="1"/>
  <c r="AL80" i="1"/>
  <c r="AK80" i="1"/>
  <c r="AJ80" i="1"/>
  <c r="AH80" i="1"/>
  <c r="AG80" i="1"/>
  <c r="AF80" i="1"/>
  <c r="AE80" i="1"/>
  <c r="AD80" i="1"/>
  <c r="Z80" i="1"/>
  <c r="J80" i="1"/>
  <c r="I80" i="1"/>
  <c r="H80" i="1"/>
  <c r="AS79" i="1"/>
  <c r="I79" i="1"/>
  <c r="F20" i="2" s="1"/>
  <c r="BJ77" i="1"/>
  <c r="BF77" i="1"/>
  <c r="BD77" i="1"/>
  <c r="AX77" i="1"/>
  <c r="AP77" i="1"/>
  <c r="BI77" i="1" s="1"/>
  <c r="AC77" i="1" s="1"/>
  <c r="AO77" i="1"/>
  <c r="AW77" i="1" s="1"/>
  <c r="BC77" i="1" s="1"/>
  <c r="AK77" i="1"/>
  <c r="AJ77" i="1"/>
  <c r="AH77" i="1"/>
  <c r="AG77" i="1"/>
  <c r="AF77" i="1"/>
  <c r="AE77" i="1"/>
  <c r="AD77" i="1"/>
  <c r="Z77" i="1"/>
  <c r="J77" i="1"/>
  <c r="AL77" i="1" s="1"/>
  <c r="I77" i="1"/>
  <c r="H77" i="1"/>
  <c r="BJ76" i="1"/>
  <c r="BI76" i="1"/>
  <c r="AC76" i="1" s="1"/>
  <c r="BF76" i="1"/>
  <c r="BD76" i="1"/>
  <c r="AW76" i="1"/>
  <c r="AV76" i="1" s="1"/>
  <c r="AP76" i="1"/>
  <c r="AX76" i="1" s="1"/>
  <c r="AO76" i="1"/>
  <c r="BH76" i="1" s="1"/>
  <c r="AB76" i="1" s="1"/>
  <c r="AL76" i="1"/>
  <c r="AK76" i="1"/>
  <c r="AJ76" i="1"/>
  <c r="AH76" i="1"/>
  <c r="AG76" i="1"/>
  <c r="AF76" i="1"/>
  <c r="AE76" i="1"/>
  <c r="AD76" i="1"/>
  <c r="Z76" i="1"/>
  <c r="J76" i="1"/>
  <c r="I76" i="1"/>
  <c r="H76" i="1"/>
  <c r="BJ74" i="1"/>
  <c r="BF74" i="1"/>
  <c r="BD74" i="1"/>
  <c r="AX74" i="1"/>
  <c r="AP74" i="1"/>
  <c r="BI74" i="1" s="1"/>
  <c r="AC74" i="1" s="1"/>
  <c r="AO74" i="1"/>
  <c r="AW74" i="1" s="1"/>
  <c r="AK74" i="1"/>
  <c r="AJ74" i="1"/>
  <c r="AH74" i="1"/>
  <c r="AG74" i="1"/>
  <c r="AF74" i="1"/>
  <c r="AE74" i="1"/>
  <c r="AD74" i="1"/>
  <c r="Z74" i="1"/>
  <c r="J74" i="1"/>
  <c r="AL74" i="1" s="1"/>
  <c r="I74" i="1"/>
  <c r="H74" i="1"/>
  <c r="BJ73" i="1"/>
  <c r="BF73" i="1"/>
  <c r="BD73" i="1"/>
  <c r="AW73" i="1"/>
  <c r="AP73" i="1"/>
  <c r="AX73" i="1" s="1"/>
  <c r="BC73" i="1" s="1"/>
  <c r="AO73" i="1"/>
  <c r="BH73" i="1" s="1"/>
  <c r="AB73" i="1" s="1"/>
  <c r="AL73" i="1"/>
  <c r="AK73" i="1"/>
  <c r="AJ73" i="1"/>
  <c r="AH73" i="1"/>
  <c r="AG73" i="1"/>
  <c r="AF73" i="1"/>
  <c r="AE73" i="1"/>
  <c r="AD73" i="1"/>
  <c r="Z73" i="1"/>
  <c r="J73" i="1"/>
  <c r="H73" i="1"/>
  <c r="BJ71" i="1"/>
  <c r="BF71" i="1"/>
  <c r="BD71" i="1"/>
  <c r="AX71" i="1"/>
  <c r="AP71" i="1"/>
  <c r="BI71" i="1" s="1"/>
  <c r="AC71" i="1" s="1"/>
  <c r="AO71" i="1"/>
  <c r="AW71" i="1" s="1"/>
  <c r="BC71" i="1" s="1"/>
  <c r="AK71" i="1"/>
  <c r="AJ71" i="1"/>
  <c r="AH71" i="1"/>
  <c r="AG71" i="1"/>
  <c r="AF71" i="1"/>
  <c r="AE71" i="1"/>
  <c r="AD71" i="1"/>
  <c r="Z71" i="1"/>
  <c r="J71" i="1"/>
  <c r="AL71" i="1" s="1"/>
  <c r="I71" i="1"/>
  <c r="H71" i="1"/>
  <c r="BJ70" i="1"/>
  <c r="BI70" i="1"/>
  <c r="AC70" i="1" s="1"/>
  <c r="BF70" i="1"/>
  <c r="BD70" i="1"/>
  <c r="AW70" i="1"/>
  <c r="AV70" i="1" s="1"/>
  <c r="AP70" i="1"/>
  <c r="AX70" i="1" s="1"/>
  <c r="AO70" i="1"/>
  <c r="BH70" i="1" s="1"/>
  <c r="AB70" i="1" s="1"/>
  <c r="AL70" i="1"/>
  <c r="AK70" i="1"/>
  <c r="AJ70" i="1"/>
  <c r="AH70" i="1"/>
  <c r="AG70" i="1"/>
  <c r="AF70" i="1"/>
  <c r="AE70" i="1"/>
  <c r="AD70" i="1"/>
  <c r="Z70" i="1"/>
  <c r="J70" i="1"/>
  <c r="I70" i="1"/>
  <c r="H70" i="1"/>
  <c r="BJ68" i="1"/>
  <c r="BF68" i="1"/>
  <c r="BD68" i="1"/>
  <c r="AX68" i="1"/>
  <c r="AP68" i="1"/>
  <c r="BI68" i="1" s="1"/>
  <c r="AC68" i="1" s="1"/>
  <c r="AO68" i="1"/>
  <c r="AW68" i="1" s="1"/>
  <c r="AK68" i="1"/>
  <c r="AJ68" i="1"/>
  <c r="AH68" i="1"/>
  <c r="AG68" i="1"/>
  <c r="AF68" i="1"/>
  <c r="AE68" i="1"/>
  <c r="AD68" i="1"/>
  <c r="Z68" i="1"/>
  <c r="J68" i="1"/>
  <c r="AL68" i="1" s="1"/>
  <c r="I68" i="1"/>
  <c r="H68" i="1"/>
  <c r="AT67" i="1"/>
  <c r="H67" i="1"/>
  <c r="E19" i="2" s="1"/>
  <c r="BJ65" i="1"/>
  <c r="BI65" i="1"/>
  <c r="AC65" i="1" s="1"/>
  <c r="BF65" i="1"/>
  <c r="BD65" i="1"/>
  <c r="AW65" i="1"/>
  <c r="AV65" i="1" s="1"/>
  <c r="AP65" i="1"/>
  <c r="AX65" i="1" s="1"/>
  <c r="AO65" i="1"/>
  <c r="BH65" i="1" s="1"/>
  <c r="AB65" i="1" s="1"/>
  <c r="AL65" i="1"/>
  <c r="AK65" i="1"/>
  <c r="AJ65" i="1"/>
  <c r="AH65" i="1"/>
  <c r="AG65" i="1"/>
  <c r="AF65" i="1"/>
  <c r="AE65" i="1"/>
  <c r="AD65" i="1"/>
  <c r="Z65" i="1"/>
  <c r="J65" i="1"/>
  <c r="I65" i="1"/>
  <c r="H65" i="1"/>
  <c r="AU64" i="1"/>
  <c r="AT64" i="1"/>
  <c r="AS64" i="1"/>
  <c r="J64" i="1"/>
  <c r="I64" i="1"/>
  <c r="F18" i="2" s="1"/>
  <c r="H64" i="1"/>
  <c r="E18" i="2" s="1"/>
  <c r="BJ62" i="1"/>
  <c r="BF62" i="1"/>
  <c r="BD62" i="1"/>
  <c r="AX62" i="1"/>
  <c r="AP62" i="1"/>
  <c r="BI62" i="1" s="1"/>
  <c r="AC62" i="1" s="1"/>
  <c r="AO62" i="1"/>
  <c r="AW62" i="1" s="1"/>
  <c r="AK62" i="1"/>
  <c r="AJ62" i="1"/>
  <c r="AH62" i="1"/>
  <c r="AG62" i="1"/>
  <c r="AF62" i="1"/>
  <c r="AE62" i="1"/>
  <c r="AD62" i="1"/>
  <c r="Z62" i="1"/>
  <c r="J62" i="1"/>
  <c r="AL62" i="1" s="1"/>
  <c r="I62" i="1"/>
  <c r="H62" i="1"/>
  <c r="BJ60" i="1"/>
  <c r="BF60" i="1"/>
  <c r="BD60" i="1"/>
  <c r="AW60" i="1"/>
  <c r="AP60" i="1"/>
  <c r="AX60" i="1" s="1"/>
  <c r="BC60" i="1" s="1"/>
  <c r="AO60" i="1"/>
  <c r="BH60" i="1" s="1"/>
  <c r="AB60" i="1" s="1"/>
  <c r="AL60" i="1"/>
  <c r="AK60" i="1"/>
  <c r="AJ60" i="1"/>
  <c r="AH60" i="1"/>
  <c r="AG60" i="1"/>
  <c r="AF60" i="1"/>
  <c r="AE60" i="1"/>
  <c r="AD60" i="1"/>
  <c r="Z60" i="1"/>
  <c r="J60" i="1"/>
  <c r="H60" i="1"/>
  <c r="BJ58" i="1"/>
  <c r="BF58" i="1"/>
  <c r="BD58" i="1"/>
  <c r="AX58" i="1"/>
  <c r="AP58" i="1"/>
  <c r="BI58" i="1" s="1"/>
  <c r="AC58" i="1" s="1"/>
  <c r="AO58" i="1"/>
  <c r="AW58" i="1" s="1"/>
  <c r="BC58" i="1" s="1"/>
  <c r="AK58" i="1"/>
  <c r="AJ58" i="1"/>
  <c r="AH58" i="1"/>
  <c r="AG58" i="1"/>
  <c r="AF58" i="1"/>
  <c r="AE58" i="1"/>
  <c r="AD58" i="1"/>
  <c r="Z58" i="1"/>
  <c r="J58" i="1"/>
  <c r="AL58" i="1" s="1"/>
  <c r="I58" i="1"/>
  <c r="H58" i="1"/>
  <c r="BJ56" i="1"/>
  <c r="BI56" i="1"/>
  <c r="AC56" i="1" s="1"/>
  <c r="BF56" i="1"/>
  <c r="BD56" i="1"/>
  <c r="AW56" i="1"/>
  <c r="AV56" i="1" s="1"/>
  <c r="AP56" i="1"/>
  <c r="AX56" i="1" s="1"/>
  <c r="AO56" i="1"/>
  <c r="BH56" i="1" s="1"/>
  <c r="AB56" i="1" s="1"/>
  <c r="AL56" i="1"/>
  <c r="AK56" i="1"/>
  <c r="AJ56" i="1"/>
  <c r="AH56" i="1"/>
  <c r="AG56" i="1"/>
  <c r="AF56" i="1"/>
  <c r="AE56" i="1"/>
  <c r="AD56" i="1"/>
  <c r="Z56" i="1"/>
  <c r="J56" i="1"/>
  <c r="I56" i="1"/>
  <c r="H56" i="1"/>
  <c r="BJ54" i="1"/>
  <c r="BF54" i="1"/>
  <c r="BD54" i="1"/>
  <c r="AX54" i="1"/>
  <c r="AP54" i="1"/>
  <c r="BI54" i="1" s="1"/>
  <c r="AC54" i="1" s="1"/>
  <c r="AO54" i="1"/>
  <c r="AW54" i="1" s="1"/>
  <c r="AK54" i="1"/>
  <c r="AT49" i="1" s="1"/>
  <c r="AJ54" i="1"/>
  <c r="AH54" i="1"/>
  <c r="AG54" i="1"/>
  <c r="AF54" i="1"/>
  <c r="AE54" i="1"/>
  <c r="AD54" i="1"/>
  <c r="Z54" i="1"/>
  <c r="J54" i="1"/>
  <c r="AL54" i="1" s="1"/>
  <c r="I54" i="1"/>
  <c r="H54" i="1"/>
  <c r="BJ52" i="1"/>
  <c r="BF52" i="1"/>
  <c r="BD52" i="1"/>
  <c r="AW52" i="1"/>
  <c r="AP52" i="1"/>
  <c r="AX52" i="1" s="1"/>
  <c r="BC52" i="1" s="1"/>
  <c r="AO52" i="1"/>
  <c r="BH52" i="1" s="1"/>
  <c r="AB52" i="1" s="1"/>
  <c r="AL52" i="1"/>
  <c r="AK52" i="1"/>
  <c r="AJ52" i="1"/>
  <c r="AS49" i="1" s="1"/>
  <c r="AH52" i="1"/>
  <c r="AG52" i="1"/>
  <c r="AF52" i="1"/>
  <c r="AE52" i="1"/>
  <c r="AD52" i="1"/>
  <c r="Z52" i="1"/>
  <c r="J52" i="1"/>
  <c r="H52" i="1"/>
  <c r="BJ50" i="1"/>
  <c r="BF50" i="1"/>
  <c r="BD50" i="1"/>
  <c r="AX50" i="1"/>
  <c r="AP50" i="1"/>
  <c r="BI50" i="1" s="1"/>
  <c r="AC50" i="1" s="1"/>
  <c r="AO50" i="1"/>
  <c r="AW50" i="1" s="1"/>
  <c r="BC50" i="1" s="1"/>
  <c r="AK50" i="1"/>
  <c r="AJ50" i="1"/>
  <c r="AH50" i="1"/>
  <c r="AG50" i="1"/>
  <c r="AF50" i="1"/>
  <c r="AE50" i="1"/>
  <c r="AD50" i="1"/>
  <c r="Z50" i="1"/>
  <c r="J50" i="1"/>
  <c r="AL50" i="1" s="1"/>
  <c r="AU49" i="1" s="1"/>
  <c r="I50" i="1"/>
  <c r="H50" i="1"/>
  <c r="H49" i="1" s="1"/>
  <c r="E17" i="2" s="1"/>
  <c r="J49" i="1"/>
  <c r="G17" i="2" s="1"/>
  <c r="I17" i="2" s="1"/>
  <c r="BJ48" i="1"/>
  <c r="BF48" i="1"/>
  <c r="BD48" i="1"/>
  <c r="AW48" i="1"/>
  <c r="AP48" i="1"/>
  <c r="AX48" i="1" s="1"/>
  <c r="BC48" i="1" s="1"/>
  <c r="AO48" i="1"/>
  <c r="BH48" i="1" s="1"/>
  <c r="AB48" i="1" s="1"/>
  <c r="AL48" i="1"/>
  <c r="AU47" i="1" s="1"/>
  <c r="AK48" i="1"/>
  <c r="AJ48" i="1"/>
  <c r="AS47" i="1" s="1"/>
  <c r="AH48" i="1"/>
  <c r="AG48" i="1"/>
  <c r="AF48" i="1"/>
  <c r="AE48" i="1"/>
  <c r="AD48" i="1"/>
  <c r="Z48" i="1"/>
  <c r="J48" i="1"/>
  <c r="H48" i="1"/>
  <c r="AT47" i="1"/>
  <c r="J47" i="1"/>
  <c r="H47" i="1"/>
  <c r="E16" i="2" s="1"/>
  <c r="BJ45" i="1"/>
  <c r="BF45" i="1"/>
  <c r="BD45" i="1"/>
  <c r="AX45" i="1"/>
  <c r="AP45" i="1"/>
  <c r="BI45" i="1" s="1"/>
  <c r="AC45" i="1" s="1"/>
  <c r="AO45" i="1"/>
  <c r="AW45" i="1" s="1"/>
  <c r="BC45" i="1" s="1"/>
  <c r="AK45" i="1"/>
  <c r="AJ45" i="1"/>
  <c r="AH45" i="1"/>
  <c r="AG45" i="1"/>
  <c r="AF45" i="1"/>
  <c r="AE45" i="1"/>
  <c r="AD45" i="1"/>
  <c r="Z45" i="1"/>
  <c r="J45" i="1"/>
  <c r="AL45" i="1" s="1"/>
  <c r="I45" i="1"/>
  <c r="H45" i="1"/>
  <c r="BJ44" i="1"/>
  <c r="BI44" i="1"/>
  <c r="AC44" i="1" s="1"/>
  <c r="BF44" i="1"/>
  <c r="BD44" i="1"/>
  <c r="AW44" i="1"/>
  <c r="AV44" i="1" s="1"/>
  <c r="AP44" i="1"/>
  <c r="AX44" i="1" s="1"/>
  <c r="AO44" i="1"/>
  <c r="BH44" i="1" s="1"/>
  <c r="AB44" i="1" s="1"/>
  <c r="AL44" i="1"/>
  <c r="AK44" i="1"/>
  <c r="AJ44" i="1"/>
  <c r="AH44" i="1"/>
  <c r="AG44" i="1"/>
  <c r="AF44" i="1"/>
  <c r="AE44" i="1"/>
  <c r="AD44" i="1"/>
  <c r="Z44" i="1"/>
  <c r="J44" i="1"/>
  <c r="I44" i="1"/>
  <c r="H44" i="1"/>
  <c r="BJ43" i="1"/>
  <c r="BF43" i="1"/>
  <c r="BD43" i="1"/>
  <c r="AX43" i="1"/>
  <c r="AP43" i="1"/>
  <c r="BI43" i="1" s="1"/>
  <c r="AC43" i="1" s="1"/>
  <c r="AO43" i="1"/>
  <c r="AW43" i="1" s="1"/>
  <c r="AK43" i="1"/>
  <c r="AT41" i="1" s="1"/>
  <c r="AJ43" i="1"/>
  <c r="AH43" i="1"/>
  <c r="AG43" i="1"/>
  <c r="AF43" i="1"/>
  <c r="AE43" i="1"/>
  <c r="AD43" i="1"/>
  <c r="Z43" i="1"/>
  <c r="J43" i="1"/>
  <c r="I43" i="1"/>
  <c r="H43" i="1"/>
  <c r="BJ42" i="1"/>
  <c r="BF42" i="1"/>
  <c r="BD42" i="1"/>
  <c r="AW42" i="1"/>
  <c r="AP42" i="1"/>
  <c r="AX42" i="1" s="1"/>
  <c r="BC42" i="1" s="1"/>
  <c r="AO42" i="1"/>
  <c r="BH42" i="1" s="1"/>
  <c r="AB42" i="1" s="1"/>
  <c r="AL42" i="1"/>
  <c r="AK42" i="1"/>
  <c r="AJ42" i="1"/>
  <c r="AH42" i="1"/>
  <c r="AG42" i="1"/>
  <c r="AF42" i="1"/>
  <c r="AE42" i="1"/>
  <c r="AD42" i="1"/>
  <c r="Z42" i="1"/>
  <c r="J42" i="1"/>
  <c r="H42" i="1"/>
  <c r="AS41" i="1"/>
  <c r="BJ40" i="1"/>
  <c r="BF40" i="1"/>
  <c r="BD40" i="1"/>
  <c r="AX40" i="1"/>
  <c r="AP40" i="1"/>
  <c r="BI40" i="1" s="1"/>
  <c r="AC40" i="1" s="1"/>
  <c r="AO40" i="1"/>
  <c r="AW40" i="1" s="1"/>
  <c r="AK40" i="1"/>
  <c r="AJ40" i="1"/>
  <c r="AH40" i="1"/>
  <c r="AG40" i="1"/>
  <c r="AF40" i="1"/>
  <c r="AE40" i="1"/>
  <c r="AD40" i="1"/>
  <c r="Z40" i="1"/>
  <c r="J40" i="1"/>
  <c r="AL40" i="1" s="1"/>
  <c r="I40" i="1"/>
  <c r="H40" i="1"/>
  <c r="BJ39" i="1"/>
  <c r="BF39" i="1"/>
  <c r="BD39" i="1"/>
  <c r="AW39" i="1"/>
  <c r="AP39" i="1"/>
  <c r="AX39" i="1" s="1"/>
  <c r="BC39" i="1" s="1"/>
  <c r="AO39" i="1"/>
  <c r="BH39" i="1" s="1"/>
  <c r="AB39" i="1" s="1"/>
  <c r="AL39" i="1"/>
  <c r="AK39" i="1"/>
  <c r="AJ39" i="1"/>
  <c r="AH39" i="1"/>
  <c r="AG39" i="1"/>
  <c r="AF39" i="1"/>
  <c r="AE39" i="1"/>
  <c r="AD39" i="1"/>
  <c r="Z39" i="1"/>
  <c r="J39" i="1"/>
  <c r="H39" i="1"/>
  <c r="BJ38" i="1"/>
  <c r="BF38" i="1"/>
  <c r="BD38" i="1"/>
  <c r="AX38" i="1"/>
  <c r="AP38" i="1"/>
  <c r="BI38" i="1" s="1"/>
  <c r="AC38" i="1" s="1"/>
  <c r="AO38" i="1"/>
  <c r="AW38" i="1" s="1"/>
  <c r="BC38" i="1" s="1"/>
  <c r="AK38" i="1"/>
  <c r="AJ38" i="1"/>
  <c r="AH38" i="1"/>
  <c r="AG38" i="1"/>
  <c r="AF38" i="1"/>
  <c r="AE38" i="1"/>
  <c r="AD38" i="1"/>
  <c r="Z38" i="1"/>
  <c r="J38" i="1"/>
  <c r="AL38" i="1" s="1"/>
  <c r="I38" i="1"/>
  <c r="H38" i="1"/>
  <c r="BJ37" i="1"/>
  <c r="BI37" i="1"/>
  <c r="AC37" i="1" s="1"/>
  <c r="BF37" i="1"/>
  <c r="BD37" i="1"/>
  <c r="AW37" i="1"/>
  <c r="AV37" i="1" s="1"/>
  <c r="AP37" i="1"/>
  <c r="AX37" i="1" s="1"/>
  <c r="AO37" i="1"/>
  <c r="BH37" i="1" s="1"/>
  <c r="AB37" i="1" s="1"/>
  <c r="AL37" i="1"/>
  <c r="AK37" i="1"/>
  <c r="AJ37" i="1"/>
  <c r="AH37" i="1"/>
  <c r="AG37" i="1"/>
  <c r="AF37" i="1"/>
  <c r="AE37" i="1"/>
  <c r="AD37" i="1"/>
  <c r="Z37" i="1"/>
  <c r="J37" i="1"/>
  <c r="I37" i="1"/>
  <c r="H37" i="1"/>
  <c r="BJ36" i="1"/>
  <c r="BF36" i="1"/>
  <c r="BD36" i="1"/>
  <c r="AX36" i="1"/>
  <c r="AP36" i="1"/>
  <c r="BI36" i="1" s="1"/>
  <c r="AC36" i="1" s="1"/>
  <c r="AO36" i="1"/>
  <c r="AW36" i="1" s="1"/>
  <c r="AK36" i="1"/>
  <c r="AJ36" i="1"/>
  <c r="AH36" i="1"/>
  <c r="AG36" i="1"/>
  <c r="AF36" i="1"/>
  <c r="AE36" i="1"/>
  <c r="AD36" i="1"/>
  <c r="Z36" i="1"/>
  <c r="J36" i="1"/>
  <c r="AL36" i="1" s="1"/>
  <c r="I36" i="1"/>
  <c r="H36" i="1"/>
  <c r="AT35" i="1"/>
  <c r="H35" i="1"/>
  <c r="E14" i="2" s="1"/>
  <c r="BJ34" i="1"/>
  <c r="BI34" i="1"/>
  <c r="AC34" i="1" s="1"/>
  <c r="BF34" i="1"/>
  <c r="BD34" i="1"/>
  <c r="AW34" i="1"/>
  <c r="AV34" i="1" s="1"/>
  <c r="AP34" i="1"/>
  <c r="AX34" i="1" s="1"/>
  <c r="AO34" i="1"/>
  <c r="BH34" i="1" s="1"/>
  <c r="AB34" i="1" s="1"/>
  <c r="AL34" i="1"/>
  <c r="AK34" i="1"/>
  <c r="AJ34" i="1"/>
  <c r="AS31" i="1" s="1"/>
  <c r="AH34" i="1"/>
  <c r="AG34" i="1"/>
  <c r="AF34" i="1"/>
  <c r="AE34" i="1"/>
  <c r="AD34" i="1"/>
  <c r="Z34" i="1"/>
  <c r="J34" i="1"/>
  <c r="I34" i="1"/>
  <c r="I31" i="1" s="1"/>
  <c r="F13" i="2" s="1"/>
  <c r="H34" i="1"/>
  <c r="BJ32" i="1"/>
  <c r="BF32" i="1"/>
  <c r="BD32" i="1"/>
  <c r="AX32" i="1"/>
  <c r="AP32" i="1"/>
  <c r="BI32" i="1" s="1"/>
  <c r="AC32" i="1" s="1"/>
  <c r="AO32" i="1"/>
  <c r="AW32" i="1" s="1"/>
  <c r="AK32" i="1"/>
  <c r="AJ32" i="1"/>
  <c r="AH32" i="1"/>
  <c r="AG32" i="1"/>
  <c r="AF32" i="1"/>
  <c r="AE32" i="1"/>
  <c r="AD32" i="1"/>
  <c r="Z32" i="1"/>
  <c r="J32" i="1"/>
  <c r="AL32" i="1" s="1"/>
  <c r="AU31" i="1" s="1"/>
  <c r="I32" i="1"/>
  <c r="H32" i="1"/>
  <c r="AT31" i="1"/>
  <c r="J31" i="1"/>
  <c r="G13" i="2" s="1"/>
  <c r="I13" i="2" s="1"/>
  <c r="H31" i="1"/>
  <c r="E13" i="2" s="1"/>
  <c r="BJ30" i="1"/>
  <c r="BI30" i="1"/>
  <c r="AC30" i="1" s="1"/>
  <c r="BF30" i="1"/>
  <c r="BD30" i="1"/>
  <c r="AW30" i="1"/>
  <c r="AV30" i="1" s="1"/>
  <c r="AP30" i="1"/>
  <c r="AX30" i="1" s="1"/>
  <c r="AO30" i="1"/>
  <c r="BH30" i="1" s="1"/>
  <c r="AB30" i="1" s="1"/>
  <c r="AL30" i="1"/>
  <c r="AK30" i="1"/>
  <c r="AJ30" i="1"/>
  <c r="AS27" i="1" s="1"/>
  <c r="AH30" i="1"/>
  <c r="AG30" i="1"/>
  <c r="AF30" i="1"/>
  <c r="AE30" i="1"/>
  <c r="AD30" i="1"/>
  <c r="Z30" i="1"/>
  <c r="J30" i="1"/>
  <c r="I30" i="1"/>
  <c r="I27" i="1" s="1"/>
  <c r="F12" i="2" s="1"/>
  <c r="H30" i="1"/>
  <c r="BJ28" i="1"/>
  <c r="BF28" i="1"/>
  <c r="BD28" i="1"/>
  <c r="AX28" i="1"/>
  <c r="AP28" i="1"/>
  <c r="BI28" i="1" s="1"/>
  <c r="AC28" i="1" s="1"/>
  <c r="AO28" i="1"/>
  <c r="AW28" i="1" s="1"/>
  <c r="AK28" i="1"/>
  <c r="AJ28" i="1"/>
  <c r="AH28" i="1"/>
  <c r="AG28" i="1"/>
  <c r="AF28" i="1"/>
  <c r="AE28" i="1"/>
  <c r="AD28" i="1"/>
  <c r="Z28" i="1"/>
  <c r="J28" i="1"/>
  <c r="AL28" i="1" s="1"/>
  <c r="AU27" i="1" s="1"/>
  <c r="I28" i="1"/>
  <c r="H28" i="1"/>
  <c r="AT27" i="1"/>
  <c r="J27" i="1"/>
  <c r="H27" i="1"/>
  <c r="E12" i="2" s="1"/>
  <c r="BJ26" i="1"/>
  <c r="BI26" i="1"/>
  <c r="AC26" i="1" s="1"/>
  <c r="BF26" i="1"/>
  <c r="BD26" i="1"/>
  <c r="AW26" i="1"/>
  <c r="AV26" i="1" s="1"/>
  <c r="AP26" i="1"/>
  <c r="AX26" i="1" s="1"/>
  <c r="AO26" i="1"/>
  <c r="BH26" i="1" s="1"/>
  <c r="AB26" i="1" s="1"/>
  <c r="AL26" i="1"/>
  <c r="AK26" i="1"/>
  <c r="AJ26" i="1"/>
  <c r="AH26" i="1"/>
  <c r="AG26" i="1"/>
  <c r="AF26" i="1"/>
  <c r="AE26" i="1"/>
  <c r="AD26" i="1"/>
  <c r="Z26" i="1"/>
  <c r="J26" i="1"/>
  <c r="I26" i="1"/>
  <c r="H26" i="1"/>
  <c r="BJ25" i="1"/>
  <c r="BF25" i="1"/>
  <c r="BD25" i="1"/>
  <c r="AX25" i="1"/>
  <c r="AP25" i="1"/>
  <c r="BI25" i="1" s="1"/>
  <c r="AC25" i="1" s="1"/>
  <c r="AO25" i="1"/>
  <c r="AW25" i="1" s="1"/>
  <c r="AK25" i="1"/>
  <c r="AJ25" i="1"/>
  <c r="AH25" i="1"/>
  <c r="AG25" i="1"/>
  <c r="AF25" i="1"/>
  <c r="AE25" i="1"/>
  <c r="AD25" i="1"/>
  <c r="Z25" i="1"/>
  <c r="J25" i="1"/>
  <c r="AL25" i="1" s="1"/>
  <c r="I25" i="1"/>
  <c r="H25" i="1"/>
  <c r="BJ24" i="1"/>
  <c r="BF24" i="1"/>
  <c r="BD24" i="1"/>
  <c r="AW24" i="1"/>
  <c r="AP24" i="1"/>
  <c r="AX24" i="1" s="1"/>
  <c r="BC24" i="1" s="1"/>
  <c r="AO24" i="1"/>
  <c r="BH24" i="1" s="1"/>
  <c r="AB24" i="1" s="1"/>
  <c r="AL24" i="1"/>
  <c r="AK24" i="1"/>
  <c r="AJ24" i="1"/>
  <c r="AH24" i="1"/>
  <c r="AG24" i="1"/>
  <c r="AF24" i="1"/>
  <c r="AE24" i="1"/>
  <c r="AD24" i="1"/>
  <c r="Z24" i="1"/>
  <c r="J24" i="1"/>
  <c r="H24" i="1"/>
  <c r="BJ22" i="1"/>
  <c r="BF22" i="1"/>
  <c r="BD22" i="1"/>
  <c r="AX22" i="1"/>
  <c r="AP22" i="1"/>
  <c r="BI22" i="1" s="1"/>
  <c r="AC22" i="1" s="1"/>
  <c r="AO22" i="1"/>
  <c r="AW22" i="1" s="1"/>
  <c r="BC22" i="1" s="1"/>
  <c r="AK22" i="1"/>
  <c r="AJ22" i="1"/>
  <c r="AH22" i="1"/>
  <c r="AG22" i="1"/>
  <c r="AF22" i="1"/>
  <c r="AE22" i="1"/>
  <c r="AD22" i="1"/>
  <c r="Z22" i="1"/>
  <c r="J22" i="1"/>
  <c r="AL22" i="1" s="1"/>
  <c r="I22" i="1"/>
  <c r="H22" i="1"/>
  <c r="BJ20" i="1"/>
  <c r="BI20" i="1"/>
  <c r="AC20" i="1" s="1"/>
  <c r="BF20" i="1"/>
  <c r="BD20" i="1"/>
  <c r="AW20" i="1"/>
  <c r="AV20" i="1" s="1"/>
  <c r="AP20" i="1"/>
  <c r="AX20" i="1" s="1"/>
  <c r="AO20" i="1"/>
  <c r="BH20" i="1" s="1"/>
  <c r="AB20" i="1" s="1"/>
  <c r="AL20" i="1"/>
  <c r="AK20" i="1"/>
  <c r="AJ20" i="1"/>
  <c r="AH20" i="1"/>
  <c r="AG20" i="1"/>
  <c r="AF20" i="1"/>
  <c r="AE20" i="1"/>
  <c r="AD20" i="1"/>
  <c r="Z20" i="1"/>
  <c r="J20" i="1"/>
  <c r="I20" i="1"/>
  <c r="H20" i="1"/>
  <c r="BJ18" i="1"/>
  <c r="BF18" i="1"/>
  <c r="BD18" i="1"/>
  <c r="AX18" i="1"/>
  <c r="AP18" i="1"/>
  <c r="BI18" i="1" s="1"/>
  <c r="AC18" i="1" s="1"/>
  <c r="AO18" i="1"/>
  <c r="AW18" i="1" s="1"/>
  <c r="AK18" i="1"/>
  <c r="AJ18" i="1"/>
  <c r="AH18" i="1"/>
  <c r="AG18" i="1"/>
  <c r="AF18" i="1"/>
  <c r="AE18" i="1"/>
  <c r="AD18" i="1"/>
  <c r="Z18" i="1"/>
  <c r="J18" i="1"/>
  <c r="AL18" i="1" s="1"/>
  <c r="I18" i="1"/>
  <c r="H18" i="1"/>
  <c r="BJ17" i="1"/>
  <c r="BF17" i="1"/>
  <c r="BD17" i="1"/>
  <c r="AW17" i="1"/>
  <c r="AP17" i="1"/>
  <c r="AX17" i="1" s="1"/>
  <c r="BC17" i="1" s="1"/>
  <c r="AO17" i="1"/>
  <c r="BH17" i="1" s="1"/>
  <c r="AB17" i="1" s="1"/>
  <c r="AL17" i="1"/>
  <c r="AK17" i="1"/>
  <c r="AJ17" i="1"/>
  <c r="AS12" i="1" s="1"/>
  <c r="AH17" i="1"/>
  <c r="AG17" i="1"/>
  <c r="AF17" i="1"/>
  <c r="AE17" i="1"/>
  <c r="AD17" i="1"/>
  <c r="Z17" i="1"/>
  <c r="J17" i="1"/>
  <c r="H17" i="1"/>
  <c r="BJ16" i="1"/>
  <c r="BF16" i="1"/>
  <c r="BD16" i="1"/>
  <c r="AX16" i="1"/>
  <c r="AP16" i="1"/>
  <c r="BI16" i="1" s="1"/>
  <c r="AC16" i="1" s="1"/>
  <c r="AO16" i="1"/>
  <c r="AW16" i="1" s="1"/>
  <c r="BC16" i="1" s="1"/>
  <c r="AK16" i="1"/>
  <c r="AJ16" i="1"/>
  <c r="AH16" i="1"/>
  <c r="AG16" i="1"/>
  <c r="AF16" i="1"/>
  <c r="AE16" i="1"/>
  <c r="AD16" i="1"/>
  <c r="Z16" i="1"/>
  <c r="J16" i="1"/>
  <c r="AL16" i="1" s="1"/>
  <c r="I16" i="1"/>
  <c r="H16" i="1"/>
  <c r="BJ15" i="1"/>
  <c r="BI15" i="1"/>
  <c r="AC15" i="1" s="1"/>
  <c r="BF15" i="1"/>
  <c r="BD15" i="1"/>
  <c r="AW15" i="1"/>
  <c r="AV15" i="1" s="1"/>
  <c r="AP15" i="1"/>
  <c r="AX15" i="1" s="1"/>
  <c r="AO15" i="1"/>
  <c r="BH15" i="1" s="1"/>
  <c r="AB15" i="1" s="1"/>
  <c r="AL15" i="1"/>
  <c r="AK15" i="1"/>
  <c r="AJ15" i="1"/>
  <c r="AH15" i="1"/>
  <c r="AG15" i="1"/>
  <c r="AF15" i="1"/>
  <c r="AE15" i="1"/>
  <c r="AD15" i="1"/>
  <c r="Z15" i="1"/>
  <c r="J15" i="1"/>
  <c r="I15" i="1"/>
  <c r="H15" i="1"/>
  <c r="BJ13" i="1"/>
  <c r="BF13" i="1"/>
  <c r="BD13" i="1"/>
  <c r="AX13" i="1"/>
  <c r="AP13" i="1"/>
  <c r="BI13" i="1" s="1"/>
  <c r="AC13" i="1" s="1"/>
  <c r="AO13" i="1"/>
  <c r="AW13" i="1" s="1"/>
  <c r="AK13" i="1"/>
  <c r="C28" i="3" s="1"/>
  <c r="F28" i="3" s="1"/>
  <c r="AJ13" i="1"/>
  <c r="AH13" i="1"/>
  <c r="C20" i="3" s="1"/>
  <c r="AG13" i="1"/>
  <c r="AF13" i="1"/>
  <c r="AE13" i="1"/>
  <c r="AD13" i="1"/>
  <c r="Z13" i="1"/>
  <c r="J13" i="1"/>
  <c r="AL13" i="1" s="1"/>
  <c r="I13" i="1"/>
  <c r="H13" i="1"/>
  <c r="AT12" i="1"/>
  <c r="J12" i="1"/>
  <c r="H12" i="1"/>
  <c r="E11" i="2" s="1"/>
  <c r="AU1" i="1"/>
  <c r="AT1" i="1"/>
  <c r="AS1" i="1"/>
  <c r="G11" i="2" l="1"/>
  <c r="I11" i="2" s="1"/>
  <c r="AV16" i="1"/>
  <c r="BH16" i="1"/>
  <c r="AB16" i="1" s="1"/>
  <c r="AV22" i="1"/>
  <c r="BH22" i="1"/>
  <c r="AB22" i="1" s="1"/>
  <c r="AV38" i="1"/>
  <c r="BH38" i="1"/>
  <c r="AB38" i="1" s="1"/>
  <c r="AV45" i="1"/>
  <c r="BH45" i="1"/>
  <c r="AB45" i="1" s="1"/>
  <c r="AV50" i="1"/>
  <c r="BH50" i="1"/>
  <c r="AB50" i="1" s="1"/>
  <c r="AV58" i="1"/>
  <c r="BH58" i="1"/>
  <c r="AB58" i="1" s="1"/>
  <c r="I67" i="1"/>
  <c r="F19" i="2" s="1"/>
  <c r="AV71" i="1"/>
  <c r="BH71" i="1"/>
  <c r="AB71" i="1" s="1"/>
  <c r="AV77" i="1"/>
  <c r="BH77" i="1"/>
  <c r="AB77" i="1" s="1"/>
  <c r="AL82" i="1"/>
  <c r="AU79" i="1" s="1"/>
  <c r="J79" i="1"/>
  <c r="G20" i="2" s="1"/>
  <c r="I20" i="2" s="1"/>
  <c r="AV82" i="1"/>
  <c r="BH82" i="1"/>
  <c r="AB82" i="1" s="1"/>
  <c r="AL86" i="1"/>
  <c r="AU83" i="1" s="1"/>
  <c r="J83" i="1"/>
  <c r="G21" i="2" s="1"/>
  <c r="I21" i="2" s="1"/>
  <c r="AV86" i="1"/>
  <c r="BH86" i="1"/>
  <c r="AB86" i="1" s="1"/>
  <c r="AV92" i="1"/>
  <c r="BH92" i="1"/>
  <c r="AB92" i="1" s="1"/>
  <c r="AV96" i="1"/>
  <c r="BH96" i="1"/>
  <c r="AB96" i="1" s="1"/>
  <c r="AV103" i="1"/>
  <c r="BC103" i="1"/>
  <c r="AX105" i="1"/>
  <c r="BC105" i="1" s="1"/>
  <c r="BI105" i="1"/>
  <c r="AC105" i="1" s="1"/>
  <c r="I105" i="1"/>
  <c r="AV108" i="1"/>
  <c r="BH108" i="1"/>
  <c r="AB108" i="1" s="1"/>
  <c r="AV110" i="1"/>
  <c r="BC110" i="1"/>
  <c r="AL116" i="1"/>
  <c r="AU113" i="1" s="1"/>
  <c r="J113" i="1"/>
  <c r="G25" i="2" s="1"/>
  <c r="I25" i="2" s="1"/>
  <c r="AV116" i="1"/>
  <c r="BH116" i="1"/>
  <c r="AV117" i="1"/>
  <c r="BC117" i="1"/>
  <c r="AV120" i="1"/>
  <c r="BC120" i="1"/>
  <c r="AL126" i="1"/>
  <c r="J123" i="1"/>
  <c r="G27" i="2" s="1"/>
  <c r="I27" i="2" s="1"/>
  <c r="AV126" i="1"/>
  <c r="BH126" i="1"/>
  <c r="AD126" i="1" s="1"/>
  <c r="AV127" i="1"/>
  <c r="BC127" i="1"/>
  <c r="AL137" i="1"/>
  <c r="AU133" i="1" s="1"/>
  <c r="J133" i="1"/>
  <c r="G29" i="2" s="1"/>
  <c r="I29" i="2" s="1"/>
  <c r="AW137" i="1"/>
  <c r="AV141" i="1"/>
  <c r="BC141" i="1"/>
  <c r="AU12" i="1"/>
  <c r="BC13" i="1"/>
  <c r="AV13" i="1"/>
  <c r="BH13" i="1"/>
  <c r="AB13" i="1" s="1"/>
  <c r="BC15" i="1"/>
  <c r="I17" i="1"/>
  <c r="I12" i="1" s="1"/>
  <c r="F11" i="2" s="1"/>
  <c r="AV17" i="1"/>
  <c r="BI17" i="1"/>
  <c r="AC17" i="1" s="1"/>
  <c r="C15" i="3" s="1"/>
  <c r="BC18" i="1"/>
  <c r="AV18" i="1"/>
  <c r="BH18" i="1"/>
  <c r="AB18" i="1" s="1"/>
  <c r="BC20" i="1"/>
  <c r="I24" i="1"/>
  <c r="AV24" i="1"/>
  <c r="BI24" i="1"/>
  <c r="AC24" i="1" s="1"/>
  <c r="BC25" i="1"/>
  <c r="AV25" i="1"/>
  <c r="BH25" i="1"/>
  <c r="AB25" i="1" s="1"/>
  <c r="BC26" i="1"/>
  <c r="BC28" i="1"/>
  <c r="AV28" i="1"/>
  <c r="BH28" i="1"/>
  <c r="AB28" i="1" s="1"/>
  <c r="BC30" i="1"/>
  <c r="BC32" i="1"/>
  <c r="AV32" i="1"/>
  <c r="BH32" i="1"/>
  <c r="AB32" i="1" s="1"/>
  <c r="BC34" i="1"/>
  <c r="J35" i="1"/>
  <c r="G14" i="2" s="1"/>
  <c r="I14" i="2" s="1"/>
  <c r="AU35" i="1"/>
  <c r="BC36" i="1"/>
  <c r="AV36" i="1"/>
  <c r="BH36" i="1"/>
  <c r="AB36" i="1" s="1"/>
  <c r="AS35" i="1"/>
  <c r="BC37" i="1"/>
  <c r="I39" i="1"/>
  <c r="I35" i="1" s="1"/>
  <c r="F14" i="2" s="1"/>
  <c r="AV39" i="1"/>
  <c r="BI39" i="1"/>
  <c r="AC39" i="1" s="1"/>
  <c r="BC40" i="1"/>
  <c r="AV40" i="1"/>
  <c r="BH40" i="1"/>
  <c r="AB40" i="1" s="1"/>
  <c r="I42" i="1"/>
  <c r="I41" i="1" s="1"/>
  <c r="F15" i="2" s="1"/>
  <c r="AV42" i="1"/>
  <c r="BI42" i="1"/>
  <c r="AC42" i="1" s="1"/>
  <c r="H41" i="1"/>
  <c r="E15" i="2" s="1"/>
  <c r="AL43" i="1"/>
  <c r="AU41" i="1" s="1"/>
  <c r="J41" i="1"/>
  <c r="G15" i="2" s="1"/>
  <c r="I15" i="2" s="1"/>
  <c r="BC43" i="1"/>
  <c r="AV43" i="1"/>
  <c r="BH43" i="1"/>
  <c r="AB43" i="1" s="1"/>
  <c r="BC44" i="1"/>
  <c r="I48" i="1"/>
  <c r="I47" i="1" s="1"/>
  <c r="F16" i="2" s="1"/>
  <c r="AV48" i="1"/>
  <c r="BI48" i="1"/>
  <c r="AC48" i="1" s="1"/>
  <c r="I52" i="1"/>
  <c r="I49" i="1" s="1"/>
  <c r="F17" i="2" s="1"/>
  <c r="AV52" i="1"/>
  <c r="BI52" i="1"/>
  <c r="AC52" i="1" s="1"/>
  <c r="BC54" i="1"/>
  <c r="AV54" i="1"/>
  <c r="BH54" i="1"/>
  <c r="AB54" i="1" s="1"/>
  <c r="BC56" i="1"/>
  <c r="I60" i="1"/>
  <c r="AV60" i="1"/>
  <c r="BI60" i="1"/>
  <c r="AC60" i="1" s="1"/>
  <c r="BC62" i="1"/>
  <c r="AV62" i="1"/>
  <c r="BH62" i="1"/>
  <c r="AB62" i="1" s="1"/>
  <c r="BC65" i="1"/>
  <c r="J67" i="1"/>
  <c r="G19" i="2" s="1"/>
  <c r="I19" i="2" s="1"/>
  <c r="AU67" i="1"/>
  <c r="BC68" i="1"/>
  <c r="AV68" i="1"/>
  <c r="BH68" i="1"/>
  <c r="AB68" i="1" s="1"/>
  <c r="AS67" i="1"/>
  <c r="BC70" i="1"/>
  <c r="I73" i="1"/>
  <c r="AV73" i="1"/>
  <c r="BI73" i="1"/>
  <c r="AC73" i="1" s="1"/>
  <c r="BC74" i="1"/>
  <c r="AV74" i="1"/>
  <c r="BH74" i="1"/>
  <c r="AB74" i="1" s="1"/>
  <c r="BC76" i="1"/>
  <c r="BC80" i="1"/>
  <c r="BC84" i="1"/>
  <c r="AT83" i="1"/>
  <c r="I88" i="1"/>
  <c r="AV88" i="1"/>
  <c r="BI88" i="1"/>
  <c r="AC88" i="1" s="1"/>
  <c r="BC89" i="1"/>
  <c r="AV89" i="1"/>
  <c r="BH89" i="1"/>
  <c r="AB89" i="1" s="1"/>
  <c r="BC90" i="1"/>
  <c r="I93" i="1"/>
  <c r="AV93" i="1"/>
  <c r="BI93" i="1"/>
  <c r="AC93" i="1" s="1"/>
  <c r="BC94" i="1"/>
  <c r="AV94" i="1"/>
  <c r="BH94" i="1"/>
  <c r="AB94" i="1" s="1"/>
  <c r="BC95" i="1"/>
  <c r="I97" i="1"/>
  <c r="AV97" i="1"/>
  <c r="BI97" i="1"/>
  <c r="AC97" i="1" s="1"/>
  <c r="BC98" i="1"/>
  <c r="AV98" i="1"/>
  <c r="BH98" i="1"/>
  <c r="AB98" i="1" s="1"/>
  <c r="BC99" i="1"/>
  <c r="AX101" i="1"/>
  <c r="BC101" i="1" s="1"/>
  <c r="BI101" i="1"/>
  <c r="AC101" i="1" s="1"/>
  <c r="I101" i="1"/>
  <c r="I100" i="1" s="1"/>
  <c r="F22" i="2" s="1"/>
  <c r="AT100" i="1"/>
  <c r="AV104" i="1"/>
  <c r="BH104" i="1"/>
  <c r="AB104" i="1" s="1"/>
  <c r="AV107" i="1"/>
  <c r="BC107" i="1"/>
  <c r="AV114" i="1"/>
  <c r="BC114" i="1"/>
  <c r="AV118" i="1"/>
  <c r="BH118" i="1"/>
  <c r="AB118" i="1" s="1"/>
  <c r="AL121" i="1"/>
  <c r="AU119" i="1" s="1"/>
  <c r="J119" i="1"/>
  <c r="G26" i="2" s="1"/>
  <c r="I26" i="2" s="1"/>
  <c r="AV121" i="1"/>
  <c r="BH121" i="1"/>
  <c r="AD121" i="1" s="1"/>
  <c r="C16" i="3" s="1"/>
  <c r="AV122" i="1"/>
  <c r="BC122" i="1"/>
  <c r="AV125" i="1"/>
  <c r="BC125" i="1"/>
  <c r="AV131" i="1"/>
  <c r="BC131" i="1"/>
  <c r="AV136" i="1"/>
  <c r="BC136" i="1"/>
  <c r="AX143" i="1"/>
  <c r="BC143" i="1" s="1"/>
  <c r="BI143" i="1"/>
  <c r="AG143" i="1" s="1"/>
  <c r="C19" i="3" s="1"/>
  <c r="I143" i="1"/>
  <c r="C21" i="3"/>
  <c r="C17" i="3"/>
  <c r="C27" i="3"/>
  <c r="AV101" i="1"/>
  <c r="AL102" i="1"/>
  <c r="AU100" i="1" s="1"/>
  <c r="J100" i="1"/>
  <c r="G22" i="2" s="1"/>
  <c r="I22" i="2" s="1"/>
  <c r="BC102" i="1"/>
  <c r="AV102" i="1"/>
  <c r="BH102" i="1"/>
  <c r="AB102" i="1" s="1"/>
  <c r="AV105" i="1"/>
  <c r="BC106" i="1"/>
  <c r="AV106" i="1"/>
  <c r="BH106" i="1"/>
  <c r="AB106" i="1" s="1"/>
  <c r="BC112" i="1"/>
  <c r="AV112" i="1"/>
  <c r="BH112" i="1"/>
  <c r="AB112" i="1" s="1"/>
  <c r="AU123" i="1"/>
  <c r="BC124" i="1"/>
  <c r="AV124" i="1"/>
  <c r="BH124" i="1"/>
  <c r="AD124" i="1" s="1"/>
  <c r="BC129" i="1"/>
  <c r="AV129" i="1"/>
  <c r="BH129" i="1"/>
  <c r="AF129" i="1" s="1"/>
  <c r="C18" i="3" s="1"/>
  <c r="BC134" i="1"/>
  <c r="AV134" i="1"/>
  <c r="BH134" i="1"/>
  <c r="AF134" i="1" s="1"/>
  <c r="I139" i="1"/>
  <c r="F30" i="2" s="1"/>
  <c r="AL142" i="1"/>
  <c r="J139" i="1"/>
  <c r="G30" i="2" s="1"/>
  <c r="I30" i="2" s="1"/>
  <c r="AV142" i="1"/>
  <c r="BH142" i="1"/>
  <c r="AF142" i="1" s="1"/>
  <c r="AU139" i="1"/>
  <c r="BC140" i="1"/>
  <c r="AV140" i="1"/>
  <c r="BH140" i="1"/>
  <c r="AF140" i="1" s="1"/>
  <c r="AS139" i="1"/>
  <c r="AV143" i="1"/>
  <c r="BC144" i="1"/>
  <c r="AV144" i="1"/>
  <c r="BH144" i="1"/>
  <c r="AF144" i="1" s="1"/>
  <c r="C14" i="3" l="1"/>
  <c r="C22" i="3" s="1"/>
  <c r="AV137" i="1"/>
  <c r="BC137" i="1"/>
  <c r="J145" i="1"/>
  <c r="I83" i="1"/>
  <c r="F21" i="2" s="1"/>
  <c r="G31" i="2"/>
  <c r="H27" i="4" l="1"/>
  <c r="I27" i="4" s="1"/>
  <c r="F29" i="4" s="1"/>
  <c r="I22" i="3"/>
  <c r="C29" i="3" s="1"/>
  <c r="F29" i="3" l="1"/>
  <c r="I28" i="3"/>
  <c r="I29" i="3" s="1"/>
</calcChain>
</file>

<file path=xl/sharedStrings.xml><?xml version="1.0" encoding="utf-8"?>
<sst xmlns="http://schemas.openxmlformats.org/spreadsheetml/2006/main" count="1572" uniqueCount="457">
  <si>
    <t>Slepý stavební rozpočet</t>
  </si>
  <si>
    <t>Název stavby:</t>
  </si>
  <si>
    <t>Revitalizace náměstí U Dubu, Stochov</t>
  </si>
  <si>
    <t>Doba výstavby:</t>
  </si>
  <si>
    <t xml:space="preserve"> </t>
  </si>
  <si>
    <t>Objednatel:</t>
  </si>
  <si>
    <t>Město Stochov</t>
  </si>
  <si>
    <t>Druh stavby:</t>
  </si>
  <si>
    <t>Začátek výstavby:</t>
  </si>
  <si>
    <t>Projektant:</t>
  </si>
  <si>
    <t>Ing.arch.Karel Albrecht</t>
  </si>
  <si>
    <t>Lokalita:</t>
  </si>
  <si>
    <t>nám.U Dubu, Parc.č. 808/1,4/1,2/2 k.ú.Stochov, město Stochov</t>
  </si>
  <si>
    <t>Konec výstavby:</t>
  </si>
  <si>
    <t>Zhotovitel:</t>
  </si>
  <si>
    <t>Dle výběrového řízení</t>
  </si>
  <si>
    <t>JKSO:</t>
  </si>
  <si>
    <t>Zpracováno dne:</t>
  </si>
  <si>
    <t>03.09.2025</t>
  </si>
  <si>
    <t>Zpracoval:</t>
  </si>
  <si>
    <t> 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</si>
  <si>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</si>
  <si>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</si>
  <si>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</si>
  <si>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</si>
  <si>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</si>
  <si>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</si>
  <si>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</si>
  <si>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</si>
  <si>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</si>
  <si>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</si>
  <si>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</si>
  <si>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</si>
  <si>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</si>
  <si>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</si>
  <si>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</si>
  <si>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</si>
  <si>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</si>
  <si>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</si>
  <si>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</si>
  <si>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</si>
  <si>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</si>
  <si>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</si>
  <si>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</si>
  <si>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</si>
  <si>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</si>
  <si>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</si>
  <si>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</si>
  <si>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</si>
  <si>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</si>
  <si>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</si>
  <si>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</si>
  <si>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</si>
  <si>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</si>
  <si>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113107222RAE</t>
  </si>
  <si>
    <t>Odstranění asfaltobetonové vozovky, plocha nad 50 m2</t>
  </si>
  <si>
    <t>m2</t>
  </si>
  <si>
    <t>RTS I / 2025</t>
  </si>
  <si>
    <t>11_</t>
  </si>
  <si>
    <t>1_</t>
  </si>
  <si>
    <t>_</t>
  </si>
  <si>
    <t>P</t>
  </si>
  <si>
    <t>Varianta:</t>
  </si>
  <si>
    <t>včetně nakládání a odvozu na skládku do 10 km</t>
  </si>
  <si>
    <t>2</t>
  </si>
  <si>
    <t>113201111R00</t>
  </si>
  <si>
    <t>Vytrhání obrubníků chodníkových a parkových</t>
  </si>
  <si>
    <t>m</t>
  </si>
  <si>
    <t>3</t>
  </si>
  <si>
    <t>113202111R00</t>
  </si>
  <si>
    <t>Vytrhání obrub obrubníků silničních</t>
  </si>
  <si>
    <t>4</t>
  </si>
  <si>
    <t>111301111R00</t>
  </si>
  <si>
    <t>Sejmutí drnu tl. do 10 cm, s přemístěním do 50 m</t>
  </si>
  <si>
    <t>5</t>
  </si>
  <si>
    <t>113107305R00</t>
  </si>
  <si>
    <t>Odstranění podkladu pl. 50 m2,kam.těžené tl.5 cm</t>
  </si>
  <si>
    <t>chodník</t>
  </si>
  <si>
    <t>6</t>
  </si>
  <si>
    <t>113108305R00</t>
  </si>
  <si>
    <t>Odstranění asfaltové vrstvy pl.do 50 m2, tl. 5 cm</t>
  </si>
  <si>
    <t>7</t>
  </si>
  <si>
    <t>113107510R00</t>
  </si>
  <si>
    <t>Odstranění podkladu pl. 50 m2,kam.drcené obalované tl.10 cm</t>
  </si>
  <si>
    <t>8</t>
  </si>
  <si>
    <t>1111999VD</t>
  </si>
  <si>
    <t>Přesazení vzrostlého dubu - cena předběžná</t>
  </si>
  <si>
    <t>ks</t>
  </si>
  <si>
    <t>9</t>
  </si>
  <si>
    <t>Vytýčení a vyznačení sítí podzemní infrastruktury</t>
  </si>
  <si>
    <t>kpk</t>
  </si>
  <si>
    <t>10</t>
  </si>
  <si>
    <t>162702199R00</t>
  </si>
  <si>
    <t>Poplatek za skládku drnu</t>
  </si>
  <si>
    <t>m3</t>
  </si>
  <si>
    <t>12</t>
  </si>
  <si>
    <t>Odkopávky a prokopávky</t>
  </si>
  <si>
    <t>121100001RAB</t>
  </si>
  <si>
    <t>Sejmutí ornice, naložení, odvoz a uložení</t>
  </si>
  <si>
    <t>12_</t>
  </si>
  <si>
    <t>odvoz do 5 km</t>
  </si>
  <si>
    <t>199000001R00</t>
  </si>
  <si>
    <t>Poplatek za skládku - ornice</t>
  </si>
  <si>
    <t>13</t>
  </si>
  <si>
    <t>Hloubené vykopávky</t>
  </si>
  <si>
    <t>132200010RAC</t>
  </si>
  <si>
    <t>Hloubení nezapažených rýh šířky do 600 mm v hornině 1-4</t>
  </si>
  <si>
    <t>13_</t>
  </si>
  <si>
    <t>odvoz do 10 km, uložení na skládku - základy</t>
  </si>
  <si>
    <t>14</t>
  </si>
  <si>
    <t>Příplatek za ruční výkop ve styku s ochranným pásmem</t>
  </si>
  <si>
    <t>kpl</t>
  </si>
  <si>
    <t>18</t>
  </si>
  <si>
    <t>Povrchové úpravy terénu</t>
  </si>
  <si>
    <t>15</t>
  </si>
  <si>
    <t>199000002R00</t>
  </si>
  <si>
    <t>Poplatek za skládku horniny 1- 4, č. dle katal. odpadů 17 05 04</t>
  </si>
  <si>
    <t>18_</t>
  </si>
  <si>
    <t>16</t>
  </si>
  <si>
    <t>180400020RA0</t>
  </si>
  <si>
    <t>Založení trávníku parkového v rovině s dodáním osiva</t>
  </si>
  <si>
    <t>17</t>
  </si>
  <si>
    <t>10371500</t>
  </si>
  <si>
    <t>Substrát zahradnický AGRO CS</t>
  </si>
  <si>
    <t>l</t>
  </si>
  <si>
    <t>M</t>
  </si>
  <si>
    <t>181101111R00</t>
  </si>
  <si>
    <t>Úprava pláně v zářezech se zhutněním - ručně</t>
  </si>
  <si>
    <t>19</t>
  </si>
  <si>
    <t>181101123R00</t>
  </si>
  <si>
    <t>Úprava pozemku s rozpoj. a přehrn. hor.1,2 do 60 m</t>
  </si>
  <si>
    <t>27</t>
  </si>
  <si>
    <t>Základy</t>
  </si>
  <si>
    <t>20</t>
  </si>
  <si>
    <t>274313511R00</t>
  </si>
  <si>
    <t>Beton základových pasů prostý C 12/15</t>
  </si>
  <si>
    <t>27_</t>
  </si>
  <si>
    <t>2_</t>
  </si>
  <si>
    <t>21</t>
  </si>
  <si>
    <t>274321211R00</t>
  </si>
  <si>
    <t>Železobeton základových pasů C 12/15</t>
  </si>
  <si>
    <t>22</t>
  </si>
  <si>
    <t>274361214R00</t>
  </si>
  <si>
    <t>Výztuž základových pasů do 12 mm z oceli B500B (10 505)</t>
  </si>
  <si>
    <t>t</t>
  </si>
  <si>
    <t>23</t>
  </si>
  <si>
    <t>274272150RAA</t>
  </si>
  <si>
    <t>Základové pasy z bednicích tvárnic tl. 500 mm</t>
  </si>
  <si>
    <t>včetně výztuže a výplně betonem C 12/15</t>
  </si>
  <si>
    <t>31</t>
  </si>
  <si>
    <t>Zdi podpěrné a volné</t>
  </si>
  <si>
    <t>24</t>
  </si>
  <si>
    <t>311200001RA0</t>
  </si>
  <si>
    <t>Zdivo z kamene opracované, lícované, spárované</t>
  </si>
  <si>
    <t>31_</t>
  </si>
  <si>
    <t>3_</t>
  </si>
  <si>
    <t>56</t>
  </si>
  <si>
    <t>Podkladní vrstvy komunikací, letišť a ploch</t>
  </si>
  <si>
    <t>25</t>
  </si>
  <si>
    <t>564851111R00</t>
  </si>
  <si>
    <t>Podklad ze štěrkodrti po zhutnění tloušťky 15 cm</t>
  </si>
  <si>
    <t>56_</t>
  </si>
  <si>
    <t>5_</t>
  </si>
  <si>
    <t>S1</t>
  </si>
  <si>
    <t>26</t>
  </si>
  <si>
    <t>564831111R00</t>
  </si>
  <si>
    <t>Podklad ze štěrkodrti po zhutnění tloušťky 10 cm</t>
  </si>
  <si>
    <t>S4</t>
  </si>
  <si>
    <t>564861111RT2</t>
  </si>
  <si>
    <t>Podklad ze štěrkodrti po zhutnění tloušťky 20 cm</t>
  </si>
  <si>
    <t>štěrkodrť frakce 16-32 mm-S4</t>
  </si>
  <si>
    <t>28</t>
  </si>
  <si>
    <t>S2</t>
  </si>
  <si>
    <t>29</t>
  </si>
  <si>
    <t>564851111RT2</t>
  </si>
  <si>
    <t>štěrkodrť frakce 11-22 mm - S3</t>
  </si>
  <si>
    <t>30</t>
  </si>
  <si>
    <t>564851111RT4</t>
  </si>
  <si>
    <t>štěrkodrť frakce 32-63 mm - S3</t>
  </si>
  <si>
    <t>631621118R00</t>
  </si>
  <si>
    <t>Podklad z obalovaného kameniva tl. 80 mm</t>
  </si>
  <si>
    <t>S3</t>
  </si>
  <si>
    <t>57</t>
  </si>
  <si>
    <t>Kryty pozemních komunikací, letišť a ploch z kameniva nebo živičné</t>
  </si>
  <si>
    <t>32</t>
  </si>
  <si>
    <t>577131111R00</t>
  </si>
  <si>
    <t>Beton asfalt. ACO 11+ obrusný, š. do 3 m, tl. 4 cm</t>
  </si>
  <si>
    <t>57_</t>
  </si>
  <si>
    <t>59</t>
  </si>
  <si>
    <t>Kryty pozemních komunikací, letišť a ploch dlážděných (předlažby)</t>
  </si>
  <si>
    <t>33</t>
  </si>
  <si>
    <t>596415040R00</t>
  </si>
  <si>
    <t>Kladení kamenné dlažby tl. 6 cm do drtě tl. 4 cm</t>
  </si>
  <si>
    <t>59_</t>
  </si>
  <si>
    <t>34</t>
  </si>
  <si>
    <t>58380129</t>
  </si>
  <si>
    <t>Kostka dlažební žulová štípaná žulová,jemnozrnná drobná 60/60 mm, třída I</t>
  </si>
  <si>
    <t>35</t>
  </si>
  <si>
    <t>596415061R00</t>
  </si>
  <si>
    <t>Kladení kamenné dlažby tl. 8 cm do drtě tl. 4 cm</t>
  </si>
  <si>
    <t>36</t>
  </si>
  <si>
    <t>58380156</t>
  </si>
  <si>
    <t>Kostka dlažební žulová štípaná žlutá jemnozrnná, velká 80/100 mm, třída I</t>
  </si>
  <si>
    <t>37</t>
  </si>
  <si>
    <t>596215020R00</t>
  </si>
  <si>
    <t>Kladení zámkové dlažby tl. 6 cm do drtě tl. 3 cm</t>
  </si>
  <si>
    <t>38</t>
  </si>
  <si>
    <t>59245267</t>
  </si>
  <si>
    <t>Dlažba betonová BEST KLASIKO Standard reliéfní 200 x 100 x 60 mm, barevná</t>
  </si>
  <si>
    <t>39</t>
  </si>
  <si>
    <t>599000010RAA</t>
  </si>
  <si>
    <t>Rozebrání a oprava asfaltové komunikace</t>
  </si>
  <si>
    <t>řezání, výměna podkladu tl. 30 cm, asfaltobet.7 cm</t>
  </si>
  <si>
    <t>89</t>
  </si>
  <si>
    <t>Ostatní konstrukce a práce na trubním vedení</t>
  </si>
  <si>
    <t>40</t>
  </si>
  <si>
    <t>894411030RAB</t>
  </si>
  <si>
    <t>Vpusť uliční z betonových dílců DN 450, s kalovým košem, průtok</t>
  </si>
  <si>
    <t>kus</t>
  </si>
  <si>
    <t>89_</t>
  </si>
  <si>
    <t>8_</t>
  </si>
  <si>
    <t>DN 150, mříž litina 300 x 500 mm ŘSD 25 t, hl. 1,96 m</t>
  </si>
  <si>
    <t>41</t>
  </si>
  <si>
    <t>721210831R00</t>
  </si>
  <si>
    <t>Demontáž vpusti s obetonávkou</t>
  </si>
  <si>
    <t>91</t>
  </si>
  <si>
    <t>Doplňující konstrukce a práce na pozemních komunikacích a zpevněných plochách</t>
  </si>
  <si>
    <t>42</t>
  </si>
  <si>
    <t>914001121RT6</t>
  </si>
  <si>
    <t>Osazení svislé dopravní značky pl. do 1 m2 a sloupku, s dod. Al patky a beton. základu</t>
  </si>
  <si>
    <t>91_</t>
  </si>
  <si>
    <t>9_</t>
  </si>
  <si>
    <t>včetně dodávky sloupku a značky</t>
  </si>
  <si>
    <t>43</t>
  </si>
  <si>
    <t>917862111RV4</t>
  </si>
  <si>
    <t>Osazení stojatého obrubníku betonového, s boční opěrou, do lože z betonu C 12/15</t>
  </si>
  <si>
    <t>vč.obrub.nájezd.náběh.CSB H 15/25 1000/150/150-250</t>
  </si>
  <si>
    <t>44</t>
  </si>
  <si>
    <t>916561111R00</t>
  </si>
  <si>
    <t>Osazení záhon.obrubníků do lože z C 12/15 s opěrou</t>
  </si>
  <si>
    <t>45</t>
  </si>
  <si>
    <t>28324413</t>
  </si>
  <si>
    <t>Obrubník zahradní ocelový pásek</t>
  </si>
  <si>
    <t>46</t>
  </si>
  <si>
    <t>917862111RT7</t>
  </si>
  <si>
    <t>včetně obrubníku ABO 2 - 15 100/15/25</t>
  </si>
  <si>
    <t>47</t>
  </si>
  <si>
    <t>917862111R00</t>
  </si>
  <si>
    <t>48</t>
  </si>
  <si>
    <t>59217481</t>
  </si>
  <si>
    <t>Obrubník silniční přechodový P výška 150 - 250 mm, 1000 x 150 mm šedý</t>
  </si>
  <si>
    <t>49</t>
  </si>
  <si>
    <t>917762111R00</t>
  </si>
  <si>
    <t>Osazení zkoseného obrubníku betonového, s boční opěrou, do lože z betonu C 12/15</t>
  </si>
  <si>
    <t>50</t>
  </si>
  <si>
    <t>59217476</t>
  </si>
  <si>
    <t>Obrubník silniční nájezdový výška 150 mm, 1000 x 150 mm šedý</t>
  </si>
  <si>
    <t>51</t>
  </si>
  <si>
    <t>917461111R00</t>
  </si>
  <si>
    <t>Osaz. stoj. obrub. kam. s opěrou, lože z C 12/15</t>
  </si>
  <si>
    <t>52</t>
  </si>
  <si>
    <t>58380374</t>
  </si>
  <si>
    <t>Obrubník žulový přímý žlutý, průřez 100 x 250 mm</t>
  </si>
  <si>
    <t>53</t>
  </si>
  <si>
    <t>914001111R00</t>
  </si>
  <si>
    <t>Osazení svislé doprav.značky a sloupku, bet.základ</t>
  </si>
  <si>
    <t>54</t>
  </si>
  <si>
    <t>40445254</t>
  </si>
  <si>
    <t>Značka dopravní</t>
  </si>
  <si>
    <t>93</t>
  </si>
  <si>
    <t>Různé dokončovací konstrukce a práce inženýrských staveb</t>
  </si>
  <si>
    <t>55</t>
  </si>
  <si>
    <t>936124112R00</t>
  </si>
  <si>
    <t>Zřízení lavice stabilní se zabetonováním noh</t>
  </si>
  <si>
    <t>93_</t>
  </si>
  <si>
    <t>74910303</t>
  </si>
  <si>
    <t>Lavička  s opěradlem na vnitřní staně R 1m kov/dřevo - dle Egoé life</t>
  </si>
  <si>
    <t>74910311</t>
  </si>
  <si>
    <t>Lavička bez opěradla R 1m dřevo/kov - dle Egoé life</t>
  </si>
  <si>
    <t>58</t>
  </si>
  <si>
    <t>936124111R00</t>
  </si>
  <si>
    <t>Zřízení sedáku na zídku bez opěrátka</t>
  </si>
  <si>
    <t>592891020</t>
  </si>
  <si>
    <t>Sedák na zídku bez opěradla, 1,8 m - dle Egoé life</t>
  </si>
  <si>
    <t>60</t>
  </si>
  <si>
    <t>953999VD</t>
  </si>
  <si>
    <t>Demontáž lavičky a odpadkového koše</t>
  </si>
  <si>
    <t>61</t>
  </si>
  <si>
    <t>Likvidace komunálního odpadu</t>
  </si>
  <si>
    <t>62</t>
  </si>
  <si>
    <t>74910215</t>
  </si>
  <si>
    <t>Koš odpadkový EGOE A 20</t>
  </si>
  <si>
    <t>H22</t>
  </si>
  <si>
    <t>Staveništní přesun hmot</t>
  </si>
  <si>
    <t>63</t>
  </si>
  <si>
    <t>998223011R00</t>
  </si>
  <si>
    <t>Přesun hmot, pozemní komunikace, kryt dlážděný</t>
  </si>
  <si>
    <t>H22_</t>
  </si>
  <si>
    <t>96</t>
  </si>
  <si>
    <t>Bourání konstrukcí</t>
  </si>
  <si>
    <t>64</t>
  </si>
  <si>
    <t>966006132R00</t>
  </si>
  <si>
    <t>Odstranění doprav.značek se sloupky, s bet.patkami</t>
  </si>
  <si>
    <t>96_</t>
  </si>
  <si>
    <t>S</t>
  </si>
  <si>
    <t>Přesuny sutí</t>
  </si>
  <si>
    <t>65</t>
  </si>
  <si>
    <t>979083117R00</t>
  </si>
  <si>
    <t>Vodorovné přemístění suti na skládku do 6000 m</t>
  </si>
  <si>
    <t>S_</t>
  </si>
  <si>
    <t>vč.naložení a složení</t>
  </si>
  <si>
    <t>66</t>
  </si>
  <si>
    <t>979999982R00</t>
  </si>
  <si>
    <t>Poplatek za skládku betonu</t>
  </si>
  <si>
    <t>67</t>
  </si>
  <si>
    <t>979999996R00</t>
  </si>
  <si>
    <t>Poplatek za skládku asfaltu</t>
  </si>
  <si>
    <t>68</t>
  </si>
  <si>
    <t>979089001R00</t>
  </si>
  <si>
    <t>Poplatek za uložení odpadního štěrku a kameniva, skupina odpadu 010408</t>
  </si>
  <si>
    <t>711</t>
  </si>
  <si>
    <t>Izolace proti vodě</t>
  </si>
  <si>
    <t>69</t>
  </si>
  <si>
    <t>711132311R00</t>
  </si>
  <si>
    <t>Provedení izolace nopovou fólií na ploše svislé, včetně uchycení a těsnění</t>
  </si>
  <si>
    <t>711_</t>
  </si>
  <si>
    <t>71_</t>
  </si>
  <si>
    <t>70</t>
  </si>
  <si>
    <t>2832314161</t>
  </si>
  <si>
    <t>Fólie nopová PE-HD, Guttabeta N, výška nopů 8 mm</t>
  </si>
  <si>
    <t>71</t>
  </si>
  <si>
    <t>998711101R00</t>
  </si>
  <si>
    <t>Přesun hmot pro izolace proti vodě, výšky do 6 m</t>
  </si>
  <si>
    <t>762</t>
  </si>
  <si>
    <t>Konstrukce tesařské</t>
  </si>
  <si>
    <t>72</t>
  </si>
  <si>
    <t>762332120R00</t>
  </si>
  <si>
    <t>Montáž vázaných krovů pravidelných do 224 cm2</t>
  </si>
  <si>
    <t>762_</t>
  </si>
  <si>
    <t>76_</t>
  </si>
  <si>
    <t>73</t>
  </si>
  <si>
    <t>605560004</t>
  </si>
  <si>
    <t>Řezivo sušené neomítané DB tl. 60 mm, š. nad 150 mm, 2,5 až 4,0 m</t>
  </si>
  <si>
    <t>74</t>
  </si>
  <si>
    <t>762395000R00</t>
  </si>
  <si>
    <t>Spojovací a ochranné prostředky pro střechy</t>
  </si>
  <si>
    <t>75</t>
  </si>
  <si>
    <t>998762102R00</t>
  </si>
  <si>
    <t>Přesun hmot pro tesařské konstrukce, výšky do 12 m</t>
  </si>
  <si>
    <t>M21</t>
  </si>
  <si>
    <t>Elektromontáže</t>
  </si>
  <si>
    <t>76</t>
  </si>
  <si>
    <t>210810057RT4</t>
  </si>
  <si>
    <t>Kabel CYKY-m 750 V 5 žil 4 až 16 mm pevně uložený</t>
  </si>
  <si>
    <t>M21_</t>
  </si>
  <si>
    <t>včetně dodávky kabelu 5x16 mm2</t>
  </si>
  <si>
    <t>77</t>
  </si>
  <si>
    <t>21022009VD</t>
  </si>
  <si>
    <t>Bezpečnostní kamera</t>
  </si>
  <si>
    <t>Dodávka+montáž</t>
  </si>
  <si>
    <t>M46</t>
  </si>
  <si>
    <t>Zemní práce při montážích</t>
  </si>
  <si>
    <t>78</t>
  </si>
  <si>
    <t>460200243RT2</t>
  </si>
  <si>
    <t>Výkop kabelové rýhy 50/60 cm  hor.3</t>
  </si>
  <si>
    <t>M46_</t>
  </si>
  <si>
    <t>ruční výkop rýhy</t>
  </si>
  <si>
    <t>79</t>
  </si>
  <si>
    <t>460570413R00</t>
  </si>
  <si>
    <t>Zához rýhy 55/60 cm, hornina tř. 3, se zhutněním</t>
  </si>
  <si>
    <t>80</t>
  </si>
  <si>
    <t>460270023RT1</t>
  </si>
  <si>
    <t>Pilíř zděný pro skříň SR 3 s koncovým dílem</t>
  </si>
  <si>
    <t>z cihel vápenopískových 29/14/6,5</t>
  </si>
  <si>
    <t>M65</t>
  </si>
  <si>
    <t>Elektroinstalace</t>
  </si>
  <si>
    <t>81</t>
  </si>
  <si>
    <t>650101561R00</t>
  </si>
  <si>
    <t>Montáž LED svítidla nástěnného vestavného</t>
  </si>
  <si>
    <t>M65_</t>
  </si>
  <si>
    <t>82</t>
  </si>
  <si>
    <t>348360192</t>
  </si>
  <si>
    <t>Svítidlo LED zápustné např RASQ (Rendl)</t>
  </si>
  <si>
    <t>83</t>
  </si>
  <si>
    <t>650101571R00</t>
  </si>
  <si>
    <t>Montáž LED svítidla nástěnného přisazeného</t>
  </si>
  <si>
    <t>84</t>
  </si>
  <si>
    <t>348360172</t>
  </si>
  <si>
    <t>Svítidlo LED nástěnné např.DESMOND II (Rendl)</t>
  </si>
  <si>
    <t>85</t>
  </si>
  <si>
    <t>229820021R00</t>
  </si>
  <si>
    <t>Demontáž a zpětná montáž lampy VO</t>
  </si>
  <si>
    <t>Celkem:</t>
  </si>
  <si>
    <t>Poznámka:</t>
  </si>
  <si>
    <t>Slepý stavební rozpočet - rekapitulace</t>
  </si>
  <si>
    <t>Objekt</t>
  </si>
  <si>
    <t>Zkrácený popis</t>
  </si>
  <si>
    <t>Náklady (Kč) - dodávka</t>
  </si>
  <si>
    <t>Náklady (Kč) - Montáž</t>
  </si>
  <si>
    <t>Náklady (Kč) - celkem</t>
  </si>
  <si>
    <t>T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</si>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</sst>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3" fillId="2" borderId="28" xfId="0" applyNumberFormat="1" applyFont="1" applyFill="1" applyBorder="1" applyAlignment="1" applyProtection="1">
      <alignment horizontal="left" vertical="center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3" fillId="2" borderId="29" xfId="0" applyNumberFormat="1" applyFont="1" applyFill="1" applyBorder="1" applyAlignment="1" applyProtection="1">
      <alignment horizontal="left" vertical="center"/>
    </xf>
    <xf numFmtId="4" fontId="2" fillId="2" borderId="29" xfId="0" applyNumberFormat="1" applyFont="1" applyFill="1" applyBorder="1" applyAlignment="1" applyProtection="1">
      <alignment horizontal="right" vertical="center"/>
    </xf>
    <xf numFmtId="0" fontId="2" fillId="2" borderId="3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3" fillId="0" borderId="31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/>
    </xf>
    <xf numFmtId="4" fontId="3" fillId="0" borderId="32" xfId="0" applyNumberFormat="1" applyFont="1" applyFill="1" applyBorder="1" applyAlignment="1" applyProtection="1">
      <alignment horizontal="right" vertical="center"/>
    </xf>
    <xf numFmtId="0" fontId="3" fillId="0" borderId="33" xfId="0" applyNumberFormat="1" applyFont="1" applyFill="1" applyBorder="1" applyAlignment="1" applyProtection="1">
      <alignment horizontal="right" vertical="center"/>
    </xf>
    <xf numFmtId="4" fontId="2" fillId="0" borderId="34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" fillId="0" borderId="35" xfId="0" applyNumberFormat="1" applyFont="1" applyFill="1" applyBorder="1" applyAlignment="1" applyProtection="1">
      <alignment horizontal="left" vertical="center"/>
    </xf>
    <xf numFmtId="0" fontId="2" fillId="0" borderId="36" xfId="0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Fill="1" applyBorder="1" applyAlignment="1" applyProtection="1">
      <alignment horizontal="left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3" fillId="0" borderId="28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left" vertical="center"/>
    </xf>
    <xf numFmtId="4" fontId="3" fillId="0" borderId="2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7" fillId="2" borderId="41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0" fontId="9" fillId="0" borderId="45" xfId="0" applyNumberFormat="1" applyFont="1" applyFill="1" applyBorder="1" applyAlignment="1" applyProtection="1">
      <alignment horizontal="left" vertical="center"/>
    </xf>
    <xf numFmtId="0" fontId="10" fillId="0" borderId="46" xfId="0" applyNumberFormat="1" applyFont="1" applyFill="1" applyBorder="1" applyAlignment="1" applyProtection="1">
      <alignment horizontal="left" vertical="center"/>
    </xf>
    <xf numFmtId="4" fontId="10" fillId="0" borderId="46" xfId="0" applyNumberFormat="1" applyFont="1" applyFill="1" applyBorder="1" applyAlignment="1" applyProtection="1">
      <alignment horizontal="right" vertical="center"/>
    </xf>
    <xf numFmtId="0" fontId="10" fillId="0" borderId="46" xfId="0" applyNumberFormat="1" applyFont="1" applyFill="1" applyBorder="1" applyAlignment="1" applyProtection="1">
      <alignment horizontal="right" vertical="center"/>
    </xf>
    <xf numFmtId="0" fontId="9" fillId="0" borderId="49" xfId="0" applyNumberFormat="1" applyFont="1" applyFill="1" applyBorder="1" applyAlignment="1" applyProtection="1">
      <alignment horizontal="left" vertical="center"/>
    </xf>
    <xf numFmtId="4" fontId="10" fillId="0" borderId="53" xfId="0" applyNumberFormat="1" applyFont="1" applyFill="1" applyBorder="1" applyAlignment="1" applyProtection="1">
      <alignment horizontal="right" vertical="center"/>
    </xf>
    <xf numFmtId="0" fontId="10" fillId="0" borderId="53" xfId="0" applyNumberFormat="1" applyFont="1" applyFill="1" applyBorder="1" applyAlignment="1" applyProtection="1">
      <alignment horizontal="right" vertical="center"/>
    </xf>
    <xf numFmtId="4" fontId="10" fillId="0" borderId="44" xfId="0" applyNumberFormat="1" applyFont="1" applyFill="1" applyBorder="1" applyAlignment="1" applyProtection="1">
      <alignment horizontal="right" vertical="center"/>
    </xf>
    <xf numFmtId="4" fontId="10" fillId="0" borderId="25" xfId="0" applyNumberFormat="1" applyFont="1" applyFill="1" applyBorder="1" applyAlignment="1" applyProtection="1">
      <alignment horizontal="right" vertical="center"/>
    </xf>
    <xf numFmtId="4" fontId="9" fillId="2" borderId="43" xfId="0" applyNumberFormat="1" applyFont="1" applyFill="1" applyBorder="1" applyAlignment="1" applyProtection="1">
      <alignment horizontal="right" vertical="center"/>
    </xf>
    <xf numFmtId="4" fontId="9" fillId="2" borderId="48" xfId="0" applyNumberFormat="1" applyFont="1" applyFill="1" applyBorder="1" applyAlignment="1" applyProtection="1">
      <alignment horizontal="right" vertical="center"/>
    </xf>
    <xf numFmtId="0" fontId="5" fillId="0" borderId="29" xfId="0" applyNumberFormat="1" applyFont="1" applyFill="1" applyBorder="1" applyAlignment="1" applyProtection="1">
      <alignment horizontal="left" vertical="center"/>
    </xf>
    <xf numFmtId="0" fontId="2" fillId="0" borderId="69" xfId="0" applyNumberFormat="1" applyFont="1" applyFill="1" applyBorder="1" applyAlignment="1" applyProtection="1">
      <alignment horizontal="right" vertical="center"/>
    </xf>
    <xf numFmtId="4" fontId="3" fillId="0" borderId="46" xfId="0" applyNumberFormat="1" applyFont="1" applyFill="1" applyBorder="1" applyAlignment="1" applyProtection="1">
      <alignment horizontal="right" vertical="center"/>
    </xf>
    <xf numFmtId="0" fontId="3" fillId="0" borderId="46" xfId="0" applyNumberFormat="1" applyFont="1" applyFill="1" applyBorder="1" applyAlignment="1" applyProtection="1">
      <alignment horizontal="left" vertical="center"/>
    </xf>
    <xf numFmtId="4" fontId="3" fillId="0" borderId="73" xfId="0" applyNumberFormat="1" applyFont="1" applyFill="1" applyBorder="1" applyAlignment="1" applyProtection="1">
      <alignment horizontal="right" vertical="center"/>
    </xf>
    <xf numFmtId="0" fontId="3" fillId="0" borderId="73" xfId="0" applyNumberFormat="1" applyFont="1" applyFill="1" applyBorder="1" applyAlignment="1" applyProtection="1">
      <alignment horizontal="left" vertical="center"/>
    </xf>
    <xf numFmtId="0" fontId="2" fillId="0" borderId="77" xfId="0" applyNumberFormat="1" applyFont="1" applyFill="1" applyBorder="1" applyAlignment="1" applyProtection="1">
      <alignment horizontal="left" vertical="center"/>
    </xf>
    <xf numFmtId="0" fontId="2" fillId="0" borderId="77" xfId="0" applyNumberFormat="1" applyFont="1" applyFill="1" applyBorder="1" applyAlignment="1" applyProtection="1">
      <alignment horizontal="right" vertical="center"/>
    </xf>
    <xf numFmtId="4" fontId="2" fillId="0" borderId="7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2" borderId="29" xfId="0" applyNumberFormat="1" applyFont="1" applyFill="1" applyBorder="1" applyAlignment="1" applyProtection="1">
      <alignment horizontal="left" vertical="center" wrapText="1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/>
    </xf>
    <xf numFmtId="0" fontId="2" fillId="0" borderId="3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31" xfId="0" applyNumberFormat="1" applyFont="1" applyFill="1" applyBorder="1" applyAlignment="1" applyProtection="1">
      <alignment horizontal="left" vertical="center"/>
    </xf>
    <xf numFmtId="1" fontId="3" fillId="0" borderId="6" xfId="0" applyNumberFormat="1" applyFont="1" applyFill="1" applyBorder="1" applyAlignment="1" applyProtection="1">
      <alignment horizontal="left" vertical="center"/>
    </xf>
    <xf numFmtId="0" fontId="3" fillId="0" borderId="33" xfId="0" applyNumberFormat="1" applyFont="1" applyFill="1" applyBorder="1" applyAlignment="1" applyProtection="1">
      <alignment horizontal="left" vertical="center"/>
    </xf>
    <xf numFmtId="0" fontId="6" fillId="0" borderId="40" xfId="0" applyNumberFormat="1" applyFont="1" applyFill="1" applyBorder="1" applyAlignment="1" applyProtection="1">
      <alignment horizontal="center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9" fillId="0" borderId="50" xfId="0" applyNumberFormat="1" applyFont="1" applyFill="1" applyBorder="1" applyAlignment="1" applyProtection="1">
      <alignment horizontal="left" vertical="center"/>
    </xf>
    <xf numFmtId="0" fontId="9" fillId="0" borderId="48" xfId="0" applyNumberFormat="1" applyFont="1" applyFill="1" applyBorder="1" applyAlignment="1" applyProtection="1">
      <alignment horizontal="left" vertical="center"/>
    </xf>
    <xf numFmtId="0" fontId="9" fillId="0" borderId="51" xfId="0" applyNumberFormat="1" applyFont="1" applyFill="1" applyBorder="1" applyAlignment="1" applyProtection="1">
      <alignment horizontal="left" vertical="center"/>
    </xf>
    <xf numFmtId="0" fontId="9" fillId="0" borderId="52" xfId="0" applyNumberFormat="1" applyFont="1" applyFill="1" applyBorder="1" applyAlignment="1" applyProtection="1">
      <alignment horizontal="left" vertical="center"/>
    </xf>
    <xf numFmtId="0" fontId="9" fillId="0" borderId="55" xfId="0" applyNumberFormat="1" applyFont="1" applyFill="1" applyBorder="1" applyAlignment="1" applyProtection="1">
      <alignment horizontal="left" vertical="center"/>
    </xf>
    <xf numFmtId="0" fontId="9" fillId="0" borderId="43" xfId="0" applyNumberFormat="1" applyFont="1" applyFill="1" applyBorder="1" applyAlignment="1" applyProtection="1">
      <alignment horizontal="left" vertical="center"/>
    </xf>
    <xf numFmtId="0" fontId="10" fillId="0" borderId="47" xfId="0" applyNumberFormat="1" applyFont="1" applyFill="1" applyBorder="1" applyAlignment="1" applyProtection="1">
      <alignment horizontal="left" vertical="center"/>
    </xf>
    <xf numFmtId="0" fontId="10" fillId="0" borderId="48" xfId="0" applyNumberFormat="1" applyFont="1" applyFill="1" applyBorder="1" applyAlignment="1" applyProtection="1">
      <alignment horizontal="left" vertical="center"/>
    </xf>
    <xf numFmtId="0" fontId="10" fillId="0" borderId="54" xfId="0" applyNumberFormat="1" applyFont="1" applyFill="1" applyBorder="1" applyAlignment="1" applyProtection="1">
      <alignment horizontal="left" vertical="center"/>
    </xf>
    <xf numFmtId="0" fontId="10" fillId="0" borderId="52" xfId="0" applyNumberFormat="1" applyFont="1" applyFill="1" applyBorder="1" applyAlignment="1" applyProtection="1">
      <alignment horizontal="left" vertical="center"/>
    </xf>
    <xf numFmtId="0" fontId="9" fillId="0" borderId="42" xfId="0" applyNumberFormat="1" applyFont="1" applyFill="1" applyBorder="1" applyAlignment="1" applyProtection="1">
      <alignment horizontal="left" vertical="center"/>
    </xf>
    <xf numFmtId="0" fontId="9" fillId="0" borderId="47" xfId="0" applyNumberFormat="1" applyFont="1" applyFill="1" applyBorder="1" applyAlignment="1" applyProtection="1">
      <alignment horizontal="left" vertical="center"/>
    </xf>
    <xf numFmtId="0" fontId="9" fillId="2" borderId="55" xfId="0" applyNumberFormat="1" applyFont="1" applyFill="1" applyBorder="1" applyAlignment="1" applyProtection="1">
      <alignment horizontal="left" vertical="center"/>
    </xf>
    <xf numFmtId="0" fontId="9" fillId="2" borderId="56" xfId="0" applyNumberFormat="1" applyFont="1" applyFill="1" applyBorder="1" applyAlignment="1" applyProtection="1">
      <alignment horizontal="left" vertical="center"/>
    </xf>
    <xf numFmtId="0" fontId="9" fillId="2" borderId="50" xfId="0" applyNumberFormat="1" applyFont="1" applyFill="1" applyBorder="1" applyAlignment="1" applyProtection="1">
      <alignment horizontal="left" vertical="center"/>
    </xf>
    <xf numFmtId="0" fontId="9" fillId="2" borderId="57" xfId="0" applyNumberFormat="1" applyFont="1" applyFill="1" applyBorder="1" applyAlignment="1" applyProtection="1">
      <alignment horizontal="left" vertical="center"/>
    </xf>
    <xf numFmtId="0" fontId="9" fillId="2" borderId="42" xfId="0" applyNumberFormat="1" applyFont="1" applyFill="1" applyBorder="1" applyAlignment="1" applyProtection="1">
      <alignment horizontal="left" vertical="center"/>
    </xf>
    <xf numFmtId="0" fontId="9" fillId="2" borderId="47" xfId="0" applyNumberFormat="1" applyFont="1" applyFill="1" applyBorder="1" applyAlignment="1" applyProtection="1">
      <alignment horizontal="left" vertical="center"/>
    </xf>
    <xf numFmtId="0" fontId="10" fillId="0" borderId="58" xfId="0" applyNumberFormat="1" applyFont="1" applyFill="1" applyBorder="1" applyAlignment="1" applyProtection="1">
      <alignment horizontal="left" vertical="center"/>
    </xf>
    <xf numFmtId="0" fontId="10" fillId="0" borderId="59" xfId="0" applyNumberFormat="1" applyFont="1" applyFill="1" applyBorder="1" applyAlignment="1" applyProtection="1">
      <alignment horizontal="left" vertical="center"/>
    </xf>
    <xf numFmtId="0" fontId="10" fillId="0" borderId="60" xfId="0" applyNumberFormat="1" applyFont="1" applyFill="1" applyBorder="1" applyAlignment="1" applyProtection="1">
      <alignment horizontal="left" vertical="center"/>
    </xf>
    <xf numFmtId="0" fontId="10" fillId="0" borderId="62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63" xfId="0" applyNumberFormat="1" applyFont="1" applyFill="1" applyBorder="1" applyAlignment="1" applyProtection="1">
      <alignment horizontal="left" vertical="center"/>
    </xf>
    <xf numFmtId="0" fontId="10" fillId="0" borderId="65" xfId="0" applyNumberFormat="1" applyFont="1" applyFill="1" applyBorder="1" applyAlignment="1" applyProtection="1">
      <alignment horizontal="left" vertical="center"/>
    </xf>
    <xf numFmtId="0" fontId="10" fillId="0" borderId="66" xfId="0" applyNumberFormat="1" applyFont="1" applyFill="1" applyBorder="1" applyAlignment="1" applyProtection="1">
      <alignment horizontal="left" vertical="center"/>
    </xf>
    <xf numFmtId="0" fontId="10" fillId="0" borderId="67" xfId="0" applyNumberFormat="1" applyFont="1" applyFill="1" applyBorder="1" applyAlignment="1" applyProtection="1">
      <alignment horizontal="left" vertical="center"/>
    </xf>
    <xf numFmtId="0" fontId="10" fillId="0" borderId="61" xfId="0" applyNumberFormat="1" applyFont="1" applyFill="1" applyBorder="1" applyAlignment="1" applyProtection="1">
      <alignment horizontal="left" vertical="center"/>
    </xf>
    <xf numFmtId="0" fontId="10" fillId="0" borderId="64" xfId="0" applyNumberFormat="1" applyFont="1" applyFill="1" applyBorder="1" applyAlignment="1" applyProtection="1">
      <alignment horizontal="left" vertical="center"/>
    </xf>
    <xf numFmtId="0" fontId="10" fillId="0" borderId="68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7" xfId="0" applyNumberFormat="1" applyFont="1" applyFill="1" applyBorder="1" applyAlignment="1" applyProtection="1">
      <alignment horizontal="left" vertical="center"/>
    </xf>
    <xf numFmtId="0" fontId="3" fillId="0" borderId="48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2" fillId="0" borderId="74" xfId="0" applyNumberFormat="1" applyFont="1" applyFill="1" applyBorder="1" applyAlignment="1" applyProtection="1">
      <alignment horizontal="left" vertical="center"/>
    </xf>
    <xf numFmtId="0" fontId="2" fillId="0" borderId="75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left" vertical="center"/>
    </xf>
    <xf numFmtId="0" fontId="9" fillId="0" borderId="74" xfId="0" applyNumberFormat="1" applyFont="1" applyFill="1" applyBorder="1" applyAlignment="1" applyProtection="1">
      <alignment horizontal="left" vertical="center"/>
    </xf>
    <xf numFmtId="0" fontId="9" fillId="0" borderId="75" xfId="0" applyNumberFormat="1" applyFont="1" applyFill="1" applyBorder="1" applyAlignment="1" applyProtection="1">
      <alignment horizontal="left" vertical="center"/>
    </xf>
    <xf numFmtId="0" fontId="9" fillId="0" borderId="76" xfId="0" applyNumberFormat="1" applyFont="1" applyFill="1" applyBorder="1" applyAlignment="1" applyProtection="1">
      <alignment horizontal="left" vertical="center"/>
    </xf>
    <xf numFmtId="4" fontId="9" fillId="0" borderId="78" xfId="0" applyNumberFormat="1" applyFont="1" applyFill="1" applyBorder="1" applyAlignment="1" applyProtection="1">
      <alignment horizontal="right" vertical="center"/>
    </xf>
    <xf numFmtId="0" fontId="9" fillId="0" borderId="75" xfId="0" applyNumberFormat="1" applyFont="1" applyFill="1" applyBorder="1" applyAlignment="1" applyProtection="1">
      <alignment horizontal="right" vertical="center"/>
    </xf>
    <xf numFmtId="0" fontId="9" fillId="0" borderId="76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47"/>
  <sheetViews>
    <sheetView tabSelected="1" workbookViewId="0">
      <pane ySplit="11" topLeftCell="A12" activePane="bottomLeft" state="frozen"/>
      <selection pane="bottomLeft" activeCell="A147" sqref="A147:K147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28.5703125" customWidth="1"/>
    <col min="4" max="4" width="35.7109375" customWidth="1"/>
    <col min="5" max="5" width="4.285156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64.28515625" hidden="1" customWidth="1"/>
    <col min="77" max="78" width="12.140625" hidden="1"/>
  </cols>
  <sheetData>
    <row r="1" spans="1:76" ht="54.7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72" t="s">
        <v>1</v>
      </c>
      <c r="B2" s="73"/>
      <c r="C2" s="81" t="s">
        <v>2</v>
      </c>
      <c r="D2" s="82"/>
      <c r="E2" s="73" t="s">
        <v>3</v>
      </c>
      <c r="F2" s="73"/>
      <c r="G2" s="73" t="s">
        <v>4</v>
      </c>
      <c r="H2" s="79" t="s">
        <v>5</v>
      </c>
      <c r="I2" s="79" t="s">
        <v>6</v>
      </c>
      <c r="J2" s="73"/>
      <c r="K2" s="84"/>
    </row>
    <row r="3" spans="1:76" x14ac:dyDescent="0.25">
      <c r="A3" s="74"/>
      <c r="B3" s="75"/>
      <c r="C3" s="83"/>
      <c r="D3" s="83"/>
      <c r="E3" s="75"/>
      <c r="F3" s="75"/>
      <c r="G3" s="75"/>
      <c r="H3" s="75"/>
      <c r="I3" s="75"/>
      <c r="J3" s="75"/>
      <c r="K3" s="85"/>
    </row>
    <row r="4" spans="1:76" x14ac:dyDescent="0.25">
      <c r="A4" s="76" t="s">
        <v>7</v>
      </c>
      <c r="B4" s="75"/>
      <c r="C4" s="80" t="s">
        <v>4</v>
      </c>
      <c r="D4" s="75"/>
      <c r="E4" s="75" t="s">
        <v>8</v>
      </c>
      <c r="F4" s="75"/>
      <c r="G4" s="75" t="s">
        <v>4</v>
      </c>
      <c r="H4" s="80" t="s">
        <v>9</v>
      </c>
      <c r="I4" s="80" t="s">
        <v>10</v>
      </c>
      <c r="J4" s="75"/>
      <c r="K4" s="85"/>
    </row>
    <row r="5" spans="1:76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85"/>
    </row>
    <row r="6" spans="1:76" x14ac:dyDescent="0.25">
      <c r="A6" s="76" t="s">
        <v>11</v>
      </c>
      <c r="B6" s="75"/>
      <c r="C6" s="80" t="s">
        <v>12</v>
      </c>
      <c r="D6" s="75"/>
      <c r="E6" s="75" t="s">
        <v>13</v>
      </c>
      <c r="F6" s="75"/>
      <c r="G6" s="75" t="s">
        <v>4</v>
      </c>
      <c r="H6" s="80" t="s">
        <v>14</v>
      </c>
      <c r="I6" s="80" t="s">
        <v>15</v>
      </c>
      <c r="J6" s="75"/>
      <c r="K6" s="85"/>
    </row>
    <row r="7" spans="1:76" x14ac:dyDescent="0.25">
      <c r="A7" s="74"/>
      <c r="B7" s="75"/>
      <c r="C7" s="75"/>
      <c r="D7" s="75"/>
      <c r="E7" s="75"/>
      <c r="F7" s="75"/>
      <c r="G7" s="75"/>
      <c r="H7" s="75"/>
      <c r="I7" s="75"/>
      <c r="J7" s="75"/>
      <c r="K7" s="85"/>
    </row>
    <row r="8" spans="1:76" x14ac:dyDescent="0.25">
      <c r="A8" s="76" t="s">
        <v>16</v>
      </c>
      <c r="B8" s="75"/>
      <c r="C8" s="80" t="s">
        <v>4</v>
      </c>
      <c r="D8" s="75"/>
      <c r="E8" s="75" t="s">
        <v>17</v>
      </c>
      <c r="F8" s="75"/>
      <c r="G8" s="75" t="s">
        <v>18</v>
      </c>
      <c r="H8" s="80" t="s">
        <v>19</v>
      </c>
      <c r="I8" s="75" t="s">
        <v>20</v>
      </c>
      <c r="J8" s="75"/>
      <c r="K8" s="85"/>
    </row>
    <row r="9" spans="1:76" x14ac:dyDescent="0.25">
      <c r="A9" s="77"/>
      <c r="B9" s="78"/>
      <c r="C9" s="78"/>
      <c r="D9" s="78"/>
      <c r="E9" s="78"/>
      <c r="F9" s="78"/>
      <c r="G9" s="78"/>
      <c r="H9" s="78"/>
      <c r="I9" s="78"/>
      <c r="J9" s="78"/>
      <c r="K9" s="86"/>
    </row>
    <row r="10" spans="1:76" x14ac:dyDescent="0.25">
      <c r="A10" s="6" t="s">
        <v>21</v>
      </c>
      <c r="B10" s="7" t="s">
        <v>22</v>
      </c>
      <c r="C10" s="87" t="s">
        <v>23</v>
      </c>
      <c r="D10" s="88"/>
      <c r="E10" s="7" t="s">
        <v>24</v>
      </c>
      <c r="F10" s="8" t="s">
        <v>25</v>
      </c>
      <c r="G10" s="9" t="s">
        <v>26</v>
      </c>
      <c r="H10" s="91" t="s">
        <v>27</v>
      </c>
      <c r="I10" s="92"/>
      <c r="J10" s="93"/>
      <c r="K10" s="10" t="s">
        <v>28</v>
      </c>
      <c r="BK10" s="11" t="s">
        <v>29</v>
      </c>
      <c r="BL10" s="12" t="s">
        <v>30</v>
      </c>
      <c r="BW10" s="12" t="s">
        <v>31</v>
      </c>
    </row>
    <row r="11" spans="1:76" x14ac:dyDescent="0.25">
      <c r="A11" s="13" t="s">
        <v>4</v>
      </c>
      <c r="B11" s="14" t="s">
        <v>4</v>
      </c>
      <c r="C11" s="89" t="s">
        <v>32</v>
      </c>
      <c r="D11" s="90"/>
      <c r="E11" s="14" t="s">
        <v>4</v>
      </c>
      <c r="F11" s="14" t="s">
        <v>4</v>
      </c>
      <c r="G11" s="15" t="s">
        <v>33</v>
      </c>
      <c r="H11" s="16" t="s">
        <v>34</v>
      </c>
      <c r="I11" s="17" t="s">
        <v>35</v>
      </c>
      <c r="J11" s="18" t="s">
        <v>36</v>
      </c>
      <c r="K11" s="19" t="s">
        <v>37</v>
      </c>
      <c r="Z11" s="11" t="s">
        <v>38</v>
      </c>
      <c r="AA11" s="11" t="s">
        <v>39</v>
      </c>
      <c r="AB11" s="11" t="s">
        <v>40</v>
      </c>
      <c r="AC11" s="11" t="s">
        <v>41</v>
      </c>
      <c r="AD11" s="11" t="s">
        <v>42</v>
      </c>
      <c r="AE11" s="11" t="s">
        <v>43</v>
      </c>
      <c r="AF11" s="11" t="s">
        <v>44</v>
      </c>
      <c r="AG11" s="11" t="s">
        <v>45</v>
      </c>
      <c r="AH11" s="11" t="s">
        <v>46</v>
      </c>
      <c r="BH11" s="11" t="s">
        <v>47</v>
      </c>
      <c r="BI11" s="11" t="s">
        <v>48</v>
      </c>
      <c r="BJ11" s="11" t="s">
        <v>49</v>
      </c>
    </row>
    <row r="12" spans="1:76" x14ac:dyDescent="0.25">
      <c r="A12" s="20" t="s">
        <v>50</v>
      </c>
      <c r="B12" s="21" t="s">
        <v>51</v>
      </c>
      <c r="C12" s="94" t="s">
        <v>52</v>
      </c>
      <c r="D12" s="95"/>
      <c r="E12" s="22" t="s">
        <v>4</v>
      </c>
      <c r="F12" s="22" t="s">
        <v>4</v>
      </c>
      <c r="G12" s="22" t="s">
        <v>4</v>
      </c>
      <c r="H12" s="23">
        <f>SUM(H13:H26)</f>
        <v>0</v>
      </c>
      <c r="I12" s="23">
        <f>SUM(I13:I26)</f>
        <v>0</v>
      </c>
      <c r="J12" s="23">
        <f>SUM(J13:J26)</f>
        <v>0</v>
      </c>
      <c r="K12" s="24" t="s">
        <v>50</v>
      </c>
      <c r="AI12" s="11" t="s">
        <v>50</v>
      </c>
      <c r="AS12" s="1">
        <f>SUM(AJ13:AJ26)</f>
        <v>0</v>
      </c>
      <c r="AT12" s="1">
        <f>SUM(AK13:AK26)</f>
        <v>0</v>
      </c>
      <c r="AU12" s="1">
        <f>SUM(AL13:AL26)</f>
        <v>0</v>
      </c>
    </row>
    <row r="13" spans="1:76" x14ac:dyDescent="0.25">
      <c r="A13" s="2" t="s">
        <v>53</v>
      </c>
      <c r="B13" s="3" t="s">
        <v>54</v>
      </c>
      <c r="C13" s="80" t="s">
        <v>55</v>
      </c>
      <c r="D13" s="75"/>
      <c r="E13" s="3" t="s">
        <v>56</v>
      </c>
      <c r="F13" s="25">
        <v>320</v>
      </c>
      <c r="G13" s="25">
        <v>0</v>
      </c>
      <c r="H13" s="25">
        <f>ROUND(F13*AO13,2)</f>
        <v>0</v>
      </c>
      <c r="I13" s="25">
        <f>ROUND(F13*AP13,2)</f>
        <v>0</v>
      </c>
      <c r="J13" s="25">
        <f>ROUND(F13*G13,2)</f>
        <v>0</v>
      </c>
      <c r="K13" s="26" t="s">
        <v>57</v>
      </c>
      <c r="Z13" s="25">
        <f>ROUND(IF(AQ13="5",BJ13,0),2)</f>
        <v>0</v>
      </c>
      <c r="AB13" s="25">
        <f>ROUND(IF(AQ13="1",BH13,0),2)</f>
        <v>0</v>
      </c>
      <c r="AC13" s="25">
        <f>ROUND(IF(AQ13="1",BI13,0),2)</f>
        <v>0</v>
      </c>
      <c r="AD13" s="25">
        <f>ROUND(IF(AQ13="7",BH13,0),2)</f>
        <v>0</v>
      </c>
      <c r="AE13" s="25">
        <f>ROUND(IF(AQ13="7",BI13,0),2)</f>
        <v>0</v>
      </c>
      <c r="AF13" s="25">
        <f>ROUND(IF(AQ13="2",BH13,0),2)</f>
        <v>0</v>
      </c>
      <c r="AG13" s="25">
        <f>ROUND(IF(AQ13="2",BI13,0),2)</f>
        <v>0</v>
      </c>
      <c r="AH13" s="25">
        <f>ROUND(IF(AQ13="0",BJ13,0),2)</f>
        <v>0</v>
      </c>
      <c r="AI13" s="11" t="s">
        <v>50</v>
      </c>
      <c r="AJ13" s="25">
        <f>IF(AN13=0,J13,0)</f>
        <v>0</v>
      </c>
      <c r="AK13" s="25">
        <f>IF(AN13=12,J13,0)</f>
        <v>0</v>
      </c>
      <c r="AL13" s="25">
        <f>IF(AN13=21,J13,0)</f>
        <v>0</v>
      </c>
      <c r="AN13" s="25">
        <v>21</v>
      </c>
      <c r="AO13" s="25">
        <f>G13*0.014804977</f>
        <v>0</v>
      </c>
      <c r="AP13" s="25">
        <f>G13*(1-0.014804977)</f>
        <v>0</v>
      </c>
      <c r="AQ13" s="27" t="s">
        <v>53</v>
      </c>
      <c r="AV13" s="25">
        <f>ROUND(AW13+AX13,2)</f>
        <v>0</v>
      </c>
      <c r="AW13" s="25">
        <f>ROUND(F13*AO13,2)</f>
        <v>0</v>
      </c>
      <c r="AX13" s="25">
        <f>ROUND(F13*AP13,2)</f>
        <v>0</v>
      </c>
      <c r="AY13" s="27" t="s">
        <v>58</v>
      </c>
      <c r="AZ13" s="27" t="s">
        <v>59</v>
      </c>
      <c r="BA13" s="11" t="s">
        <v>60</v>
      </c>
      <c r="BC13" s="25">
        <f>AW13+AX13</f>
        <v>0</v>
      </c>
      <c r="BD13" s="25">
        <f>G13/(100-BE13)*100</f>
        <v>0</v>
      </c>
      <c r="BE13" s="25">
        <v>0</v>
      </c>
      <c r="BF13" s="25">
        <f>13</f>
        <v>13</v>
      </c>
      <c r="BH13" s="25">
        <f>F13*AO13</f>
        <v>0</v>
      </c>
      <c r="BI13" s="25">
        <f>F13*AP13</f>
        <v>0</v>
      </c>
      <c r="BJ13" s="25">
        <f>F13*G13</f>
        <v>0</v>
      </c>
      <c r="BK13" s="27" t="s">
        <v>61</v>
      </c>
      <c r="BL13" s="25">
        <v>11</v>
      </c>
      <c r="BW13" s="25">
        <v>21</v>
      </c>
      <c r="BX13" s="5" t="s">
        <v>55</v>
      </c>
    </row>
    <row r="14" spans="1:76" ht="13.5" customHeight="1" x14ac:dyDescent="0.25">
      <c r="A14" s="28"/>
      <c r="B14" s="29" t="s">
        <v>62</v>
      </c>
      <c r="C14" s="96" t="s">
        <v>63</v>
      </c>
      <c r="D14" s="97"/>
      <c r="E14" s="97"/>
      <c r="F14" s="97"/>
      <c r="G14" s="97"/>
      <c r="H14" s="97"/>
      <c r="I14" s="97"/>
      <c r="J14" s="97"/>
      <c r="K14" s="98"/>
    </row>
    <row r="15" spans="1:76" x14ac:dyDescent="0.25">
      <c r="A15" s="2" t="s">
        <v>64</v>
      </c>
      <c r="B15" s="3" t="s">
        <v>65</v>
      </c>
      <c r="C15" s="80" t="s">
        <v>66</v>
      </c>
      <c r="D15" s="75"/>
      <c r="E15" s="3" t="s">
        <v>67</v>
      </c>
      <c r="F15" s="25">
        <v>15</v>
      </c>
      <c r="G15" s="25">
        <v>0</v>
      </c>
      <c r="H15" s="25">
        <f>ROUND(F15*AO15,2)</f>
        <v>0</v>
      </c>
      <c r="I15" s="25">
        <f>ROUND(F15*AP15,2)</f>
        <v>0</v>
      </c>
      <c r="J15" s="25">
        <f>ROUND(F15*G15,2)</f>
        <v>0</v>
      </c>
      <c r="K15" s="26" t="s">
        <v>57</v>
      </c>
      <c r="Z15" s="25">
        <f>ROUND(IF(AQ15="5",BJ15,0),2)</f>
        <v>0</v>
      </c>
      <c r="AB15" s="25">
        <f>ROUND(IF(AQ15="1",BH15,0),2)</f>
        <v>0</v>
      </c>
      <c r="AC15" s="25">
        <f>ROUND(IF(AQ15="1",BI15,0),2)</f>
        <v>0</v>
      </c>
      <c r="AD15" s="25">
        <f>ROUND(IF(AQ15="7",BH15,0),2)</f>
        <v>0</v>
      </c>
      <c r="AE15" s="25">
        <f>ROUND(IF(AQ15="7",BI15,0),2)</f>
        <v>0</v>
      </c>
      <c r="AF15" s="25">
        <f>ROUND(IF(AQ15="2",BH15,0),2)</f>
        <v>0</v>
      </c>
      <c r="AG15" s="25">
        <f>ROUND(IF(AQ15="2",BI15,0),2)</f>
        <v>0</v>
      </c>
      <c r="AH15" s="25">
        <f>ROUND(IF(AQ15="0",BJ15,0),2)</f>
        <v>0</v>
      </c>
      <c r="AI15" s="11" t="s">
        <v>50</v>
      </c>
      <c r="AJ15" s="25">
        <f>IF(AN15=0,J15,0)</f>
        <v>0</v>
      </c>
      <c r="AK15" s="25">
        <f>IF(AN15=12,J15,0)</f>
        <v>0</v>
      </c>
      <c r="AL15" s="25">
        <f>IF(AN15=21,J15,0)</f>
        <v>0</v>
      </c>
      <c r="AN15" s="25">
        <v>21</v>
      </c>
      <c r="AO15" s="25">
        <f>G15*0</f>
        <v>0</v>
      </c>
      <c r="AP15" s="25">
        <f>G15*(1-0)</f>
        <v>0</v>
      </c>
      <c r="AQ15" s="27" t="s">
        <v>53</v>
      </c>
      <c r="AV15" s="25">
        <f>ROUND(AW15+AX15,2)</f>
        <v>0</v>
      </c>
      <c r="AW15" s="25">
        <f>ROUND(F15*AO15,2)</f>
        <v>0</v>
      </c>
      <c r="AX15" s="25">
        <f>ROUND(F15*AP15,2)</f>
        <v>0</v>
      </c>
      <c r="AY15" s="27" t="s">
        <v>58</v>
      </c>
      <c r="AZ15" s="27" t="s">
        <v>59</v>
      </c>
      <c r="BA15" s="11" t="s">
        <v>60</v>
      </c>
      <c r="BC15" s="25">
        <f>AW15+AX15</f>
        <v>0</v>
      </c>
      <c r="BD15" s="25">
        <f>G15/(100-BE15)*100</f>
        <v>0</v>
      </c>
      <c r="BE15" s="25">
        <v>0</v>
      </c>
      <c r="BF15" s="25">
        <f>15</f>
        <v>15</v>
      </c>
      <c r="BH15" s="25">
        <f>F15*AO15</f>
        <v>0</v>
      </c>
      <c r="BI15" s="25">
        <f>F15*AP15</f>
        <v>0</v>
      </c>
      <c r="BJ15" s="25">
        <f>F15*G15</f>
        <v>0</v>
      </c>
      <c r="BK15" s="27" t="s">
        <v>61</v>
      </c>
      <c r="BL15" s="25">
        <v>11</v>
      </c>
      <c r="BW15" s="25">
        <v>21</v>
      </c>
      <c r="BX15" s="5" t="s">
        <v>66</v>
      </c>
    </row>
    <row r="16" spans="1:76" x14ac:dyDescent="0.25">
      <c r="A16" s="2" t="s">
        <v>68</v>
      </c>
      <c r="B16" s="3" t="s">
        <v>69</v>
      </c>
      <c r="C16" s="80" t="s">
        <v>70</v>
      </c>
      <c r="D16" s="75"/>
      <c r="E16" s="3" t="s">
        <v>67</v>
      </c>
      <c r="F16" s="25">
        <v>106</v>
      </c>
      <c r="G16" s="25">
        <v>0</v>
      </c>
      <c r="H16" s="25">
        <f>ROUND(F16*AO16,2)</f>
        <v>0</v>
      </c>
      <c r="I16" s="25">
        <f>ROUND(F16*AP16,2)</f>
        <v>0</v>
      </c>
      <c r="J16" s="25">
        <f>ROUND(F16*G16,2)</f>
        <v>0</v>
      </c>
      <c r="K16" s="26" t="s">
        <v>57</v>
      </c>
      <c r="Z16" s="25">
        <f>ROUND(IF(AQ16="5",BJ16,0),2)</f>
        <v>0</v>
      </c>
      <c r="AB16" s="25">
        <f>ROUND(IF(AQ16="1",BH16,0),2)</f>
        <v>0</v>
      </c>
      <c r="AC16" s="25">
        <f>ROUND(IF(AQ16="1",BI16,0),2)</f>
        <v>0</v>
      </c>
      <c r="AD16" s="25">
        <f>ROUND(IF(AQ16="7",BH16,0),2)</f>
        <v>0</v>
      </c>
      <c r="AE16" s="25">
        <f>ROUND(IF(AQ16="7",BI16,0),2)</f>
        <v>0</v>
      </c>
      <c r="AF16" s="25">
        <f>ROUND(IF(AQ16="2",BH16,0),2)</f>
        <v>0</v>
      </c>
      <c r="AG16" s="25">
        <f>ROUND(IF(AQ16="2",BI16,0),2)</f>
        <v>0</v>
      </c>
      <c r="AH16" s="25">
        <f>ROUND(IF(AQ16="0",BJ16,0),2)</f>
        <v>0</v>
      </c>
      <c r="AI16" s="11" t="s">
        <v>50</v>
      </c>
      <c r="AJ16" s="25">
        <f>IF(AN16=0,J16,0)</f>
        <v>0</v>
      </c>
      <c r="AK16" s="25">
        <f>IF(AN16=12,J16,0)</f>
        <v>0</v>
      </c>
      <c r="AL16" s="25">
        <f>IF(AN16=21,J16,0)</f>
        <v>0</v>
      </c>
      <c r="AN16" s="25">
        <v>21</v>
      </c>
      <c r="AO16" s="25">
        <f>G16*0</f>
        <v>0</v>
      </c>
      <c r="AP16" s="25">
        <f>G16*(1-0)</f>
        <v>0</v>
      </c>
      <c r="AQ16" s="27" t="s">
        <v>53</v>
      </c>
      <c r="AV16" s="25">
        <f>ROUND(AW16+AX16,2)</f>
        <v>0</v>
      </c>
      <c r="AW16" s="25">
        <f>ROUND(F16*AO16,2)</f>
        <v>0</v>
      </c>
      <c r="AX16" s="25">
        <f>ROUND(F16*AP16,2)</f>
        <v>0</v>
      </c>
      <c r="AY16" s="27" t="s">
        <v>58</v>
      </c>
      <c r="AZ16" s="27" t="s">
        <v>59</v>
      </c>
      <c r="BA16" s="11" t="s">
        <v>60</v>
      </c>
      <c r="BC16" s="25">
        <f>AW16+AX16</f>
        <v>0</v>
      </c>
      <c r="BD16" s="25">
        <f>G16/(100-BE16)*100</f>
        <v>0</v>
      </c>
      <c r="BE16" s="25">
        <v>0</v>
      </c>
      <c r="BF16" s="25">
        <f>16</f>
        <v>16</v>
      </c>
      <c r="BH16" s="25">
        <f>F16*AO16</f>
        <v>0</v>
      </c>
      <c r="BI16" s="25">
        <f>F16*AP16</f>
        <v>0</v>
      </c>
      <c r="BJ16" s="25">
        <f>F16*G16</f>
        <v>0</v>
      </c>
      <c r="BK16" s="27" t="s">
        <v>61</v>
      </c>
      <c r="BL16" s="25">
        <v>11</v>
      </c>
      <c r="BW16" s="25">
        <v>21</v>
      </c>
      <c r="BX16" s="5" t="s">
        <v>70</v>
      </c>
    </row>
    <row r="17" spans="1:76" x14ac:dyDescent="0.25">
      <c r="A17" s="2" t="s">
        <v>71</v>
      </c>
      <c r="B17" s="3" t="s">
        <v>72</v>
      </c>
      <c r="C17" s="80" t="s">
        <v>73</v>
      </c>
      <c r="D17" s="75"/>
      <c r="E17" s="3" t="s">
        <v>56</v>
      </c>
      <c r="F17" s="25">
        <v>34</v>
      </c>
      <c r="G17" s="25">
        <v>0</v>
      </c>
      <c r="H17" s="25">
        <f>ROUND(F17*AO17,2)</f>
        <v>0</v>
      </c>
      <c r="I17" s="25">
        <f>ROUND(F17*AP17,2)</f>
        <v>0</v>
      </c>
      <c r="J17" s="25">
        <f>ROUND(F17*G17,2)</f>
        <v>0</v>
      </c>
      <c r="K17" s="26" t="s">
        <v>57</v>
      </c>
      <c r="Z17" s="25">
        <f>ROUND(IF(AQ17="5",BJ17,0),2)</f>
        <v>0</v>
      </c>
      <c r="AB17" s="25">
        <f>ROUND(IF(AQ17="1",BH17,0),2)</f>
        <v>0</v>
      </c>
      <c r="AC17" s="25">
        <f>ROUND(IF(AQ17="1",BI17,0),2)</f>
        <v>0</v>
      </c>
      <c r="AD17" s="25">
        <f>ROUND(IF(AQ17="7",BH17,0),2)</f>
        <v>0</v>
      </c>
      <c r="AE17" s="25">
        <f>ROUND(IF(AQ17="7",BI17,0),2)</f>
        <v>0</v>
      </c>
      <c r="AF17" s="25">
        <f>ROUND(IF(AQ17="2",BH17,0),2)</f>
        <v>0</v>
      </c>
      <c r="AG17" s="25">
        <f>ROUND(IF(AQ17="2",BI17,0),2)</f>
        <v>0</v>
      </c>
      <c r="AH17" s="25">
        <f>ROUND(IF(AQ17="0",BJ17,0),2)</f>
        <v>0</v>
      </c>
      <c r="AI17" s="11" t="s">
        <v>50</v>
      </c>
      <c r="AJ17" s="25">
        <f>IF(AN17=0,J17,0)</f>
        <v>0</v>
      </c>
      <c r="AK17" s="25">
        <f>IF(AN17=12,J17,0)</f>
        <v>0</v>
      </c>
      <c r="AL17" s="25">
        <f>IF(AN17=21,J17,0)</f>
        <v>0</v>
      </c>
      <c r="AN17" s="25">
        <v>21</v>
      </c>
      <c r="AO17" s="25">
        <f>G17*0</f>
        <v>0</v>
      </c>
      <c r="AP17" s="25">
        <f>G17*(1-0)</f>
        <v>0</v>
      </c>
      <c r="AQ17" s="27" t="s">
        <v>53</v>
      </c>
      <c r="AV17" s="25">
        <f>ROUND(AW17+AX17,2)</f>
        <v>0</v>
      </c>
      <c r="AW17" s="25">
        <f>ROUND(F17*AO17,2)</f>
        <v>0</v>
      </c>
      <c r="AX17" s="25">
        <f>ROUND(F17*AP17,2)</f>
        <v>0</v>
      </c>
      <c r="AY17" s="27" t="s">
        <v>58</v>
      </c>
      <c r="AZ17" s="27" t="s">
        <v>59</v>
      </c>
      <c r="BA17" s="11" t="s">
        <v>60</v>
      </c>
      <c r="BC17" s="25">
        <f>AW17+AX17</f>
        <v>0</v>
      </c>
      <c r="BD17" s="25">
        <f>G17/(100-BE17)*100</f>
        <v>0</v>
      </c>
      <c r="BE17" s="25">
        <v>0</v>
      </c>
      <c r="BF17" s="25">
        <f>17</f>
        <v>17</v>
      </c>
      <c r="BH17" s="25">
        <f>F17*AO17</f>
        <v>0</v>
      </c>
      <c r="BI17" s="25">
        <f>F17*AP17</f>
        <v>0</v>
      </c>
      <c r="BJ17" s="25">
        <f>F17*G17</f>
        <v>0</v>
      </c>
      <c r="BK17" s="27" t="s">
        <v>61</v>
      </c>
      <c r="BL17" s="25">
        <v>11</v>
      </c>
      <c r="BW17" s="25">
        <v>21</v>
      </c>
      <c r="BX17" s="5" t="s">
        <v>73</v>
      </c>
    </row>
    <row r="18" spans="1:76" x14ac:dyDescent="0.25">
      <c r="A18" s="2" t="s">
        <v>74</v>
      </c>
      <c r="B18" s="3" t="s">
        <v>75</v>
      </c>
      <c r="C18" s="80" t="s">
        <v>76</v>
      </c>
      <c r="D18" s="75"/>
      <c r="E18" s="3" t="s">
        <v>56</v>
      </c>
      <c r="F18" s="25">
        <v>35</v>
      </c>
      <c r="G18" s="25">
        <v>0</v>
      </c>
      <c r="H18" s="25">
        <f>ROUND(F18*AO18,2)</f>
        <v>0</v>
      </c>
      <c r="I18" s="25">
        <f>ROUND(F18*AP18,2)</f>
        <v>0</v>
      </c>
      <c r="J18" s="25">
        <f>ROUND(F18*G18,2)</f>
        <v>0</v>
      </c>
      <c r="K18" s="26" t="s">
        <v>57</v>
      </c>
      <c r="Z18" s="25">
        <f>ROUND(IF(AQ18="5",BJ18,0),2)</f>
        <v>0</v>
      </c>
      <c r="AB18" s="25">
        <f>ROUND(IF(AQ18="1",BH18,0),2)</f>
        <v>0</v>
      </c>
      <c r="AC18" s="25">
        <f>ROUND(IF(AQ18="1",BI18,0),2)</f>
        <v>0</v>
      </c>
      <c r="AD18" s="25">
        <f>ROUND(IF(AQ18="7",BH18,0),2)</f>
        <v>0</v>
      </c>
      <c r="AE18" s="25">
        <f>ROUND(IF(AQ18="7",BI18,0),2)</f>
        <v>0</v>
      </c>
      <c r="AF18" s="25">
        <f>ROUND(IF(AQ18="2",BH18,0),2)</f>
        <v>0</v>
      </c>
      <c r="AG18" s="25">
        <f>ROUND(IF(AQ18="2",BI18,0),2)</f>
        <v>0</v>
      </c>
      <c r="AH18" s="25">
        <f>ROUND(IF(AQ18="0",BJ18,0),2)</f>
        <v>0</v>
      </c>
      <c r="AI18" s="11" t="s">
        <v>50</v>
      </c>
      <c r="AJ18" s="25">
        <f>IF(AN18=0,J18,0)</f>
        <v>0</v>
      </c>
      <c r="AK18" s="25">
        <f>IF(AN18=12,J18,0)</f>
        <v>0</v>
      </c>
      <c r="AL18" s="25">
        <f>IF(AN18=21,J18,0)</f>
        <v>0</v>
      </c>
      <c r="AN18" s="25">
        <v>21</v>
      </c>
      <c r="AO18" s="25">
        <f>G18*0</f>
        <v>0</v>
      </c>
      <c r="AP18" s="25">
        <f>G18*(1-0)</f>
        <v>0</v>
      </c>
      <c r="AQ18" s="27" t="s">
        <v>53</v>
      </c>
      <c r="AV18" s="25">
        <f>ROUND(AW18+AX18,2)</f>
        <v>0</v>
      </c>
      <c r="AW18" s="25">
        <f>ROUND(F18*AO18,2)</f>
        <v>0</v>
      </c>
      <c r="AX18" s="25">
        <f>ROUND(F18*AP18,2)</f>
        <v>0</v>
      </c>
      <c r="AY18" s="27" t="s">
        <v>58</v>
      </c>
      <c r="AZ18" s="27" t="s">
        <v>59</v>
      </c>
      <c r="BA18" s="11" t="s">
        <v>60</v>
      </c>
      <c r="BC18" s="25">
        <f>AW18+AX18</f>
        <v>0</v>
      </c>
      <c r="BD18" s="25">
        <f>G18/(100-BE18)*100</f>
        <v>0</v>
      </c>
      <c r="BE18" s="25">
        <v>0</v>
      </c>
      <c r="BF18" s="25">
        <f>18</f>
        <v>18</v>
      </c>
      <c r="BH18" s="25">
        <f>F18*AO18</f>
        <v>0</v>
      </c>
      <c r="BI18" s="25">
        <f>F18*AP18</f>
        <v>0</v>
      </c>
      <c r="BJ18" s="25">
        <f>F18*G18</f>
        <v>0</v>
      </c>
      <c r="BK18" s="27" t="s">
        <v>61</v>
      </c>
      <c r="BL18" s="25">
        <v>11</v>
      </c>
      <c r="BW18" s="25">
        <v>21</v>
      </c>
      <c r="BX18" s="5" t="s">
        <v>76</v>
      </c>
    </row>
    <row r="19" spans="1:76" ht="13.5" customHeight="1" x14ac:dyDescent="0.25">
      <c r="A19" s="28"/>
      <c r="B19" s="29" t="s">
        <v>62</v>
      </c>
      <c r="C19" s="96" t="s">
        <v>77</v>
      </c>
      <c r="D19" s="97"/>
      <c r="E19" s="97"/>
      <c r="F19" s="97"/>
      <c r="G19" s="97"/>
      <c r="H19" s="97"/>
      <c r="I19" s="97"/>
      <c r="J19" s="97"/>
      <c r="K19" s="98"/>
    </row>
    <row r="20" spans="1:76" x14ac:dyDescent="0.25">
      <c r="A20" s="2" t="s">
        <v>78</v>
      </c>
      <c r="B20" s="3" t="s">
        <v>79</v>
      </c>
      <c r="C20" s="80" t="s">
        <v>80</v>
      </c>
      <c r="D20" s="75"/>
      <c r="E20" s="3" t="s">
        <v>56</v>
      </c>
      <c r="F20" s="25">
        <v>35</v>
      </c>
      <c r="G20" s="25">
        <v>0</v>
      </c>
      <c r="H20" s="25">
        <f>ROUND(F20*AO20,2)</f>
        <v>0</v>
      </c>
      <c r="I20" s="25">
        <f>ROUND(F20*AP20,2)</f>
        <v>0</v>
      </c>
      <c r="J20" s="25">
        <f>ROUND(F20*G20,2)</f>
        <v>0</v>
      </c>
      <c r="K20" s="26" t="s">
        <v>57</v>
      </c>
      <c r="Z20" s="25">
        <f>ROUND(IF(AQ20="5",BJ20,0),2)</f>
        <v>0</v>
      </c>
      <c r="AB20" s="25">
        <f>ROUND(IF(AQ20="1",BH20,0),2)</f>
        <v>0</v>
      </c>
      <c r="AC20" s="25">
        <f>ROUND(IF(AQ20="1",BI20,0),2)</f>
        <v>0</v>
      </c>
      <c r="AD20" s="25">
        <f>ROUND(IF(AQ20="7",BH20,0),2)</f>
        <v>0</v>
      </c>
      <c r="AE20" s="25">
        <f>ROUND(IF(AQ20="7",BI20,0),2)</f>
        <v>0</v>
      </c>
      <c r="AF20" s="25">
        <f>ROUND(IF(AQ20="2",BH20,0),2)</f>
        <v>0</v>
      </c>
      <c r="AG20" s="25">
        <f>ROUND(IF(AQ20="2",BI20,0),2)</f>
        <v>0</v>
      </c>
      <c r="AH20" s="25">
        <f>ROUND(IF(AQ20="0",BJ20,0),2)</f>
        <v>0</v>
      </c>
      <c r="AI20" s="11" t="s">
        <v>50</v>
      </c>
      <c r="AJ20" s="25">
        <f>IF(AN20=0,J20,0)</f>
        <v>0</v>
      </c>
      <c r="AK20" s="25">
        <f>IF(AN20=12,J20,0)</f>
        <v>0</v>
      </c>
      <c r="AL20" s="25">
        <f>IF(AN20=21,J20,0)</f>
        <v>0</v>
      </c>
      <c r="AN20" s="25">
        <v>21</v>
      </c>
      <c r="AO20" s="25">
        <f>G20*0</f>
        <v>0</v>
      </c>
      <c r="AP20" s="25">
        <f>G20*(1-0)</f>
        <v>0</v>
      </c>
      <c r="AQ20" s="27" t="s">
        <v>53</v>
      </c>
      <c r="AV20" s="25">
        <f>ROUND(AW20+AX20,2)</f>
        <v>0</v>
      </c>
      <c r="AW20" s="25">
        <f>ROUND(F20*AO20,2)</f>
        <v>0</v>
      </c>
      <c r="AX20" s="25">
        <f>ROUND(F20*AP20,2)</f>
        <v>0</v>
      </c>
      <c r="AY20" s="27" t="s">
        <v>58</v>
      </c>
      <c r="AZ20" s="27" t="s">
        <v>59</v>
      </c>
      <c r="BA20" s="11" t="s">
        <v>60</v>
      </c>
      <c r="BC20" s="25">
        <f>AW20+AX20</f>
        <v>0</v>
      </c>
      <c r="BD20" s="25">
        <f>G20/(100-BE20)*100</f>
        <v>0</v>
      </c>
      <c r="BE20" s="25">
        <v>0</v>
      </c>
      <c r="BF20" s="25">
        <f>20</f>
        <v>20</v>
      </c>
      <c r="BH20" s="25">
        <f>F20*AO20</f>
        <v>0</v>
      </c>
      <c r="BI20" s="25">
        <f>F20*AP20</f>
        <v>0</v>
      </c>
      <c r="BJ20" s="25">
        <f>F20*G20</f>
        <v>0</v>
      </c>
      <c r="BK20" s="27" t="s">
        <v>61</v>
      </c>
      <c r="BL20" s="25">
        <v>11</v>
      </c>
      <c r="BW20" s="25">
        <v>21</v>
      </c>
      <c r="BX20" s="5" t="s">
        <v>80</v>
      </c>
    </row>
    <row r="21" spans="1:76" ht="13.5" customHeight="1" x14ac:dyDescent="0.25">
      <c r="A21" s="28"/>
      <c r="B21" s="29" t="s">
        <v>62</v>
      </c>
      <c r="C21" s="96" t="s">
        <v>77</v>
      </c>
      <c r="D21" s="97"/>
      <c r="E21" s="97"/>
      <c r="F21" s="97"/>
      <c r="G21" s="97"/>
      <c r="H21" s="97"/>
      <c r="I21" s="97"/>
      <c r="J21" s="97"/>
      <c r="K21" s="98"/>
    </row>
    <row r="22" spans="1:76" x14ac:dyDescent="0.25">
      <c r="A22" s="2" t="s">
        <v>81</v>
      </c>
      <c r="B22" s="3" t="s">
        <v>82</v>
      </c>
      <c r="C22" s="80" t="s">
        <v>83</v>
      </c>
      <c r="D22" s="75"/>
      <c r="E22" s="3" t="s">
        <v>56</v>
      </c>
      <c r="F22" s="25">
        <v>35</v>
      </c>
      <c r="G22" s="25">
        <v>0</v>
      </c>
      <c r="H22" s="25">
        <f>ROUND(F22*AO22,2)</f>
        <v>0</v>
      </c>
      <c r="I22" s="25">
        <f>ROUND(F22*AP22,2)</f>
        <v>0</v>
      </c>
      <c r="J22" s="25">
        <f>ROUND(F22*G22,2)</f>
        <v>0</v>
      </c>
      <c r="K22" s="26" t="s">
        <v>57</v>
      </c>
      <c r="Z22" s="25">
        <f>ROUND(IF(AQ22="5",BJ22,0),2)</f>
        <v>0</v>
      </c>
      <c r="AB22" s="25">
        <f>ROUND(IF(AQ22="1",BH22,0),2)</f>
        <v>0</v>
      </c>
      <c r="AC22" s="25">
        <f>ROUND(IF(AQ22="1",BI22,0),2)</f>
        <v>0</v>
      </c>
      <c r="AD22" s="25">
        <f>ROUND(IF(AQ22="7",BH22,0),2)</f>
        <v>0</v>
      </c>
      <c r="AE22" s="25">
        <f>ROUND(IF(AQ22="7",BI22,0),2)</f>
        <v>0</v>
      </c>
      <c r="AF22" s="25">
        <f>ROUND(IF(AQ22="2",BH22,0),2)</f>
        <v>0</v>
      </c>
      <c r="AG22" s="25">
        <f>ROUND(IF(AQ22="2",BI22,0),2)</f>
        <v>0</v>
      </c>
      <c r="AH22" s="25">
        <f>ROUND(IF(AQ22="0",BJ22,0),2)</f>
        <v>0</v>
      </c>
      <c r="AI22" s="11" t="s">
        <v>50</v>
      </c>
      <c r="AJ22" s="25">
        <f>IF(AN22=0,J22,0)</f>
        <v>0</v>
      </c>
      <c r="AK22" s="25">
        <f>IF(AN22=12,J22,0)</f>
        <v>0</v>
      </c>
      <c r="AL22" s="25">
        <f>IF(AN22=21,J22,0)</f>
        <v>0</v>
      </c>
      <c r="AN22" s="25">
        <v>21</v>
      </c>
      <c r="AO22" s="25">
        <f>G22*0</f>
        <v>0</v>
      </c>
      <c r="AP22" s="25">
        <f>G22*(1-0)</f>
        <v>0</v>
      </c>
      <c r="AQ22" s="27" t="s">
        <v>53</v>
      </c>
      <c r="AV22" s="25">
        <f>ROUND(AW22+AX22,2)</f>
        <v>0</v>
      </c>
      <c r="AW22" s="25">
        <f>ROUND(F22*AO22,2)</f>
        <v>0</v>
      </c>
      <c r="AX22" s="25">
        <f>ROUND(F22*AP22,2)</f>
        <v>0</v>
      </c>
      <c r="AY22" s="27" t="s">
        <v>58</v>
      </c>
      <c r="AZ22" s="27" t="s">
        <v>59</v>
      </c>
      <c r="BA22" s="11" t="s">
        <v>60</v>
      </c>
      <c r="BC22" s="25">
        <f>AW22+AX22</f>
        <v>0</v>
      </c>
      <c r="BD22" s="25">
        <f>G22/(100-BE22)*100</f>
        <v>0</v>
      </c>
      <c r="BE22" s="25">
        <v>0</v>
      </c>
      <c r="BF22" s="25">
        <f>22</f>
        <v>22</v>
      </c>
      <c r="BH22" s="25">
        <f>F22*AO22</f>
        <v>0</v>
      </c>
      <c r="BI22" s="25">
        <f>F22*AP22</f>
        <v>0</v>
      </c>
      <c r="BJ22" s="25">
        <f>F22*G22</f>
        <v>0</v>
      </c>
      <c r="BK22" s="27" t="s">
        <v>61</v>
      </c>
      <c r="BL22" s="25">
        <v>11</v>
      </c>
      <c r="BW22" s="25">
        <v>21</v>
      </c>
      <c r="BX22" s="5" t="s">
        <v>83</v>
      </c>
    </row>
    <row r="23" spans="1:76" ht="13.5" customHeight="1" x14ac:dyDescent="0.25">
      <c r="A23" s="28"/>
      <c r="B23" s="29" t="s">
        <v>62</v>
      </c>
      <c r="C23" s="96" t="s">
        <v>77</v>
      </c>
      <c r="D23" s="97"/>
      <c r="E23" s="97"/>
      <c r="F23" s="97"/>
      <c r="G23" s="97"/>
      <c r="H23" s="97"/>
      <c r="I23" s="97"/>
      <c r="J23" s="97"/>
      <c r="K23" s="98"/>
    </row>
    <row r="24" spans="1:76" x14ac:dyDescent="0.25">
      <c r="A24" s="2" t="s">
        <v>84</v>
      </c>
      <c r="B24" s="3" t="s">
        <v>85</v>
      </c>
      <c r="C24" s="80" t="s">
        <v>86</v>
      </c>
      <c r="D24" s="75"/>
      <c r="E24" s="3" t="s">
        <v>87</v>
      </c>
      <c r="F24" s="25">
        <v>1</v>
      </c>
      <c r="G24" s="25">
        <v>0</v>
      </c>
      <c r="H24" s="25">
        <f>ROUND(F24*AO24,2)</f>
        <v>0</v>
      </c>
      <c r="I24" s="25">
        <f>ROUND(F24*AP24,2)</f>
        <v>0</v>
      </c>
      <c r="J24" s="25">
        <f>ROUND(F24*G24,2)</f>
        <v>0</v>
      </c>
      <c r="K24" s="26" t="s">
        <v>50</v>
      </c>
      <c r="Z24" s="25">
        <f>ROUND(IF(AQ24="5",BJ24,0),2)</f>
        <v>0</v>
      </c>
      <c r="AB24" s="25">
        <f>ROUND(IF(AQ24="1",BH24,0),2)</f>
        <v>0</v>
      </c>
      <c r="AC24" s="25">
        <f>ROUND(IF(AQ24="1",BI24,0),2)</f>
        <v>0</v>
      </c>
      <c r="AD24" s="25">
        <f>ROUND(IF(AQ24="7",BH24,0),2)</f>
        <v>0</v>
      </c>
      <c r="AE24" s="25">
        <f>ROUND(IF(AQ24="7",BI24,0),2)</f>
        <v>0</v>
      </c>
      <c r="AF24" s="25">
        <f>ROUND(IF(AQ24="2",BH24,0),2)</f>
        <v>0</v>
      </c>
      <c r="AG24" s="25">
        <f>ROUND(IF(AQ24="2",BI24,0),2)</f>
        <v>0</v>
      </c>
      <c r="AH24" s="25">
        <f>ROUND(IF(AQ24="0",BJ24,0),2)</f>
        <v>0</v>
      </c>
      <c r="AI24" s="11" t="s">
        <v>50</v>
      </c>
      <c r="AJ24" s="25">
        <f>IF(AN24=0,J24,0)</f>
        <v>0</v>
      </c>
      <c r="AK24" s="25">
        <f>IF(AN24=12,J24,0)</f>
        <v>0</v>
      </c>
      <c r="AL24" s="25">
        <f>IF(AN24=21,J24,0)</f>
        <v>0</v>
      </c>
      <c r="AN24" s="25">
        <v>21</v>
      </c>
      <c r="AO24" s="25">
        <f>G24*0</f>
        <v>0</v>
      </c>
      <c r="AP24" s="25">
        <f>G24*(1-0)</f>
        <v>0</v>
      </c>
      <c r="AQ24" s="27" t="s">
        <v>53</v>
      </c>
      <c r="AV24" s="25">
        <f>ROUND(AW24+AX24,2)</f>
        <v>0</v>
      </c>
      <c r="AW24" s="25">
        <f>ROUND(F24*AO24,2)</f>
        <v>0</v>
      </c>
      <c r="AX24" s="25">
        <f>ROUND(F24*AP24,2)</f>
        <v>0</v>
      </c>
      <c r="AY24" s="27" t="s">
        <v>58</v>
      </c>
      <c r="AZ24" s="27" t="s">
        <v>59</v>
      </c>
      <c r="BA24" s="11" t="s">
        <v>60</v>
      </c>
      <c r="BC24" s="25">
        <f>AW24+AX24</f>
        <v>0</v>
      </c>
      <c r="BD24" s="25">
        <f>G24/(100-BE24)*100</f>
        <v>0</v>
      </c>
      <c r="BE24" s="25">
        <v>0</v>
      </c>
      <c r="BF24" s="25">
        <f>24</f>
        <v>24</v>
      </c>
      <c r="BH24" s="25">
        <f>F24*AO24</f>
        <v>0</v>
      </c>
      <c r="BI24" s="25">
        <f>F24*AP24</f>
        <v>0</v>
      </c>
      <c r="BJ24" s="25">
        <f>F24*G24</f>
        <v>0</v>
      </c>
      <c r="BK24" s="27" t="s">
        <v>61</v>
      </c>
      <c r="BL24" s="25">
        <v>11</v>
      </c>
      <c r="BW24" s="25">
        <v>21</v>
      </c>
      <c r="BX24" s="5" t="s">
        <v>86</v>
      </c>
    </row>
    <row r="25" spans="1:76" x14ac:dyDescent="0.25">
      <c r="A25" s="2" t="s">
        <v>88</v>
      </c>
      <c r="B25" s="3" t="s">
        <v>85</v>
      </c>
      <c r="C25" s="80" t="s">
        <v>89</v>
      </c>
      <c r="D25" s="75"/>
      <c r="E25" s="3" t="s">
        <v>90</v>
      </c>
      <c r="F25" s="25">
        <v>1</v>
      </c>
      <c r="G25" s="25">
        <v>0</v>
      </c>
      <c r="H25" s="25">
        <f>ROUND(F25*AO25,2)</f>
        <v>0</v>
      </c>
      <c r="I25" s="25">
        <f>ROUND(F25*AP25,2)</f>
        <v>0</v>
      </c>
      <c r="J25" s="25">
        <f>ROUND(F25*G25,2)</f>
        <v>0</v>
      </c>
      <c r="K25" s="26" t="s">
        <v>50</v>
      </c>
      <c r="Z25" s="25">
        <f>ROUND(IF(AQ25="5",BJ25,0),2)</f>
        <v>0</v>
      </c>
      <c r="AB25" s="25">
        <f>ROUND(IF(AQ25="1",BH25,0),2)</f>
        <v>0</v>
      </c>
      <c r="AC25" s="25">
        <f>ROUND(IF(AQ25="1",BI25,0),2)</f>
        <v>0</v>
      </c>
      <c r="AD25" s="25">
        <f>ROUND(IF(AQ25="7",BH25,0),2)</f>
        <v>0</v>
      </c>
      <c r="AE25" s="25">
        <f>ROUND(IF(AQ25="7",BI25,0),2)</f>
        <v>0</v>
      </c>
      <c r="AF25" s="25">
        <f>ROUND(IF(AQ25="2",BH25,0),2)</f>
        <v>0</v>
      </c>
      <c r="AG25" s="25">
        <f>ROUND(IF(AQ25="2",BI25,0),2)</f>
        <v>0</v>
      </c>
      <c r="AH25" s="25">
        <f>ROUND(IF(AQ25="0",BJ25,0),2)</f>
        <v>0</v>
      </c>
      <c r="AI25" s="11" t="s">
        <v>50</v>
      </c>
      <c r="AJ25" s="25">
        <f>IF(AN25=0,J25,0)</f>
        <v>0</v>
      </c>
      <c r="AK25" s="25">
        <f>IF(AN25=12,J25,0)</f>
        <v>0</v>
      </c>
      <c r="AL25" s="25">
        <f>IF(AN25=21,J25,0)</f>
        <v>0</v>
      </c>
      <c r="AN25" s="25">
        <v>21</v>
      </c>
      <c r="AO25" s="25">
        <f>G25*0</f>
        <v>0</v>
      </c>
      <c r="AP25" s="25">
        <f>G25*(1-0)</f>
        <v>0</v>
      </c>
      <c r="AQ25" s="27" t="s">
        <v>53</v>
      </c>
      <c r="AV25" s="25">
        <f>ROUND(AW25+AX25,2)</f>
        <v>0</v>
      </c>
      <c r="AW25" s="25">
        <f>ROUND(F25*AO25,2)</f>
        <v>0</v>
      </c>
      <c r="AX25" s="25">
        <f>ROUND(F25*AP25,2)</f>
        <v>0</v>
      </c>
      <c r="AY25" s="27" t="s">
        <v>58</v>
      </c>
      <c r="AZ25" s="27" t="s">
        <v>59</v>
      </c>
      <c r="BA25" s="11" t="s">
        <v>60</v>
      </c>
      <c r="BC25" s="25">
        <f>AW25+AX25</f>
        <v>0</v>
      </c>
      <c r="BD25" s="25">
        <f>G25/(100-BE25)*100</f>
        <v>0</v>
      </c>
      <c r="BE25" s="25">
        <v>0</v>
      </c>
      <c r="BF25" s="25">
        <f>25</f>
        <v>25</v>
      </c>
      <c r="BH25" s="25">
        <f>F25*AO25</f>
        <v>0</v>
      </c>
      <c r="BI25" s="25">
        <f>F25*AP25</f>
        <v>0</v>
      </c>
      <c r="BJ25" s="25">
        <f>F25*G25</f>
        <v>0</v>
      </c>
      <c r="BK25" s="27" t="s">
        <v>61</v>
      </c>
      <c r="BL25" s="25">
        <v>11</v>
      </c>
      <c r="BW25" s="25">
        <v>21</v>
      </c>
      <c r="BX25" s="5" t="s">
        <v>89</v>
      </c>
    </row>
    <row r="26" spans="1:76" x14ac:dyDescent="0.25">
      <c r="A26" s="2" t="s">
        <v>91</v>
      </c>
      <c r="B26" s="3" t="s">
        <v>92</v>
      </c>
      <c r="C26" s="80" t="s">
        <v>93</v>
      </c>
      <c r="D26" s="75"/>
      <c r="E26" s="3" t="s">
        <v>94</v>
      </c>
      <c r="F26" s="25">
        <v>3.4</v>
      </c>
      <c r="G26" s="25">
        <v>0</v>
      </c>
      <c r="H26" s="25">
        <f>ROUND(F26*AO26,2)</f>
        <v>0</v>
      </c>
      <c r="I26" s="25">
        <f>ROUND(F26*AP26,2)</f>
        <v>0</v>
      </c>
      <c r="J26" s="25">
        <f>ROUND(F26*G26,2)</f>
        <v>0</v>
      </c>
      <c r="K26" s="26" t="s">
        <v>57</v>
      </c>
      <c r="Z26" s="25">
        <f>ROUND(IF(AQ26="5",BJ26,0),2)</f>
        <v>0</v>
      </c>
      <c r="AB26" s="25">
        <f>ROUND(IF(AQ26="1",BH26,0),2)</f>
        <v>0</v>
      </c>
      <c r="AC26" s="25">
        <f>ROUND(IF(AQ26="1",BI26,0),2)</f>
        <v>0</v>
      </c>
      <c r="AD26" s="25">
        <f>ROUND(IF(AQ26="7",BH26,0),2)</f>
        <v>0</v>
      </c>
      <c r="AE26" s="25">
        <f>ROUND(IF(AQ26="7",BI26,0),2)</f>
        <v>0</v>
      </c>
      <c r="AF26" s="25">
        <f>ROUND(IF(AQ26="2",BH26,0),2)</f>
        <v>0</v>
      </c>
      <c r="AG26" s="25">
        <f>ROUND(IF(AQ26="2",BI26,0),2)</f>
        <v>0</v>
      </c>
      <c r="AH26" s="25">
        <f>ROUND(IF(AQ26="0",BJ26,0),2)</f>
        <v>0</v>
      </c>
      <c r="AI26" s="11" t="s">
        <v>50</v>
      </c>
      <c r="AJ26" s="25">
        <f>IF(AN26=0,J26,0)</f>
        <v>0</v>
      </c>
      <c r="AK26" s="25">
        <f>IF(AN26=12,J26,0)</f>
        <v>0</v>
      </c>
      <c r="AL26" s="25">
        <f>IF(AN26=21,J26,0)</f>
        <v>0</v>
      </c>
      <c r="AN26" s="25">
        <v>21</v>
      </c>
      <c r="AO26" s="25">
        <f>G26*0</f>
        <v>0</v>
      </c>
      <c r="AP26" s="25">
        <f>G26*(1-0)</f>
        <v>0</v>
      </c>
      <c r="AQ26" s="27" t="s">
        <v>53</v>
      </c>
      <c r="AV26" s="25">
        <f>ROUND(AW26+AX26,2)</f>
        <v>0</v>
      </c>
      <c r="AW26" s="25">
        <f>ROUND(F26*AO26,2)</f>
        <v>0</v>
      </c>
      <c r="AX26" s="25">
        <f>ROUND(F26*AP26,2)</f>
        <v>0</v>
      </c>
      <c r="AY26" s="27" t="s">
        <v>58</v>
      </c>
      <c r="AZ26" s="27" t="s">
        <v>59</v>
      </c>
      <c r="BA26" s="11" t="s">
        <v>60</v>
      </c>
      <c r="BC26" s="25">
        <f>AW26+AX26</f>
        <v>0</v>
      </c>
      <c r="BD26" s="25">
        <f>G26/(100-BE26)*100</f>
        <v>0</v>
      </c>
      <c r="BE26" s="25">
        <v>0</v>
      </c>
      <c r="BF26" s="25">
        <f>26</f>
        <v>26</v>
      </c>
      <c r="BH26" s="25">
        <f>F26*AO26</f>
        <v>0</v>
      </c>
      <c r="BI26" s="25">
        <f>F26*AP26</f>
        <v>0</v>
      </c>
      <c r="BJ26" s="25">
        <f>F26*G26</f>
        <v>0</v>
      </c>
      <c r="BK26" s="27" t="s">
        <v>61</v>
      </c>
      <c r="BL26" s="25">
        <v>11</v>
      </c>
      <c r="BW26" s="25">
        <v>21</v>
      </c>
      <c r="BX26" s="5" t="s">
        <v>93</v>
      </c>
    </row>
    <row r="27" spans="1:76" x14ac:dyDescent="0.25">
      <c r="A27" s="30" t="s">
        <v>50</v>
      </c>
      <c r="B27" s="31" t="s">
        <v>95</v>
      </c>
      <c r="C27" s="99" t="s">
        <v>96</v>
      </c>
      <c r="D27" s="100"/>
      <c r="E27" s="32" t="s">
        <v>4</v>
      </c>
      <c r="F27" s="32" t="s">
        <v>4</v>
      </c>
      <c r="G27" s="32" t="s">
        <v>4</v>
      </c>
      <c r="H27" s="1">
        <f>SUM(H28:H30)</f>
        <v>0</v>
      </c>
      <c r="I27" s="1">
        <f>SUM(I28:I30)</f>
        <v>0</v>
      </c>
      <c r="J27" s="1">
        <f>SUM(J28:J30)</f>
        <v>0</v>
      </c>
      <c r="K27" s="33" t="s">
        <v>50</v>
      </c>
      <c r="AI27" s="11" t="s">
        <v>50</v>
      </c>
      <c r="AS27" s="1">
        <f>SUM(AJ28:AJ30)</f>
        <v>0</v>
      </c>
      <c r="AT27" s="1">
        <f>SUM(AK28:AK30)</f>
        <v>0</v>
      </c>
      <c r="AU27" s="1">
        <f>SUM(AL28:AL30)</f>
        <v>0</v>
      </c>
    </row>
    <row r="28" spans="1:76" x14ac:dyDescent="0.25">
      <c r="A28" s="2" t="s">
        <v>51</v>
      </c>
      <c r="B28" s="3" t="s">
        <v>97</v>
      </c>
      <c r="C28" s="80" t="s">
        <v>98</v>
      </c>
      <c r="D28" s="75"/>
      <c r="E28" s="3" t="s">
        <v>94</v>
      </c>
      <c r="F28" s="25">
        <v>6.8</v>
      </c>
      <c r="G28" s="25">
        <v>0</v>
      </c>
      <c r="H28" s="25">
        <f>ROUND(F28*AO28,2)</f>
        <v>0</v>
      </c>
      <c r="I28" s="25">
        <f>ROUND(F28*AP28,2)</f>
        <v>0</v>
      </c>
      <c r="J28" s="25">
        <f>ROUND(F28*G28,2)</f>
        <v>0</v>
      </c>
      <c r="K28" s="26" t="s">
        <v>57</v>
      </c>
      <c r="Z28" s="25">
        <f>ROUND(IF(AQ28="5",BJ28,0),2)</f>
        <v>0</v>
      </c>
      <c r="AB28" s="25">
        <f>ROUND(IF(AQ28="1",BH28,0),2)</f>
        <v>0</v>
      </c>
      <c r="AC28" s="25">
        <f>ROUND(IF(AQ28="1",BI28,0),2)</f>
        <v>0</v>
      </c>
      <c r="AD28" s="25">
        <f>ROUND(IF(AQ28="7",BH28,0),2)</f>
        <v>0</v>
      </c>
      <c r="AE28" s="25">
        <f>ROUND(IF(AQ28="7",BI28,0),2)</f>
        <v>0</v>
      </c>
      <c r="AF28" s="25">
        <f>ROUND(IF(AQ28="2",BH28,0),2)</f>
        <v>0</v>
      </c>
      <c r="AG28" s="25">
        <f>ROUND(IF(AQ28="2",BI28,0),2)</f>
        <v>0</v>
      </c>
      <c r="AH28" s="25">
        <f>ROUND(IF(AQ28="0",BJ28,0),2)</f>
        <v>0</v>
      </c>
      <c r="AI28" s="11" t="s">
        <v>50</v>
      </c>
      <c r="AJ28" s="25">
        <f>IF(AN28=0,J28,0)</f>
        <v>0</v>
      </c>
      <c r="AK28" s="25">
        <f>IF(AN28=12,J28,0)</f>
        <v>0</v>
      </c>
      <c r="AL28" s="25">
        <f>IF(AN28=21,J28,0)</f>
        <v>0</v>
      </c>
      <c r="AN28" s="25">
        <v>21</v>
      </c>
      <c r="AO28" s="25">
        <f>G28*0</f>
        <v>0</v>
      </c>
      <c r="AP28" s="25">
        <f>G28*(1-0)</f>
        <v>0</v>
      </c>
      <c r="AQ28" s="27" t="s">
        <v>53</v>
      </c>
      <c r="AV28" s="25">
        <f>ROUND(AW28+AX28,2)</f>
        <v>0</v>
      </c>
      <c r="AW28" s="25">
        <f>ROUND(F28*AO28,2)</f>
        <v>0</v>
      </c>
      <c r="AX28" s="25">
        <f>ROUND(F28*AP28,2)</f>
        <v>0</v>
      </c>
      <c r="AY28" s="27" t="s">
        <v>99</v>
      </c>
      <c r="AZ28" s="27" t="s">
        <v>59</v>
      </c>
      <c r="BA28" s="11" t="s">
        <v>60</v>
      </c>
      <c r="BC28" s="25">
        <f>AW28+AX28</f>
        <v>0</v>
      </c>
      <c r="BD28" s="25">
        <f>G28/(100-BE28)*100</f>
        <v>0</v>
      </c>
      <c r="BE28" s="25">
        <v>0</v>
      </c>
      <c r="BF28" s="25">
        <f>28</f>
        <v>28</v>
      </c>
      <c r="BH28" s="25">
        <f>F28*AO28</f>
        <v>0</v>
      </c>
      <c r="BI28" s="25">
        <f>F28*AP28</f>
        <v>0</v>
      </c>
      <c r="BJ28" s="25">
        <f>F28*G28</f>
        <v>0</v>
      </c>
      <c r="BK28" s="27" t="s">
        <v>61</v>
      </c>
      <c r="BL28" s="25">
        <v>12</v>
      </c>
      <c r="BW28" s="25">
        <v>21</v>
      </c>
      <c r="BX28" s="5" t="s">
        <v>98</v>
      </c>
    </row>
    <row r="29" spans="1:76" ht="13.5" customHeight="1" x14ac:dyDescent="0.25">
      <c r="A29" s="28"/>
      <c r="B29" s="29" t="s">
        <v>62</v>
      </c>
      <c r="C29" s="96" t="s">
        <v>100</v>
      </c>
      <c r="D29" s="97"/>
      <c r="E29" s="97"/>
      <c r="F29" s="97"/>
      <c r="G29" s="97"/>
      <c r="H29" s="97"/>
      <c r="I29" s="97"/>
      <c r="J29" s="97"/>
      <c r="K29" s="98"/>
    </row>
    <row r="30" spans="1:76" x14ac:dyDescent="0.25">
      <c r="A30" s="2" t="s">
        <v>95</v>
      </c>
      <c r="B30" s="3" t="s">
        <v>101</v>
      </c>
      <c r="C30" s="80" t="s">
        <v>102</v>
      </c>
      <c r="D30" s="75"/>
      <c r="E30" s="3" t="s">
        <v>94</v>
      </c>
      <c r="F30" s="25">
        <v>6.8</v>
      </c>
      <c r="G30" s="25">
        <v>0</v>
      </c>
      <c r="H30" s="25">
        <f>ROUND(F30*AO30,2)</f>
        <v>0</v>
      </c>
      <c r="I30" s="25">
        <f>ROUND(F30*AP30,2)</f>
        <v>0</v>
      </c>
      <c r="J30" s="25">
        <f>ROUND(F30*G30,2)</f>
        <v>0</v>
      </c>
      <c r="K30" s="26" t="s">
        <v>57</v>
      </c>
      <c r="Z30" s="25">
        <f>ROUND(IF(AQ30="5",BJ30,0),2)</f>
        <v>0</v>
      </c>
      <c r="AB30" s="25">
        <f>ROUND(IF(AQ30="1",BH30,0),2)</f>
        <v>0</v>
      </c>
      <c r="AC30" s="25">
        <f>ROUND(IF(AQ30="1",BI30,0),2)</f>
        <v>0</v>
      </c>
      <c r="AD30" s="25">
        <f>ROUND(IF(AQ30="7",BH30,0),2)</f>
        <v>0</v>
      </c>
      <c r="AE30" s="25">
        <f>ROUND(IF(AQ30="7",BI30,0),2)</f>
        <v>0</v>
      </c>
      <c r="AF30" s="25">
        <f>ROUND(IF(AQ30="2",BH30,0),2)</f>
        <v>0</v>
      </c>
      <c r="AG30" s="25">
        <f>ROUND(IF(AQ30="2",BI30,0),2)</f>
        <v>0</v>
      </c>
      <c r="AH30" s="25">
        <f>ROUND(IF(AQ30="0",BJ30,0),2)</f>
        <v>0</v>
      </c>
      <c r="AI30" s="11" t="s">
        <v>50</v>
      </c>
      <c r="AJ30" s="25">
        <f>IF(AN30=0,J30,0)</f>
        <v>0</v>
      </c>
      <c r="AK30" s="25">
        <f>IF(AN30=12,J30,0)</f>
        <v>0</v>
      </c>
      <c r="AL30" s="25">
        <f>IF(AN30=21,J30,0)</f>
        <v>0</v>
      </c>
      <c r="AN30" s="25">
        <v>21</v>
      </c>
      <c r="AO30" s="25">
        <f>G30*0</f>
        <v>0</v>
      </c>
      <c r="AP30" s="25">
        <f>G30*(1-0)</f>
        <v>0</v>
      </c>
      <c r="AQ30" s="27" t="s">
        <v>53</v>
      </c>
      <c r="AV30" s="25">
        <f>ROUND(AW30+AX30,2)</f>
        <v>0</v>
      </c>
      <c r="AW30" s="25">
        <f>ROUND(F30*AO30,2)</f>
        <v>0</v>
      </c>
      <c r="AX30" s="25">
        <f>ROUND(F30*AP30,2)</f>
        <v>0</v>
      </c>
      <c r="AY30" s="27" t="s">
        <v>99</v>
      </c>
      <c r="AZ30" s="27" t="s">
        <v>59</v>
      </c>
      <c r="BA30" s="11" t="s">
        <v>60</v>
      </c>
      <c r="BC30" s="25">
        <f>AW30+AX30</f>
        <v>0</v>
      </c>
      <c r="BD30" s="25">
        <f>G30/(100-BE30)*100</f>
        <v>0</v>
      </c>
      <c r="BE30" s="25">
        <v>0</v>
      </c>
      <c r="BF30" s="25">
        <f>30</f>
        <v>30</v>
      </c>
      <c r="BH30" s="25">
        <f>F30*AO30</f>
        <v>0</v>
      </c>
      <c r="BI30" s="25">
        <f>F30*AP30</f>
        <v>0</v>
      </c>
      <c r="BJ30" s="25">
        <f>F30*G30</f>
        <v>0</v>
      </c>
      <c r="BK30" s="27" t="s">
        <v>61</v>
      </c>
      <c r="BL30" s="25">
        <v>12</v>
      </c>
      <c r="BW30" s="25">
        <v>21</v>
      </c>
      <c r="BX30" s="5" t="s">
        <v>102</v>
      </c>
    </row>
    <row r="31" spans="1:76" x14ac:dyDescent="0.25">
      <c r="A31" s="30" t="s">
        <v>50</v>
      </c>
      <c r="B31" s="31" t="s">
        <v>103</v>
      </c>
      <c r="C31" s="99" t="s">
        <v>104</v>
      </c>
      <c r="D31" s="100"/>
      <c r="E31" s="32" t="s">
        <v>4</v>
      </c>
      <c r="F31" s="32" t="s">
        <v>4</v>
      </c>
      <c r="G31" s="32" t="s">
        <v>4</v>
      </c>
      <c r="H31" s="1">
        <f>SUM(H32:H34)</f>
        <v>0</v>
      </c>
      <c r="I31" s="1">
        <f>SUM(I32:I34)</f>
        <v>0</v>
      </c>
      <c r="J31" s="1">
        <f>SUM(J32:J34)</f>
        <v>0</v>
      </c>
      <c r="K31" s="33" t="s">
        <v>50</v>
      </c>
      <c r="AI31" s="11" t="s">
        <v>50</v>
      </c>
      <c r="AS31" s="1">
        <f>SUM(AJ32:AJ34)</f>
        <v>0</v>
      </c>
      <c r="AT31" s="1">
        <f>SUM(AK32:AK34)</f>
        <v>0</v>
      </c>
      <c r="AU31" s="1">
        <f>SUM(AL32:AL34)</f>
        <v>0</v>
      </c>
    </row>
    <row r="32" spans="1:76" x14ac:dyDescent="0.25">
      <c r="A32" s="2" t="s">
        <v>103</v>
      </c>
      <c r="B32" s="3" t="s">
        <v>105</v>
      </c>
      <c r="C32" s="80" t="s">
        <v>106</v>
      </c>
      <c r="D32" s="75"/>
      <c r="E32" s="3" t="s">
        <v>94</v>
      </c>
      <c r="F32" s="25">
        <v>9.5</v>
      </c>
      <c r="G32" s="25">
        <v>0</v>
      </c>
      <c r="H32" s="25">
        <f>ROUND(F32*AO32,2)</f>
        <v>0</v>
      </c>
      <c r="I32" s="25">
        <f>ROUND(F32*AP32,2)</f>
        <v>0</v>
      </c>
      <c r="J32" s="25">
        <f>ROUND(F32*G32,2)</f>
        <v>0</v>
      </c>
      <c r="K32" s="26" t="s">
        <v>57</v>
      </c>
      <c r="Z32" s="25">
        <f>ROUND(IF(AQ32="5",BJ32,0),2)</f>
        <v>0</v>
      </c>
      <c r="AB32" s="25">
        <f>ROUND(IF(AQ32="1",BH32,0),2)</f>
        <v>0</v>
      </c>
      <c r="AC32" s="25">
        <f>ROUND(IF(AQ32="1",BI32,0),2)</f>
        <v>0</v>
      </c>
      <c r="AD32" s="25">
        <f>ROUND(IF(AQ32="7",BH32,0),2)</f>
        <v>0</v>
      </c>
      <c r="AE32" s="25">
        <f>ROUND(IF(AQ32="7",BI32,0),2)</f>
        <v>0</v>
      </c>
      <c r="AF32" s="25">
        <f>ROUND(IF(AQ32="2",BH32,0),2)</f>
        <v>0</v>
      </c>
      <c r="AG32" s="25">
        <f>ROUND(IF(AQ32="2",BI32,0),2)</f>
        <v>0</v>
      </c>
      <c r="AH32" s="25">
        <f>ROUND(IF(AQ32="0",BJ32,0),2)</f>
        <v>0</v>
      </c>
      <c r="AI32" s="11" t="s">
        <v>50</v>
      </c>
      <c r="AJ32" s="25">
        <f>IF(AN32=0,J32,0)</f>
        <v>0</v>
      </c>
      <c r="AK32" s="25">
        <f>IF(AN32=12,J32,0)</f>
        <v>0</v>
      </c>
      <c r="AL32" s="25">
        <f>IF(AN32=21,J32,0)</f>
        <v>0</v>
      </c>
      <c r="AN32" s="25">
        <v>21</v>
      </c>
      <c r="AO32" s="25">
        <f>G32*0</f>
        <v>0</v>
      </c>
      <c r="AP32" s="25">
        <f>G32*(1-0)</f>
        <v>0</v>
      </c>
      <c r="AQ32" s="27" t="s">
        <v>53</v>
      </c>
      <c r="AV32" s="25">
        <f>ROUND(AW32+AX32,2)</f>
        <v>0</v>
      </c>
      <c r="AW32" s="25">
        <f>ROUND(F32*AO32,2)</f>
        <v>0</v>
      </c>
      <c r="AX32" s="25">
        <f>ROUND(F32*AP32,2)</f>
        <v>0</v>
      </c>
      <c r="AY32" s="27" t="s">
        <v>107</v>
      </c>
      <c r="AZ32" s="27" t="s">
        <v>59</v>
      </c>
      <c r="BA32" s="11" t="s">
        <v>60</v>
      </c>
      <c r="BC32" s="25">
        <f>AW32+AX32</f>
        <v>0</v>
      </c>
      <c r="BD32" s="25">
        <f>G32/(100-BE32)*100</f>
        <v>0</v>
      </c>
      <c r="BE32" s="25">
        <v>0</v>
      </c>
      <c r="BF32" s="25">
        <f>32</f>
        <v>32</v>
      </c>
      <c r="BH32" s="25">
        <f>F32*AO32</f>
        <v>0</v>
      </c>
      <c r="BI32" s="25">
        <f>F32*AP32</f>
        <v>0</v>
      </c>
      <c r="BJ32" s="25">
        <f>F32*G32</f>
        <v>0</v>
      </c>
      <c r="BK32" s="27" t="s">
        <v>61</v>
      </c>
      <c r="BL32" s="25">
        <v>13</v>
      </c>
      <c r="BW32" s="25">
        <v>21</v>
      </c>
      <c r="BX32" s="5" t="s">
        <v>106</v>
      </c>
    </row>
    <row r="33" spans="1:76" ht="13.5" customHeight="1" x14ac:dyDescent="0.25">
      <c r="A33" s="28"/>
      <c r="B33" s="29" t="s">
        <v>62</v>
      </c>
      <c r="C33" s="96" t="s">
        <v>108</v>
      </c>
      <c r="D33" s="97"/>
      <c r="E33" s="97"/>
      <c r="F33" s="97"/>
      <c r="G33" s="97"/>
      <c r="H33" s="97"/>
      <c r="I33" s="97"/>
      <c r="J33" s="97"/>
      <c r="K33" s="98"/>
    </row>
    <row r="34" spans="1:76" x14ac:dyDescent="0.25">
      <c r="A34" s="2" t="s">
        <v>109</v>
      </c>
      <c r="B34" s="3" t="s">
        <v>85</v>
      </c>
      <c r="C34" s="80" t="s">
        <v>110</v>
      </c>
      <c r="D34" s="75"/>
      <c r="E34" s="3" t="s">
        <v>111</v>
      </c>
      <c r="F34" s="25">
        <v>1</v>
      </c>
      <c r="G34" s="25">
        <v>0</v>
      </c>
      <c r="H34" s="25">
        <f>ROUND(F34*AO34,2)</f>
        <v>0</v>
      </c>
      <c r="I34" s="25">
        <f>ROUND(F34*AP34,2)</f>
        <v>0</v>
      </c>
      <c r="J34" s="25">
        <f>ROUND(F34*G34,2)</f>
        <v>0</v>
      </c>
      <c r="K34" s="26" t="s">
        <v>50</v>
      </c>
      <c r="Z34" s="25">
        <f>ROUND(IF(AQ34="5",BJ34,0),2)</f>
        <v>0</v>
      </c>
      <c r="AB34" s="25">
        <f>ROUND(IF(AQ34="1",BH34,0),2)</f>
        <v>0</v>
      </c>
      <c r="AC34" s="25">
        <f>ROUND(IF(AQ34="1",BI34,0),2)</f>
        <v>0</v>
      </c>
      <c r="AD34" s="25">
        <f>ROUND(IF(AQ34="7",BH34,0),2)</f>
        <v>0</v>
      </c>
      <c r="AE34" s="25">
        <f>ROUND(IF(AQ34="7",BI34,0),2)</f>
        <v>0</v>
      </c>
      <c r="AF34" s="25">
        <f>ROUND(IF(AQ34="2",BH34,0),2)</f>
        <v>0</v>
      </c>
      <c r="AG34" s="25">
        <f>ROUND(IF(AQ34="2",BI34,0),2)</f>
        <v>0</v>
      </c>
      <c r="AH34" s="25">
        <f>ROUND(IF(AQ34="0",BJ34,0),2)</f>
        <v>0</v>
      </c>
      <c r="AI34" s="11" t="s">
        <v>50</v>
      </c>
      <c r="AJ34" s="25">
        <f>IF(AN34=0,J34,0)</f>
        <v>0</v>
      </c>
      <c r="AK34" s="25">
        <f>IF(AN34=12,J34,0)</f>
        <v>0</v>
      </c>
      <c r="AL34" s="25">
        <f>IF(AN34=21,J34,0)</f>
        <v>0</v>
      </c>
      <c r="AN34" s="25">
        <v>21</v>
      </c>
      <c r="AO34" s="25">
        <f>G34*0</f>
        <v>0</v>
      </c>
      <c r="AP34" s="25">
        <f>G34*(1-0)</f>
        <v>0</v>
      </c>
      <c r="AQ34" s="27" t="s">
        <v>53</v>
      </c>
      <c r="AV34" s="25">
        <f>ROUND(AW34+AX34,2)</f>
        <v>0</v>
      </c>
      <c r="AW34" s="25">
        <f>ROUND(F34*AO34,2)</f>
        <v>0</v>
      </c>
      <c r="AX34" s="25">
        <f>ROUND(F34*AP34,2)</f>
        <v>0</v>
      </c>
      <c r="AY34" s="27" t="s">
        <v>107</v>
      </c>
      <c r="AZ34" s="27" t="s">
        <v>59</v>
      </c>
      <c r="BA34" s="11" t="s">
        <v>60</v>
      </c>
      <c r="BC34" s="25">
        <f>AW34+AX34</f>
        <v>0</v>
      </c>
      <c r="BD34" s="25">
        <f>G34/(100-BE34)*100</f>
        <v>0</v>
      </c>
      <c r="BE34" s="25">
        <v>0</v>
      </c>
      <c r="BF34" s="25">
        <f>34</f>
        <v>34</v>
      </c>
      <c r="BH34" s="25">
        <f>F34*AO34</f>
        <v>0</v>
      </c>
      <c r="BI34" s="25">
        <f>F34*AP34</f>
        <v>0</v>
      </c>
      <c r="BJ34" s="25">
        <f>F34*G34</f>
        <v>0</v>
      </c>
      <c r="BK34" s="27" t="s">
        <v>61</v>
      </c>
      <c r="BL34" s="25">
        <v>13</v>
      </c>
      <c r="BW34" s="25">
        <v>21</v>
      </c>
      <c r="BX34" s="5" t="s">
        <v>110</v>
      </c>
    </row>
    <row r="35" spans="1:76" x14ac:dyDescent="0.25">
      <c r="A35" s="30" t="s">
        <v>50</v>
      </c>
      <c r="B35" s="31" t="s">
        <v>112</v>
      </c>
      <c r="C35" s="99" t="s">
        <v>113</v>
      </c>
      <c r="D35" s="100"/>
      <c r="E35" s="32" t="s">
        <v>4</v>
      </c>
      <c r="F35" s="32" t="s">
        <v>4</v>
      </c>
      <c r="G35" s="32" t="s">
        <v>4</v>
      </c>
      <c r="H35" s="1">
        <f>SUM(H36:H40)</f>
        <v>0</v>
      </c>
      <c r="I35" s="1">
        <f>SUM(I36:I40)</f>
        <v>0</v>
      </c>
      <c r="J35" s="1">
        <f>SUM(J36:J40)</f>
        <v>0</v>
      </c>
      <c r="K35" s="33" t="s">
        <v>50</v>
      </c>
      <c r="AI35" s="11" t="s">
        <v>50</v>
      </c>
      <c r="AS35" s="1">
        <f>SUM(AJ36:AJ40)</f>
        <v>0</v>
      </c>
      <c r="AT35" s="1">
        <f>SUM(AK36:AK40)</f>
        <v>0</v>
      </c>
      <c r="AU35" s="1">
        <f>SUM(AL36:AL40)</f>
        <v>0</v>
      </c>
    </row>
    <row r="36" spans="1:76" x14ac:dyDescent="0.25">
      <c r="A36" s="2" t="s">
        <v>114</v>
      </c>
      <c r="B36" s="3" t="s">
        <v>115</v>
      </c>
      <c r="C36" s="80" t="s">
        <v>116</v>
      </c>
      <c r="D36" s="75"/>
      <c r="E36" s="3" t="s">
        <v>94</v>
      </c>
      <c r="F36" s="25">
        <v>9.5</v>
      </c>
      <c r="G36" s="25">
        <v>0</v>
      </c>
      <c r="H36" s="25">
        <f>ROUND(F36*AO36,2)</f>
        <v>0</v>
      </c>
      <c r="I36" s="25">
        <f>ROUND(F36*AP36,2)</f>
        <v>0</v>
      </c>
      <c r="J36" s="25">
        <f>ROUND(F36*G36,2)</f>
        <v>0</v>
      </c>
      <c r="K36" s="26" t="s">
        <v>57</v>
      </c>
      <c r="Z36" s="25">
        <f>ROUND(IF(AQ36="5",BJ36,0),2)</f>
        <v>0</v>
      </c>
      <c r="AB36" s="25">
        <f>ROUND(IF(AQ36="1",BH36,0),2)</f>
        <v>0</v>
      </c>
      <c r="AC36" s="25">
        <f>ROUND(IF(AQ36="1",BI36,0),2)</f>
        <v>0</v>
      </c>
      <c r="AD36" s="25">
        <f>ROUND(IF(AQ36="7",BH36,0),2)</f>
        <v>0</v>
      </c>
      <c r="AE36" s="25">
        <f>ROUND(IF(AQ36="7",BI36,0),2)</f>
        <v>0</v>
      </c>
      <c r="AF36" s="25">
        <f>ROUND(IF(AQ36="2",BH36,0),2)</f>
        <v>0</v>
      </c>
      <c r="AG36" s="25">
        <f>ROUND(IF(AQ36="2",BI36,0),2)</f>
        <v>0</v>
      </c>
      <c r="AH36" s="25">
        <f>ROUND(IF(AQ36="0",BJ36,0),2)</f>
        <v>0</v>
      </c>
      <c r="AI36" s="11" t="s">
        <v>50</v>
      </c>
      <c r="AJ36" s="25">
        <f>IF(AN36=0,J36,0)</f>
        <v>0</v>
      </c>
      <c r="AK36" s="25">
        <f>IF(AN36=12,J36,0)</f>
        <v>0</v>
      </c>
      <c r="AL36" s="25">
        <f>IF(AN36=21,J36,0)</f>
        <v>0</v>
      </c>
      <c r="AN36" s="25">
        <v>21</v>
      </c>
      <c r="AO36" s="25">
        <f>G36*0</f>
        <v>0</v>
      </c>
      <c r="AP36" s="25">
        <f>G36*(1-0)</f>
        <v>0</v>
      </c>
      <c r="AQ36" s="27" t="s">
        <v>53</v>
      </c>
      <c r="AV36" s="25">
        <f>ROUND(AW36+AX36,2)</f>
        <v>0</v>
      </c>
      <c r="AW36" s="25">
        <f>ROUND(F36*AO36,2)</f>
        <v>0</v>
      </c>
      <c r="AX36" s="25">
        <f>ROUND(F36*AP36,2)</f>
        <v>0</v>
      </c>
      <c r="AY36" s="27" t="s">
        <v>117</v>
      </c>
      <c r="AZ36" s="27" t="s">
        <v>59</v>
      </c>
      <c r="BA36" s="11" t="s">
        <v>60</v>
      </c>
      <c r="BC36" s="25">
        <f>AW36+AX36</f>
        <v>0</v>
      </c>
      <c r="BD36" s="25">
        <f>G36/(100-BE36)*100</f>
        <v>0</v>
      </c>
      <c r="BE36" s="25">
        <v>0</v>
      </c>
      <c r="BF36" s="25">
        <f>36</f>
        <v>36</v>
      </c>
      <c r="BH36" s="25">
        <f>F36*AO36</f>
        <v>0</v>
      </c>
      <c r="BI36" s="25">
        <f>F36*AP36</f>
        <v>0</v>
      </c>
      <c r="BJ36" s="25">
        <f>F36*G36</f>
        <v>0</v>
      </c>
      <c r="BK36" s="27" t="s">
        <v>61</v>
      </c>
      <c r="BL36" s="25">
        <v>18</v>
      </c>
      <c r="BW36" s="25">
        <v>21</v>
      </c>
      <c r="BX36" s="5" t="s">
        <v>116</v>
      </c>
    </row>
    <row r="37" spans="1:76" x14ac:dyDescent="0.25">
      <c r="A37" s="2" t="s">
        <v>118</v>
      </c>
      <c r="B37" s="3" t="s">
        <v>119</v>
      </c>
      <c r="C37" s="80" t="s">
        <v>120</v>
      </c>
      <c r="D37" s="75"/>
      <c r="E37" s="3" t="s">
        <v>56</v>
      </c>
      <c r="F37" s="25">
        <v>360</v>
      </c>
      <c r="G37" s="25">
        <v>0</v>
      </c>
      <c r="H37" s="25">
        <f>ROUND(F37*AO37,2)</f>
        <v>0</v>
      </c>
      <c r="I37" s="25">
        <f>ROUND(F37*AP37,2)</f>
        <v>0</v>
      </c>
      <c r="J37" s="25">
        <f>ROUND(F37*G37,2)</f>
        <v>0</v>
      </c>
      <c r="K37" s="26" t="s">
        <v>57</v>
      </c>
      <c r="Z37" s="25">
        <f>ROUND(IF(AQ37="5",BJ37,0),2)</f>
        <v>0</v>
      </c>
      <c r="AB37" s="25">
        <f>ROUND(IF(AQ37="1",BH37,0),2)</f>
        <v>0</v>
      </c>
      <c r="AC37" s="25">
        <f>ROUND(IF(AQ37="1",BI37,0),2)</f>
        <v>0</v>
      </c>
      <c r="AD37" s="25">
        <f>ROUND(IF(AQ37="7",BH37,0),2)</f>
        <v>0</v>
      </c>
      <c r="AE37" s="25">
        <f>ROUND(IF(AQ37="7",BI37,0),2)</f>
        <v>0</v>
      </c>
      <c r="AF37" s="25">
        <f>ROUND(IF(AQ37="2",BH37,0),2)</f>
        <v>0</v>
      </c>
      <c r="AG37" s="25">
        <f>ROUND(IF(AQ37="2",BI37,0),2)</f>
        <v>0</v>
      </c>
      <c r="AH37" s="25">
        <f>ROUND(IF(AQ37="0",BJ37,0),2)</f>
        <v>0</v>
      </c>
      <c r="AI37" s="11" t="s">
        <v>50</v>
      </c>
      <c r="AJ37" s="25">
        <f>IF(AN37=0,J37,0)</f>
        <v>0</v>
      </c>
      <c r="AK37" s="25">
        <f>IF(AN37=12,J37,0)</f>
        <v>0</v>
      </c>
      <c r="AL37" s="25">
        <f>IF(AN37=21,J37,0)</f>
        <v>0</v>
      </c>
      <c r="AN37" s="25">
        <v>21</v>
      </c>
      <c r="AO37" s="25">
        <f>G37*0.178571429</f>
        <v>0</v>
      </c>
      <c r="AP37" s="25">
        <f>G37*(1-0.178571429)</f>
        <v>0</v>
      </c>
      <c r="AQ37" s="27" t="s">
        <v>53</v>
      </c>
      <c r="AV37" s="25">
        <f>ROUND(AW37+AX37,2)</f>
        <v>0</v>
      </c>
      <c r="AW37" s="25">
        <f>ROUND(F37*AO37,2)</f>
        <v>0</v>
      </c>
      <c r="AX37" s="25">
        <f>ROUND(F37*AP37,2)</f>
        <v>0</v>
      </c>
      <c r="AY37" s="27" t="s">
        <v>117</v>
      </c>
      <c r="AZ37" s="27" t="s">
        <v>59</v>
      </c>
      <c r="BA37" s="11" t="s">
        <v>60</v>
      </c>
      <c r="BC37" s="25">
        <f>AW37+AX37</f>
        <v>0</v>
      </c>
      <c r="BD37" s="25">
        <f>G37/(100-BE37)*100</f>
        <v>0</v>
      </c>
      <c r="BE37" s="25">
        <v>0</v>
      </c>
      <c r="BF37" s="25">
        <f>37</f>
        <v>37</v>
      </c>
      <c r="BH37" s="25">
        <f>F37*AO37</f>
        <v>0</v>
      </c>
      <c r="BI37" s="25">
        <f>F37*AP37</f>
        <v>0</v>
      </c>
      <c r="BJ37" s="25">
        <f>F37*G37</f>
        <v>0</v>
      </c>
      <c r="BK37" s="27" t="s">
        <v>61</v>
      </c>
      <c r="BL37" s="25">
        <v>18</v>
      </c>
      <c r="BW37" s="25">
        <v>21</v>
      </c>
      <c r="BX37" s="5" t="s">
        <v>120</v>
      </c>
    </row>
    <row r="38" spans="1:76" x14ac:dyDescent="0.25">
      <c r="A38" s="2" t="s">
        <v>121</v>
      </c>
      <c r="B38" s="3" t="s">
        <v>122</v>
      </c>
      <c r="C38" s="80" t="s">
        <v>123</v>
      </c>
      <c r="D38" s="75"/>
      <c r="E38" s="3" t="s">
        <v>124</v>
      </c>
      <c r="F38" s="25">
        <v>3600</v>
      </c>
      <c r="G38" s="25">
        <v>0</v>
      </c>
      <c r="H38" s="25">
        <f>ROUND(F38*AO38,2)</f>
        <v>0</v>
      </c>
      <c r="I38" s="25">
        <f>ROUND(F38*AP38,2)</f>
        <v>0</v>
      </c>
      <c r="J38" s="25">
        <f>ROUND(F38*G38,2)</f>
        <v>0</v>
      </c>
      <c r="K38" s="26" t="s">
        <v>57</v>
      </c>
      <c r="Z38" s="25">
        <f>ROUND(IF(AQ38="5",BJ38,0),2)</f>
        <v>0</v>
      </c>
      <c r="AB38" s="25">
        <f>ROUND(IF(AQ38="1",BH38,0),2)</f>
        <v>0</v>
      </c>
      <c r="AC38" s="25">
        <f>ROUND(IF(AQ38="1",BI38,0),2)</f>
        <v>0</v>
      </c>
      <c r="AD38" s="25">
        <f>ROUND(IF(AQ38="7",BH38,0),2)</f>
        <v>0</v>
      </c>
      <c r="AE38" s="25">
        <f>ROUND(IF(AQ38="7",BI38,0),2)</f>
        <v>0</v>
      </c>
      <c r="AF38" s="25">
        <f>ROUND(IF(AQ38="2",BH38,0),2)</f>
        <v>0</v>
      </c>
      <c r="AG38" s="25">
        <f>ROUND(IF(AQ38="2",BI38,0),2)</f>
        <v>0</v>
      </c>
      <c r="AH38" s="25">
        <f>ROUND(IF(AQ38="0",BJ38,0),2)</f>
        <v>0</v>
      </c>
      <c r="AI38" s="11" t="s">
        <v>50</v>
      </c>
      <c r="AJ38" s="25">
        <f>IF(AN38=0,J38,0)</f>
        <v>0</v>
      </c>
      <c r="AK38" s="25">
        <f>IF(AN38=12,J38,0)</f>
        <v>0</v>
      </c>
      <c r="AL38" s="25">
        <f>IF(AN38=21,J38,0)</f>
        <v>0</v>
      </c>
      <c r="AN38" s="25">
        <v>21</v>
      </c>
      <c r="AO38" s="25">
        <f>G38*1</f>
        <v>0</v>
      </c>
      <c r="AP38" s="25">
        <f>G38*(1-1)</f>
        <v>0</v>
      </c>
      <c r="AQ38" s="27" t="s">
        <v>53</v>
      </c>
      <c r="AV38" s="25">
        <f>ROUND(AW38+AX38,2)</f>
        <v>0</v>
      </c>
      <c r="AW38" s="25">
        <f>ROUND(F38*AO38,2)</f>
        <v>0</v>
      </c>
      <c r="AX38" s="25">
        <f>ROUND(F38*AP38,2)</f>
        <v>0</v>
      </c>
      <c r="AY38" s="27" t="s">
        <v>117</v>
      </c>
      <c r="AZ38" s="27" t="s">
        <v>59</v>
      </c>
      <c r="BA38" s="11" t="s">
        <v>60</v>
      </c>
      <c r="BC38" s="25">
        <f>AW38+AX38</f>
        <v>0</v>
      </c>
      <c r="BD38" s="25">
        <f>G38/(100-BE38)*100</f>
        <v>0</v>
      </c>
      <c r="BE38" s="25">
        <v>0</v>
      </c>
      <c r="BF38" s="25">
        <f>38</f>
        <v>38</v>
      </c>
      <c r="BH38" s="25">
        <f>F38*AO38</f>
        <v>0</v>
      </c>
      <c r="BI38" s="25">
        <f>F38*AP38</f>
        <v>0</v>
      </c>
      <c r="BJ38" s="25">
        <f>F38*G38</f>
        <v>0</v>
      </c>
      <c r="BK38" s="27" t="s">
        <v>125</v>
      </c>
      <c r="BL38" s="25">
        <v>18</v>
      </c>
      <c r="BW38" s="25">
        <v>21</v>
      </c>
      <c r="BX38" s="5" t="s">
        <v>123</v>
      </c>
    </row>
    <row r="39" spans="1:76" x14ac:dyDescent="0.25">
      <c r="A39" s="2" t="s">
        <v>112</v>
      </c>
      <c r="B39" s="3" t="s">
        <v>126</v>
      </c>
      <c r="C39" s="80" t="s">
        <v>127</v>
      </c>
      <c r="D39" s="75"/>
      <c r="E39" s="3" t="s">
        <v>56</v>
      </c>
      <c r="F39" s="25">
        <v>402</v>
      </c>
      <c r="G39" s="25">
        <v>0</v>
      </c>
      <c r="H39" s="25">
        <f>ROUND(F39*AO39,2)</f>
        <v>0</v>
      </c>
      <c r="I39" s="25">
        <f>ROUND(F39*AP39,2)</f>
        <v>0</v>
      </c>
      <c r="J39" s="25">
        <f>ROUND(F39*G39,2)</f>
        <v>0</v>
      </c>
      <c r="K39" s="26" t="s">
        <v>57</v>
      </c>
      <c r="Z39" s="25">
        <f>ROUND(IF(AQ39="5",BJ39,0),2)</f>
        <v>0</v>
      </c>
      <c r="AB39" s="25">
        <f>ROUND(IF(AQ39="1",BH39,0),2)</f>
        <v>0</v>
      </c>
      <c r="AC39" s="25">
        <f>ROUND(IF(AQ39="1",BI39,0),2)</f>
        <v>0</v>
      </c>
      <c r="AD39" s="25">
        <f>ROUND(IF(AQ39="7",BH39,0),2)</f>
        <v>0</v>
      </c>
      <c r="AE39" s="25">
        <f>ROUND(IF(AQ39="7",BI39,0),2)</f>
        <v>0</v>
      </c>
      <c r="AF39" s="25">
        <f>ROUND(IF(AQ39="2",BH39,0),2)</f>
        <v>0</v>
      </c>
      <c r="AG39" s="25">
        <f>ROUND(IF(AQ39="2",BI39,0),2)</f>
        <v>0</v>
      </c>
      <c r="AH39" s="25">
        <f>ROUND(IF(AQ39="0",BJ39,0),2)</f>
        <v>0</v>
      </c>
      <c r="AI39" s="11" t="s">
        <v>50</v>
      </c>
      <c r="AJ39" s="25">
        <f>IF(AN39=0,J39,0)</f>
        <v>0</v>
      </c>
      <c r="AK39" s="25">
        <f>IF(AN39=12,J39,0)</f>
        <v>0</v>
      </c>
      <c r="AL39" s="25">
        <f>IF(AN39=21,J39,0)</f>
        <v>0</v>
      </c>
      <c r="AN39" s="25">
        <v>21</v>
      </c>
      <c r="AO39" s="25">
        <f>G39*0</f>
        <v>0</v>
      </c>
      <c r="AP39" s="25">
        <f>G39*(1-0)</f>
        <v>0</v>
      </c>
      <c r="AQ39" s="27" t="s">
        <v>53</v>
      </c>
      <c r="AV39" s="25">
        <f>ROUND(AW39+AX39,2)</f>
        <v>0</v>
      </c>
      <c r="AW39" s="25">
        <f>ROUND(F39*AO39,2)</f>
        <v>0</v>
      </c>
      <c r="AX39" s="25">
        <f>ROUND(F39*AP39,2)</f>
        <v>0</v>
      </c>
      <c r="AY39" s="27" t="s">
        <v>117</v>
      </c>
      <c r="AZ39" s="27" t="s">
        <v>59</v>
      </c>
      <c r="BA39" s="11" t="s">
        <v>60</v>
      </c>
      <c r="BC39" s="25">
        <f>AW39+AX39</f>
        <v>0</v>
      </c>
      <c r="BD39" s="25">
        <f>G39/(100-BE39)*100</f>
        <v>0</v>
      </c>
      <c r="BE39" s="25">
        <v>0</v>
      </c>
      <c r="BF39" s="25">
        <f>39</f>
        <v>39</v>
      </c>
      <c r="BH39" s="25">
        <f>F39*AO39</f>
        <v>0</v>
      </c>
      <c r="BI39" s="25">
        <f>F39*AP39</f>
        <v>0</v>
      </c>
      <c r="BJ39" s="25">
        <f>F39*G39</f>
        <v>0</v>
      </c>
      <c r="BK39" s="27" t="s">
        <v>61</v>
      </c>
      <c r="BL39" s="25">
        <v>18</v>
      </c>
      <c r="BW39" s="25">
        <v>21</v>
      </c>
      <c r="BX39" s="5" t="s">
        <v>127</v>
      </c>
    </row>
    <row r="40" spans="1:76" x14ac:dyDescent="0.25">
      <c r="A40" s="2" t="s">
        <v>128</v>
      </c>
      <c r="B40" s="3" t="s">
        <v>129</v>
      </c>
      <c r="C40" s="80" t="s">
        <v>130</v>
      </c>
      <c r="D40" s="75"/>
      <c r="E40" s="3" t="s">
        <v>94</v>
      </c>
      <c r="F40" s="25">
        <v>20</v>
      </c>
      <c r="G40" s="25">
        <v>0</v>
      </c>
      <c r="H40" s="25">
        <f>ROUND(F40*AO40,2)</f>
        <v>0</v>
      </c>
      <c r="I40" s="25">
        <f>ROUND(F40*AP40,2)</f>
        <v>0</v>
      </c>
      <c r="J40" s="25">
        <f>ROUND(F40*G40,2)</f>
        <v>0</v>
      </c>
      <c r="K40" s="26" t="s">
        <v>57</v>
      </c>
      <c r="Z40" s="25">
        <f>ROUND(IF(AQ40="5",BJ40,0),2)</f>
        <v>0</v>
      </c>
      <c r="AB40" s="25">
        <f>ROUND(IF(AQ40="1",BH40,0),2)</f>
        <v>0</v>
      </c>
      <c r="AC40" s="25">
        <f>ROUND(IF(AQ40="1",BI40,0),2)</f>
        <v>0</v>
      </c>
      <c r="AD40" s="25">
        <f>ROUND(IF(AQ40="7",BH40,0),2)</f>
        <v>0</v>
      </c>
      <c r="AE40" s="25">
        <f>ROUND(IF(AQ40="7",BI40,0),2)</f>
        <v>0</v>
      </c>
      <c r="AF40" s="25">
        <f>ROUND(IF(AQ40="2",BH40,0),2)</f>
        <v>0</v>
      </c>
      <c r="AG40" s="25">
        <f>ROUND(IF(AQ40="2",BI40,0),2)</f>
        <v>0</v>
      </c>
      <c r="AH40" s="25">
        <f>ROUND(IF(AQ40="0",BJ40,0),2)</f>
        <v>0</v>
      </c>
      <c r="AI40" s="11" t="s">
        <v>50</v>
      </c>
      <c r="AJ40" s="25">
        <f>IF(AN40=0,J40,0)</f>
        <v>0</v>
      </c>
      <c r="AK40" s="25">
        <f>IF(AN40=12,J40,0)</f>
        <v>0</v>
      </c>
      <c r="AL40" s="25">
        <f>IF(AN40=21,J40,0)</f>
        <v>0</v>
      </c>
      <c r="AN40" s="25">
        <v>21</v>
      </c>
      <c r="AO40" s="25">
        <f>G40*0</f>
        <v>0</v>
      </c>
      <c r="AP40" s="25">
        <f>G40*(1-0)</f>
        <v>0</v>
      </c>
      <c r="AQ40" s="27" t="s">
        <v>53</v>
      </c>
      <c r="AV40" s="25">
        <f>ROUND(AW40+AX40,2)</f>
        <v>0</v>
      </c>
      <c r="AW40" s="25">
        <f>ROUND(F40*AO40,2)</f>
        <v>0</v>
      </c>
      <c r="AX40" s="25">
        <f>ROUND(F40*AP40,2)</f>
        <v>0</v>
      </c>
      <c r="AY40" s="27" t="s">
        <v>117</v>
      </c>
      <c r="AZ40" s="27" t="s">
        <v>59</v>
      </c>
      <c r="BA40" s="11" t="s">
        <v>60</v>
      </c>
      <c r="BC40" s="25">
        <f>AW40+AX40</f>
        <v>0</v>
      </c>
      <c r="BD40" s="25">
        <f>G40/(100-BE40)*100</f>
        <v>0</v>
      </c>
      <c r="BE40" s="25">
        <v>0</v>
      </c>
      <c r="BF40" s="25">
        <f>40</f>
        <v>40</v>
      </c>
      <c r="BH40" s="25">
        <f>F40*AO40</f>
        <v>0</v>
      </c>
      <c r="BI40" s="25">
        <f>F40*AP40</f>
        <v>0</v>
      </c>
      <c r="BJ40" s="25">
        <f>F40*G40</f>
        <v>0</v>
      </c>
      <c r="BK40" s="27" t="s">
        <v>61</v>
      </c>
      <c r="BL40" s="25">
        <v>18</v>
      </c>
      <c r="BW40" s="25">
        <v>21</v>
      </c>
      <c r="BX40" s="5" t="s">
        <v>130</v>
      </c>
    </row>
    <row r="41" spans="1:76" x14ac:dyDescent="0.25">
      <c r="A41" s="30" t="s">
        <v>50</v>
      </c>
      <c r="B41" s="31" t="s">
        <v>131</v>
      </c>
      <c r="C41" s="99" t="s">
        <v>132</v>
      </c>
      <c r="D41" s="100"/>
      <c r="E41" s="32" t="s">
        <v>4</v>
      </c>
      <c r="F41" s="32" t="s">
        <v>4</v>
      </c>
      <c r="G41" s="32" t="s">
        <v>4</v>
      </c>
      <c r="H41" s="1">
        <f>SUM(H42:H45)</f>
        <v>0</v>
      </c>
      <c r="I41" s="1">
        <f>SUM(I42:I45)</f>
        <v>0</v>
      </c>
      <c r="J41" s="1">
        <f>SUM(J42:J45)</f>
        <v>0</v>
      </c>
      <c r="K41" s="33" t="s">
        <v>50</v>
      </c>
      <c r="AI41" s="11" t="s">
        <v>50</v>
      </c>
      <c r="AS41" s="1">
        <f>SUM(AJ42:AJ45)</f>
        <v>0</v>
      </c>
      <c r="AT41" s="1">
        <f>SUM(AK42:AK45)</f>
        <v>0</v>
      </c>
      <c r="AU41" s="1">
        <f>SUM(AL42:AL45)</f>
        <v>0</v>
      </c>
    </row>
    <row r="42" spans="1:76" x14ac:dyDescent="0.25">
      <c r="A42" s="2" t="s">
        <v>133</v>
      </c>
      <c r="B42" s="3" t="s">
        <v>134</v>
      </c>
      <c r="C42" s="80" t="s">
        <v>135</v>
      </c>
      <c r="D42" s="75"/>
      <c r="E42" s="3" t="s">
        <v>94</v>
      </c>
      <c r="F42" s="25">
        <v>5</v>
      </c>
      <c r="G42" s="25">
        <v>0</v>
      </c>
      <c r="H42" s="25">
        <f>ROUND(F42*AO42,2)</f>
        <v>0</v>
      </c>
      <c r="I42" s="25">
        <f>ROUND(F42*AP42,2)</f>
        <v>0</v>
      </c>
      <c r="J42" s="25">
        <f>ROUND(F42*G42,2)</f>
        <v>0</v>
      </c>
      <c r="K42" s="26" t="s">
        <v>57</v>
      </c>
      <c r="Z42" s="25">
        <f>ROUND(IF(AQ42="5",BJ42,0),2)</f>
        <v>0</v>
      </c>
      <c r="AB42" s="25">
        <f>ROUND(IF(AQ42="1",BH42,0),2)</f>
        <v>0</v>
      </c>
      <c r="AC42" s="25">
        <f>ROUND(IF(AQ42="1",BI42,0),2)</f>
        <v>0</v>
      </c>
      <c r="AD42" s="25">
        <f>ROUND(IF(AQ42="7",BH42,0),2)</f>
        <v>0</v>
      </c>
      <c r="AE42" s="25">
        <f>ROUND(IF(AQ42="7",BI42,0),2)</f>
        <v>0</v>
      </c>
      <c r="AF42" s="25">
        <f>ROUND(IF(AQ42="2",BH42,0),2)</f>
        <v>0</v>
      </c>
      <c r="AG42" s="25">
        <f>ROUND(IF(AQ42="2",BI42,0),2)</f>
        <v>0</v>
      </c>
      <c r="AH42" s="25">
        <f>ROUND(IF(AQ42="0",BJ42,0),2)</f>
        <v>0</v>
      </c>
      <c r="AI42" s="11" t="s">
        <v>50</v>
      </c>
      <c r="AJ42" s="25">
        <f>IF(AN42=0,J42,0)</f>
        <v>0</v>
      </c>
      <c r="AK42" s="25">
        <f>IF(AN42=12,J42,0)</f>
        <v>0</v>
      </c>
      <c r="AL42" s="25">
        <f>IF(AN42=21,J42,0)</f>
        <v>0</v>
      </c>
      <c r="AN42" s="25">
        <v>21</v>
      </c>
      <c r="AO42" s="25">
        <f>G42*0.883563361</f>
        <v>0</v>
      </c>
      <c r="AP42" s="25">
        <f>G42*(1-0.883563361)</f>
        <v>0</v>
      </c>
      <c r="AQ42" s="27" t="s">
        <v>53</v>
      </c>
      <c r="AV42" s="25">
        <f>ROUND(AW42+AX42,2)</f>
        <v>0</v>
      </c>
      <c r="AW42" s="25">
        <f>ROUND(F42*AO42,2)</f>
        <v>0</v>
      </c>
      <c r="AX42" s="25">
        <f>ROUND(F42*AP42,2)</f>
        <v>0</v>
      </c>
      <c r="AY42" s="27" t="s">
        <v>136</v>
      </c>
      <c r="AZ42" s="27" t="s">
        <v>137</v>
      </c>
      <c r="BA42" s="11" t="s">
        <v>60</v>
      </c>
      <c r="BC42" s="25">
        <f>AW42+AX42</f>
        <v>0</v>
      </c>
      <c r="BD42" s="25">
        <f>G42/(100-BE42)*100</f>
        <v>0</v>
      </c>
      <c r="BE42" s="25">
        <v>0</v>
      </c>
      <c r="BF42" s="25">
        <f>42</f>
        <v>42</v>
      </c>
      <c r="BH42" s="25">
        <f>F42*AO42</f>
        <v>0</v>
      </c>
      <c r="BI42" s="25">
        <f>F42*AP42</f>
        <v>0</v>
      </c>
      <c r="BJ42" s="25">
        <f>F42*G42</f>
        <v>0</v>
      </c>
      <c r="BK42" s="27" t="s">
        <v>61</v>
      </c>
      <c r="BL42" s="25">
        <v>27</v>
      </c>
      <c r="BW42" s="25">
        <v>21</v>
      </c>
      <c r="BX42" s="5" t="s">
        <v>135</v>
      </c>
    </row>
    <row r="43" spans="1:76" x14ac:dyDescent="0.25">
      <c r="A43" s="2" t="s">
        <v>138</v>
      </c>
      <c r="B43" s="3" t="s">
        <v>139</v>
      </c>
      <c r="C43" s="80" t="s">
        <v>140</v>
      </c>
      <c r="D43" s="75"/>
      <c r="E43" s="3" t="s">
        <v>94</v>
      </c>
      <c r="F43" s="25">
        <v>2.1379999999999999</v>
      </c>
      <c r="G43" s="25">
        <v>0</v>
      </c>
      <c r="H43" s="25">
        <f>ROUND(F43*AO43,2)</f>
        <v>0</v>
      </c>
      <c r="I43" s="25">
        <f>ROUND(F43*AP43,2)</f>
        <v>0</v>
      </c>
      <c r="J43" s="25">
        <f>ROUND(F43*G43,2)</f>
        <v>0</v>
      </c>
      <c r="K43" s="26" t="s">
        <v>57</v>
      </c>
      <c r="Z43" s="25">
        <f>ROUND(IF(AQ43="5",BJ43,0),2)</f>
        <v>0</v>
      </c>
      <c r="AB43" s="25">
        <f>ROUND(IF(AQ43="1",BH43,0),2)</f>
        <v>0</v>
      </c>
      <c r="AC43" s="25">
        <f>ROUND(IF(AQ43="1",BI43,0),2)</f>
        <v>0</v>
      </c>
      <c r="AD43" s="25">
        <f>ROUND(IF(AQ43="7",BH43,0),2)</f>
        <v>0</v>
      </c>
      <c r="AE43" s="25">
        <f>ROUND(IF(AQ43="7",BI43,0),2)</f>
        <v>0</v>
      </c>
      <c r="AF43" s="25">
        <f>ROUND(IF(AQ43="2",BH43,0),2)</f>
        <v>0</v>
      </c>
      <c r="AG43" s="25">
        <f>ROUND(IF(AQ43="2",BI43,0),2)</f>
        <v>0</v>
      </c>
      <c r="AH43" s="25">
        <f>ROUND(IF(AQ43="0",BJ43,0),2)</f>
        <v>0</v>
      </c>
      <c r="AI43" s="11" t="s">
        <v>50</v>
      </c>
      <c r="AJ43" s="25">
        <f>IF(AN43=0,J43,0)</f>
        <v>0</v>
      </c>
      <c r="AK43" s="25">
        <f>IF(AN43=12,J43,0)</f>
        <v>0</v>
      </c>
      <c r="AL43" s="25">
        <f>IF(AN43=21,J43,0)</f>
        <v>0</v>
      </c>
      <c r="AN43" s="25">
        <v>21</v>
      </c>
      <c r="AO43" s="25">
        <f>G43*0.883084014</f>
        <v>0</v>
      </c>
      <c r="AP43" s="25">
        <f>G43*(1-0.883084014)</f>
        <v>0</v>
      </c>
      <c r="AQ43" s="27" t="s">
        <v>53</v>
      </c>
      <c r="AV43" s="25">
        <f>ROUND(AW43+AX43,2)</f>
        <v>0</v>
      </c>
      <c r="AW43" s="25">
        <f>ROUND(F43*AO43,2)</f>
        <v>0</v>
      </c>
      <c r="AX43" s="25">
        <f>ROUND(F43*AP43,2)</f>
        <v>0</v>
      </c>
      <c r="AY43" s="27" t="s">
        <v>136</v>
      </c>
      <c r="AZ43" s="27" t="s">
        <v>137</v>
      </c>
      <c r="BA43" s="11" t="s">
        <v>60</v>
      </c>
      <c r="BC43" s="25">
        <f>AW43+AX43</f>
        <v>0</v>
      </c>
      <c r="BD43" s="25">
        <f>G43/(100-BE43)*100</f>
        <v>0</v>
      </c>
      <c r="BE43" s="25">
        <v>0</v>
      </c>
      <c r="BF43" s="25">
        <f>43</f>
        <v>43</v>
      </c>
      <c r="BH43" s="25">
        <f>F43*AO43</f>
        <v>0</v>
      </c>
      <c r="BI43" s="25">
        <f>F43*AP43</f>
        <v>0</v>
      </c>
      <c r="BJ43" s="25">
        <f>F43*G43</f>
        <v>0</v>
      </c>
      <c r="BK43" s="27" t="s">
        <v>61</v>
      </c>
      <c r="BL43" s="25">
        <v>27</v>
      </c>
      <c r="BW43" s="25">
        <v>21</v>
      </c>
      <c r="BX43" s="5" t="s">
        <v>140</v>
      </c>
    </row>
    <row r="44" spans="1:76" x14ac:dyDescent="0.25">
      <c r="A44" s="2" t="s">
        <v>141</v>
      </c>
      <c r="B44" s="3" t="s">
        <v>142</v>
      </c>
      <c r="C44" s="80" t="s">
        <v>143</v>
      </c>
      <c r="D44" s="75"/>
      <c r="E44" s="3" t="s">
        <v>144</v>
      </c>
      <c r="F44" s="25">
        <v>0.2</v>
      </c>
      <c r="G44" s="25">
        <v>0</v>
      </c>
      <c r="H44" s="25">
        <f>ROUND(F44*AO44,2)</f>
        <v>0</v>
      </c>
      <c r="I44" s="25">
        <f>ROUND(F44*AP44,2)</f>
        <v>0</v>
      </c>
      <c r="J44" s="25">
        <f>ROUND(F44*G44,2)</f>
        <v>0</v>
      </c>
      <c r="K44" s="26" t="s">
        <v>57</v>
      </c>
      <c r="Z44" s="25">
        <f>ROUND(IF(AQ44="5",BJ44,0),2)</f>
        <v>0</v>
      </c>
      <c r="AB44" s="25">
        <f>ROUND(IF(AQ44="1",BH44,0),2)</f>
        <v>0</v>
      </c>
      <c r="AC44" s="25">
        <f>ROUND(IF(AQ44="1",BI44,0),2)</f>
        <v>0</v>
      </c>
      <c r="AD44" s="25">
        <f>ROUND(IF(AQ44="7",BH44,0),2)</f>
        <v>0</v>
      </c>
      <c r="AE44" s="25">
        <f>ROUND(IF(AQ44="7",BI44,0),2)</f>
        <v>0</v>
      </c>
      <c r="AF44" s="25">
        <f>ROUND(IF(AQ44="2",BH44,0),2)</f>
        <v>0</v>
      </c>
      <c r="AG44" s="25">
        <f>ROUND(IF(AQ44="2",BI44,0),2)</f>
        <v>0</v>
      </c>
      <c r="AH44" s="25">
        <f>ROUND(IF(AQ44="0",BJ44,0),2)</f>
        <v>0</v>
      </c>
      <c r="AI44" s="11" t="s">
        <v>50</v>
      </c>
      <c r="AJ44" s="25">
        <f>IF(AN44=0,J44,0)</f>
        <v>0</v>
      </c>
      <c r="AK44" s="25">
        <f>IF(AN44=12,J44,0)</f>
        <v>0</v>
      </c>
      <c r="AL44" s="25">
        <f>IF(AN44=21,J44,0)</f>
        <v>0</v>
      </c>
      <c r="AN44" s="25">
        <v>21</v>
      </c>
      <c r="AO44" s="25">
        <f>G44*0.560662777</f>
        <v>0</v>
      </c>
      <c r="AP44" s="25">
        <f>G44*(1-0.560662777)</f>
        <v>0</v>
      </c>
      <c r="AQ44" s="27" t="s">
        <v>53</v>
      </c>
      <c r="AV44" s="25">
        <f>ROUND(AW44+AX44,2)</f>
        <v>0</v>
      </c>
      <c r="AW44" s="25">
        <f>ROUND(F44*AO44,2)</f>
        <v>0</v>
      </c>
      <c r="AX44" s="25">
        <f>ROUND(F44*AP44,2)</f>
        <v>0</v>
      </c>
      <c r="AY44" s="27" t="s">
        <v>136</v>
      </c>
      <c r="AZ44" s="27" t="s">
        <v>137</v>
      </c>
      <c r="BA44" s="11" t="s">
        <v>60</v>
      </c>
      <c r="BC44" s="25">
        <f>AW44+AX44</f>
        <v>0</v>
      </c>
      <c r="BD44" s="25">
        <f>G44/(100-BE44)*100</f>
        <v>0</v>
      </c>
      <c r="BE44" s="25">
        <v>0</v>
      </c>
      <c r="BF44" s="25">
        <f>44</f>
        <v>44</v>
      </c>
      <c r="BH44" s="25">
        <f>F44*AO44</f>
        <v>0</v>
      </c>
      <c r="BI44" s="25">
        <f>F44*AP44</f>
        <v>0</v>
      </c>
      <c r="BJ44" s="25">
        <f>F44*G44</f>
        <v>0</v>
      </c>
      <c r="BK44" s="27" t="s">
        <v>61</v>
      </c>
      <c r="BL44" s="25">
        <v>27</v>
      </c>
      <c r="BW44" s="25">
        <v>21</v>
      </c>
      <c r="BX44" s="5" t="s">
        <v>143</v>
      </c>
    </row>
    <row r="45" spans="1:76" x14ac:dyDescent="0.25">
      <c r="A45" s="2" t="s">
        <v>145</v>
      </c>
      <c r="B45" s="3" t="s">
        <v>146</v>
      </c>
      <c r="C45" s="80" t="s">
        <v>147</v>
      </c>
      <c r="D45" s="75"/>
      <c r="E45" s="3" t="s">
        <v>56</v>
      </c>
      <c r="F45" s="25">
        <v>2.5499999999999998</v>
      </c>
      <c r="G45" s="25">
        <v>0</v>
      </c>
      <c r="H45" s="25">
        <f>ROUND(F45*AO45,2)</f>
        <v>0</v>
      </c>
      <c r="I45" s="25">
        <f>ROUND(F45*AP45,2)</f>
        <v>0</v>
      </c>
      <c r="J45" s="25">
        <f>ROUND(F45*G45,2)</f>
        <v>0</v>
      </c>
      <c r="K45" s="26" t="s">
        <v>57</v>
      </c>
      <c r="Z45" s="25">
        <f>ROUND(IF(AQ45="5",BJ45,0),2)</f>
        <v>0</v>
      </c>
      <c r="AB45" s="25">
        <f>ROUND(IF(AQ45="1",BH45,0),2)</f>
        <v>0</v>
      </c>
      <c r="AC45" s="25">
        <f>ROUND(IF(AQ45="1",BI45,0),2)</f>
        <v>0</v>
      </c>
      <c r="AD45" s="25">
        <f>ROUND(IF(AQ45="7",BH45,0),2)</f>
        <v>0</v>
      </c>
      <c r="AE45" s="25">
        <f>ROUND(IF(AQ45="7",BI45,0),2)</f>
        <v>0</v>
      </c>
      <c r="AF45" s="25">
        <f>ROUND(IF(AQ45="2",BH45,0),2)</f>
        <v>0</v>
      </c>
      <c r="AG45" s="25">
        <f>ROUND(IF(AQ45="2",BI45,0),2)</f>
        <v>0</v>
      </c>
      <c r="AH45" s="25">
        <f>ROUND(IF(AQ45="0",BJ45,0),2)</f>
        <v>0</v>
      </c>
      <c r="AI45" s="11" t="s">
        <v>50</v>
      </c>
      <c r="AJ45" s="25">
        <f>IF(AN45=0,J45,0)</f>
        <v>0</v>
      </c>
      <c r="AK45" s="25">
        <f>IF(AN45=12,J45,0)</f>
        <v>0</v>
      </c>
      <c r="AL45" s="25">
        <f>IF(AN45=21,J45,0)</f>
        <v>0</v>
      </c>
      <c r="AN45" s="25">
        <v>21</v>
      </c>
      <c r="AO45" s="25">
        <f>G45*0.603700882</f>
        <v>0</v>
      </c>
      <c r="AP45" s="25">
        <f>G45*(1-0.603700882)</f>
        <v>0</v>
      </c>
      <c r="AQ45" s="27" t="s">
        <v>53</v>
      </c>
      <c r="AV45" s="25">
        <f>ROUND(AW45+AX45,2)</f>
        <v>0</v>
      </c>
      <c r="AW45" s="25">
        <f>ROUND(F45*AO45,2)</f>
        <v>0</v>
      </c>
      <c r="AX45" s="25">
        <f>ROUND(F45*AP45,2)</f>
        <v>0</v>
      </c>
      <c r="AY45" s="27" t="s">
        <v>136</v>
      </c>
      <c r="AZ45" s="27" t="s">
        <v>137</v>
      </c>
      <c r="BA45" s="11" t="s">
        <v>60</v>
      </c>
      <c r="BC45" s="25">
        <f>AW45+AX45</f>
        <v>0</v>
      </c>
      <c r="BD45" s="25">
        <f>G45/(100-BE45)*100</f>
        <v>0</v>
      </c>
      <c r="BE45" s="25">
        <v>0</v>
      </c>
      <c r="BF45" s="25">
        <f>45</f>
        <v>45</v>
      </c>
      <c r="BH45" s="25">
        <f>F45*AO45</f>
        <v>0</v>
      </c>
      <c r="BI45" s="25">
        <f>F45*AP45</f>
        <v>0</v>
      </c>
      <c r="BJ45" s="25">
        <f>F45*G45</f>
        <v>0</v>
      </c>
      <c r="BK45" s="27" t="s">
        <v>61</v>
      </c>
      <c r="BL45" s="25">
        <v>27</v>
      </c>
      <c r="BW45" s="25">
        <v>21</v>
      </c>
      <c r="BX45" s="5" t="s">
        <v>147</v>
      </c>
    </row>
    <row r="46" spans="1:76" ht="13.5" customHeight="1" x14ac:dyDescent="0.25">
      <c r="A46" s="28"/>
      <c r="B46" s="29" t="s">
        <v>62</v>
      </c>
      <c r="C46" s="96" t="s">
        <v>148</v>
      </c>
      <c r="D46" s="97"/>
      <c r="E46" s="97"/>
      <c r="F46" s="97"/>
      <c r="G46" s="97"/>
      <c r="H46" s="97"/>
      <c r="I46" s="97"/>
      <c r="J46" s="97"/>
      <c r="K46" s="98"/>
    </row>
    <row r="47" spans="1:76" x14ac:dyDescent="0.25">
      <c r="A47" s="30" t="s">
        <v>50</v>
      </c>
      <c r="B47" s="31" t="s">
        <v>149</v>
      </c>
      <c r="C47" s="99" t="s">
        <v>150</v>
      </c>
      <c r="D47" s="100"/>
      <c r="E47" s="32" t="s">
        <v>4</v>
      </c>
      <c r="F47" s="32" t="s">
        <v>4</v>
      </c>
      <c r="G47" s="32" t="s">
        <v>4</v>
      </c>
      <c r="H47" s="1">
        <f>SUM(H48:H48)</f>
        <v>0</v>
      </c>
      <c r="I47" s="1">
        <f>SUM(I48:I48)</f>
        <v>0</v>
      </c>
      <c r="J47" s="1">
        <f>SUM(J48:J48)</f>
        <v>0</v>
      </c>
      <c r="K47" s="33" t="s">
        <v>50</v>
      </c>
      <c r="AI47" s="11" t="s">
        <v>50</v>
      </c>
      <c r="AS47" s="1">
        <f>SUM(AJ48:AJ48)</f>
        <v>0</v>
      </c>
      <c r="AT47" s="1">
        <f>SUM(AK48:AK48)</f>
        <v>0</v>
      </c>
      <c r="AU47" s="1">
        <f>SUM(AL48:AL48)</f>
        <v>0</v>
      </c>
    </row>
    <row r="48" spans="1:76" x14ac:dyDescent="0.25">
      <c r="A48" s="2" t="s">
        <v>151</v>
      </c>
      <c r="B48" s="3" t="s">
        <v>152</v>
      </c>
      <c r="C48" s="80" t="s">
        <v>153</v>
      </c>
      <c r="D48" s="75"/>
      <c r="E48" s="3" t="s">
        <v>94</v>
      </c>
      <c r="F48" s="25">
        <v>5.3</v>
      </c>
      <c r="G48" s="25">
        <v>0</v>
      </c>
      <c r="H48" s="25">
        <f>ROUND(F48*AO48,2)</f>
        <v>0</v>
      </c>
      <c r="I48" s="25">
        <f>ROUND(F48*AP48,2)</f>
        <v>0</v>
      </c>
      <c r="J48" s="25">
        <f>ROUND(F48*G48,2)</f>
        <v>0</v>
      </c>
      <c r="K48" s="26" t="s">
        <v>57</v>
      </c>
      <c r="Z48" s="25">
        <f>ROUND(IF(AQ48="5",BJ48,0),2)</f>
        <v>0</v>
      </c>
      <c r="AB48" s="25">
        <f>ROUND(IF(AQ48="1",BH48,0),2)</f>
        <v>0</v>
      </c>
      <c r="AC48" s="25">
        <f>ROUND(IF(AQ48="1",BI48,0),2)</f>
        <v>0</v>
      </c>
      <c r="AD48" s="25">
        <f>ROUND(IF(AQ48="7",BH48,0),2)</f>
        <v>0</v>
      </c>
      <c r="AE48" s="25">
        <f>ROUND(IF(AQ48="7",BI48,0),2)</f>
        <v>0</v>
      </c>
      <c r="AF48" s="25">
        <f>ROUND(IF(AQ48="2",BH48,0),2)</f>
        <v>0</v>
      </c>
      <c r="AG48" s="25">
        <f>ROUND(IF(AQ48="2",BI48,0),2)</f>
        <v>0</v>
      </c>
      <c r="AH48" s="25">
        <f>ROUND(IF(AQ48="0",BJ48,0),2)</f>
        <v>0</v>
      </c>
      <c r="AI48" s="11" t="s">
        <v>50</v>
      </c>
      <c r="AJ48" s="25">
        <f>IF(AN48=0,J48,0)</f>
        <v>0</v>
      </c>
      <c r="AK48" s="25">
        <f>IF(AN48=12,J48,0)</f>
        <v>0</v>
      </c>
      <c r="AL48" s="25">
        <f>IF(AN48=21,J48,0)</f>
        <v>0</v>
      </c>
      <c r="AN48" s="25">
        <v>21</v>
      </c>
      <c r="AO48" s="25">
        <f>G48*0.352120509</f>
        <v>0</v>
      </c>
      <c r="AP48" s="25">
        <f>G48*(1-0.352120509)</f>
        <v>0</v>
      </c>
      <c r="AQ48" s="27" t="s">
        <v>53</v>
      </c>
      <c r="AV48" s="25">
        <f>ROUND(AW48+AX48,2)</f>
        <v>0</v>
      </c>
      <c r="AW48" s="25">
        <f>ROUND(F48*AO48,2)</f>
        <v>0</v>
      </c>
      <c r="AX48" s="25">
        <f>ROUND(F48*AP48,2)</f>
        <v>0</v>
      </c>
      <c r="AY48" s="27" t="s">
        <v>154</v>
      </c>
      <c r="AZ48" s="27" t="s">
        <v>155</v>
      </c>
      <c r="BA48" s="11" t="s">
        <v>60</v>
      </c>
      <c r="BC48" s="25">
        <f>AW48+AX48</f>
        <v>0</v>
      </c>
      <c r="BD48" s="25">
        <f>G48/(100-BE48)*100</f>
        <v>0</v>
      </c>
      <c r="BE48" s="25">
        <v>0</v>
      </c>
      <c r="BF48" s="25">
        <f>48</f>
        <v>48</v>
      </c>
      <c r="BH48" s="25">
        <f>F48*AO48</f>
        <v>0</v>
      </c>
      <c r="BI48" s="25">
        <f>F48*AP48</f>
        <v>0</v>
      </c>
      <c r="BJ48" s="25">
        <f>F48*G48</f>
        <v>0</v>
      </c>
      <c r="BK48" s="27" t="s">
        <v>61</v>
      </c>
      <c r="BL48" s="25">
        <v>31</v>
      </c>
      <c r="BW48" s="25">
        <v>21</v>
      </c>
      <c r="BX48" s="5" t="s">
        <v>153</v>
      </c>
    </row>
    <row r="49" spans="1:76" x14ac:dyDescent="0.25">
      <c r="A49" s="30" t="s">
        <v>50</v>
      </c>
      <c r="B49" s="31" t="s">
        <v>156</v>
      </c>
      <c r="C49" s="99" t="s">
        <v>157</v>
      </c>
      <c r="D49" s="100"/>
      <c r="E49" s="32" t="s">
        <v>4</v>
      </c>
      <c r="F49" s="32" t="s">
        <v>4</v>
      </c>
      <c r="G49" s="32" t="s">
        <v>4</v>
      </c>
      <c r="H49" s="1">
        <f>SUM(H50:H62)</f>
        <v>0</v>
      </c>
      <c r="I49" s="1">
        <f>SUM(I50:I62)</f>
        <v>0</v>
      </c>
      <c r="J49" s="1">
        <f>SUM(J50:J62)</f>
        <v>0</v>
      </c>
      <c r="K49" s="33" t="s">
        <v>50</v>
      </c>
      <c r="AI49" s="11" t="s">
        <v>50</v>
      </c>
      <c r="AS49" s="1">
        <f>SUM(AJ50:AJ62)</f>
        <v>0</v>
      </c>
      <c r="AT49" s="1">
        <f>SUM(AK50:AK62)</f>
        <v>0</v>
      </c>
      <c r="AU49" s="1">
        <f>SUM(AL50:AL62)</f>
        <v>0</v>
      </c>
    </row>
    <row r="50" spans="1:76" x14ac:dyDescent="0.25">
      <c r="A50" s="2" t="s">
        <v>158</v>
      </c>
      <c r="B50" s="3" t="s">
        <v>159</v>
      </c>
      <c r="C50" s="80" t="s">
        <v>160</v>
      </c>
      <c r="D50" s="75"/>
      <c r="E50" s="3" t="s">
        <v>56</v>
      </c>
      <c r="F50" s="25">
        <v>128</v>
      </c>
      <c r="G50" s="25">
        <v>0</v>
      </c>
      <c r="H50" s="25">
        <f>ROUND(F50*AO50,2)</f>
        <v>0</v>
      </c>
      <c r="I50" s="25">
        <f>ROUND(F50*AP50,2)</f>
        <v>0</v>
      </c>
      <c r="J50" s="25">
        <f>ROUND(F50*G50,2)</f>
        <v>0</v>
      </c>
      <c r="K50" s="26" t="s">
        <v>57</v>
      </c>
      <c r="Z50" s="25">
        <f>ROUND(IF(AQ50="5",BJ50,0),2)</f>
        <v>0</v>
      </c>
      <c r="AB50" s="25">
        <f>ROUND(IF(AQ50="1",BH50,0),2)</f>
        <v>0</v>
      </c>
      <c r="AC50" s="25">
        <f>ROUND(IF(AQ50="1",BI50,0),2)</f>
        <v>0</v>
      </c>
      <c r="AD50" s="25">
        <f>ROUND(IF(AQ50="7",BH50,0),2)</f>
        <v>0</v>
      </c>
      <c r="AE50" s="25">
        <f>ROUND(IF(AQ50="7",BI50,0),2)</f>
        <v>0</v>
      </c>
      <c r="AF50" s="25">
        <f>ROUND(IF(AQ50="2",BH50,0),2)</f>
        <v>0</v>
      </c>
      <c r="AG50" s="25">
        <f>ROUND(IF(AQ50="2",BI50,0),2)</f>
        <v>0</v>
      </c>
      <c r="AH50" s="25">
        <f>ROUND(IF(AQ50="0",BJ50,0),2)</f>
        <v>0</v>
      </c>
      <c r="AI50" s="11" t="s">
        <v>50</v>
      </c>
      <c r="AJ50" s="25">
        <f>IF(AN50=0,J50,0)</f>
        <v>0</v>
      </c>
      <c r="AK50" s="25">
        <f>IF(AN50=12,J50,0)</f>
        <v>0</v>
      </c>
      <c r="AL50" s="25">
        <f>IF(AN50=21,J50,0)</f>
        <v>0</v>
      </c>
      <c r="AN50" s="25">
        <v>21</v>
      </c>
      <c r="AO50" s="25">
        <f>G50*0.818686869</f>
        <v>0</v>
      </c>
      <c r="AP50" s="25">
        <f>G50*(1-0.818686869)</f>
        <v>0</v>
      </c>
      <c r="AQ50" s="27" t="s">
        <v>53</v>
      </c>
      <c r="AV50" s="25">
        <f>ROUND(AW50+AX50,2)</f>
        <v>0</v>
      </c>
      <c r="AW50" s="25">
        <f>ROUND(F50*AO50,2)</f>
        <v>0</v>
      </c>
      <c r="AX50" s="25">
        <f>ROUND(F50*AP50,2)</f>
        <v>0</v>
      </c>
      <c r="AY50" s="27" t="s">
        <v>161</v>
      </c>
      <c r="AZ50" s="27" t="s">
        <v>162</v>
      </c>
      <c r="BA50" s="11" t="s">
        <v>60</v>
      </c>
      <c r="BC50" s="25">
        <f>AW50+AX50</f>
        <v>0</v>
      </c>
      <c r="BD50" s="25">
        <f>G50/(100-BE50)*100</f>
        <v>0</v>
      </c>
      <c r="BE50" s="25">
        <v>0</v>
      </c>
      <c r="BF50" s="25">
        <f>50</f>
        <v>50</v>
      </c>
      <c r="BH50" s="25">
        <f>F50*AO50</f>
        <v>0</v>
      </c>
      <c r="BI50" s="25">
        <f>F50*AP50</f>
        <v>0</v>
      </c>
      <c r="BJ50" s="25">
        <f>F50*G50</f>
        <v>0</v>
      </c>
      <c r="BK50" s="27" t="s">
        <v>61</v>
      </c>
      <c r="BL50" s="25">
        <v>56</v>
      </c>
      <c r="BW50" s="25">
        <v>21</v>
      </c>
      <c r="BX50" s="5" t="s">
        <v>160</v>
      </c>
    </row>
    <row r="51" spans="1:76" ht="13.5" customHeight="1" x14ac:dyDescent="0.25">
      <c r="A51" s="28"/>
      <c r="B51" s="29" t="s">
        <v>62</v>
      </c>
      <c r="C51" s="96" t="s">
        <v>163</v>
      </c>
      <c r="D51" s="97"/>
      <c r="E51" s="97"/>
      <c r="F51" s="97"/>
      <c r="G51" s="97"/>
      <c r="H51" s="97"/>
      <c r="I51" s="97"/>
      <c r="J51" s="97"/>
      <c r="K51" s="98"/>
    </row>
    <row r="52" spans="1:76" x14ac:dyDescent="0.25">
      <c r="A52" s="2" t="s">
        <v>164</v>
      </c>
      <c r="B52" s="3" t="s">
        <v>165</v>
      </c>
      <c r="C52" s="80" t="s">
        <v>166</v>
      </c>
      <c r="D52" s="75"/>
      <c r="E52" s="3" t="s">
        <v>56</v>
      </c>
      <c r="F52" s="25">
        <v>250</v>
      </c>
      <c r="G52" s="25">
        <v>0</v>
      </c>
      <c r="H52" s="25">
        <f>ROUND(F52*AO52,2)</f>
        <v>0</v>
      </c>
      <c r="I52" s="25">
        <f>ROUND(F52*AP52,2)</f>
        <v>0</v>
      </c>
      <c r="J52" s="25">
        <f>ROUND(F52*G52,2)</f>
        <v>0</v>
      </c>
      <c r="K52" s="26" t="s">
        <v>57</v>
      </c>
      <c r="Z52" s="25">
        <f>ROUND(IF(AQ52="5",BJ52,0),2)</f>
        <v>0</v>
      </c>
      <c r="AB52" s="25">
        <f>ROUND(IF(AQ52="1",BH52,0),2)</f>
        <v>0</v>
      </c>
      <c r="AC52" s="25">
        <f>ROUND(IF(AQ52="1",BI52,0),2)</f>
        <v>0</v>
      </c>
      <c r="AD52" s="25">
        <f>ROUND(IF(AQ52="7",BH52,0),2)</f>
        <v>0</v>
      </c>
      <c r="AE52" s="25">
        <f>ROUND(IF(AQ52="7",BI52,0),2)</f>
        <v>0</v>
      </c>
      <c r="AF52" s="25">
        <f>ROUND(IF(AQ52="2",BH52,0),2)</f>
        <v>0</v>
      </c>
      <c r="AG52" s="25">
        <f>ROUND(IF(AQ52="2",BI52,0),2)</f>
        <v>0</v>
      </c>
      <c r="AH52" s="25">
        <f>ROUND(IF(AQ52="0",BJ52,0),2)</f>
        <v>0</v>
      </c>
      <c r="AI52" s="11" t="s">
        <v>50</v>
      </c>
      <c r="AJ52" s="25">
        <f>IF(AN52=0,J52,0)</f>
        <v>0</v>
      </c>
      <c r="AK52" s="25">
        <f>IF(AN52=12,J52,0)</f>
        <v>0</v>
      </c>
      <c r="AL52" s="25">
        <f>IF(AN52=21,J52,0)</f>
        <v>0</v>
      </c>
      <c r="AN52" s="25">
        <v>21</v>
      </c>
      <c r="AO52" s="25">
        <f>G52*0.78</f>
        <v>0</v>
      </c>
      <c r="AP52" s="25">
        <f>G52*(1-0.78)</f>
        <v>0</v>
      </c>
      <c r="AQ52" s="27" t="s">
        <v>53</v>
      </c>
      <c r="AV52" s="25">
        <f>ROUND(AW52+AX52,2)</f>
        <v>0</v>
      </c>
      <c r="AW52" s="25">
        <f>ROUND(F52*AO52,2)</f>
        <v>0</v>
      </c>
      <c r="AX52" s="25">
        <f>ROUND(F52*AP52,2)</f>
        <v>0</v>
      </c>
      <c r="AY52" s="27" t="s">
        <v>161</v>
      </c>
      <c r="AZ52" s="27" t="s">
        <v>162</v>
      </c>
      <c r="BA52" s="11" t="s">
        <v>60</v>
      </c>
      <c r="BC52" s="25">
        <f>AW52+AX52</f>
        <v>0</v>
      </c>
      <c r="BD52" s="25">
        <f>G52/(100-BE52)*100</f>
        <v>0</v>
      </c>
      <c r="BE52" s="25">
        <v>0</v>
      </c>
      <c r="BF52" s="25">
        <f>52</f>
        <v>52</v>
      </c>
      <c r="BH52" s="25">
        <f>F52*AO52</f>
        <v>0</v>
      </c>
      <c r="BI52" s="25">
        <f>F52*AP52</f>
        <v>0</v>
      </c>
      <c r="BJ52" s="25">
        <f>F52*G52</f>
        <v>0</v>
      </c>
      <c r="BK52" s="27" t="s">
        <v>61</v>
      </c>
      <c r="BL52" s="25">
        <v>56</v>
      </c>
      <c r="BW52" s="25">
        <v>21</v>
      </c>
      <c r="BX52" s="5" t="s">
        <v>166</v>
      </c>
    </row>
    <row r="53" spans="1:76" ht="13.5" customHeight="1" x14ac:dyDescent="0.25">
      <c r="A53" s="28"/>
      <c r="B53" s="29" t="s">
        <v>62</v>
      </c>
      <c r="C53" s="96" t="s">
        <v>167</v>
      </c>
      <c r="D53" s="97"/>
      <c r="E53" s="97"/>
      <c r="F53" s="97"/>
      <c r="G53" s="97"/>
      <c r="H53" s="97"/>
      <c r="I53" s="97"/>
      <c r="J53" s="97"/>
      <c r="K53" s="98"/>
    </row>
    <row r="54" spans="1:76" x14ac:dyDescent="0.25">
      <c r="A54" s="2" t="s">
        <v>131</v>
      </c>
      <c r="B54" s="3" t="s">
        <v>168</v>
      </c>
      <c r="C54" s="80" t="s">
        <v>169</v>
      </c>
      <c r="D54" s="75"/>
      <c r="E54" s="3" t="s">
        <v>56</v>
      </c>
      <c r="F54" s="25">
        <v>250</v>
      </c>
      <c r="G54" s="25">
        <v>0</v>
      </c>
      <c r="H54" s="25">
        <f>ROUND(F54*AO54,2)</f>
        <v>0</v>
      </c>
      <c r="I54" s="25">
        <f>ROUND(F54*AP54,2)</f>
        <v>0</v>
      </c>
      <c r="J54" s="25">
        <f>ROUND(F54*G54,2)</f>
        <v>0</v>
      </c>
      <c r="K54" s="26" t="s">
        <v>57</v>
      </c>
      <c r="Z54" s="25">
        <f>ROUND(IF(AQ54="5",BJ54,0),2)</f>
        <v>0</v>
      </c>
      <c r="AB54" s="25">
        <f>ROUND(IF(AQ54="1",BH54,0),2)</f>
        <v>0</v>
      </c>
      <c r="AC54" s="25">
        <f>ROUND(IF(AQ54="1",BI54,0),2)</f>
        <v>0</v>
      </c>
      <c r="AD54" s="25">
        <f>ROUND(IF(AQ54="7",BH54,0),2)</f>
        <v>0</v>
      </c>
      <c r="AE54" s="25">
        <f>ROUND(IF(AQ54="7",BI54,0),2)</f>
        <v>0</v>
      </c>
      <c r="AF54" s="25">
        <f>ROUND(IF(AQ54="2",BH54,0),2)</f>
        <v>0</v>
      </c>
      <c r="AG54" s="25">
        <f>ROUND(IF(AQ54="2",BI54,0),2)</f>
        <v>0</v>
      </c>
      <c r="AH54" s="25">
        <f>ROUND(IF(AQ54="0",BJ54,0),2)</f>
        <v>0</v>
      </c>
      <c r="AI54" s="11" t="s">
        <v>50</v>
      </c>
      <c r="AJ54" s="25">
        <f>IF(AN54=0,J54,0)</f>
        <v>0</v>
      </c>
      <c r="AK54" s="25">
        <f>IF(AN54=12,J54,0)</f>
        <v>0</v>
      </c>
      <c r="AL54" s="25">
        <f>IF(AN54=21,J54,0)</f>
        <v>0</v>
      </c>
      <c r="AN54" s="25">
        <v>21</v>
      </c>
      <c r="AO54" s="25">
        <f>G54*0.829445585</f>
        <v>0</v>
      </c>
      <c r="AP54" s="25">
        <f>G54*(1-0.829445585)</f>
        <v>0</v>
      </c>
      <c r="AQ54" s="27" t="s">
        <v>53</v>
      </c>
      <c r="AV54" s="25">
        <f>ROUND(AW54+AX54,2)</f>
        <v>0</v>
      </c>
      <c r="AW54" s="25">
        <f>ROUND(F54*AO54,2)</f>
        <v>0</v>
      </c>
      <c r="AX54" s="25">
        <f>ROUND(F54*AP54,2)</f>
        <v>0</v>
      </c>
      <c r="AY54" s="27" t="s">
        <v>161</v>
      </c>
      <c r="AZ54" s="27" t="s">
        <v>162</v>
      </c>
      <c r="BA54" s="11" t="s">
        <v>60</v>
      </c>
      <c r="BC54" s="25">
        <f>AW54+AX54</f>
        <v>0</v>
      </c>
      <c r="BD54" s="25">
        <f>G54/(100-BE54)*100</f>
        <v>0</v>
      </c>
      <c r="BE54" s="25">
        <v>0</v>
      </c>
      <c r="BF54" s="25">
        <f>54</f>
        <v>54</v>
      </c>
      <c r="BH54" s="25">
        <f>F54*AO54</f>
        <v>0</v>
      </c>
      <c r="BI54" s="25">
        <f>F54*AP54</f>
        <v>0</v>
      </c>
      <c r="BJ54" s="25">
        <f>F54*G54</f>
        <v>0</v>
      </c>
      <c r="BK54" s="27" t="s">
        <v>61</v>
      </c>
      <c r="BL54" s="25">
        <v>56</v>
      </c>
      <c r="BW54" s="25">
        <v>21</v>
      </c>
      <c r="BX54" s="5" t="s">
        <v>169</v>
      </c>
    </row>
    <row r="55" spans="1:76" ht="13.5" customHeight="1" x14ac:dyDescent="0.25">
      <c r="A55" s="28"/>
      <c r="B55" s="29" t="s">
        <v>62</v>
      </c>
      <c r="C55" s="96" t="s">
        <v>170</v>
      </c>
      <c r="D55" s="97"/>
      <c r="E55" s="97"/>
      <c r="F55" s="97"/>
      <c r="G55" s="97"/>
      <c r="H55" s="97"/>
      <c r="I55" s="97"/>
      <c r="J55" s="97"/>
      <c r="K55" s="98"/>
    </row>
    <row r="56" spans="1:76" x14ac:dyDescent="0.25">
      <c r="A56" s="2" t="s">
        <v>171</v>
      </c>
      <c r="B56" s="3" t="s">
        <v>159</v>
      </c>
      <c r="C56" s="80" t="s">
        <v>160</v>
      </c>
      <c r="D56" s="75"/>
      <c r="E56" s="3" t="s">
        <v>56</v>
      </c>
      <c r="F56" s="25">
        <v>4</v>
      </c>
      <c r="G56" s="25">
        <v>0</v>
      </c>
      <c r="H56" s="25">
        <f>ROUND(F56*AO56,2)</f>
        <v>0</v>
      </c>
      <c r="I56" s="25">
        <f>ROUND(F56*AP56,2)</f>
        <v>0</v>
      </c>
      <c r="J56" s="25">
        <f>ROUND(F56*G56,2)</f>
        <v>0</v>
      </c>
      <c r="K56" s="26" t="s">
        <v>57</v>
      </c>
      <c r="Z56" s="25">
        <f>ROUND(IF(AQ56="5",BJ56,0),2)</f>
        <v>0</v>
      </c>
      <c r="AB56" s="25">
        <f>ROUND(IF(AQ56="1",BH56,0),2)</f>
        <v>0</v>
      </c>
      <c r="AC56" s="25">
        <f>ROUND(IF(AQ56="1",BI56,0),2)</f>
        <v>0</v>
      </c>
      <c r="AD56" s="25">
        <f>ROUND(IF(AQ56="7",BH56,0),2)</f>
        <v>0</v>
      </c>
      <c r="AE56" s="25">
        <f>ROUND(IF(AQ56="7",BI56,0),2)</f>
        <v>0</v>
      </c>
      <c r="AF56" s="25">
        <f>ROUND(IF(AQ56="2",BH56,0),2)</f>
        <v>0</v>
      </c>
      <c r="AG56" s="25">
        <f>ROUND(IF(AQ56="2",BI56,0),2)</f>
        <v>0</v>
      </c>
      <c r="AH56" s="25">
        <f>ROUND(IF(AQ56="0",BJ56,0),2)</f>
        <v>0</v>
      </c>
      <c r="AI56" s="11" t="s">
        <v>50</v>
      </c>
      <c r="AJ56" s="25">
        <f>IF(AN56=0,J56,0)</f>
        <v>0</v>
      </c>
      <c r="AK56" s="25">
        <f>IF(AN56=12,J56,0)</f>
        <v>0</v>
      </c>
      <c r="AL56" s="25">
        <f>IF(AN56=21,J56,0)</f>
        <v>0</v>
      </c>
      <c r="AN56" s="25">
        <v>21</v>
      </c>
      <c r="AO56" s="25">
        <f>G56*0.818686869</f>
        <v>0</v>
      </c>
      <c r="AP56" s="25">
        <f>G56*(1-0.818686869)</f>
        <v>0</v>
      </c>
      <c r="AQ56" s="27" t="s">
        <v>53</v>
      </c>
      <c r="AV56" s="25">
        <f>ROUND(AW56+AX56,2)</f>
        <v>0</v>
      </c>
      <c r="AW56" s="25">
        <f>ROUND(F56*AO56,2)</f>
        <v>0</v>
      </c>
      <c r="AX56" s="25">
        <f>ROUND(F56*AP56,2)</f>
        <v>0</v>
      </c>
      <c r="AY56" s="27" t="s">
        <v>161</v>
      </c>
      <c r="AZ56" s="27" t="s">
        <v>162</v>
      </c>
      <c r="BA56" s="11" t="s">
        <v>60</v>
      </c>
      <c r="BC56" s="25">
        <f>AW56+AX56</f>
        <v>0</v>
      </c>
      <c r="BD56" s="25">
        <f>G56/(100-BE56)*100</f>
        <v>0</v>
      </c>
      <c r="BE56" s="25">
        <v>0</v>
      </c>
      <c r="BF56" s="25">
        <f>56</f>
        <v>56</v>
      </c>
      <c r="BH56" s="25">
        <f>F56*AO56</f>
        <v>0</v>
      </c>
      <c r="BI56" s="25">
        <f>F56*AP56</f>
        <v>0</v>
      </c>
      <c r="BJ56" s="25">
        <f>F56*G56</f>
        <v>0</v>
      </c>
      <c r="BK56" s="27" t="s">
        <v>61</v>
      </c>
      <c r="BL56" s="25">
        <v>56</v>
      </c>
      <c r="BW56" s="25">
        <v>21</v>
      </c>
      <c r="BX56" s="5" t="s">
        <v>160</v>
      </c>
    </row>
    <row r="57" spans="1:76" ht="13.5" customHeight="1" x14ac:dyDescent="0.25">
      <c r="A57" s="28"/>
      <c r="B57" s="29" t="s">
        <v>62</v>
      </c>
      <c r="C57" s="96" t="s">
        <v>172</v>
      </c>
      <c r="D57" s="97"/>
      <c r="E57" s="97"/>
      <c r="F57" s="97"/>
      <c r="G57" s="97"/>
      <c r="H57" s="97"/>
      <c r="I57" s="97"/>
      <c r="J57" s="97"/>
      <c r="K57" s="98"/>
    </row>
    <row r="58" spans="1:76" x14ac:dyDescent="0.25">
      <c r="A58" s="2" t="s">
        <v>173</v>
      </c>
      <c r="B58" s="3" t="s">
        <v>174</v>
      </c>
      <c r="C58" s="80" t="s">
        <v>160</v>
      </c>
      <c r="D58" s="75"/>
      <c r="E58" s="3" t="s">
        <v>56</v>
      </c>
      <c r="F58" s="25">
        <v>20</v>
      </c>
      <c r="G58" s="25">
        <v>0</v>
      </c>
      <c r="H58" s="25">
        <f>ROUND(F58*AO58,2)</f>
        <v>0</v>
      </c>
      <c r="I58" s="25">
        <f>ROUND(F58*AP58,2)</f>
        <v>0</v>
      </c>
      <c r="J58" s="25">
        <f>ROUND(F58*G58,2)</f>
        <v>0</v>
      </c>
      <c r="K58" s="26" t="s">
        <v>57</v>
      </c>
      <c r="Z58" s="25">
        <f>ROUND(IF(AQ58="5",BJ58,0),2)</f>
        <v>0</v>
      </c>
      <c r="AB58" s="25">
        <f>ROUND(IF(AQ58="1",BH58,0),2)</f>
        <v>0</v>
      </c>
      <c r="AC58" s="25">
        <f>ROUND(IF(AQ58="1",BI58,0),2)</f>
        <v>0</v>
      </c>
      <c r="AD58" s="25">
        <f>ROUND(IF(AQ58="7",BH58,0),2)</f>
        <v>0</v>
      </c>
      <c r="AE58" s="25">
        <f>ROUND(IF(AQ58="7",BI58,0),2)</f>
        <v>0</v>
      </c>
      <c r="AF58" s="25">
        <f>ROUND(IF(AQ58="2",BH58,0),2)</f>
        <v>0</v>
      </c>
      <c r="AG58" s="25">
        <f>ROUND(IF(AQ58="2",BI58,0),2)</f>
        <v>0</v>
      </c>
      <c r="AH58" s="25">
        <f>ROUND(IF(AQ58="0",BJ58,0),2)</f>
        <v>0</v>
      </c>
      <c r="AI58" s="11" t="s">
        <v>50</v>
      </c>
      <c r="AJ58" s="25">
        <f>IF(AN58=0,J58,0)</f>
        <v>0</v>
      </c>
      <c r="AK58" s="25">
        <f>IF(AN58=12,J58,0)</f>
        <v>0</v>
      </c>
      <c r="AL58" s="25">
        <f>IF(AN58=21,J58,0)</f>
        <v>0</v>
      </c>
      <c r="AN58" s="25">
        <v>21</v>
      </c>
      <c r="AO58" s="25">
        <f>G58*0.808533333</f>
        <v>0</v>
      </c>
      <c r="AP58" s="25">
        <f>G58*(1-0.808533333)</f>
        <v>0</v>
      </c>
      <c r="AQ58" s="27" t="s">
        <v>53</v>
      </c>
      <c r="AV58" s="25">
        <f>ROUND(AW58+AX58,2)</f>
        <v>0</v>
      </c>
      <c r="AW58" s="25">
        <f>ROUND(F58*AO58,2)</f>
        <v>0</v>
      </c>
      <c r="AX58" s="25">
        <f>ROUND(F58*AP58,2)</f>
        <v>0</v>
      </c>
      <c r="AY58" s="27" t="s">
        <v>161</v>
      </c>
      <c r="AZ58" s="27" t="s">
        <v>162</v>
      </c>
      <c r="BA58" s="11" t="s">
        <v>60</v>
      </c>
      <c r="BC58" s="25">
        <f>AW58+AX58</f>
        <v>0</v>
      </c>
      <c r="BD58" s="25">
        <f>G58/(100-BE58)*100</f>
        <v>0</v>
      </c>
      <c r="BE58" s="25">
        <v>0</v>
      </c>
      <c r="BF58" s="25">
        <f>58</f>
        <v>58</v>
      </c>
      <c r="BH58" s="25">
        <f>F58*AO58</f>
        <v>0</v>
      </c>
      <c r="BI58" s="25">
        <f>F58*AP58</f>
        <v>0</v>
      </c>
      <c r="BJ58" s="25">
        <f>F58*G58</f>
        <v>0</v>
      </c>
      <c r="BK58" s="27" t="s">
        <v>61</v>
      </c>
      <c r="BL58" s="25">
        <v>56</v>
      </c>
      <c r="BW58" s="25">
        <v>21</v>
      </c>
      <c r="BX58" s="5" t="s">
        <v>160</v>
      </c>
    </row>
    <row r="59" spans="1:76" ht="13.5" customHeight="1" x14ac:dyDescent="0.25">
      <c r="A59" s="28"/>
      <c r="B59" s="29" t="s">
        <v>62</v>
      </c>
      <c r="C59" s="96" t="s">
        <v>175</v>
      </c>
      <c r="D59" s="97"/>
      <c r="E59" s="97"/>
      <c r="F59" s="97"/>
      <c r="G59" s="97"/>
      <c r="H59" s="97"/>
      <c r="I59" s="97"/>
      <c r="J59" s="97"/>
      <c r="K59" s="98"/>
    </row>
    <row r="60" spans="1:76" x14ac:dyDescent="0.25">
      <c r="A60" s="2" t="s">
        <v>176</v>
      </c>
      <c r="B60" s="3" t="s">
        <v>177</v>
      </c>
      <c r="C60" s="80" t="s">
        <v>160</v>
      </c>
      <c r="D60" s="75"/>
      <c r="E60" s="3" t="s">
        <v>56</v>
      </c>
      <c r="F60" s="25">
        <v>20</v>
      </c>
      <c r="G60" s="25">
        <v>0</v>
      </c>
      <c r="H60" s="25">
        <f>ROUND(F60*AO60,2)</f>
        <v>0</v>
      </c>
      <c r="I60" s="25">
        <f>ROUND(F60*AP60,2)</f>
        <v>0</v>
      </c>
      <c r="J60" s="25">
        <f>ROUND(F60*G60,2)</f>
        <v>0</v>
      </c>
      <c r="K60" s="26" t="s">
        <v>57</v>
      </c>
      <c r="Z60" s="25">
        <f>ROUND(IF(AQ60="5",BJ60,0),2)</f>
        <v>0</v>
      </c>
      <c r="AB60" s="25">
        <f>ROUND(IF(AQ60="1",BH60,0),2)</f>
        <v>0</v>
      </c>
      <c r="AC60" s="25">
        <f>ROUND(IF(AQ60="1",BI60,0),2)</f>
        <v>0</v>
      </c>
      <c r="AD60" s="25">
        <f>ROUND(IF(AQ60="7",BH60,0),2)</f>
        <v>0</v>
      </c>
      <c r="AE60" s="25">
        <f>ROUND(IF(AQ60="7",BI60,0),2)</f>
        <v>0</v>
      </c>
      <c r="AF60" s="25">
        <f>ROUND(IF(AQ60="2",BH60,0),2)</f>
        <v>0</v>
      </c>
      <c r="AG60" s="25">
        <f>ROUND(IF(AQ60="2",BI60,0),2)</f>
        <v>0</v>
      </c>
      <c r="AH60" s="25">
        <f>ROUND(IF(AQ60="0",BJ60,0),2)</f>
        <v>0</v>
      </c>
      <c r="AI60" s="11" t="s">
        <v>50</v>
      </c>
      <c r="AJ60" s="25">
        <f>IF(AN60=0,J60,0)</f>
        <v>0</v>
      </c>
      <c r="AK60" s="25">
        <f>IF(AN60=12,J60,0)</f>
        <v>0</v>
      </c>
      <c r="AL60" s="25">
        <f>IF(AN60=21,J60,0)</f>
        <v>0</v>
      </c>
      <c r="AN60" s="25">
        <v>21</v>
      </c>
      <c r="AO60" s="25">
        <f>G60*0.818686869</f>
        <v>0</v>
      </c>
      <c r="AP60" s="25">
        <f>G60*(1-0.818686869)</f>
        <v>0</v>
      </c>
      <c r="AQ60" s="27" t="s">
        <v>53</v>
      </c>
      <c r="AV60" s="25">
        <f>ROUND(AW60+AX60,2)</f>
        <v>0</v>
      </c>
      <c r="AW60" s="25">
        <f>ROUND(F60*AO60,2)</f>
        <v>0</v>
      </c>
      <c r="AX60" s="25">
        <f>ROUND(F60*AP60,2)</f>
        <v>0</v>
      </c>
      <c r="AY60" s="27" t="s">
        <v>161</v>
      </c>
      <c r="AZ60" s="27" t="s">
        <v>162</v>
      </c>
      <c r="BA60" s="11" t="s">
        <v>60</v>
      </c>
      <c r="BC60" s="25">
        <f>AW60+AX60</f>
        <v>0</v>
      </c>
      <c r="BD60" s="25">
        <f>G60/(100-BE60)*100</f>
        <v>0</v>
      </c>
      <c r="BE60" s="25">
        <v>0</v>
      </c>
      <c r="BF60" s="25">
        <f>60</f>
        <v>60</v>
      </c>
      <c r="BH60" s="25">
        <f>F60*AO60</f>
        <v>0</v>
      </c>
      <c r="BI60" s="25">
        <f>F60*AP60</f>
        <v>0</v>
      </c>
      <c r="BJ60" s="25">
        <f>F60*G60</f>
        <v>0</v>
      </c>
      <c r="BK60" s="27" t="s">
        <v>61</v>
      </c>
      <c r="BL60" s="25">
        <v>56</v>
      </c>
      <c r="BW60" s="25">
        <v>21</v>
      </c>
      <c r="BX60" s="5" t="s">
        <v>160</v>
      </c>
    </row>
    <row r="61" spans="1:76" ht="13.5" customHeight="1" x14ac:dyDescent="0.25">
      <c r="A61" s="28"/>
      <c r="B61" s="29" t="s">
        <v>62</v>
      </c>
      <c r="C61" s="96" t="s">
        <v>178</v>
      </c>
      <c r="D61" s="97"/>
      <c r="E61" s="97"/>
      <c r="F61" s="97"/>
      <c r="G61" s="97"/>
      <c r="H61" s="97"/>
      <c r="I61" s="97"/>
      <c r="J61" s="97"/>
      <c r="K61" s="98"/>
    </row>
    <row r="62" spans="1:76" x14ac:dyDescent="0.25">
      <c r="A62" s="2" t="s">
        <v>149</v>
      </c>
      <c r="B62" s="3" t="s">
        <v>179</v>
      </c>
      <c r="C62" s="80" t="s">
        <v>180</v>
      </c>
      <c r="D62" s="75"/>
      <c r="E62" s="3" t="s">
        <v>56</v>
      </c>
      <c r="F62" s="25">
        <v>20</v>
      </c>
      <c r="G62" s="25">
        <v>0</v>
      </c>
      <c r="H62" s="25">
        <f>ROUND(F62*AO62,2)</f>
        <v>0</v>
      </c>
      <c r="I62" s="25">
        <f>ROUND(F62*AP62,2)</f>
        <v>0</v>
      </c>
      <c r="J62" s="25">
        <f>ROUND(F62*G62,2)</f>
        <v>0</v>
      </c>
      <c r="K62" s="26" t="s">
        <v>57</v>
      </c>
      <c r="Z62" s="25">
        <f>ROUND(IF(AQ62="5",BJ62,0),2)</f>
        <v>0</v>
      </c>
      <c r="AB62" s="25">
        <f>ROUND(IF(AQ62="1",BH62,0),2)</f>
        <v>0</v>
      </c>
      <c r="AC62" s="25">
        <f>ROUND(IF(AQ62="1",BI62,0),2)</f>
        <v>0</v>
      </c>
      <c r="AD62" s="25">
        <f>ROUND(IF(AQ62="7",BH62,0),2)</f>
        <v>0</v>
      </c>
      <c r="AE62" s="25">
        <f>ROUND(IF(AQ62="7",BI62,0),2)</f>
        <v>0</v>
      </c>
      <c r="AF62" s="25">
        <f>ROUND(IF(AQ62="2",BH62,0),2)</f>
        <v>0</v>
      </c>
      <c r="AG62" s="25">
        <f>ROUND(IF(AQ62="2",BI62,0),2)</f>
        <v>0</v>
      </c>
      <c r="AH62" s="25">
        <f>ROUND(IF(AQ62="0",BJ62,0),2)</f>
        <v>0</v>
      </c>
      <c r="AI62" s="11" t="s">
        <v>50</v>
      </c>
      <c r="AJ62" s="25">
        <f>IF(AN62=0,J62,0)</f>
        <v>0</v>
      </c>
      <c r="AK62" s="25">
        <f>IF(AN62=12,J62,0)</f>
        <v>0</v>
      </c>
      <c r="AL62" s="25">
        <f>IF(AN62=21,J62,0)</f>
        <v>0</v>
      </c>
      <c r="AN62" s="25">
        <v>21</v>
      </c>
      <c r="AO62" s="25">
        <f>G62*0.89700692</f>
        <v>0</v>
      </c>
      <c r="AP62" s="25">
        <f>G62*(1-0.89700692)</f>
        <v>0</v>
      </c>
      <c r="AQ62" s="27" t="s">
        <v>53</v>
      </c>
      <c r="AV62" s="25">
        <f>ROUND(AW62+AX62,2)</f>
        <v>0</v>
      </c>
      <c r="AW62" s="25">
        <f>ROUND(F62*AO62,2)</f>
        <v>0</v>
      </c>
      <c r="AX62" s="25">
        <f>ROUND(F62*AP62,2)</f>
        <v>0</v>
      </c>
      <c r="AY62" s="27" t="s">
        <v>161</v>
      </c>
      <c r="AZ62" s="27" t="s">
        <v>162</v>
      </c>
      <c r="BA62" s="11" t="s">
        <v>60</v>
      </c>
      <c r="BC62" s="25">
        <f>AW62+AX62</f>
        <v>0</v>
      </c>
      <c r="BD62" s="25">
        <f>G62/(100-BE62)*100</f>
        <v>0</v>
      </c>
      <c r="BE62" s="25">
        <v>0</v>
      </c>
      <c r="BF62" s="25">
        <f>62</f>
        <v>62</v>
      </c>
      <c r="BH62" s="25">
        <f>F62*AO62</f>
        <v>0</v>
      </c>
      <c r="BI62" s="25">
        <f>F62*AP62</f>
        <v>0</v>
      </c>
      <c r="BJ62" s="25">
        <f>F62*G62</f>
        <v>0</v>
      </c>
      <c r="BK62" s="27" t="s">
        <v>61</v>
      </c>
      <c r="BL62" s="25">
        <v>56</v>
      </c>
      <c r="BW62" s="25">
        <v>21</v>
      </c>
      <c r="BX62" s="5" t="s">
        <v>180</v>
      </c>
    </row>
    <row r="63" spans="1:76" ht="13.5" customHeight="1" x14ac:dyDescent="0.25">
      <c r="A63" s="28"/>
      <c r="B63" s="29" t="s">
        <v>62</v>
      </c>
      <c r="C63" s="96" t="s">
        <v>181</v>
      </c>
      <c r="D63" s="97"/>
      <c r="E63" s="97"/>
      <c r="F63" s="97"/>
      <c r="G63" s="97"/>
      <c r="H63" s="97"/>
      <c r="I63" s="97"/>
      <c r="J63" s="97"/>
      <c r="K63" s="98"/>
    </row>
    <row r="64" spans="1:76" x14ac:dyDescent="0.25">
      <c r="A64" s="30" t="s">
        <v>50</v>
      </c>
      <c r="B64" s="31" t="s">
        <v>182</v>
      </c>
      <c r="C64" s="99" t="s">
        <v>183</v>
      </c>
      <c r="D64" s="100"/>
      <c r="E64" s="32" t="s">
        <v>4</v>
      </c>
      <c r="F64" s="32" t="s">
        <v>4</v>
      </c>
      <c r="G64" s="32" t="s">
        <v>4</v>
      </c>
      <c r="H64" s="1">
        <f>SUM(H65:H65)</f>
        <v>0</v>
      </c>
      <c r="I64" s="1">
        <f>SUM(I65:I65)</f>
        <v>0</v>
      </c>
      <c r="J64" s="1">
        <f>SUM(J65:J65)</f>
        <v>0</v>
      </c>
      <c r="K64" s="33" t="s">
        <v>50</v>
      </c>
      <c r="AI64" s="11" t="s">
        <v>50</v>
      </c>
      <c r="AS64" s="1">
        <f>SUM(AJ65:AJ65)</f>
        <v>0</v>
      </c>
      <c r="AT64" s="1">
        <f>SUM(AK65:AK65)</f>
        <v>0</v>
      </c>
      <c r="AU64" s="1">
        <f>SUM(AL65:AL65)</f>
        <v>0</v>
      </c>
    </row>
    <row r="65" spans="1:76" x14ac:dyDescent="0.25">
      <c r="A65" s="2" t="s">
        <v>184</v>
      </c>
      <c r="B65" s="3" t="s">
        <v>185</v>
      </c>
      <c r="C65" s="80" t="s">
        <v>186</v>
      </c>
      <c r="D65" s="75"/>
      <c r="E65" s="3" t="s">
        <v>56</v>
      </c>
      <c r="F65" s="25">
        <v>20</v>
      </c>
      <c r="G65" s="25">
        <v>0</v>
      </c>
      <c r="H65" s="25">
        <f>ROUND(F65*AO65,2)</f>
        <v>0</v>
      </c>
      <c r="I65" s="25">
        <f>ROUND(F65*AP65,2)</f>
        <v>0</v>
      </c>
      <c r="J65" s="25">
        <f>ROUND(F65*G65,2)</f>
        <v>0</v>
      </c>
      <c r="K65" s="26" t="s">
        <v>57</v>
      </c>
      <c r="Z65" s="25">
        <f>ROUND(IF(AQ65="5",BJ65,0),2)</f>
        <v>0</v>
      </c>
      <c r="AB65" s="25">
        <f>ROUND(IF(AQ65="1",BH65,0),2)</f>
        <v>0</v>
      </c>
      <c r="AC65" s="25">
        <f>ROUND(IF(AQ65="1",BI65,0),2)</f>
        <v>0</v>
      </c>
      <c r="AD65" s="25">
        <f>ROUND(IF(AQ65="7",BH65,0),2)</f>
        <v>0</v>
      </c>
      <c r="AE65" s="25">
        <f>ROUND(IF(AQ65="7",BI65,0),2)</f>
        <v>0</v>
      </c>
      <c r="AF65" s="25">
        <f>ROUND(IF(AQ65="2",BH65,0),2)</f>
        <v>0</v>
      </c>
      <c r="AG65" s="25">
        <f>ROUND(IF(AQ65="2",BI65,0),2)</f>
        <v>0</v>
      </c>
      <c r="AH65" s="25">
        <f>ROUND(IF(AQ65="0",BJ65,0),2)</f>
        <v>0</v>
      </c>
      <c r="AI65" s="11" t="s">
        <v>50</v>
      </c>
      <c r="AJ65" s="25">
        <f>IF(AN65=0,J65,0)</f>
        <v>0</v>
      </c>
      <c r="AK65" s="25">
        <f>IF(AN65=12,J65,0)</f>
        <v>0</v>
      </c>
      <c r="AL65" s="25">
        <f>IF(AN65=21,J65,0)</f>
        <v>0</v>
      </c>
      <c r="AN65" s="25">
        <v>21</v>
      </c>
      <c r="AO65" s="25">
        <f>G65*0.74822949</f>
        <v>0</v>
      </c>
      <c r="AP65" s="25">
        <f>G65*(1-0.74822949)</f>
        <v>0</v>
      </c>
      <c r="AQ65" s="27" t="s">
        <v>53</v>
      </c>
      <c r="AV65" s="25">
        <f>ROUND(AW65+AX65,2)</f>
        <v>0</v>
      </c>
      <c r="AW65" s="25">
        <f>ROUND(F65*AO65,2)</f>
        <v>0</v>
      </c>
      <c r="AX65" s="25">
        <f>ROUND(F65*AP65,2)</f>
        <v>0</v>
      </c>
      <c r="AY65" s="27" t="s">
        <v>187</v>
      </c>
      <c r="AZ65" s="27" t="s">
        <v>162</v>
      </c>
      <c r="BA65" s="11" t="s">
        <v>60</v>
      </c>
      <c r="BC65" s="25">
        <f>AW65+AX65</f>
        <v>0</v>
      </c>
      <c r="BD65" s="25">
        <f>G65/(100-BE65)*100</f>
        <v>0</v>
      </c>
      <c r="BE65" s="25">
        <v>0</v>
      </c>
      <c r="BF65" s="25">
        <f>65</f>
        <v>65</v>
      </c>
      <c r="BH65" s="25">
        <f>F65*AO65</f>
        <v>0</v>
      </c>
      <c r="BI65" s="25">
        <f>F65*AP65</f>
        <v>0</v>
      </c>
      <c r="BJ65" s="25">
        <f>F65*G65</f>
        <v>0</v>
      </c>
      <c r="BK65" s="27" t="s">
        <v>61</v>
      </c>
      <c r="BL65" s="25">
        <v>57</v>
      </c>
      <c r="BW65" s="25">
        <v>21</v>
      </c>
      <c r="BX65" s="5" t="s">
        <v>186</v>
      </c>
    </row>
    <row r="66" spans="1:76" ht="13.5" customHeight="1" x14ac:dyDescent="0.25">
      <c r="A66" s="28"/>
      <c r="B66" s="29" t="s">
        <v>62</v>
      </c>
      <c r="C66" s="96" t="s">
        <v>181</v>
      </c>
      <c r="D66" s="97"/>
      <c r="E66" s="97"/>
      <c r="F66" s="97"/>
      <c r="G66" s="97"/>
      <c r="H66" s="97"/>
      <c r="I66" s="97"/>
      <c r="J66" s="97"/>
      <c r="K66" s="98"/>
    </row>
    <row r="67" spans="1:76" x14ac:dyDescent="0.25">
      <c r="A67" s="30" t="s">
        <v>50</v>
      </c>
      <c r="B67" s="31" t="s">
        <v>188</v>
      </c>
      <c r="C67" s="99" t="s">
        <v>189</v>
      </c>
      <c r="D67" s="100"/>
      <c r="E67" s="32" t="s">
        <v>4</v>
      </c>
      <c r="F67" s="32" t="s">
        <v>4</v>
      </c>
      <c r="G67" s="32" t="s">
        <v>4</v>
      </c>
      <c r="H67" s="1">
        <f>SUM(H68:H77)</f>
        <v>0</v>
      </c>
      <c r="I67" s="1">
        <f>SUM(I68:I77)</f>
        <v>0</v>
      </c>
      <c r="J67" s="1">
        <f>SUM(J68:J77)</f>
        <v>0</v>
      </c>
      <c r="K67" s="33" t="s">
        <v>50</v>
      </c>
      <c r="AI67" s="11" t="s">
        <v>50</v>
      </c>
      <c r="AS67" s="1">
        <f>SUM(AJ68:AJ77)</f>
        <v>0</v>
      </c>
      <c r="AT67" s="1">
        <f>SUM(AK68:AK77)</f>
        <v>0</v>
      </c>
      <c r="AU67" s="1">
        <f>SUM(AL68:AL77)</f>
        <v>0</v>
      </c>
    </row>
    <row r="68" spans="1:76" x14ac:dyDescent="0.25">
      <c r="A68" s="2" t="s">
        <v>190</v>
      </c>
      <c r="B68" s="3" t="s">
        <v>191</v>
      </c>
      <c r="C68" s="80" t="s">
        <v>192</v>
      </c>
      <c r="D68" s="75"/>
      <c r="E68" s="3" t="s">
        <v>56</v>
      </c>
      <c r="F68" s="25">
        <v>128</v>
      </c>
      <c r="G68" s="25">
        <v>0</v>
      </c>
      <c r="H68" s="25">
        <f>ROUND(F68*AO68,2)</f>
        <v>0</v>
      </c>
      <c r="I68" s="25">
        <f>ROUND(F68*AP68,2)</f>
        <v>0</v>
      </c>
      <c r="J68" s="25">
        <f>ROUND(F68*G68,2)</f>
        <v>0</v>
      </c>
      <c r="K68" s="26" t="s">
        <v>57</v>
      </c>
      <c r="Z68" s="25">
        <f>ROUND(IF(AQ68="5",BJ68,0),2)</f>
        <v>0</v>
      </c>
      <c r="AB68" s="25">
        <f>ROUND(IF(AQ68="1",BH68,0),2)</f>
        <v>0</v>
      </c>
      <c r="AC68" s="25">
        <f>ROUND(IF(AQ68="1",BI68,0),2)</f>
        <v>0</v>
      </c>
      <c r="AD68" s="25">
        <f>ROUND(IF(AQ68="7",BH68,0),2)</f>
        <v>0</v>
      </c>
      <c r="AE68" s="25">
        <f>ROUND(IF(AQ68="7",BI68,0),2)</f>
        <v>0</v>
      </c>
      <c r="AF68" s="25">
        <f>ROUND(IF(AQ68="2",BH68,0),2)</f>
        <v>0</v>
      </c>
      <c r="AG68" s="25">
        <f>ROUND(IF(AQ68="2",BI68,0),2)</f>
        <v>0</v>
      </c>
      <c r="AH68" s="25">
        <f>ROUND(IF(AQ68="0",BJ68,0),2)</f>
        <v>0</v>
      </c>
      <c r="AI68" s="11" t="s">
        <v>50</v>
      </c>
      <c r="AJ68" s="25">
        <f>IF(AN68=0,J68,0)</f>
        <v>0</v>
      </c>
      <c r="AK68" s="25">
        <f>IF(AN68=12,J68,0)</f>
        <v>0</v>
      </c>
      <c r="AL68" s="25">
        <f>IF(AN68=21,J68,0)</f>
        <v>0</v>
      </c>
      <c r="AN68" s="25">
        <v>21</v>
      </c>
      <c r="AO68" s="25">
        <f>G68*0.098591304</f>
        <v>0</v>
      </c>
      <c r="AP68" s="25">
        <f>G68*(1-0.098591304)</f>
        <v>0</v>
      </c>
      <c r="AQ68" s="27" t="s">
        <v>53</v>
      </c>
      <c r="AV68" s="25">
        <f>ROUND(AW68+AX68,2)</f>
        <v>0</v>
      </c>
      <c r="AW68" s="25">
        <f>ROUND(F68*AO68,2)</f>
        <v>0</v>
      </c>
      <c r="AX68" s="25">
        <f>ROUND(F68*AP68,2)</f>
        <v>0</v>
      </c>
      <c r="AY68" s="27" t="s">
        <v>193</v>
      </c>
      <c r="AZ68" s="27" t="s">
        <v>162</v>
      </c>
      <c r="BA68" s="11" t="s">
        <v>60</v>
      </c>
      <c r="BC68" s="25">
        <f>AW68+AX68</f>
        <v>0</v>
      </c>
      <c r="BD68" s="25">
        <f>G68/(100-BE68)*100</f>
        <v>0</v>
      </c>
      <c r="BE68" s="25">
        <v>0</v>
      </c>
      <c r="BF68" s="25">
        <f>68</f>
        <v>68</v>
      </c>
      <c r="BH68" s="25">
        <f>F68*AO68</f>
        <v>0</v>
      </c>
      <c r="BI68" s="25">
        <f>F68*AP68</f>
        <v>0</v>
      </c>
      <c r="BJ68" s="25">
        <f>F68*G68</f>
        <v>0</v>
      </c>
      <c r="BK68" s="27" t="s">
        <v>61</v>
      </c>
      <c r="BL68" s="25">
        <v>59</v>
      </c>
      <c r="BW68" s="25">
        <v>21</v>
      </c>
      <c r="BX68" s="5" t="s">
        <v>192</v>
      </c>
    </row>
    <row r="69" spans="1:76" ht="13.5" customHeight="1" x14ac:dyDescent="0.25">
      <c r="A69" s="28"/>
      <c r="B69" s="29" t="s">
        <v>62</v>
      </c>
      <c r="C69" s="96" t="s">
        <v>163</v>
      </c>
      <c r="D69" s="97"/>
      <c r="E69" s="97"/>
      <c r="F69" s="97"/>
      <c r="G69" s="97"/>
      <c r="H69" s="97"/>
      <c r="I69" s="97"/>
      <c r="J69" s="97"/>
      <c r="K69" s="98"/>
    </row>
    <row r="70" spans="1:76" ht="25.5" x14ac:dyDescent="0.25">
      <c r="A70" s="2" t="s">
        <v>194</v>
      </c>
      <c r="B70" s="3" t="s">
        <v>195</v>
      </c>
      <c r="C70" s="80" t="s">
        <v>196</v>
      </c>
      <c r="D70" s="75"/>
      <c r="E70" s="3" t="s">
        <v>144</v>
      </c>
      <c r="F70" s="25">
        <v>15.75</v>
      </c>
      <c r="G70" s="25">
        <v>0</v>
      </c>
      <c r="H70" s="25">
        <f>ROUND(F70*AO70,2)</f>
        <v>0</v>
      </c>
      <c r="I70" s="25">
        <f>ROUND(F70*AP70,2)</f>
        <v>0</v>
      </c>
      <c r="J70" s="25">
        <f>ROUND(F70*G70,2)</f>
        <v>0</v>
      </c>
      <c r="K70" s="26" t="s">
        <v>57</v>
      </c>
      <c r="Z70" s="25">
        <f>ROUND(IF(AQ70="5",BJ70,0),2)</f>
        <v>0</v>
      </c>
      <c r="AB70" s="25">
        <f>ROUND(IF(AQ70="1",BH70,0),2)</f>
        <v>0</v>
      </c>
      <c r="AC70" s="25">
        <f>ROUND(IF(AQ70="1",BI70,0),2)</f>
        <v>0</v>
      </c>
      <c r="AD70" s="25">
        <f>ROUND(IF(AQ70="7",BH70,0),2)</f>
        <v>0</v>
      </c>
      <c r="AE70" s="25">
        <f>ROUND(IF(AQ70="7",BI70,0),2)</f>
        <v>0</v>
      </c>
      <c r="AF70" s="25">
        <f>ROUND(IF(AQ70="2",BH70,0),2)</f>
        <v>0</v>
      </c>
      <c r="AG70" s="25">
        <f>ROUND(IF(AQ70="2",BI70,0),2)</f>
        <v>0</v>
      </c>
      <c r="AH70" s="25">
        <f>ROUND(IF(AQ70="0",BJ70,0),2)</f>
        <v>0</v>
      </c>
      <c r="AI70" s="11" t="s">
        <v>50</v>
      </c>
      <c r="AJ70" s="25">
        <f>IF(AN70=0,J70,0)</f>
        <v>0</v>
      </c>
      <c r="AK70" s="25">
        <f>IF(AN70=12,J70,0)</f>
        <v>0</v>
      </c>
      <c r="AL70" s="25">
        <f>IF(AN70=21,J70,0)</f>
        <v>0</v>
      </c>
      <c r="AN70" s="25">
        <v>21</v>
      </c>
      <c r="AO70" s="25">
        <f>G70*1</f>
        <v>0</v>
      </c>
      <c r="AP70" s="25">
        <f>G70*(1-1)</f>
        <v>0</v>
      </c>
      <c r="AQ70" s="27" t="s">
        <v>53</v>
      </c>
      <c r="AV70" s="25">
        <f>ROUND(AW70+AX70,2)</f>
        <v>0</v>
      </c>
      <c r="AW70" s="25">
        <f>ROUND(F70*AO70,2)</f>
        <v>0</v>
      </c>
      <c r="AX70" s="25">
        <f>ROUND(F70*AP70,2)</f>
        <v>0</v>
      </c>
      <c r="AY70" s="27" t="s">
        <v>193</v>
      </c>
      <c r="AZ70" s="27" t="s">
        <v>162</v>
      </c>
      <c r="BA70" s="11" t="s">
        <v>60</v>
      </c>
      <c r="BC70" s="25">
        <f>AW70+AX70</f>
        <v>0</v>
      </c>
      <c r="BD70" s="25">
        <f>G70/(100-BE70)*100</f>
        <v>0</v>
      </c>
      <c r="BE70" s="25">
        <v>0</v>
      </c>
      <c r="BF70" s="25">
        <f>70</f>
        <v>70</v>
      </c>
      <c r="BH70" s="25">
        <f>F70*AO70</f>
        <v>0</v>
      </c>
      <c r="BI70" s="25">
        <f>F70*AP70</f>
        <v>0</v>
      </c>
      <c r="BJ70" s="25">
        <f>F70*G70</f>
        <v>0</v>
      </c>
      <c r="BK70" s="27" t="s">
        <v>125</v>
      </c>
      <c r="BL70" s="25">
        <v>59</v>
      </c>
      <c r="BW70" s="25">
        <v>21</v>
      </c>
      <c r="BX70" s="5" t="s">
        <v>196</v>
      </c>
    </row>
    <row r="71" spans="1:76" x14ac:dyDescent="0.25">
      <c r="A71" s="2" t="s">
        <v>197</v>
      </c>
      <c r="B71" s="3" t="s">
        <v>198</v>
      </c>
      <c r="C71" s="80" t="s">
        <v>199</v>
      </c>
      <c r="D71" s="75"/>
      <c r="E71" s="3" t="s">
        <v>56</v>
      </c>
      <c r="F71" s="25">
        <v>250</v>
      </c>
      <c r="G71" s="25">
        <v>0</v>
      </c>
      <c r="H71" s="25">
        <f>ROUND(F71*AO71,2)</f>
        <v>0</v>
      </c>
      <c r="I71" s="25">
        <f>ROUND(F71*AP71,2)</f>
        <v>0</v>
      </c>
      <c r="J71" s="25">
        <f>ROUND(F71*G71,2)</f>
        <v>0</v>
      </c>
      <c r="K71" s="26" t="s">
        <v>57</v>
      </c>
      <c r="Z71" s="25">
        <f>ROUND(IF(AQ71="5",BJ71,0),2)</f>
        <v>0</v>
      </c>
      <c r="AB71" s="25">
        <f>ROUND(IF(AQ71="1",BH71,0),2)</f>
        <v>0</v>
      </c>
      <c r="AC71" s="25">
        <f>ROUND(IF(AQ71="1",BI71,0),2)</f>
        <v>0</v>
      </c>
      <c r="AD71" s="25">
        <f>ROUND(IF(AQ71="7",BH71,0),2)</f>
        <v>0</v>
      </c>
      <c r="AE71" s="25">
        <f>ROUND(IF(AQ71="7",BI71,0),2)</f>
        <v>0</v>
      </c>
      <c r="AF71" s="25">
        <f>ROUND(IF(AQ71="2",BH71,0),2)</f>
        <v>0</v>
      </c>
      <c r="AG71" s="25">
        <f>ROUND(IF(AQ71="2",BI71,0),2)</f>
        <v>0</v>
      </c>
      <c r="AH71" s="25">
        <f>ROUND(IF(AQ71="0",BJ71,0),2)</f>
        <v>0</v>
      </c>
      <c r="AI71" s="11" t="s">
        <v>50</v>
      </c>
      <c r="AJ71" s="25">
        <f>IF(AN71=0,J71,0)</f>
        <v>0</v>
      </c>
      <c r="AK71" s="25">
        <f>IF(AN71=12,J71,0)</f>
        <v>0</v>
      </c>
      <c r="AL71" s="25">
        <f>IF(AN71=21,J71,0)</f>
        <v>0</v>
      </c>
      <c r="AN71" s="25">
        <v>21</v>
      </c>
      <c r="AO71" s="25">
        <f>G71*0.090961538</f>
        <v>0</v>
      </c>
      <c r="AP71" s="25">
        <f>G71*(1-0.090961538)</f>
        <v>0</v>
      </c>
      <c r="AQ71" s="27" t="s">
        <v>53</v>
      </c>
      <c r="AV71" s="25">
        <f>ROUND(AW71+AX71,2)</f>
        <v>0</v>
      </c>
      <c r="AW71" s="25">
        <f>ROUND(F71*AO71,2)</f>
        <v>0</v>
      </c>
      <c r="AX71" s="25">
        <f>ROUND(F71*AP71,2)</f>
        <v>0</v>
      </c>
      <c r="AY71" s="27" t="s">
        <v>193</v>
      </c>
      <c r="AZ71" s="27" t="s">
        <v>162</v>
      </c>
      <c r="BA71" s="11" t="s">
        <v>60</v>
      </c>
      <c r="BC71" s="25">
        <f>AW71+AX71</f>
        <v>0</v>
      </c>
      <c r="BD71" s="25">
        <f>G71/(100-BE71)*100</f>
        <v>0</v>
      </c>
      <c r="BE71" s="25">
        <v>0</v>
      </c>
      <c r="BF71" s="25">
        <f>71</f>
        <v>71</v>
      </c>
      <c r="BH71" s="25">
        <f>F71*AO71</f>
        <v>0</v>
      </c>
      <c r="BI71" s="25">
        <f>F71*AP71</f>
        <v>0</v>
      </c>
      <c r="BJ71" s="25">
        <f>F71*G71</f>
        <v>0</v>
      </c>
      <c r="BK71" s="27" t="s">
        <v>61</v>
      </c>
      <c r="BL71" s="25">
        <v>59</v>
      </c>
      <c r="BW71" s="25">
        <v>21</v>
      </c>
      <c r="BX71" s="5" t="s">
        <v>199</v>
      </c>
    </row>
    <row r="72" spans="1:76" ht="13.5" customHeight="1" x14ac:dyDescent="0.25">
      <c r="A72" s="28"/>
      <c r="B72" s="29" t="s">
        <v>62</v>
      </c>
      <c r="C72" s="96" t="s">
        <v>167</v>
      </c>
      <c r="D72" s="97"/>
      <c r="E72" s="97"/>
      <c r="F72" s="97"/>
      <c r="G72" s="97"/>
      <c r="H72" s="97"/>
      <c r="I72" s="97"/>
      <c r="J72" s="97"/>
      <c r="K72" s="98"/>
    </row>
    <row r="73" spans="1:76" x14ac:dyDescent="0.25">
      <c r="A73" s="2" t="s">
        <v>200</v>
      </c>
      <c r="B73" s="3" t="s">
        <v>201</v>
      </c>
      <c r="C73" s="80" t="s">
        <v>202</v>
      </c>
      <c r="D73" s="75"/>
      <c r="E73" s="3" t="s">
        <v>144</v>
      </c>
      <c r="F73" s="25">
        <v>52.5</v>
      </c>
      <c r="G73" s="25">
        <v>0</v>
      </c>
      <c r="H73" s="25">
        <f>ROUND(F73*AO73,2)</f>
        <v>0</v>
      </c>
      <c r="I73" s="25">
        <f>ROUND(F73*AP73,2)</f>
        <v>0</v>
      </c>
      <c r="J73" s="25">
        <f>ROUND(F73*G73,2)</f>
        <v>0</v>
      </c>
      <c r="K73" s="26" t="s">
        <v>57</v>
      </c>
      <c r="Z73" s="25">
        <f>ROUND(IF(AQ73="5",BJ73,0),2)</f>
        <v>0</v>
      </c>
      <c r="AB73" s="25">
        <f>ROUND(IF(AQ73="1",BH73,0),2)</f>
        <v>0</v>
      </c>
      <c r="AC73" s="25">
        <f>ROUND(IF(AQ73="1",BI73,0),2)</f>
        <v>0</v>
      </c>
      <c r="AD73" s="25">
        <f>ROUND(IF(AQ73="7",BH73,0),2)</f>
        <v>0</v>
      </c>
      <c r="AE73" s="25">
        <f>ROUND(IF(AQ73="7",BI73,0),2)</f>
        <v>0</v>
      </c>
      <c r="AF73" s="25">
        <f>ROUND(IF(AQ73="2",BH73,0),2)</f>
        <v>0</v>
      </c>
      <c r="AG73" s="25">
        <f>ROUND(IF(AQ73="2",BI73,0),2)</f>
        <v>0</v>
      </c>
      <c r="AH73" s="25">
        <f>ROUND(IF(AQ73="0",BJ73,0),2)</f>
        <v>0</v>
      </c>
      <c r="AI73" s="11" t="s">
        <v>50</v>
      </c>
      <c r="AJ73" s="25">
        <f>IF(AN73=0,J73,0)</f>
        <v>0</v>
      </c>
      <c r="AK73" s="25">
        <f>IF(AN73=12,J73,0)</f>
        <v>0</v>
      </c>
      <c r="AL73" s="25">
        <f>IF(AN73=21,J73,0)</f>
        <v>0</v>
      </c>
      <c r="AN73" s="25">
        <v>21</v>
      </c>
      <c r="AO73" s="25">
        <f>G73*1</f>
        <v>0</v>
      </c>
      <c r="AP73" s="25">
        <f>G73*(1-1)</f>
        <v>0</v>
      </c>
      <c r="AQ73" s="27" t="s">
        <v>53</v>
      </c>
      <c r="AV73" s="25">
        <f>ROUND(AW73+AX73,2)</f>
        <v>0</v>
      </c>
      <c r="AW73" s="25">
        <f>ROUND(F73*AO73,2)</f>
        <v>0</v>
      </c>
      <c r="AX73" s="25">
        <f>ROUND(F73*AP73,2)</f>
        <v>0</v>
      </c>
      <c r="AY73" s="27" t="s">
        <v>193</v>
      </c>
      <c r="AZ73" s="27" t="s">
        <v>162</v>
      </c>
      <c r="BA73" s="11" t="s">
        <v>60</v>
      </c>
      <c r="BC73" s="25">
        <f>AW73+AX73</f>
        <v>0</v>
      </c>
      <c r="BD73" s="25">
        <f>G73/(100-BE73)*100</f>
        <v>0</v>
      </c>
      <c r="BE73" s="25">
        <v>0</v>
      </c>
      <c r="BF73" s="25">
        <f>73</f>
        <v>73</v>
      </c>
      <c r="BH73" s="25">
        <f>F73*AO73</f>
        <v>0</v>
      </c>
      <c r="BI73" s="25">
        <f>F73*AP73</f>
        <v>0</v>
      </c>
      <c r="BJ73" s="25">
        <f>F73*G73</f>
        <v>0</v>
      </c>
      <c r="BK73" s="27" t="s">
        <v>125</v>
      </c>
      <c r="BL73" s="25">
        <v>59</v>
      </c>
      <c r="BW73" s="25">
        <v>21</v>
      </c>
      <c r="BX73" s="5" t="s">
        <v>202</v>
      </c>
    </row>
    <row r="74" spans="1:76" x14ac:dyDescent="0.25">
      <c r="A74" s="2" t="s">
        <v>203</v>
      </c>
      <c r="B74" s="3" t="s">
        <v>204</v>
      </c>
      <c r="C74" s="80" t="s">
        <v>205</v>
      </c>
      <c r="D74" s="75"/>
      <c r="E74" s="3" t="s">
        <v>56</v>
      </c>
      <c r="F74" s="25">
        <v>4</v>
      </c>
      <c r="G74" s="25">
        <v>0</v>
      </c>
      <c r="H74" s="25">
        <f>ROUND(F74*AO74,2)</f>
        <v>0</v>
      </c>
      <c r="I74" s="25">
        <f>ROUND(F74*AP74,2)</f>
        <v>0</v>
      </c>
      <c r="J74" s="25">
        <f>ROUND(F74*G74,2)</f>
        <v>0</v>
      </c>
      <c r="K74" s="26" t="s">
        <v>57</v>
      </c>
      <c r="Z74" s="25">
        <f>ROUND(IF(AQ74="5",BJ74,0),2)</f>
        <v>0</v>
      </c>
      <c r="AB74" s="25">
        <f>ROUND(IF(AQ74="1",BH74,0),2)</f>
        <v>0</v>
      </c>
      <c r="AC74" s="25">
        <f>ROUND(IF(AQ74="1",BI74,0),2)</f>
        <v>0</v>
      </c>
      <c r="AD74" s="25">
        <f>ROUND(IF(AQ74="7",BH74,0),2)</f>
        <v>0</v>
      </c>
      <c r="AE74" s="25">
        <f>ROUND(IF(AQ74="7",BI74,0),2)</f>
        <v>0</v>
      </c>
      <c r="AF74" s="25">
        <f>ROUND(IF(AQ74="2",BH74,0),2)</f>
        <v>0</v>
      </c>
      <c r="AG74" s="25">
        <f>ROUND(IF(AQ74="2",BI74,0),2)</f>
        <v>0</v>
      </c>
      <c r="AH74" s="25">
        <f>ROUND(IF(AQ74="0",BJ74,0),2)</f>
        <v>0</v>
      </c>
      <c r="AI74" s="11" t="s">
        <v>50</v>
      </c>
      <c r="AJ74" s="25">
        <f>IF(AN74=0,J74,0)</f>
        <v>0</v>
      </c>
      <c r="AK74" s="25">
        <f>IF(AN74=12,J74,0)</f>
        <v>0</v>
      </c>
      <c r="AL74" s="25">
        <f>IF(AN74=21,J74,0)</f>
        <v>0</v>
      </c>
      <c r="AN74" s="25">
        <v>21</v>
      </c>
      <c r="AO74" s="25">
        <f>G74*0.120652482</f>
        <v>0</v>
      </c>
      <c r="AP74" s="25">
        <f>G74*(1-0.120652482)</f>
        <v>0</v>
      </c>
      <c r="AQ74" s="27" t="s">
        <v>53</v>
      </c>
      <c r="AV74" s="25">
        <f>ROUND(AW74+AX74,2)</f>
        <v>0</v>
      </c>
      <c r="AW74" s="25">
        <f>ROUND(F74*AO74,2)</f>
        <v>0</v>
      </c>
      <c r="AX74" s="25">
        <f>ROUND(F74*AP74,2)</f>
        <v>0</v>
      </c>
      <c r="AY74" s="27" t="s">
        <v>193</v>
      </c>
      <c r="AZ74" s="27" t="s">
        <v>162</v>
      </c>
      <c r="BA74" s="11" t="s">
        <v>60</v>
      </c>
      <c r="BC74" s="25">
        <f>AW74+AX74</f>
        <v>0</v>
      </c>
      <c r="BD74" s="25">
        <f>G74/(100-BE74)*100</f>
        <v>0</v>
      </c>
      <c r="BE74" s="25">
        <v>0</v>
      </c>
      <c r="BF74" s="25">
        <f>74</f>
        <v>74</v>
      </c>
      <c r="BH74" s="25">
        <f>F74*AO74</f>
        <v>0</v>
      </c>
      <c r="BI74" s="25">
        <f>F74*AP74</f>
        <v>0</v>
      </c>
      <c r="BJ74" s="25">
        <f>F74*G74</f>
        <v>0</v>
      </c>
      <c r="BK74" s="27" t="s">
        <v>61</v>
      </c>
      <c r="BL74" s="25">
        <v>59</v>
      </c>
      <c r="BW74" s="25">
        <v>21</v>
      </c>
      <c r="BX74" s="5" t="s">
        <v>205</v>
      </c>
    </row>
    <row r="75" spans="1:76" ht="13.5" customHeight="1" x14ac:dyDescent="0.25">
      <c r="A75" s="28"/>
      <c r="B75" s="29" t="s">
        <v>62</v>
      </c>
      <c r="C75" s="96" t="s">
        <v>172</v>
      </c>
      <c r="D75" s="97"/>
      <c r="E75" s="97"/>
      <c r="F75" s="97"/>
      <c r="G75" s="97"/>
      <c r="H75" s="97"/>
      <c r="I75" s="97"/>
      <c r="J75" s="97"/>
      <c r="K75" s="98"/>
    </row>
    <row r="76" spans="1:76" ht="25.5" x14ac:dyDescent="0.25">
      <c r="A76" s="2" t="s">
        <v>206</v>
      </c>
      <c r="B76" s="3" t="s">
        <v>207</v>
      </c>
      <c r="C76" s="80" t="s">
        <v>208</v>
      </c>
      <c r="D76" s="75"/>
      <c r="E76" s="3" t="s">
        <v>56</v>
      </c>
      <c r="F76" s="25">
        <v>4</v>
      </c>
      <c r="G76" s="25">
        <v>0</v>
      </c>
      <c r="H76" s="25">
        <f>ROUND(F76*AO76,2)</f>
        <v>0</v>
      </c>
      <c r="I76" s="25">
        <f>ROUND(F76*AP76,2)</f>
        <v>0</v>
      </c>
      <c r="J76" s="25">
        <f>ROUND(F76*G76,2)</f>
        <v>0</v>
      </c>
      <c r="K76" s="26" t="s">
        <v>57</v>
      </c>
      <c r="Z76" s="25">
        <f>ROUND(IF(AQ76="5",BJ76,0),2)</f>
        <v>0</v>
      </c>
      <c r="AB76" s="25">
        <f>ROUND(IF(AQ76="1",BH76,0),2)</f>
        <v>0</v>
      </c>
      <c r="AC76" s="25">
        <f>ROUND(IF(AQ76="1",BI76,0),2)</f>
        <v>0</v>
      </c>
      <c r="AD76" s="25">
        <f>ROUND(IF(AQ76="7",BH76,0),2)</f>
        <v>0</v>
      </c>
      <c r="AE76" s="25">
        <f>ROUND(IF(AQ76="7",BI76,0),2)</f>
        <v>0</v>
      </c>
      <c r="AF76" s="25">
        <f>ROUND(IF(AQ76="2",BH76,0),2)</f>
        <v>0</v>
      </c>
      <c r="AG76" s="25">
        <f>ROUND(IF(AQ76="2",BI76,0),2)</f>
        <v>0</v>
      </c>
      <c r="AH76" s="25">
        <f>ROUND(IF(AQ76="0",BJ76,0),2)</f>
        <v>0</v>
      </c>
      <c r="AI76" s="11" t="s">
        <v>50</v>
      </c>
      <c r="AJ76" s="25">
        <f>IF(AN76=0,J76,0)</f>
        <v>0</v>
      </c>
      <c r="AK76" s="25">
        <f>IF(AN76=12,J76,0)</f>
        <v>0</v>
      </c>
      <c r="AL76" s="25">
        <f>IF(AN76=21,J76,0)</f>
        <v>0</v>
      </c>
      <c r="AN76" s="25">
        <v>21</v>
      </c>
      <c r="AO76" s="25">
        <f>G76*1</f>
        <v>0</v>
      </c>
      <c r="AP76" s="25">
        <f>G76*(1-1)</f>
        <v>0</v>
      </c>
      <c r="AQ76" s="27" t="s">
        <v>53</v>
      </c>
      <c r="AV76" s="25">
        <f>ROUND(AW76+AX76,2)</f>
        <v>0</v>
      </c>
      <c r="AW76" s="25">
        <f>ROUND(F76*AO76,2)</f>
        <v>0</v>
      </c>
      <c r="AX76" s="25">
        <f>ROUND(F76*AP76,2)</f>
        <v>0</v>
      </c>
      <c r="AY76" s="27" t="s">
        <v>193</v>
      </c>
      <c r="AZ76" s="27" t="s">
        <v>162</v>
      </c>
      <c r="BA76" s="11" t="s">
        <v>60</v>
      </c>
      <c r="BC76" s="25">
        <f>AW76+AX76</f>
        <v>0</v>
      </c>
      <c r="BD76" s="25">
        <f>G76/(100-BE76)*100</f>
        <v>0</v>
      </c>
      <c r="BE76" s="25">
        <v>0</v>
      </c>
      <c r="BF76" s="25">
        <f>76</f>
        <v>76</v>
      </c>
      <c r="BH76" s="25">
        <f>F76*AO76</f>
        <v>0</v>
      </c>
      <c r="BI76" s="25">
        <f>F76*AP76</f>
        <v>0</v>
      </c>
      <c r="BJ76" s="25">
        <f>F76*G76</f>
        <v>0</v>
      </c>
      <c r="BK76" s="27" t="s">
        <v>125</v>
      </c>
      <c r="BL76" s="25">
        <v>59</v>
      </c>
      <c r="BW76" s="25">
        <v>21</v>
      </c>
      <c r="BX76" s="5" t="s">
        <v>208</v>
      </c>
    </row>
    <row r="77" spans="1:76" x14ac:dyDescent="0.25">
      <c r="A77" s="2" t="s">
        <v>209</v>
      </c>
      <c r="B77" s="3" t="s">
        <v>210</v>
      </c>
      <c r="C77" s="80" t="s">
        <v>211</v>
      </c>
      <c r="D77" s="75"/>
      <c r="E77" s="3" t="s">
        <v>56</v>
      </c>
      <c r="F77" s="25">
        <v>35</v>
      </c>
      <c r="G77" s="25">
        <v>0</v>
      </c>
      <c r="H77" s="25">
        <f>ROUND(F77*AO77,2)</f>
        <v>0</v>
      </c>
      <c r="I77" s="25">
        <f>ROUND(F77*AP77,2)</f>
        <v>0</v>
      </c>
      <c r="J77" s="25">
        <f>ROUND(F77*G77,2)</f>
        <v>0</v>
      </c>
      <c r="K77" s="26" t="s">
        <v>57</v>
      </c>
      <c r="Z77" s="25">
        <f>ROUND(IF(AQ77="5",BJ77,0),2)</f>
        <v>0</v>
      </c>
      <c r="AB77" s="25">
        <f>ROUND(IF(AQ77="1",BH77,0),2)</f>
        <v>0</v>
      </c>
      <c r="AC77" s="25">
        <f>ROUND(IF(AQ77="1",BI77,0),2)</f>
        <v>0</v>
      </c>
      <c r="AD77" s="25">
        <f>ROUND(IF(AQ77="7",BH77,0),2)</f>
        <v>0</v>
      </c>
      <c r="AE77" s="25">
        <f>ROUND(IF(AQ77="7",BI77,0),2)</f>
        <v>0</v>
      </c>
      <c r="AF77" s="25">
        <f>ROUND(IF(AQ77="2",BH77,0),2)</f>
        <v>0</v>
      </c>
      <c r="AG77" s="25">
        <f>ROUND(IF(AQ77="2",BI77,0),2)</f>
        <v>0</v>
      </c>
      <c r="AH77" s="25">
        <f>ROUND(IF(AQ77="0",BJ77,0),2)</f>
        <v>0</v>
      </c>
      <c r="AI77" s="11" t="s">
        <v>50</v>
      </c>
      <c r="AJ77" s="25">
        <f>IF(AN77=0,J77,0)</f>
        <v>0</v>
      </c>
      <c r="AK77" s="25">
        <f>IF(AN77=12,J77,0)</f>
        <v>0</v>
      </c>
      <c r="AL77" s="25">
        <f>IF(AN77=21,J77,0)</f>
        <v>0</v>
      </c>
      <c r="AN77" s="25">
        <v>21</v>
      </c>
      <c r="AO77" s="25">
        <f>G77*0.205045045</f>
        <v>0</v>
      </c>
      <c r="AP77" s="25">
        <f>G77*(1-0.205045045)</f>
        <v>0</v>
      </c>
      <c r="AQ77" s="27" t="s">
        <v>53</v>
      </c>
      <c r="AV77" s="25">
        <f>ROUND(AW77+AX77,2)</f>
        <v>0</v>
      </c>
      <c r="AW77" s="25">
        <f>ROUND(F77*AO77,2)</f>
        <v>0</v>
      </c>
      <c r="AX77" s="25">
        <f>ROUND(F77*AP77,2)</f>
        <v>0</v>
      </c>
      <c r="AY77" s="27" t="s">
        <v>193</v>
      </c>
      <c r="AZ77" s="27" t="s">
        <v>162</v>
      </c>
      <c r="BA77" s="11" t="s">
        <v>60</v>
      </c>
      <c r="BC77" s="25">
        <f>AW77+AX77</f>
        <v>0</v>
      </c>
      <c r="BD77" s="25">
        <f>G77/(100-BE77)*100</f>
        <v>0</v>
      </c>
      <c r="BE77" s="25">
        <v>0</v>
      </c>
      <c r="BF77" s="25">
        <f>77</f>
        <v>77</v>
      </c>
      <c r="BH77" s="25">
        <f>F77*AO77</f>
        <v>0</v>
      </c>
      <c r="BI77" s="25">
        <f>F77*AP77</f>
        <v>0</v>
      </c>
      <c r="BJ77" s="25">
        <f>F77*G77</f>
        <v>0</v>
      </c>
      <c r="BK77" s="27" t="s">
        <v>61</v>
      </c>
      <c r="BL77" s="25">
        <v>59</v>
      </c>
      <c r="BW77" s="25">
        <v>21</v>
      </c>
      <c r="BX77" s="5" t="s">
        <v>211</v>
      </c>
    </row>
    <row r="78" spans="1:76" ht="13.5" customHeight="1" x14ac:dyDescent="0.25">
      <c r="A78" s="28"/>
      <c r="B78" s="29" t="s">
        <v>62</v>
      </c>
      <c r="C78" s="96" t="s">
        <v>212</v>
      </c>
      <c r="D78" s="97"/>
      <c r="E78" s="97"/>
      <c r="F78" s="97"/>
      <c r="G78" s="97"/>
      <c r="H78" s="97"/>
      <c r="I78" s="97"/>
      <c r="J78" s="97"/>
      <c r="K78" s="98"/>
    </row>
    <row r="79" spans="1:76" x14ac:dyDescent="0.25">
      <c r="A79" s="30" t="s">
        <v>50</v>
      </c>
      <c r="B79" s="31" t="s">
        <v>213</v>
      </c>
      <c r="C79" s="99" t="s">
        <v>214</v>
      </c>
      <c r="D79" s="100"/>
      <c r="E79" s="32" t="s">
        <v>4</v>
      </c>
      <c r="F79" s="32" t="s">
        <v>4</v>
      </c>
      <c r="G79" s="32" t="s">
        <v>4</v>
      </c>
      <c r="H79" s="1">
        <f>SUM(H80:H82)</f>
        <v>0</v>
      </c>
      <c r="I79" s="1">
        <f>SUM(I80:I82)</f>
        <v>0</v>
      </c>
      <c r="J79" s="1">
        <f>SUM(J80:J82)</f>
        <v>0</v>
      </c>
      <c r="K79" s="33" t="s">
        <v>50</v>
      </c>
      <c r="AI79" s="11" t="s">
        <v>50</v>
      </c>
      <c r="AS79" s="1">
        <f>SUM(AJ80:AJ82)</f>
        <v>0</v>
      </c>
      <c r="AT79" s="1">
        <f>SUM(AK80:AK82)</f>
        <v>0</v>
      </c>
      <c r="AU79" s="1">
        <f>SUM(AL80:AL82)</f>
        <v>0</v>
      </c>
    </row>
    <row r="80" spans="1:76" x14ac:dyDescent="0.25">
      <c r="A80" s="2" t="s">
        <v>215</v>
      </c>
      <c r="B80" s="3" t="s">
        <v>216</v>
      </c>
      <c r="C80" s="80" t="s">
        <v>217</v>
      </c>
      <c r="D80" s="75"/>
      <c r="E80" s="3" t="s">
        <v>218</v>
      </c>
      <c r="F80" s="25">
        <v>1</v>
      </c>
      <c r="G80" s="25">
        <v>0</v>
      </c>
      <c r="H80" s="25">
        <f>ROUND(F80*AO80,2)</f>
        <v>0</v>
      </c>
      <c r="I80" s="25">
        <f>ROUND(F80*AP80,2)</f>
        <v>0</v>
      </c>
      <c r="J80" s="25">
        <f>ROUND(F80*G80,2)</f>
        <v>0</v>
      </c>
      <c r="K80" s="26" t="s">
        <v>57</v>
      </c>
      <c r="Z80" s="25">
        <f>ROUND(IF(AQ80="5",BJ80,0),2)</f>
        <v>0</v>
      </c>
      <c r="AB80" s="25">
        <f>ROUND(IF(AQ80="1",BH80,0),2)</f>
        <v>0</v>
      </c>
      <c r="AC80" s="25">
        <f>ROUND(IF(AQ80="1",BI80,0),2)</f>
        <v>0</v>
      </c>
      <c r="AD80" s="25">
        <f>ROUND(IF(AQ80="7",BH80,0),2)</f>
        <v>0</v>
      </c>
      <c r="AE80" s="25">
        <f>ROUND(IF(AQ80="7",BI80,0),2)</f>
        <v>0</v>
      </c>
      <c r="AF80" s="25">
        <f>ROUND(IF(AQ80="2",BH80,0),2)</f>
        <v>0</v>
      </c>
      <c r="AG80" s="25">
        <f>ROUND(IF(AQ80="2",BI80,0),2)</f>
        <v>0</v>
      </c>
      <c r="AH80" s="25">
        <f>ROUND(IF(AQ80="0",BJ80,0),2)</f>
        <v>0</v>
      </c>
      <c r="AI80" s="11" t="s">
        <v>50</v>
      </c>
      <c r="AJ80" s="25">
        <f>IF(AN80=0,J80,0)</f>
        <v>0</v>
      </c>
      <c r="AK80" s="25">
        <f>IF(AN80=12,J80,0)</f>
        <v>0</v>
      </c>
      <c r="AL80" s="25">
        <f>IF(AN80=21,J80,0)</f>
        <v>0</v>
      </c>
      <c r="AN80" s="25">
        <v>21</v>
      </c>
      <c r="AO80" s="25">
        <f>G80*0.64866295</f>
        <v>0</v>
      </c>
      <c r="AP80" s="25">
        <f>G80*(1-0.64866295)</f>
        <v>0</v>
      </c>
      <c r="AQ80" s="27" t="s">
        <v>53</v>
      </c>
      <c r="AV80" s="25">
        <f>ROUND(AW80+AX80,2)</f>
        <v>0</v>
      </c>
      <c r="AW80" s="25">
        <f>ROUND(F80*AO80,2)</f>
        <v>0</v>
      </c>
      <c r="AX80" s="25">
        <f>ROUND(F80*AP80,2)</f>
        <v>0</v>
      </c>
      <c r="AY80" s="27" t="s">
        <v>219</v>
      </c>
      <c r="AZ80" s="27" t="s">
        <v>220</v>
      </c>
      <c r="BA80" s="11" t="s">
        <v>60</v>
      </c>
      <c r="BC80" s="25">
        <f>AW80+AX80</f>
        <v>0</v>
      </c>
      <c r="BD80" s="25">
        <f>G80/(100-BE80)*100</f>
        <v>0</v>
      </c>
      <c r="BE80" s="25">
        <v>0</v>
      </c>
      <c r="BF80" s="25">
        <f>80</f>
        <v>80</v>
      </c>
      <c r="BH80" s="25">
        <f>F80*AO80</f>
        <v>0</v>
      </c>
      <c r="BI80" s="25">
        <f>F80*AP80</f>
        <v>0</v>
      </c>
      <c r="BJ80" s="25">
        <f>F80*G80</f>
        <v>0</v>
      </c>
      <c r="BK80" s="27" t="s">
        <v>61</v>
      </c>
      <c r="BL80" s="25">
        <v>89</v>
      </c>
      <c r="BW80" s="25">
        <v>21</v>
      </c>
      <c r="BX80" s="5" t="s">
        <v>217</v>
      </c>
    </row>
    <row r="81" spans="1:76" ht="13.5" customHeight="1" x14ac:dyDescent="0.25">
      <c r="A81" s="28"/>
      <c r="B81" s="29" t="s">
        <v>62</v>
      </c>
      <c r="C81" s="96" t="s">
        <v>221</v>
      </c>
      <c r="D81" s="97"/>
      <c r="E81" s="97"/>
      <c r="F81" s="97"/>
      <c r="G81" s="97"/>
      <c r="H81" s="97"/>
      <c r="I81" s="97"/>
      <c r="J81" s="97"/>
      <c r="K81" s="98"/>
    </row>
    <row r="82" spans="1:76" x14ac:dyDescent="0.25">
      <c r="A82" s="2" t="s">
        <v>222</v>
      </c>
      <c r="B82" s="3" t="s">
        <v>223</v>
      </c>
      <c r="C82" s="80" t="s">
        <v>224</v>
      </c>
      <c r="D82" s="75"/>
      <c r="E82" s="3" t="s">
        <v>218</v>
      </c>
      <c r="F82" s="25">
        <v>1</v>
      </c>
      <c r="G82" s="25">
        <v>0</v>
      </c>
      <c r="H82" s="25">
        <f>ROUND(F82*AO82,2)</f>
        <v>0</v>
      </c>
      <c r="I82" s="25">
        <f>ROUND(F82*AP82,2)</f>
        <v>0</v>
      </c>
      <c r="J82" s="25">
        <f>ROUND(F82*G82,2)</f>
        <v>0</v>
      </c>
      <c r="K82" s="26" t="s">
        <v>57</v>
      </c>
      <c r="Z82" s="25">
        <f>ROUND(IF(AQ82="5",BJ82,0),2)</f>
        <v>0</v>
      </c>
      <c r="AB82" s="25">
        <f>ROUND(IF(AQ82="1",BH82,0),2)</f>
        <v>0</v>
      </c>
      <c r="AC82" s="25">
        <f>ROUND(IF(AQ82="1",BI82,0),2)</f>
        <v>0</v>
      </c>
      <c r="AD82" s="25">
        <f>ROUND(IF(AQ82="7",BH82,0),2)</f>
        <v>0</v>
      </c>
      <c r="AE82" s="25">
        <f>ROUND(IF(AQ82="7",BI82,0),2)</f>
        <v>0</v>
      </c>
      <c r="AF82" s="25">
        <f>ROUND(IF(AQ82="2",BH82,0),2)</f>
        <v>0</v>
      </c>
      <c r="AG82" s="25">
        <f>ROUND(IF(AQ82="2",BI82,0),2)</f>
        <v>0</v>
      </c>
      <c r="AH82" s="25">
        <f>ROUND(IF(AQ82="0",BJ82,0),2)</f>
        <v>0</v>
      </c>
      <c r="AI82" s="11" t="s">
        <v>50</v>
      </c>
      <c r="AJ82" s="25">
        <f>IF(AN82=0,J82,0)</f>
        <v>0</v>
      </c>
      <c r="AK82" s="25">
        <f>IF(AN82=12,J82,0)</f>
        <v>0</v>
      </c>
      <c r="AL82" s="25">
        <f>IF(AN82=21,J82,0)</f>
        <v>0</v>
      </c>
      <c r="AN82" s="25">
        <v>21</v>
      </c>
      <c r="AO82" s="25">
        <f>G82*0</f>
        <v>0</v>
      </c>
      <c r="AP82" s="25">
        <f>G82*(1-0)</f>
        <v>0</v>
      </c>
      <c r="AQ82" s="27" t="s">
        <v>53</v>
      </c>
      <c r="AV82" s="25">
        <f>ROUND(AW82+AX82,2)</f>
        <v>0</v>
      </c>
      <c r="AW82" s="25">
        <f>ROUND(F82*AO82,2)</f>
        <v>0</v>
      </c>
      <c r="AX82" s="25">
        <f>ROUND(F82*AP82,2)</f>
        <v>0</v>
      </c>
      <c r="AY82" s="27" t="s">
        <v>219</v>
      </c>
      <c r="AZ82" s="27" t="s">
        <v>220</v>
      </c>
      <c r="BA82" s="11" t="s">
        <v>60</v>
      </c>
      <c r="BC82" s="25">
        <f>AW82+AX82</f>
        <v>0</v>
      </c>
      <c r="BD82" s="25">
        <f>G82/(100-BE82)*100</f>
        <v>0</v>
      </c>
      <c r="BE82" s="25">
        <v>0</v>
      </c>
      <c r="BF82" s="25">
        <f>82</f>
        <v>82</v>
      </c>
      <c r="BH82" s="25">
        <f>F82*AO82</f>
        <v>0</v>
      </c>
      <c r="BI82" s="25">
        <f>F82*AP82</f>
        <v>0</v>
      </c>
      <c r="BJ82" s="25">
        <f>F82*G82</f>
        <v>0</v>
      </c>
      <c r="BK82" s="27" t="s">
        <v>61</v>
      </c>
      <c r="BL82" s="25">
        <v>89</v>
      </c>
      <c r="BW82" s="25">
        <v>21</v>
      </c>
      <c r="BX82" s="5" t="s">
        <v>224</v>
      </c>
    </row>
    <row r="83" spans="1:76" x14ac:dyDescent="0.25">
      <c r="A83" s="30" t="s">
        <v>50</v>
      </c>
      <c r="B83" s="31" t="s">
        <v>225</v>
      </c>
      <c r="C83" s="99" t="s">
        <v>226</v>
      </c>
      <c r="D83" s="100"/>
      <c r="E83" s="32" t="s">
        <v>4</v>
      </c>
      <c r="F83" s="32" t="s">
        <v>4</v>
      </c>
      <c r="G83" s="32" t="s">
        <v>4</v>
      </c>
      <c r="H83" s="1">
        <f>SUM(H84:H99)</f>
        <v>0</v>
      </c>
      <c r="I83" s="1">
        <f>SUM(I84:I99)</f>
        <v>0</v>
      </c>
      <c r="J83" s="1">
        <f>SUM(J84:J99)</f>
        <v>0</v>
      </c>
      <c r="K83" s="33" t="s">
        <v>50</v>
      </c>
      <c r="AI83" s="11" t="s">
        <v>50</v>
      </c>
      <c r="AS83" s="1">
        <f>SUM(AJ84:AJ99)</f>
        <v>0</v>
      </c>
      <c r="AT83" s="1">
        <f>SUM(AK84:AK99)</f>
        <v>0</v>
      </c>
      <c r="AU83" s="1">
        <f>SUM(AL84:AL99)</f>
        <v>0</v>
      </c>
    </row>
    <row r="84" spans="1:76" ht="25.5" x14ac:dyDescent="0.25">
      <c r="A84" s="2" t="s">
        <v>227</v>
      </c>
      <c r="B84" s="3" t="s">
        <v>228</v>
      </c>
      <c r="C84" s="80" t="s">
        <v>229</v>
      </c>
      <c r="D84" s="75"/>
      <c r="E84" s="3" t="s">
        <v>218</v>
      </c>
      <c r="F84" s="25">
        <v>1</v>
      </c>
      <c r="G84" s="25">
        <v>0</v>
      </c>
      <c r="H84" s="25">
        <f>ROUND(F84*AO84,2)</f>
        <v>0</v>
      </c>
      <c r="I84" s="25">
        <f>ROUND(F84*AP84,2)</f>
        <v>0</v>
      </c>
      <c r="J84" s="25">
        <f>ROUND(F84*G84,2)</f>
        <v>0</v>
      </c>
      <c r="K84" s="26" t="s">
        <v>57</v>
      </c>
      <c r="Z84" s="25">
        <f>ROUND(IF(AQ84="5",BJ84,0),2)</f>
        <v>0</v>
      </c>
      <c r="AB84" s="25">
        <f>ROUND(IF(AQ84="1",BH84,0),2)</f>
        <v>0</v>
      </c>
      <c r="AC84" s="25">
        <f>ROUND(IF(AQ84="1",BI84,0),2)</f>
        <v>0</v>
      </c>
      <c r="AD84" s="25">
        <f>ROUND(IF(AQ84="7",BH84,0),2)</f>
        <v>0</v>
      </c>
      <c r="AE84" s="25">
        <f>ROUND(IF(AQ84="7",BI84,0),2)</f>
        <v>0</v>
      </c>
      <c r="AF84" s="25">
        <f>ROUND(IF(AQ84="2",BH84,0),2)</f>
        <v>0</v>
      </c>
      <c r="AG84" s="25">
        <f>ROUND(IF(AQ84="2",BI84,0),2)</f>
        <v>0</v>
      </c>
      <c r="AH84" s="25">
        <f>ROUND(IF(AQ84="0",BJ84,0),2)</f>
        <v>0</v>
      </c>
      <c r="AI84" s="11" t="s">
        <v>50</v>
      </c>
      <c r="AJ84" s="25">
        <f>IF(AN84=0,J84,0)</f>
        <v>0</v>
      </c>
      <c r="AK84" s="25">
        <f>IF(AN84=12,J84,0)</f>
        <v>0</v>
      </c>
      <c r="AL84" s="25">
        <f>IF(AN84=21,J84,0)</f>
        <v>0</v>
      </c>
      <c r="AN84" s="25">
        <v>21</v>
      </c>
      <c r="AO84" s="25">
        <f>G84*0.803406632</f>
        <v>0</v>
      </c>
      <c r="AP84" s="25">
        <f>G84*(1-0.803406632)</f>
        <v>0</v>
      </c>
      <c r="AQ84" s="27" t="s">
        <v>53</v>
      </c>
      <c r="AV84" s="25">
        <f>ROUND(AW84+AX84,2)</f>
        <v>0</v>
      </c>
      <c r="AW84" s="25">
        <f>ROUND(F84*AO84,2)</f>
        <v>0</v>
      </c>
      <c r="AX84" s="25">
        <f>ROUND(F84*AP84,2)</f>
        <v>0</v>
      </c>
      <c r="AY84" s="27" t="s">
        <v>230</v>
      </c>
      <c r="AZ84" s="27" t="s">
        <v>231</v>
      </c>
      <c r="BA84" s="11" t="s">
        <v>60</v>
      </c>
      <c r="BC84" s="25">
        <f>AW84+AX84</f>
        <v>0</v>
      </c>
      <c r="BD84" s="25">
        <f>G84/(100-BE84)*100</f>
        <v>0</v>
      </c>
      <c r="BE84" s="25">
        <v>0</v>
      </c>
      <c r="BF84" s="25">
        <f>84</f>
        <v>84</v>
      </c>
      <c r="BH84" s="25">
        <f>F84*AO84</f>
        <v>0</v>
      </c>
      <c r="BI84" s="25">
        <f>F84*AP84</f>
        <v>0</v>
      </c>
      <c r="BJ84" s="25">
        <f>F84*G84</f>
        <v>0</v>
      </c>
      <c r="BK84" s="27" t="s">
        <v>61</v>
      </c>
      <c r="BL84" s="25">
        <v>91</v>
      </c>
      <c r="BW84" s="25">
        <v>21</v>
      </c>
      <c r="BX84" s="5" t="s">
        <v>229</v>
      </c>
    </row>
    <row r="85" spans="1:76" ht="13.5" customHeight="1" x14ac:dyDescent="0.25">
      <c r="A85" s="28"/>
      <c r="B85" s="29" t="s">
        <v>62</v>
      </c>
      <c r="C85" s="96" t="s">
        <v>232</v>
      </c>
      <c r="D85" s="97"/>
      <c r="E85" s="97"/>
      <c r="F85" s="97"/>
      <c r="G85" s="97"/>
      <c r="H85" s="97"/>
      <c r="I85" s="97"/>
      <c r="J85" s="97"/>
      <c r="K85" s="98"/>
    </row>
    <row r="86" spans="1:76" ht="25.5" x14ac:dyDescent="0.25">
      <c r="A86" s="2" t="s">
        <v>233</v>
      </c>
      <c r="B86" s="3" t="s">
        <v>234</v>
      </c>
      <c r="C86" s="80" t="s">
        <v>235</v>
      </c>
      <c r="D86" s="75"/>
      <c r="E86" s="3" t="s">
        <v>67</v>
      </c>
      <c r="F86" s="25">
        <v>3</v>
      </c>
      <c r="G86" s="25">
        <v>0</v>
      </c>
      <c r="H86" s="25">
        <f>ROUND(F86*AO86,2)</f>
        <v>0</v>
      </c>
      <c r="I86" s="25">
        <f>ROUND(F86*AP86,2)</f>
        <v>0</v>
      </c>
      <c r="J86" s="25">
        <f>ROUND(F86*G86,2)</f>
        <v>0</v>
      </c>
      <c r="K86" s="26" t="s">
        <v>57</v>
      </c>
      <c r="Z86" s="25">
        <f>ROUND(IF(AQ86="5",BJ86,0),2)</f>
        <v>0</v>
      </c>
      <c r="AB86" s="25">
        <f>ROUND(IF(AQ86="1",BH86,0),2)</f>
        <v>0</v>
      </c>
      <c r="AC86" s="25">
        <f>ROUND(IF(AQ86="1",BI86,0),2)</f>
        <v>0</v>
      </c>
      <c r="AD86" s="25">
        <f>ROUND(IF(AQ86="7",BH86,0),2)</f>
        <v>0</v>
      </c>
      <c r="AE86" s="25">
        <f>ROUND(IF(AQ86="7",BI86,0),2)</f>
        <v>0</v>
      </c>
      <c r="AF86" s="25">
        <f>ROUND(IF(AQ86="2",BH86,0),2)</f>
        <v>0</v>
      </c>
      <c r="AG86" s="25">
        <f>ROUND(IF(AQ86="2",BI86,0),2)</f>
        <v>0</v>
      </c>
      <c r="AH86" s="25">
        <f>ROUND(IF(AQ86="0",BJ86,0),2)</f>
        <v>0</v>
      </c>
      <c r="AI86" s="11" t="s">
        <v>50</v>
      </c>
      <c r="AJ86" s="25">
        <f>IF(AN86=0,J86,0)</f>
        <v>0</v>
      </c>
      <c r="AK86" s="25">
        <f>IF(AN86=12,J86,0)</f>
        <v>0</v>
      </c>
      <c r="AL86" s="25">
        <f>IF(AN86=21,J86,0)</f>
        <v>0</v>
      </c>
      <c r="AN86" s="25">
        <v>21</v>
      </c>
      <c r="AO86" s="25">
        <f>G86*0.792892938</f>
        <v>0</v>
      </c>
      <c r="AP86" s="25">
        <f>G86*(1-0.792892938)</f>
        <v>0</v>
      </c>
      <c r="AQ86" s="27" t="s">
        <v>53</v>
      </c>
      <c r="AV86" s="25">
        <f>ROUND(AW86+AX86,2)</f>
        <v>0</v>
      </c>
      <c r="AW86" s="25">
        <f>ROUND(F86*AO86,2)</f>
        <v>0</v>
      </c>
      <c r="AX86" s="25">
        <f>ROUND(F86*AP86,2)</f>
        <v>0</v>
      </c>
      <c r="AY86" s="27" t="s">
        <v>230</v>
      </c>
      <c r="AZ86" s="27" t="s">
        <v>231</v>
      </c>
      <c r="BA86" s="11" t="s">
        <v>60</v>
      </c>
      <c r="BC86" s="25">
        <f>AW86+AX86</f>
        <v>0</v>
      </c>
      <c r="BD86" s="25">
        <f>G86/(100-BE86)*100</f>
        <v>0</v>
      </c>
      <c r="BE86" s="25">
        <v>0</v>
      </c>
      <c r="BF86" s="25">
        <f>86</f>
        <v>86</v>
      </c>
      <c r="BH86" s="25">
        <f>F86*AO86</f>
        <v>0</v>
      </c>
      <c r="BI86" s="25">
        <f>F86*AP86</f>
        <v>0</v>
      </c>
      <c r="BJ86" s="25">
        <f>F86*G86</f>
        <v>0</v>
      </c>
      <c r="BK86" s="27" t="s">
        <v>61</v>
      </c>
      <c r="BL86" s="25">
        <v>91</v>
      </c>
      <c r="BW86" s="25">
        <v>21</v>
      </c>
      <c r="BX86" s="5" t="s">
        <v>235</v>
      </c>
    </row>
    <row r="87" spans="1:76" ht="13.5" customHeight="1" x14ac:dyDescent="0.25">
      <c r="A87" s="28"/>
      <c r="B87" s="29" t="s">
        <v>62</v>
      </c>
      <c r="C87" s="96" t="s">
        <v>236</v>
      </c>
      <c r="D87" s="97"/>
      <c r="E87" s="97"/>
      <c r="F87" s="97"/>
      <c r="G87" s="97"/>
      <c r="H87" s="97"/>
      <c r="I87" s="97"/>
      <c r="J87" s="97"/>
      <c r="K87" s="98"/>
    </row>
    <row r="88" spans="1:76" x14ac:dyDescent="0.25">
      <c r="A88" s="2" t="s">
        <v>237</v>
      </c>
      <c r="B88" s="3" t="s">
        <v>238</v>
      </c>
      <c r="C88" s="80" t="s">
        <v>239</v>
      </c>
      <c r="D88" s="75"/>
      <c r="E88" s="3" t="s">
        <v>67</v>
      </c>
      <c r="F88" s="25">
        <v>103</v>
      </c>
      <c r="G88" s="25">
        <v>0</v>
      </c>
      <c r="H88" s="25">
        <f>ROUND(F88*AO88,2)</f>
        <v>0</v>
      </c>
      <c r="I88" s="25">
        <f>ROUND(F88*AP88,2)</f>
        <v>0</v>
      </c>
      <c r="J88" s="25">
        <f>ROUND(F88*G88,2)</f>
        <v>0</v>
      </c>
      <c r="K88" s="26" t="s">
        <v>57</v>
      </c>
      <c r="Z88" s="25">
        <f>ROUND(IF(AQ88="5",BJ88,0),2)</f>
        <v>0</v>
      </c>
      <c r="AB88" s="25">
        <f>ROUND(IF(AQ88="1",BH88,0),2)</f>
        <v>0</v>
      </c>
      <c r="AC88" s="25">
        <f>ROUND(IF(AQ88="1",BI88,0),2)</f>
        <v>0</v>
      </c>
      <c r="AD88" s="25">
        <f>ROUND(IF(AQ88="7",BH88,0),2)</f>
        <v>0</v>
      </c>
      <c r="AE88" s="25">
        <f>ROUND(IF(AQ88="7",BI88,0),2)</f>
        <v>0</v>
      </c>
      <c r="AF88" s="25">
        <f>ROUND(IF(AQ88="2",BH88,0),2)</f>
        <v>0</v>
      </c>
      <c r="AG88" s="25">
        <f>ROUND(IF(AQ88="2",BI88,0),2)</f>
        <v>0</v>
      </c>
      <c r="AH88" s="25">
        <f>ROUND(IF(AQ88="0",BJ88,0),2)</f>
        <v>0</v>
      </c>
      <c r="AI88" s="11" t="s">
        <v>50</v>
      </c>
      <c r="AJ88" s="25">
        <f>IF(AN88=0,J88,0)</f>
        <v>0</v>
      </c>
      <c r="AK88" s="25">
        <f>IF(AN88=12,J88,0)</f>
        <v>0</v>
      </c>
      <c r="AL88" s="25">
        <f>IF(AN88=21,J88,0)</f>
        <v>0</v>
      </c>
      <c r="AN88" s="25">
        <v>21</v>
      </c>
      <c r="AO88" s="25">
        <f>G88*0.562990654</f>
        <v>0</v>
      </c>
      <c r="AP88" s="25">
        <f>G88*(1-0.562990654)</f>
        <v>0</v>
      </c>
      <c r="AQ88" s="27" t="s">
        <v>53</v>
      </c>
      <c r="AV88" s="25">
        <f>ROUND(AW88+AX88,2)</f>
        <v>0</v>
      </c>
      <c r="AW88" s="25">
        <f>ROUND(F88*AO88,2)</f>
        <v>0</v>
      </c>
      <c r="AX88" s="25">
        <f>ROUND(F88*AP88,2)</f>
        <v>0</v>
      </c>
      <c r="AY88" s="27" t="s">
        <v>230</v>
      </c>
      <c r="AZ88" s="27" t="s">
        <v>231</v>
      </c>
      <c r="BA88" s="11" t="s">
        <v>60</v>
      </c>
      <c r="BC88" s="25">
        <f>AW88+AX88</f>
        <v>0</v>
      </c>
      <c r="BD88" s="25">
        <f>G88/(100-BE88)*100</f>
        <v>0</v>
      </c>
      <c r="BE88" s="25">
        <v>0</v>
      </c>
      <c r="BF88" s="25">
        <f>88</f>
        <v>88</v>
      </c>
      <c r="BH88" s="25">
        <f>F88*AO88</f>
        <v>0</v>
      </c>
      <c r="BI88" s="25">
        <f>F88*AP88</f>
        <v>0</v>
      </c>
      <c r="BJ88" s="25">
        <f>F88*G88</f>
        <v>0</v>
      </c>
      <c r="BK88" s="27" t="s">
        <v>61</v>
      </c>
      <c r="BL88" s="25">
        <v>91</v>
      </c>
      <c r="BW88" s="25">
        <v>21</v>
      </c>
      <c r="BX88" s="5" t="s">
        <v>239</v>
      </c>
    </row>
    <row r="89" spans="1:76" x14ac:dyDescent="0.25">
      <c r="A89" s="2" t="s">
        <v>240</v>
      </c>
      <c r="B89" s="3" t="s">
        <v>241</v>
      </c>
      <c r="C89" s="80" t="s">
        <v>242</v>
      </c>
      <c r="D89" s="75"/>
      <c r="E89" s="3" t="s">
        <v>67</v>
      </c>
      <c r="F89" s="25">
        <v>103</v>
      </c>
      <c r="G89" s="25">
        <v>0</v>
      </c>
      <c r="H89" s="25">
        <f>ROUND(F89*AO89,2)</f>
        <v>0</v>
      </c>
      <c r="I89" s="25">
        <f>ROUND(F89*AP89,2)</f>
        <v>0</v>
      </c>
      <c r="J89" s="25">
        <f>ROUND(F89*G89,2)</f>
        <v>0</v>
      </c>
      <c r="K89" s="26" t="s">
        <v>57</v>
      </c>
      <c r="Z89" s="25">
        <f>ROUND(IF(AQ89="5",BJ89,0),2)</f>
        <v>0</v>
      </c>
      <c r="AB89" s="25">
        <f>ROUND(IF(AQ89="1",BH89,0),2)</f>
        <v>0</v>
      </c>
      <c r="AC89" s="25">
        <f>ROUND(IF(AQ89="1",BI89,0),2)</f>
        <v>0</v>
      </c>
      <c r="AD89" s="25">
        <f>ROUND(IF(AQ89="7",BH89,0),2)</f>
        <v>0</v>
      </c>
      <c r="AE89" s="25">
        <f>ROUND(IF(AQ89="7",BI89,0),2)</f>
        <v>0</v>
      </c>
      <c r="AF89" s="25">
        <f>ROUND(IF(AQ89="2",BH89,0),2)</f>
        <v>0</v>
      </c>
      <c r="AG89" s="25">
        <f>ROUND(IF(AQ89="2",BI89,0),2)</f>
        <v>0</v>
      </c>
      <c r="AH89" s="25">
        <f>ROUND(IF(AQ89="0",BJ89,0),2)</f>
        <v>0</v>
      </c>
      <c r="AI89" s="11" t="s">
        <v>50</v>
      </c>
      <c r="AJ89" s="25">
        <f>IF(AN89=0,J89,0)</f>
        <v>0</v>
      </c>
      <c r="AK89" s="25">
        <f>IF(AN89=12,J89,0)</f>
        <v>0</v>
      </c>
      <c r="AL89" s="25">
        <f>IF(AN89=21,J89,0)</f>
        <v>0</v>
      </c>
      <c r="AN89" s="25">
        <v>21</v>
      </c>
      <c r="AO89" s="25">
        <f>G89*1</f>
        <v>0</v>
      </c>
      <c r="AP89" s="25">
        <f>G89*(1-1)</f>
        <v>0</v>
      </c>
      <c r="AQ89" s="27" t="s">
        <v>53</v>
      </c>
      <c r="AV89" s="25">
        <f>ROUND(AW89+AX89,2)</f>
        <v>0</v>
      </c>
      <c r="AW89" s="25">
        <f>ROUND(F89*AO89,2)</f>
        <v>0</v>
      </c>
      <c r="AX89" s="25">
        <f>ROUND(F89*AP89,2)</f>
        <v>0</v>
      </c>
      <c r="AY89" s="27" t="s">
        <v>230</v>
      </c>
      <c r="AZ89" s="27" t="s">
        <v>231</v>
      </c>
      <c r="BA89" s="11" t="s">
        <v>60</v>
      </c>
      <c r="BC89" s="25">
        <f>AW89+AX89</f>
        <v>0</v>
      </c>
      <c r="BD89" s="25">
        <f>G89/(100-BE89)*100</f>
        <v>0</v>
      </c>
      <c r="BE89" s="25">
        <v>0</v>
      </c>
      <c r="BF89" s="25">
        <f>89</f>
        <v>89</v>
      </c>
      <c r="BH89" s="25">
        <f>F89*AO89</f>
        <v>0</v>
      </c>
      <c r="BI89" s="25">
        <f>F89*AP89</f>
        <v>0</v>
      </c>
      <c r="BJ89" s="25">
        <f>F89*G89</f>
        <v>0</v>
      </c>
      <c r="BK89" s="27" t="s">
        <v>125</v>
      </c>
      <c r="BL89" s="25">
        <v>91</v>
      </c>
      <c r="BW89" s="25">
        <v>21</v>
      </c>
      <c r="BX89" s="5" t="s">
        <v>242</v>
      </c>
    </row>
    <row r="90" spans="1:76" ht="25.5" x14ac:dyDescent="0.25">
      <c r="A90" s="2" t="s">
        <v>243</v>
      </c>
      <c r="B90" s="3" t="s">
        <v>244</v>
      </c>
      <c r="C90" s="80" t="s">
        <v>235</v>
      </c>
      <c r="D90" s="75"/>
      <c r="E90" s="3" t="s">
        <v>67</v>
      </c>
      <c r="F90" s="25">
        <v>53</v>
      </c>
      <c r="G90" s="25">
        <v>0</v>
      </c>
      <c r="H90" s="25">
        <f>ROUND(F90*AO90,2)</f>
        <v>0</v>
      </c>
      <c r="I90" s="25">
        <f>ROUND(F90*AP90,2)</f>
        <v>0</v>
      </c>
      <c r="J90" s="25">
        <f>ROUND(F90*G90,2)</f>
        <v>0</v>
      </c>
      <c r="K90" s="26" t="s">
        <v>57</v>
      </c>
      <c r="Z90" s="25">
        <f>ROUND(IF(AQ90="5",BJ90,0),2)</f>
        <v>0</v>
      </c>
      <c r="AB90" s="25">
        <f>ROUND(IF(AQ90="1",BH90,0),2)</f>
        <v>0</v>
      </c>
      <c r="AC90" s="25">
        <f>ROUND(IF(AQ90="1",BI90,0),2)</f>
        <v>0</v>
      </c>
      <c r="AD90" s="25">
        <f>ROUND(IF(AQ90="7",BH90,0),2)</f>
        <v>0</v>
      </c>
      <c r="AE90" s="25">
        <f>ROUND(IF(AQ90="7",BI90,0),2)</f>
        <v>0</v>
      </c>
      <c r="AF90" s="25">
        <f>ROUND(IF(AQ90="2",BH90,0),2)</f>
        <v>0</v>
      </c>
      <c r="AG90" s="25">
        <f>ROUND(IF(AQ90="2",BI90,0),2)</f>
        <v>0</v>
      </c>
      <c r="AH90" s="25">
        <f>ROUND(IF(AQ90="0",BJ90,0),2)</f>
        <v>0</v>
      </c>
      <c r="AI90" s="11" t="s">
        <v>50</v>
      </c>
      <c r="AJ90" s="25">
        <f>IF(AN90=0,J90,0)</f>
        <v>0</v>
      </c>
      <c r="AK90" s="25">
        <f>IF(AN90=12,J90,0)</f>
        <v>0</v>
      </c>
      <c r="AL90" s="25">
        <f>IF(AN90=21,J90,0)</f>
        <v>0</v>
      </c>
      <c r="AN90" s="25">
        <v>21</v>
      </c>
      <c r="AO90" s="25">
        <f>G90*0.718524425</f>
        <v>0</v>
      </c>
      <c r="AP90" s="25">
        <f>G90*(1-0.718524425)</f>
        <v>0</v>
      </c>
      <c r="AQ90" s="27" t="s">
        <v>53</v>
      </c>
      <c r="AV90" s="25">
        <f>ROUND(AW90+AX90,2)</f>
        <v>0</v>
      </c>
      <c r="AW90" s="25">
        <f>ROUND(F90*AO90,2)</f>
        <v>0</v>
      </c>
      <c r="AX90" s="25">
        <f>ROUND(F90*AP90,2)</f>
        <v>0</v>
      </c>
      <c r="AY90" s="27" t="s">
        <v>230</v>
      </c>
      <c r="AZ90" s="27" t="s">
        <v>231</v>
      </c>
      <c r="BA90" s="11" t="s">
        <v>60</v>
      </c>
      <c r="BC90" s="25">
        <f>AW90+AX90</f>
        <v>0</v>
      </c>
      <c r="BD90" s="25">
        <f>G90/(100-BE90)*100</f>
        <v>0</v>
      </c>
      <c r="BE90" s="25">
        <v>0</v>
      </c>
      <c r="BF90" s="25">
        <f>90</f>
        <v>90</v>
      </c>
      <c r="BH90" s="25">
        <f>F90*AO90</f>
        <v>0</v>
      </c>
      <c r="BI90" s="25">
        <f>F90*AP90</f>
        <v>0</v>
      </c>
      <c r="BJ90" s="25">
        <f>F90*G90</f>
        <v>0</v>
      </c>
      <c r="BK90" s="27" t="s">
        <v>61</v>
      </c>
      <c r="BL90" s="25">
        <v>91</v>
      </c>
      <c r="BW90" s="25">
        <v>21</v>
      </c>
      <c r="BX90" s="5" t="s">
        <v>235</v>
      </c>
    </row>
    <row r="91" spans="1:76" ht="13.5" customHeight="1" x14ac:dyDescent="0.25">
      <c r="A91" s="28"/>
      <c r="B91" s="29" t="s">
        <v>62</v>
      </c>
      <c r="C91" s="96" t="s">
        <v>245</v>
      </c>
      <c r="D91" s="97"/>
      <c r="E91" s="97"/>
      <c r="F91" s="97"/>
      <c r="G91" s="97"/>
      <c r="H91" s="97"/>
      <c r="I91" s="97"/>
      <c r="J91" s="97"/>
      <c r="K91" s="98"/>
    </row>
    <row r="92" spans="1:76" ht="25.5" x14ac:dyDescent="0.25">
      <c r="A92" s="2" t="s">
        <v>246</v>
      </c>
      <c r="B92" s="3" t="s">
        <v>247</v>
      </c>
      <c r="C92" s="80" t="s">
        <v>235</v>
      </c>
      <c r="D92" s="75"/>
      <c r="E92" s="3" t="s">
        <v>67</v>
      </c>
      <c r="F92" s="25">
        <v>2</v>
      </c>
      <c r="G92" s="25">
        <v>0</v>
      </c>
      <c r="H92" s="25">
        <f t="shared" ref="H92:H99" si="0">ROUND(F92*AO92,2)</f>
        <v>0</v>
      </c>
      <c r="I92" s="25">
        <f t="shared" ref="I92:I99" si="1">ROUND(F92*AP92,2)</f>
        <v>0</v>
      </c>
      <c r="J92" s="25">
        <f t="shared" ref="J92:J99" si="2">ROUND(F92*G92,2)</f>
        <v>0</v>
      </c>
      <c r="K92" s="26" t="s">
        <v>57</v>
      </c>
      <c r="Z92" s="25">
        <f t="shared" ref="Z92:Z99" si="3">ROUND(IF(AQ92="5",BJ92,0),2)</f>
        <v>0</v>
      </c>
      <c r="AB92" s="25">
        <f t="shared" ref="AB92:AB99" si="4">ROUND(IF(AQ92="1",BH92,0),2)</f>
        <v>0</v>
      </c>
      <c r="AC92" s="25">
        <f t="shared" ref="AC92:AC99" si="5">ROUND(IF(AQ92="1",BI92,0),2)</f>
        <v>0</v>
      </c>
      <c r="AD92" s="25">
        <f t="shared" ref="AD92:AD99" si="6">ROUND(IF(AQ92="7",BH92,0),2)</f>
        <v>0</v>
      </c>
      <c r="AE92" s="25">
        <f t="shared" ref="AE92:AE99" si="7">ROUND(IF(AQ92="7",BI92,0),2)</f>
        <v>0</v>
      </c>
      <c r="AF92" s="25">
        <f t="shared" ref="AF92:AF99" si="8">ROUND(IF(AQ92="2",BH92,0),2)</f>
        <v>0</v>
      </c>
      <c r="AG92" s="25">
        <f t="shared" ref="AG92:AG99" si="9">ROUND(IF(AQ92="2",BI92,0),2)</f>
        <v>0</v>
      </c>
      <c r="AH92" s="25">
        <f t="shared" ref="AH92:AH99" si="10">ROUND(IF(AQ92="0",BJ92,0),2)</f>
        <v>0</v>
      </c>
      <c r="AI92" s="11" t="s">
        <v>50</v>
      </c>
      <c r="AJ92" s="25">
        <f t="shared" ref="AJ92:AJ99" si="11">IF(AN92=0,J92,0)</f>
        <v>0</v>
      </c>
      <c r="AK92" s="25">
        <f t="shared" ref="AK92:AK99" si="12">IF(AN92=12,J92,0)</f>
        <v>0</v>
      </c>
      <c r="AL92" s="25">
        <f t="shared" ref="AL92:AL99" si="13">IF(AN92=21,J92,0)</f>
        <v>0</v>
      </c>
      <c r="AN92" s="25">
        <v>21</v>
      </c>
      <c r="AO92" s="25">
        <f>G92*0.548223602</f>
        <v>0</v>
      </c>
      <c r="AP92" s="25">
        <f>G92*(1-0.548223602)</f>
        <v>0</v>
      </c>
      <c r="AQ92" s="27" t="s">
        <v>53</v>
      </c>
      <c r="AV92" s="25">
        <f t="shared" ref="AV92:AV99" si="14">ROUND(AW92+AX92,2)</f>
        <v>0</v>
      </c>
      <c r="AW92" s="25">
        <f t="shared" ref="AW92:AW99" si="15">ROUND(F92*AO92,2)</f>
        <v>0</v>
      </c>
      <c r="AX92" s="25">
        <f t="shared" ref="AX92:AX99" si="16">ROUND(F92*AP92,2)</f>
        <v>0</v>
      </c>
      <c r="AY92" s="27" t="s">
        <v>230</v>
      </c>
      <c r="AZ92" s="27" t="s">
        <v>231</v>
      </c>
      <c r="BA92" s="11" t="s">
        <v>60</v>
      </c>
      <c r="BC92" s="25">
        <f t="shared" ref="BC92:BC99" si="17">AW92+AX92</f>
        <v>0</v>
      </c>
      <c r="BD92" s="25">
        <f t="shared" ref="BD92:BD99" si="18">G92/(100-BE92)*100</f>
        <v>0</v>
      </c>
      <c r="BE92" s="25">
        <v>0</v>
      </c>
      <c r="BF92" s="25">
        <f>92</f>
        <v>92</v>
      </c>
      <c r="BH92" s="25">
        <f t="shared" ref="BH92:BH99" si="19">F92*AO92</f>
        <v>0</v>
      </c>
      <c r="BI92" s="25">
        <f t="shared" ref="BI92:BI99" si="20">F92*AP92</f>
        <v>0</v>
      </c>
      <c r="BJ92" s="25">
        <f t="shared" ref="BJ92:BJ99" si="21">F92*G92</f>
        <v>0</v>
      </c>
      <c r="BK92" s="27" t="s">
        <v>61</v>
      </c>
      <c r="BL92" s="25">
        <v>91</v>
      </c>
      <c r="BW92" s="25">
        <v>21</v>
      </c>
      <c r="BX92" s="5" t="s">
        <v>235</v>
      </c>
    </row>
    <row r="93" spans="1:76" x14ac:dyDescent="0.25">
      <c r="A93" s="2" t="s">
        <v>248</v>
      </c>
      <c r="B93" s="3" t="s">
        <v>249</v>
      </c>
      <c r="C93" s="80" t="s">
        <v>250</v>
      </c>
      <c r="D93" s="75"/>
      <c r="E93" s="3" t="s">
        <v>218</v>
      </c>
      <c r="F93" s="25">
        <v>2</v>
      </c>
      <c r="G93" s="25">
        <v>0</v>
      </c>
      <c r="H93" s="25">
        <f t="shared" si="0"/>
        <v>0</v>
      </c>
      <c r="I93" s="25">
        <f t="shared" si="1"/>
        <v>0</v>
      </c>
      <c r="J93" s="25">
        <f t="shared" si="2"/>
        <v>0</v>
      </c>
      <c r="K93" s="26" t="s">
        <v>57</v>
      </c>
      <c r="Z93" s="25">
        <f t="shared" si="3"/>
        <v>0</v>
      </c>
      <c r="AB93" s="25">
        <f t="shared" si="4"/>
        <v>0</v>
      </c>
      <c r="AC93" s="25">
        <f t="shared" si="5"/>
        <v>0</v>
      </c>
      <c r="AD93" s="25">
        <f t="shared" si="6"/>
        <v>0</v>
      </c>
      <c r="AE93" s="25">
        <f t="shared" si="7"/>
        <v>0</v>
      </c>
      <c r="AF93" s="25">
        <f t="shared" si="8"/>
        <v>0</v>
      </c>
      <c r="AG93" s="25">
        <f t="shared" si="9"/>
        <v>0</v>
      </c>
      <c r="AH93" s="25">
        <f t="shared" si="10"/>
        <v>0</v>
      </c>
      <c r="AI93" s="11" t="s">
        <v>50</v>
      </c>
      <c r="AJ93" s="25">
        <f t="shared" si="11"/>
        <v>0</v>
      </c>
      <c r="AK93" s="25">
        <f t="shared" si="12"/>
        <v>0</v>
      </c>
      <c r="AL93" s="25">
        <f t="shared" si="13"/>
        <v>0</v>
      </c>
      <c r="AN93" s="25">
        <v>21</v>
      </c>
      <c r="AO93" s="25">
        <f>G93*1</f>
        <v>0</v>
      </c>
      <c r="AP93" s="25">
        <f>G93*(1-1)</f>
        <v>0</v>
      </c>
      <c r="AQ93" s="27" t="s">
        <v>53</v>
      </c>
      <c r="AV93" s="25">
        <f t="shared" si="14"/>
        <v>0</v>
      </c>
      <c r="AW93" s="25">
        <f t="shared" si="15"/>
        <v>0</v>
      </c>
      <c r="AX93" s="25">
        <f t="shared" si="16"/>
        <v>0</v>
      </c>
      <c r="AY93" s="27" t="s">
        <v>230</v>
      </c>
      <c r="AZ93" s="27" t="s">
        <v>231</v>
      </c>
      <c r="BA93" s="11" t="s">
        <v>60</v>
      </c>
      <c r="BC93" s="25">
        <f t="shared" si="17"/>
        <v>0</v>
      </c>
      <c r="BD93" s="25">
        <f t="shared" si="18"/>
        <v>0</v>
      </c>
      <c r="BE93" s="25">
        <v>0</v>
      </c>
      <c r="BF93" s="25">
        <f>93</f>
        <v>93</v>
      </c>
      <c r="BH93" s="25">
        <f t="shared" si="19"/>
        <v>0</v>
      </c>
      <c r="BI93" s="25">
        <f t="shared" si="20"/>
        <v>0</v>
      </c>
      <c r="BJ93" s="25">
        <f t="shared" si="21"/>
        <v>0</v>
      </c>
      <c r="BK93" s="27" t="s">
        <v>125</v>
      </c>
      <c r="BL93" s="25">
        <v>91</v>
      </c>
      <c r="BW93" s="25">
        <v>21</v>
      </c>
      <c r="BX93" s="5" t="s">
        <v>250</v>
      </c>
    </row>
    <row r="94" spans="1:76" ht="25.5" x14ac:dyDescent="0.25">
      <c r="A94" s="2" t="s">
        <v>251</v>
      </c>
      <c r="B94" s="3" t="s">
        <v>252</v>
      </c>
      <c r="C94" s="80" t="s">
        <v>253</v>
      </c>
      <c r="D94" s="75"/>
      <c r="E94" s="3" t="s">
        <v>67</v>
      </c>
      <c r="F94" s="25">
        <v>5</v>
      </c>
      <c r="G94" s="25">
        <v>0</v>
      </c>
      <c r="H94" s="25">
        <f t="shared" si="0"/>
        <v>0</v>
      </c>
      <c r="I94" s="25">
        <f t="shared" si="1"/>
        <v>0</v>
      </c>
      <c r="J94" s="25">
        <f t="shared" si="2"/>
        <v>0</v>
      </c>
      <c r="K94" s="26" t="s">
        <v>57</v>
      </c>
      <c r="Z94" s="25">
        <f t="shared" si="3"/>
        <v>0</v>
      </c>
      <c r="AB94" s="25">
        <f t="shared" si="4"/>
        <v>0</v>
      </c>
      <c r="AC94" s="25">
        <f t="shared" si="5"/>
        <v>0</v>
      </c>
      <c r="AD94" s="25">
        <f t="shared" si="6"/>
        <v>0</v>
      </c>
      <c r="AE94" s="25">
        <f t="shared" si="7"/>
        <v>0</v>
      </c>
      <c r="AF94" s="25">
        <f t="shared" si="8"/>
        <v>0</v>
      </c>
      <c r="AG94" s="25">
        <f t="shared" si="9"/>
        <v>0</v>
      </c>
      <c r="AH94" s="25">
        <f t="shared" si="10"/>
        <v>0</v>
      </c>
      <c r="AI94" s="11" t="s">
        <v>50</v>
      </c>
      <c r="AJ94" s="25">
        <f t="shared" si="11"/>
        <v>0</v>
      </c>
      <c r="AK94" s="25">
        <f t="shared" si="12"/>
        <v>0</v>
      </c>
      <c r="AL94" s="25">
        <f t="shared" si="13"/>
        <v>0</v>
      </c>
      <c r="AN94" s="25">
        <v>21</v>
      </c>
      <c r="AO94" s="25">
        <f>G94*0.491664779</f>
        <v>0</v>
      </c>
      <c r="AP94" s="25">
        <f>G94*(1-0.491664779)</f>
        <v>0</v>
      </c>
      <c r="AQ94" s="27" t="s">
        <v>53</v>
      </c>
      <c r="AV94" s="25">
        <f t="shared" si="14"/>
        <v>0</v>
      </c>
      <c r="AW94" s="25">
        <f t="shared" si="15"/>
        <v>0</v>
      </c>
      <c r="AX94" s="25">
        <f t="shared" si="16"/>
        <v>0</v>
      </c>
      <c r="AY94" s="27" t="s">
        <v>230</v>
      </c>
      <c r="AZ94" s="27" t="s">
        <v>231</v>
      </c>
      <c r="BA94" s="11" t="s">
        <v>60</v>
      </c>
      <c r="BC94" s="25">
        <f t="shared" si="17"/>
        <v>0</v>
      </c>
      <c r="BD94" s="25">
        <f t="shared" si="18"/>
        <v>0</v>
      </c>
      <c r="BE94" s="25">
        <v>0</v>
      </c>
      <c r="BF94" s="25">
        <f>94</f>
        <v>94</v>
      </c>
      <c r="BH94" s="25">
        <f t="shared" si="19"/>
        <v>0</v>
      </c>
      <c r="BI94" s="25">
        <f t="shared" si="20"/>
        <v>0</v>
      </c>
      <c r="BJ94" s="25">
        <f t="shared" si="21"/>
        <v>0</v>
      </c>
      <c r="BK94" s="27" t="s">
        <v>61</v>
      </c>
      <c r="BL94" s="25">
        <v>91</v>
      </c>
      <c r="BW94" s="25">
        <v>21</v>
      </c>
      <c r="BX94" s="5" t="s">
        <v>253</v>
      </c>
    </row>
    <row r="95" spans="1:76" x14ac:dyDescent="0.25">
      <c r="A95" s="2" t="s">
        <v>254</v>
      </c>
      <c r="B95" s="3" t="s">
        <v>255</v>
      </c>
      <c r="C95" s="80" t="s">
        <v>256</v>
      </c>
      <c r="D95" s="75"/>
      <c r="E95" s="3" t="s">
        <v>218</v>
      </c>
      <c r="F95" s="25">
        <v>5</v>
      </c>
      <c r="G95" s="25">
        <v>0</v>
      </c>
      <c r="H95" s="25">
        <f t="shared" si="0"/>
        <v>0</v>
      </c>
      <c r="I95" s="25">
        <f t="shared" si="1"/>
        <v>0</v>
      </c>
      <c r="J95" s="25">
        <f t="shared" si="2"/>
        <v>0</v>
      </c>
      <c r="K95" s="26" t="s">
        <v>57</v>
      </c>
      <c r="Z95" s="25">
        <f t="shared" si="3"/>
        <v>0</v>
      </c>
      <c r="AB95" s="25">
        <f t="shared" si="4"/>
        <v>0</v>
      </c>
      <c r="AC95" s="25">
        <f t="shared" si="5"/>
        <v>0</v>
      </c>
      <c r="AD95" s="25">
        <f t="shared" si="6"/>
        <v>0</v>
      </c>
      <c r="AE95" s="25">
        <f t="shared" si="7"/>
        <v>0</v>
      </c>
      <c r="AF95" s="25">
        <f t="shared" si="8"/>
        <v>0</v>
      </c>
      <c r="AG95" s="25">
        <f t="shared" si="9"/>
        <v>0</v>
      </c>
      <c r="AH95" s="25">
        <f t="shared" si="10"/>
        <v>0</v>
      </c>
      <c r="AI95" s="11" t="s">
        <v>50</v>
      </c>
      <c r="AJ95" s="25">
        <f t="shared" si="11"/>
        <v>0</v>
      </c>
      <c r="AK95" s="25">
        <f t="shared" si="12"/>
        <v>0</v>
      </c>
      <c r="AL95" s="25">
        <f t="shared" si="13"/>
        <v>0</v>
      </c>
      <c r="AN95" s="25">
        <v>21</v>
      </c>
      <c r="AO95" s="25">
        <f>G95*1</f>
        <v>0</v>
      </c>
      <c r="AP95" s="25">
        <f>G95*(1-1)</f>
        <v>0</v>
      </c>
      <c r="AQ95" s="27" t="s">
        <v>53</v>
      </c>
      <c r="AV95" s="25">
        <f t="shared" si="14"/>
        <v>0</v>
      </c>
      <c r="AW95" s="25">
        <f t="shared" si="15"/>
        <v>0</v>
      </c>
      <c r="AX95" s="25">
        <f t="shared" si="16"/>
        <v>0</v>
      </c>
      <c r="AY95" s="27" t="s">
        <v>230</v>
      </c>
      <c r="AZ95" s="27" t="s">
        <v>231</v>
      </c>
      <c r="BA95" s="11" t="s">
        <v>60</v>
      </c>
      <c r="BC95" s="25">
        <f t="shared" si="17"/>
        <v>0</v>
      </c>
      <c r="BD95" s="25">
        <f t="shared" si="18"/>
        <v>0</v>
      </c>
      <c r="BE95" s="25">
        <v>0</v>
      </c>
      <c r="BF95" s="25">
        <f>95</f>
        <v>95</v>
      </c>
      <c r="BH95" s="25">
        <f t="shared" si="19"/>
        <v>0</v>
      </c>
      <c r="BI95" s="25">
        <f t="shared" si="20"/>
        <v>0</v>
      </c>
      <c r="BJ95" s="25">
        <f t="shared" si="21"/>
        <v>0</v>
      </c>
      <c r="BK95" s="27" t="s">
        <v>125</v>
      </c>
      <c r="BL95" s="25">
        <v>91</v>
      </c>
      <c r="BW95" s="25">
        <v>21</v>
      </c>
      <c r="BX95" s="5" t="s">
        <v>256</v>
      </c>
    </row>
    <row r="96" spans="1:76" x14ac:dyDescent="0.25">
      <c r="A96" s="2" t="s">
        <v>257</v>
      </c>
      <c r="B96" s="3" t="s">
        <v>258</v>
      </c>
      <c r="C96" s="80" t="s">
        <v>259</v>
      </c>
      <c r="D96" s="75"/>
      <c r="E96" s="3" t="s">
        <v>67</v>
      </c>
      <c r="F96" s="25">
        <v>73</v>
      </c>
      <c r="G96" s="25">
        <v>0</v>
      </c>
      <c r="H96" s="25">
        <f t="shared" si="0"/>
        <v>0</v>
      </c>
      <c r="I96" s="25">
        <f t="shared" si="1"/>
        <v>0</v>
      </c>
      <c r="J96" s="25">
        <f t="shared" si="2"/>
        <v>0</v>
      </c>
      <c r="K96" s="26" t="s">
        <v>57</v>
      </c>
      <c r="Z96" s="25">
        <f t="shared" si="3"/>
        <v>0</v>
      </c>
      <c r="AB96" s="25">
        <f t="shared" si="4"/>
        <v>0</v>
      </c>
      <c r="AC96" s="25">
        <f t="shared" si="5"/>
        <v>0</v>
      </c>
      <c r="AD96" s="25">
        <f t="shared" si="6"/>
        <v>0</v>
      </c>
      <c r="AE96" s="25">
        <f t="shared" si="7"/>
        <v>0</v>
      </c>
      <c r="AF96" s="25">
        <f t="shared" si="8"/>
        <v>0</v>
      </c>
      <c r="AG96" s="25">
        <f t="shared" si="9"/>
        <v>0</v>
      </c>
      <c r="AH96" s="25">
        <f t="shared" si="10"/>
        <v>0</v>
      </c>
      <c r="AI96" s="11" t="s">
        <v>50</v>
      </c>
      <c r="AJ96" s="25">
        <f t="shared" si="11"/>
        <v>0</v>
      </c>
      <c r="AK96" s="25">
        <f t="shared" si="12"/>
        <v>0</v>
      </c>
      <c r="AL96" s="25">
        <f t="shared" si="13"/>
        <v>0</v>
      </c>
      <c r="AN96" s="25">
        <v>21</v>
      </c>
      <c r="AO96" s="25">
        <f>G96*0.482460733</f>
        <v>0</v>
      </c>
      <c r="AP96" s="25">
        <f>G96*(1-0.482460733)</f>
        <v>0</v>
      </c>
      <c r="AQ96" s="27" t="s">
        <v>53</v>
      </c>
      <c r="AV96" s="25">
        <f t="shared" si="14"/>
        <v>0</v>
      </c>
      <c r="AW96" s="25">
        <f t="shared" si="15"/>
        <v>0</v>
      </c>
      <c r="AX96" s="25">
        <f t="shared" si="16"/>
        <v>0</v>
      </c>
      <c r="AY96" s="27" t="s">
        <v>230</v>
      </c>
      <c r="AZ96" s="27" t="s">
        <v>231</v>
      </c>
      <c r="BA96" s="11" t="s">
        <v>60</v>
      </c>
      <c r="BC96" s="25">
        <f t="shared" si="17"/>
        <v>0</v>
      </c>
      <c r="BD96" s="25">
        <f t="shared" si="18"/>
        <v>0</v>
      </c>
      <c r="BE96" s="25">
        <v>0</v>
      </c>
      <c r="BF96" s="25">
        <f>96</f>
        <v>96</v>
      </c>
      <c r="BH96" s="25">
        <f t="shared" si="19"/>
        <v>0</v>
      </c>
      <c r="BI96" s="25">
        <f t="shared" si="20"/>
        <v>0</v>
      </c>
      <c r="BJ96" s="25">
        <f t="shared" si="21"/>
        <v>0</v>
      </c>
      <c r="BK96" s="27" t="s">
        <v>61</v>
      </c>
      <c r="BL96" s="25">
        <v>91</v>
      </c>
      <c r="BW96" s="25">
        <v>21</v>
      </c>
      <c r="BX96" s="5" t="s">
        <v>259</v>
      </c>
    </row>
    <row r="97" spans="1:76" x14ac:dyDescent="0.25">
      <c r="A97" s="2" t="s">
        <v>260</v>
      </c>
      <c r="B97" s="3" t="s">
        <v>261</v>
      </c>
      <c r="C97" s="80" t="s">
        <v>262</v>
      </c>
      <c r="D97" s="75"/>
      <c r="E97" s="3" t="s">
        <v>67</v>
      </c>
      <c r="F97" s="25">
        <v>75</v>
      </c>
      <c r="G97" s="25">
        <v>0</v>
      </c>
      <c r="H97" s="25">
        <f t="shared" si="0"/>
        <v>0</v>
      </c>
      <c r="I97" s="25">
        <f t="shared" si="1"/>
        <v>0</v>
      </c>
      <c r="J97" s="25">
        <f t="shared" si="2"/>
        <v>0</v>
      </c>
      <c r="K97" s="26" t="s">
        <v>57</v>
      </c>
      <c r="Z97" s="25">
        <f t="shared" si="3"/>
        <v>0</v>
      </c>
      <c r="AB97" s="25">
        <f t="shared" si="4"/>
        <v>0</v>
      </c>
      <c r="AC97" s="25">
        <f t="shared" si="5"/>
        <v>0</v>
      </c>
      <c r="AD97" s="25">
        <f t="shared" si="6"/>
        <v>0</v>
      </c>
      <c r="AE97" s="25">
        <f t="shared" si="7"/>
        <v>0</v>
      </c>
      <c r="AF97" s="25">
        <f t="shared" si="8"/>
        <v>0</v>
      </c>
      <c r="AG97" s="25">
        <f t="shared" si="9"/>
        <v>0</v>
      </c>
      <c r="AH97" s="25">
        <f t="shared" si="10"/>
        <v>0</v>
      </c>
      <c r="AI97" s="11" t="s">
        <v>50</v>
      </c>
      <c r="AJ97" s="25">
        <f t="shared" si="11"/>
        <v>0</v>
      </c>
      <c r="AK97" s="25">
        <f t="shared" si="12"/>
        <v>0</v>
      </c>
      <c r="AL97" s="25">
        <f t="shared" si="13"/>
        <v>0</v>
      </c>
      <c r="AN97" s="25">
        <v>21</v>
      </c>
      <c r="AO97" s="25">
        <f>G97*1</f>
        <v>0</v>
      </c>
      <c r="AP97" s="25">
        <f>G97*(1-1)</f>
        <v>0</v>
      </c>
      <c r="AQ97" s="27" t="s">
        <v>53</v>
      </c>
      <c r="AV97" s="25">
        <f t="shared" si="14"/>
        <v>0</v>
      </c>
      <c r="AW97" s="25">
        <f t="shared" si="15"/>
        <v>0</v>
      </c>
      <c r="AX97" s="25">
        <f t="shared" si="16"/>
        <v>0</v>
      </c>
      <c r="AY97" s="27" t="s">
        <v>230</v>
      </c>
      <c r="AZ97" s="27" t="s">
        <v>231</v>
      </c>
      <c r="BA97" s="11" t="s">
        <v>60</v>
      </c>
      <c r="BC97" s="25">
        <f t="shared" si="17"/>
        <v>0</v>
      </c>
      <c r="BD97" s="25">
        <f t="shared" si="18"/>
        <v>0</v>
      </c>
      <c r="BE97" s="25">
        <v>0</v>
      </c>
      <c r="BF97" s="25">
        <f>97</f>
        <v>97</v>
      </c>
      <c r="BH97" s="25">
        <f t="shared" si="19"/>
        <v>0</v>
      </c>
      <c r="BI97" s="25">
        <f t="shared" si="20"/>
        <v>0</v>
      </c>
      <c r="BJ97" s="25">
        <f t="shared" si="21"/>
        <v>0</v>
      </c>
      <c r="BK97" s="27" t="s">
        <v>125</v>
      </c>
      <c r="BL97" s="25">
        <v>91</v>
      </c>
      <c r="BW97" s="25">
        <v>21</v>
      </c>
      <c r="BX97" s="5" t="s">
        <v>262</v>
      </c>
    </row>
    <row r="98" spans="1:76" x14ac:dyDescent="0.25">
      <c r="A98" s="2" t="s">
        <v>263</v>
      </c>
      <c r="B98" s="3" t="s">
        <v>264</v>
      </c>
      <c r="C98" s="80" t="s">
        <v>265</v>
      </c>
      <c r="D98" s="75"/>
      <c r="E98" s="3" t="s">
        <v>218</v>
      </c>
      <c r="F98" s="25">
        <v>1</v>
      </c>
      <c r="G98" s="25">
        <v>0</v>
      </c>
      <c r="H98" s="25">
        <f t="shared" si="0"/>
        <v>0</v>
      </c>
      <c r="I98" s="25">
        <f t="shared" si="1"/>
        <v>0</v>
      </c>
      <c r="J98" s="25">
        <f t="shared" si="2"/>
        <v>0</v>
      </c>
      <c r="K98" s="26" t="s">
        <v>57</v>
      </c>
      <c r="Z98" s="25">
        <f t="shared" si="3"/>
        <v>0</v>
      </c>
      <c r="AB98" s="25">
        <f t="shared" si="4"/>
        <v>0</v>
      </c>
      <c r="AC98" s="25">
        <f t="shared" si="5"/>
        <v>0</v>
      </c>
      <c r="AD98" s="25">
        <f t="shared" si="6"/>
        <v>0</v>
      </c>
      <c r="AE98" s="25">
        <f t="shared" si="7"/>
        <v>0</v>
      </c>
      <c r="AF98" s="25">
        <f t="shared" si="8"/>
        <v>0</v>
      </c>
      <c r="AG98" s="25">
        <f t="shared" si="9"/>
        <v>0</v>
      </c>
      <c r="AH98" s="25">
        <f t="shared" si="10"/>
        <v>0</v>
      </c>
      <c r="AI98" s="11" t="s">
        <v>50</v>
      </c>
      <c r="AJ98" s="25">
        <f t="shared" si="11"/>
        <v>0</v>
      </c>
      <c r="AK98" s="25">
        <f t="shared" si="12"/>
        <v>0</v>
      </c>
      <c r="AL98" s="25">
        <f t="shared" si="13"/>
        <v>0</v>
      </c>
      <c r="AN98" s="25">
        <v>21</v>
      </c>
      <c r="AO98" s="25">
        <f>G98*0.548660072</f>
        <v>0</v>
      </c>
      <c r="AP98" s="25">
        <f>G98*(1-0.548660072)</f>
        <v>0</v>
      </c>
      <c r="AQ98" s="27" t="s">
        <v>53</v>
      </c>
      <c r="AV98" s="25">
        <f t="shared" si="14"/>
        <v>0</v>
      </c>
      <c r="AW98" s="25">
        <f t="shared" si="15"/>
        <v>0</v>
      </c>
      <c r="AX98" s="25">
        <f t="shared" si="16"/>
        <v>0</v>
      </c>
      <c r="AY98" s="27" t="s">
        <v>230</v>
      </c>
      <c r="AZ98" s="27" t="s">
        <v>231</v>
      </c>
      <c r="BA98" s="11" t="s">
        <v>60</v>
      </c>
      <c r="BC98" s="25">
        <f t="shared" si="17"/>
        <v>0</v>
      </c>
      <c r="BD98" s="25">
        <f t="shared" si="18"/>
        <v>0</v>
      </c>
      <c r="BE98" s="25">
        <v>0</v>
      </c>
      <c r="BF98" s="25">
        <f>98</f>
        <v>98</v>
      </c>
      <c r="BH98" s="25">
        <f t="shared" si="19"/>
        <v>0</v>
      </c>
      <c r="BI98" s="25">
        <f t="shared" si="20"/>
        <v>0</v>
      </c>
      <c r="BJ98" s="25">
        <f t="shared" si="21"/>
        <v>0</v>
      </c>
      <c r="BK98" s="27" t="s">
        <v>61</v>
      </c>
      <c r="BL98" s="25">
        <v>91</v>
      </c>
      <c r="BW98" s="25">
        <v>21</v>
      </c>
      <c r="BX98" s="5" t="s">
        <v>265</v>
      </c>
    </row>
    <row r="99" spans="1:76" x14ac:dyDescent="0.25">
      <c r="A99" s="2" t="s">
        <v>266</v>
      </c>
      <c r="B99" s="3" t="s">
        <v>267</v>
      </c>
      <c r="C99" s="80" t="s">
        <v>268</v>
      </c>
      <c r="D99" s="75"/>
      <c r="E99" s="3" t="s">
        <v>218</v>
      </c>
      <c r="F99" s="25">
        <v>1</v>
      </c>
      <c r="G99" s="25">
        <v>0</v>
      </c>
      <c r="H99" s="25">
        <f t="shared" si="0"/>
        <v>0</v>
      </c>
      <c r="I99" s="25">
        <f t="shared" si="1"/>
        <v>0</v>
      </c>
      <c r="J99" s="25">
        <f t="shared" si="2"/>
        <v>0</v>
      </c>
      <c r="K99" s="26" t="s">
        <v>57</v>
      </c>
      <c r="Z99" s="25">
        <f t="shared" si="3"/>
        <v>0</v>
      </c>
      <c r="AB99" s="25">
        <f t="shared" si="4"/>
        <v>0</v>
      </c>
      <c r="AC99" s="25">
        <f t="shared" si="5"/>
        <v>0</v>
      </c>
      <c r="AD99" s="25">
        <f t="shared" si="6"/>
        <v>0</v>
      </c>
      <c r="AE99" s="25">
        <f t="shared" si="7"/>
        <v>0</v>
      </c>
      <c r="AF99" s="25">
        <f t="shared" si="8"/>
        <v>0</v>
      </c>
      <c r="AG99" s="25">
        <f t="shared" si="9"/>
        <v>0</v>
      </c>
      <c r="AH99" s="25">
        <f t="shared" si="10"/>
        <v>0</v>
      </c>
      <c r="AI99" s="11" t="s">
        <v>50</v>
      </c>
      <c r="AJ99" s="25">
        <f t="shared" si="11"/>
        <v>0</v>
      </c>
      <c r="AK99" s="25">
        <f t="shared" si="12"/>
        <v>0</v>
      </c>
      <c r="AL99" s="25">
        <f t="shared" si="13"/>
        <v>0</v>
      </c>
      <c r="AN99" s="25">
        <v>21</v>
      </c>
      <c r="AO99" s="25">
        <f>G99*1</f>
        <v>0</v>
      </c>
      <c r="AP99" s="25">
        <f>G99*(1-1)</f>
        <v>0</v>
      </c>
      <c r="AQ99" s="27" t="s">
        <v>53</v>
      </c>
      <c r="AV99" s="25">
        <f t="shared" si="14"/>
        <v>0</v>
      </c>
      <c r="AW99" s="25">
        <f t="shared" si="15"/>
        <v>0</v>
      </c>
      <c r="AX99" s="25">
        <f t="shared" si="16"/>
        <v>0</v>
      </c>
      <c r="AY99" s="27" t="s">
        <v>230</v>
      </c>
      <c r="AZ99" s="27" t="s">
        <v>231</v>
      </c>
      <c r="BA99" s="11" t="s">
        <v>60</v>
      </c>
      <c r="BC99" s="25">
        <f t="shared" si="17"/>
        <v>0</v>
      </c>
      <c r="BD99" s="25">
        <f t="shared" si="18"/>
        <v>0</v>
      </c>
      <c r="BE99" s="25">
        <v>0</v>
      </c>
      <c r="BF99" s="25">
        <f>99</f>
        <v>99</v>
      </c>
      <c r="BH99" s="25">
        <f t="shared" si="19"/>
        <v>0</v>
      </c>
      <c r="BI99" s="25">
        <f t="shared" si="20"/>
        <v>0</v>
      </c>
      <c r="BJ99" s="25">
        <f t="shared" si="21"/>
        <v>0</v>
      </c>
      <c r="BK99" s="27" t="s">
        <v>125</v>
      </c>
      <c r="BL99" s="25">
        <v>91</v>
      </c>
      <c r="BW99" s="25">
        <v>21</v>
      </c>
      <c r="BX99" s="5" t="s">
        <v>268</v>
      </c>
    </row>
    <row r="100" spans="1:76" x14ac:dyDescent="0.25">
      <c r="A100" s="30" t="s">
        <v>50</v>
      </c>
      <c r="B100" s="31" t="s">
        <v>269</v>
      </c>
      <c r="C100" s="99" t="s">
        <v>270</v>
      </c>
      <c r="D100" s="100"/>
      <c r="E100" s="32" t="s">
        <v>4</v>
      </c>
      <c r="F100" s="32" t="s">
        <v>4</v>
      </c>
      <c r="G100" s="32" t="s">
        <v>4</v>
      </c>
      <c r="H100" s="1">
        <f>SUM(H101:H108)</f>
        <v>0</v>
      </c>
      <c r="I100" s="1">
        <f>SUM(I101:I108)</f>
        <v>0</v>
      </c>
      <c r="J100" s="1">
        <f>SUM(J101:J108)</f>
        <v>0</v>
      </c>
      <c r="K100" s="33" t="s">
        <v>50</v>
      </c>
      <c r="AI100" s="11" t="s">
        <v>50</v>
      </c>
      <c r="AS100" s="1">
        <f>SUM(AJ101:AJ108)</f>
        <v>0</v>
      </c>
      <c r="AT100" s="1">
        <f>SUM(AK101:AK108)</f>
        <v>0</v>
      </c>
      <c r="AU100" s="1">
        <f>SUM(AL101:AL108)</f>
        <v>0</v>
      </c>
    </row>
    <row r="101" spans="1:76" x14ac:dyDescent="0.25">
      <c r="A101" s="2" t="s">
        <v>271</v>
      </c>
      <c r="B101" s="3" t="s">
        <v>272</v>
      </c>
      <c r="C101" s="80" t="s">
        <v>273</v>
      </c>
      <c r="D101" s="75"/>
      <c r="E101" s="3" t="s">
        <v>218</v>
      </c>
      <c r="F101" s="25">
        <v>6</v>
      </c>
      <c r="G101" s="25">
        <v>0</v>
      </c>
      <c r="H101" s="25">
        <f t="shared" ref="H101:H108" si="22">ROUND(F101*AO101,2)</f>
        <v>0</v>
      </c>
      <c r="I101" s="25">
        <f t="shared" ref="I101:I108" si="23">ROUND(F101*AP101,2)</f>
        <v>0</v>
      </c>
      <c r="J101" s="25">
        <f t="shared" ref="J101:J108" si="24">ROUND(F101*G101,2)</f>
        <v>0</v>
      </c>
      <c r="K101" s="26" t="s">
        <v>57</v>
      </c>
      <c r="Z101" s="25">
        <f t="shared" ref="Z101:Z108" si="25">ROUND(IF(AQ101="5",BJ101,0),2)</f>
        <v>0</v>
      </c>
      <c r="AB101" s="25">
        <f t="shared" ref="AB101:AB108" si="26">ROUND(IF(AQ101="1",BH101,0),2)</f>
        <v>0</v>
      </c>
      <c r="AC101" s="25">
        <f t="shared" ref="AC101:AC108" si="27">ROUND(IF(AQ101="1",BI101,0),2)</f>
        <v>0</v>
      </c>
      <c r="AD101" s="25">
        <f t="shared" ref="AD101:AD108" si="28">ROUND(IF(AQ101="7",BH101,0),2)</f>
        <v>0</v>
      </c>
      <c r="AE101" s="25">
        <f t="shared" ref="AE101:AE108" si="29">ROUND(IF(AQ101="7",BI101,0),2)</f>
        <v>0</v>
      </c>
      <c r="AF101" s="25">
        <f t="shared" ref="AF101:AF108" si="30">ROUND(IF(AQ101="2",BH101,0),2)</f>
        <v>0</v>
      </c>
      <c r="AG101" s="25">
        <f t="shared" ref="AG101:AG108" si="31">ROUND(IF(AQ101="2",BI101,0),2)</f>
        <v>0</v>
      </c>
      <c r="AH101" s="25">
        <f t="shared" ref="AH101:AH108" si="32">ROUND(IF(AQ101="0",BJ101,0),2)</f>
        <v>0</v>
      </c>
      <c r="AI101" s="11" t="s">
        <v>50</v>
      </c>
      <c r="AJ101" s="25">
        <f t="shared" ref="AJ101:AJ108" si="33">IF(AN101=0,J101,0)</f>
        <v>0</v>
      </c>
      <c r="AK101" s="25">
        <f t="shared" ref="AK101:AK108" si="34">IF(AN101=12,J101,0)</f>
        <v>0</v>
      </c>
      <c r="AL101" s="25">
        <f t="shared" ref="AL101:AL108" si="35">IF(AN101=21,J101,0)</f>
        <v>0</v>
      </c>
      <c r="AN101" s="25">
        <v>21</v>
      </c>
      <c r="AO101" s="25">
        <f>G101*0.207547898</f>
        <v>0</v>
      </c>
      <c r="AP101" s="25">
        <f>G101*(1-0.207547898)</f>
        <v>0</v>
      </c>
      <c r="AQ101" s="27" t="s">
        <v>53</v>
      </c>
      <c r="AV101" s="25">
        <f t="shared" ref="AV101:AV108" si="36">ROUND(AW101+AX101,2)</f>
        <v>0</v>
      </c>
      <c r="AW101" s="25">
        <f t="shared" ref="AW101:AW108" si="37">ROUND(F101*AO101,2)</f>
        <v>0</v>
      </c>
      <c r="AX101" s="25">
        <f t="shared" ref="AX101:AX108" si="38">ROUND(F101*AP101,2)</f>
        <v>0</v>
      </c>
      <c r="AY101" s="27" t="s">
        <v>274</v>
      </c>
      <c r="AZ101" s="27" t="s">
        <v>231</v>
      </c>
      <c r="BA101" s="11" t="s">
        <v>60</v>
      </c>
      <c r="BC101" s="25">
        <f t="shared" ref="BC101:BC108" si="39">AW101+AX101</f>
        <v>0</v>
      </c>
      <c r="BD101" s="25">
        <f t="shared" ref="BD101:BD108" si="40">G101/(100-BE101)*100</f>
        <v>0</v>
      </c>
      <c r="BE101" s="25">
        <v>0</v>
      </c>
      <c r="BF101" s="25">
        <f>101</f>
        <v>101</v>
      </c>
      <c r="BH101" s="25">
        <f t="shared" ref="BH101:BH108" si="41">F101*AO101</f>
        <v>0</v>
      </c>
      <c r="BI101" s="25">
        <f t="shared" ref="BI101:BI108" si="42">F101*AP101</f>
        <v>0</v>
      </c>
      <c r="BJ101" s="25">
        <f t="shared" ref="BJ101:BJ108" si="43">F101*G101</f>
        <v>0</v>
      </c>
      <c r="BK101" s="27" t="s">
        <v>61</v>
      </c>
      <c r="BL101" s="25">
        <v>93</v>
      </c>
      <c r="BW101" s="25">
        <v>21</v>
      </c>
      <c r="BX101" s="5" t="s">
        <v>273</v>
      </c>
    </row>
    <row r="102" spans="1:76" x14ac:dyDescent="0.25">
      <c r="A102" s="2" t="s">
        <v>156</v>
      </c>
      <c r="B102" s="3" t="s">
        <v>275</v>
      </c>
      <c r="C102" s="80" t="s">
        <v>276</v>
      </c>
      <c r="D102" s="75"/>
      <c r="E102" s="3" t="s">
        <v>218</v>
      </c>
      <c r="F102" s="25">
        <v>2</v>
      </c>
      <c r="G102" s="25">
        <v>0</v>
      </c>
      <c r="H102" s="25">
        <f t="shared" si="22"/>
        <v>0</v>
      </c>
      <c r="I102" s="25">
        <f t="shared" si="23"/>
        <v>0</v>
      </c>
      <c r="J102" s="25">
        <f t="shared" si="24"/>
        <v>0</v>
      </c>
      <c r="K102" s="26" t="s">
        <v>57</v>
      </c>
      <c r="Z102" s="25">
        <f t="shared" si="25"/>
        <v>0</v>
      </c>
      <c r="AB102" s="25">
        <f t="shared" si="26"/>
        <v>0</v>
      </c>
      <c r="AC102" s="25">
        <f t="shared" si="27"/>
        <v>0</v>
      </c>
      <c r="AD102" s="25">
        <f t="shared" si="28"/>
        <v>0</v>
      </c>
      <c r="AE102" s="25">
        <f t="shared" si="29"/>
        <v>0</v>
      </c>
      <c r="AF102" s="25">
        <f t="shared" si="30"/>
        <v>0</v>
      </c>
      <c r="AG102" s="25">
        <f t="shared" si="31"/>
        <v>0</v>
      </c>
      <c r="AH102" s="25">
        <f t="shared" si="32"/>
        <v>0</v>
      </c>
      <c r="AI102" s="11" t="s">
        <v>50</v>
      </c>
      <c r="AJ102" s="25">
        <f t="shared" si="33"/>
        <v>0</v>
      </c>
      <c r="AK102" s="25">
        <f t="shared" si="34"/>
        <v>0</v>
      </c>
      <c r="AL102" s="25">
        <f t="shared" si="35"/>
        <v>0</v>
      </c>
      <c r="AN102" s="25">
        <v>21</v>
      </c>
      <c r="AO102" s="25">
        <f>G102*1</f>
        <v>0</v>
      </c>
      <c r="AP102" s="25">
        <f>G102*(1-1)</f>
        <v>0</v>
      </c>
      <c r="AQ102" s="27" t="s">
        <v>53</v>
      </c>
      <c r="AV102" s="25">
        <f t="shared" si="36"/>
        <v>0</v>
      </c>
      <c r="AW102" s="25">
        <f t="shared" si="37"/>
        <v>0</v>
      </c>
      <c r="AX102" s="25">
        <f t="shared" si="38"/>
        <v>0</v>
      </c>
      <c r="AY102" s="27" t="s">
        <v>274</v>
      </c>
      <c r="AZ102" s="27" t="s">
        <v>231</v>
      </c>
      <c r="BA102" s="11" t="s">
        <v>60</v>
      </c>
      <c r="BC102" s="25">
        <f t="shared" si="39"/>
        <v>0</v>
      </c>
      <c r="BD102" s="25">
        <f t="shared" si="40"/>
        <v>0</v>
      </c>
      <c r="BE102" s="25">
        <v>0</v>
      </c>
      <c r="BF102" s="25">
        <f>102</f>
        <v>102</v>
      </c>
      <c r="BH102" s="25">
        <f t="shared" si="41"/>
        <v>0</v>
      </c>
      <c r="BI102" s="25">
        <f t="shared" si="42"/>
        <v>0</v>
      </c>
      <c r="BJ102" s="25">
        <f t="shared" si="43"/>
        <v>0</v>
      </c>
      <c r="BK102" s="27" t="s">
        <v>125</v>
      </c>
      <c r="BL102" s="25">
        <v>93</v>
      </c>
      <c r="BW102" s="25">
        <v>21</v>
      </c>
      <c r="BX102" s="5" t="s">
        <v>276</v>
      </c>
    </row>
    <row r="103" spans="1:76" x14ac:dyDescent="0.25">
      <c r="A103" s="2" t="s">
        <v>182</v>
      </c>
      <c r="B103" s="3" t="s">
        <v>277</v>
      </c>
      <c r="C103" s="80" t="s">
        <v>278</v>
      </c>
      <c r="D103" s="75"/>
      <c r="E103" s="3" t="s">
        <v>218</v>
      </c>
      <c r="F103" s="25">
        <v>4</v>
      </c>
      <c r="G103" s="25">
        <v>0</v>
      </c>
      <c r="H103" s="25">
        <f t="shared" si="22"/>
        <v>0</v>
      </c>
      <c r="I103" s="25">
        <f t="shared" si="23"/>
        <v>0</v>
      </c>
      <c r="J103" s="25">
        <f t="shared" si="24"/>
        <v>0</v>
      </c>
      <c r="K103" s="26" t="s">
        <v>57</v>
      </c>
      <c r="Z103" s="25">
        <f t="shared" si="25"/>
        <v>0</v>
      </c>
      <c r="AB103" s="25">
        <f t="shared" si="26"/>
        <v>0</v>
      </c>
      <c r="AC103" s="25">
        <f t="shared" si="27"/>
        <v>0</v>
      </c>
      <c r="AD103" s="25">
        <f t="shared" si="28"/>
        <v>0</v>
      </c>
      <c r="AE103" s="25">
        <f t="shared" si="29"/>
        <v>0</v>
      </c>
      <c r="AF103" s="25">
        <f t="shared" si="30"/>
        <v>0</v>
      </c>
      <c r="AG103" s="25">
        <f t="shared" si="31"/>
        <v>0</v>
      </c>
      <c r="AH103" s="25">
        <f t="shared" si="32"/>
        <v>0</v>
      </c>
      <c r="AI103" s="11" t="s">
        <v>50</v>
      </c>
      <c r="AJ103" s="25">
        <f t="shared" si="33"/>
        <v>0</v>
      </c>
      <c r="AK103" s="25">
        <f t="shared" si="34"/>
        <v>0</v>
      </c>
      <c r="AL103" s="25">
        <f t="shared" si="35"/>
        <v>0</v>
      </c>
      <c r="AN103" s="25">
        <v>21</v>
      </c>
      <c r="AO103" s="25">
        <f>G103*1</f>
        <v>0</v>
      </c>
      <c r="AP103" s="25">
        <f>G103*(1-1)</f>
        <v>0</v>
      </c>
      <c r="AQ103" s="27" t="s">
        <v>53</v>
      </c>
      <c r="AV103" s="25">
        <f t="shared" si="36"/>
        <v>0</v>
      </c>
      <c r="AW103" s="25">
        <f t="shared" si="37"/>
        <v>0</v>
      </c>
      <c r="AX103" s="25">
        <f t="shared" si="38"/>
        <v>0</v>
      </c>
      <c r="AY103" s="27" t="s">
        <v>274</v>
      </c>
      <c r="AZ103" s="27" t="s">
        <v>231</v>
      </c>
      <c r="BA103" s="11" t="s">
        <v>60</v>
      </c>
      <c r="BC103" s="25">
        <f t="shared" si="39"/>
        <v>0</v>
      </c>
      <c r="BD103" s="25">
        <f t="shared" si="40"/>
        <v>0</v>
      </c>
      <c r="BE103" s="25">
        <v>0</v>
      </c>
      <c r="BF103" s="25">
        <f>103</f>
        <v>103</v>
      </c>
      <c r="BH103" s="25">
        <f t="shared" si="41"/>
        <v>0</v>
      </c>
      <c r="BI103" s="25">
        <f t="shared" si="42"/>
        <v>0</v>
      </c>
      <c r="BJ103" s="25">
        <f t="shared" si="43"/>
        <v>0</v>
      </c>
      <c r="BK103" s="27" t="s">
        <v>125</v>
      </c>
      <c r="BL103" s="25">
        <v>93</v>
      </c>
      <c r="BW103" s="25">
        <v>21</v>
      </c>
      <c r="BX103" s="5" t="s">
        <v>278</v>
      </c>
    </row>
    <row r="104" spans="1:76" x14ac:dyDescent="0.25">
      <c r="A104" s="2" t="s">
        <v>279</v>
      </c>
      <c r="B104" s="3" t="s">
        <v>280</v>
      </c>
      <c r="C104" s="80" t="s">
        <v>281</v>
      </c>
      <c r="D104" s="75"/>
      <c r="E104" s="3" t="s">
        <v>218</v>
      </c>
      <c r="F104" s="25">
        <v>2</v>
      </c>
      <c r="G104" s="25">
        <v>0</v>
      </c>
      <c r="H104" s="25">
        <f t="shared" si="22"/>
        <v>0</v>
      </c>
      <c r="I104" s="25">
        <f t="shared" si="23"/>
        <v>0</v>
      </c>
      <c r="J104" s="25">
        <f t="shared" si="24"/>
        <v>0</v>
      </c>
      <c r="K104" s="26" t="s">
        <v>57</v>
      </c>
      <c r="Z104" s="25">
        <f t="shared" si="25"/>
        <v>0</v>
      </c>
      <c r="AB104" s="25">
        <f t="shared" si="26"/>
        <v>0</v>
      </c>
      <c r="AC104" s="25">
        <f t="shared" si="27"/>
        <v>0</v>
      </c>
      <c r="AD104" s="25">
        <f t="shared" si="28"/>
        <v>0</v>
      </c>
      <c r="AE104" s="25">
        <f t="shared" si="29"/>
        <v>0</v>
      </c>
      <c r="AF104" s="25">
        <f t="shared" si="30"/>
        <v>0</v>
      </c>
      <c r="AG104" s="25">
        <f t="shared" si="31"/>
        <v>0</v>
      </c>
      <c r="AH104" s="25">
        <f t="shared" si="32"/>
        <v>0</v>
      </c>
      <c r="AI104" s="11" t="s">
        <v>50</v>
      </c>
      <c r="AJ104" s="25">
        <f t="shared" si="33"/>
        <v>0</v>
      </c>
      <c r="AK104" s="25">
        <f t="shared" si="34"/>
        <v>0</v>
      </c>
      <c r="AL104" s="25">
        <f t="shared" si="35"/>
        <v>0</v>
      </c>
      <c r="AN104" s="25">
        <v>21</v>
      </c>
      <c r="AO104" s="25">
        <f>G104*0</f>
        <v>0</v>
      </c>
      <c r="AP104" s="25">
        <f>G104*(1-0)</f>
        <v>0</v>
      </c>
      <c r="AQ104" s="27" t="s">
        <v>53</v>
      </c>
      <c r="AV104" s="25">
        <f t="shared" si="36"/>
        <v>0</v>
      </c>
      <c r="AW104" s="25">
        <f t="shared" si="37"/>
        <v>0</v>
      </c>
      <c r="AX104" s="25">
        <f t="shared" si="38"/>
        <v>0</v>
      </c>
      <c r="AY104" s="27" t="s">
        <v>274</v>
      </c>
      <c r="AZ104" s="27" t="s">
        <v>231</v>
      </c>
      <c r="BA104" s="11" t="s">
        <v>60</v>
      </c>
      <c r="BC104" s="25">
        <f t="shared" si="39"/>
        <v>0</v>
      </c>
      <c r="BD104" s="25">
        <f t="shared" si="40"/>
        <v>0</v>
      </c>
      <c r="BE104" s="25">
        <v>0</v>
      </c>
      <c r="BF104" s="25">
        <f>104</f>
        <v>104</v>
      </c>
      <c r="BH104" s="25">
        <f t="shared" si="41"/>
        <v>0</v>
      </c>
      <c r="BI104" s="25">
        <f t="shared" si="42"/>
        <v>0</v>
      </c>
      <c r="BJ104" s="25">
        <f t="shared" si="43"/>
        <v>0</v>
      </c>
      <c r="BK104" s="27" t="s">
        <v>61</v>
      </c>
      <c r="BL104" s="25">
        <v>93</v>
      </c>
      <c r="BW104" s="25">
        <v>21</v>
      </c>
      <c r="BX104" s="5" t="s">
        <v>281</v>
      </c>
    </row>
    <row r="105" spans="1:76" x14ac:dyDescent="0.25">
      <c r="A105" s="2" t="s">
        <v>188</v>
      </c>
      <c r="B105" s="3" t="s">
        <v>282</v>
      </c>
      <c r="C105" s="80" t="s">
        <v>283</v>
      </c>
      <c r="D105" s="75"/>
      <c r="E105" s="3" t="s">
        <v>218</v>
      </c>
      <c r="F105" s="25">
        <v>2</v>
      </c>
      <c r="G105" s="25">
        <v>0</v>
      </c>
      <c r="H105" s="25">
        <f t="shared" si="22"/>
        <v>0</v>
      </c>
      <c r="I105" s="25">
        <f t="shared" si="23"/>
        <v>0</v>
      </c>
      <c r="J105" s="25">
        <f t="shared" si="24"/>
        <v>0</v>
      </c>
      <c r="K105" s="26" t="s">
        <v>57</v>
      </c>
      <c r="Z105" s="25">
        <f t="shared" si="25"/>
        <v>0</v>
      </c>
      <c r="AB105" s="25">
        <f t="shared" si="26"/>
        <v>0</v>
      </c>
      <c r="AC105" s="25">
        <f t="shared" si="27"/>
        <v>0</v>
      </c>
      <c r="AD105" s="25">
        <f t="shared" si="28"/>
        <v>0</v>
      </c>
      <c r="AE105" s="25">
        <f t="shared" si="29"/>
        <v>0</v>
      </c>
      <c r="AF105" s="25">
        <f t="shared" si="30"/>
        <v>0</v>
      </c>
      <c r="AG105" s="25">
        <f t="shared" si="31"/>
        <v>0</v>
      </c>
      <c r="AH105" s="25">
        <f t="shared" si="32"/>
        <v>0</v>
      </c>
      <c r="AI105" s="11" t="s">
        <v>50</v>
      </c>
      <c r="AJ105" s="25">
        <f t="shared" si="33"/>
        <v>0</v>
      </c>
      <c r="AK105" s="25">
        <f t="shared" si="34"/>
        <v>0</v>
      </c>
      <c r="AL105" s="25">
        <f t="shared" si="35"/>
        <v>0</v>
      </c>
      <c r="AN105" s="25">
        <v>21</v>
      </c>
      <c r="AO105" s="25">
        <f>G105*1</f>
        <v>0</v>
      </c>
      <c r="AP105" s="25">
        <f>G105*(1-1)</f>
        <v>0</v>
      </c>
      <c r="AQ105" s="27" t="s">
        <v>53</v>
      </c>
      <c r="AV105" s="25">
        <f t="shared" si="36"/>
        <v>0</v>
      </c>
      <c r="AW105" s="25">
        <f t="shared" si="37"/>
        <v>0</v>
      </c>
      <c r="AX105" s="25">
        <f t="shared" si="38"/>
        <v>0</v>
      </c>
      <c r="AY105" s="27" t="s">
        <v>274</v>
      </c>
      <c r="AZ105" s="27" t="s">
        <v>231</v>
      </c>
      <c r="BA105" s="11" t="s">
        <v>60</v>
      </c>
      <c r="BC105" s="25">
        <f t="shared" si="39"/>
        <v>0</v>
      </c>
      <c r="BD105" s="25">
        <f t="shared" si="40"/>
        <v>0</v>
      </c>
      <c r="BE105" s="25">
        <v>0</v>
      </c>
      <c r="BF105" s="25">
        <f>105</f>
        <v>105</v>
      </c>
      <c r="BH105" s="25">
        <f t="shared" si="41"/>
        <v>0</v>
      </c>
      <c r="BI105" s="25">
        <f t="shared" si="42"/>
        <v>0</v>
      </c>
      <c r="BJ105" s="25">
        <f t="shared" si="43"/>
        <v>0</v>
      </c>
      <c r="BK105" s="27" t="s">
        <v>125</v>
      </c>
      <c r="BL105" s="25">
        <v>93</v>
      </c>
      <c r="BW105" s="25">
        <v>21</v>
      </c>
      <c r="BX105" s="5" t="s">
        <v>283</v>
      </c>
    </row>
    <row r="106" spans="1:76" x14ac:dyDescent="0.25">
      <c r="A106" s="2" t="s">
        <v>284</v>
      </c>
      <c r="B106" s="3" t="s">
        <v>285</v>
      </c>
      <c r="C106" s="80" t="s">
        <v>286</v>
      </c>
      <c r="D106" s="75"/>
      <c r="E106" s="3" t="s">
        <v>111</v>
      </c>
      <c r="F106" s="25">
        <v>1</v>
      </c>
      <c r="G106" s="25">
        <v>0</v>
      </c>
      <c r="H106" s="25">
        <f t="shared" si="22"/>
        <v>0</v>
      </c>
      <c r="I106" s="25">
        <f t="shared" si="23"/>
        <v>0</v>
      </c>
      <c r="J106" s="25">
        <f t="shared" si="24"/>
        <v>0</v>
      </c>
      <c r="K106" s="26" t="s">
        <v>50</v>
      </c>
      <c r="Z106" s="25">
        <f t="shared" si="25"/>
        <v>0</v>
      </c>
      <c r="AB106" s="25">
        <f t="shared" si="26"/>
        <v>0</v>
      </c>
      <c r="AC106" s="25">
        <f t="shared" si="27"/>
        <v>0</v>
      </c>
      <c r="AD106" s="25">
        <f t="shared" si="28"/>
        <v>0</v>
      </c>
      <c r="AE106" s="25">
        <f t="shared" si="29"/>
        <v>0</v>
      </c>
      <c r="AF106" s="25">
        <f t="shared" si="30"/>
        <v>0</v>
      </c>
      <c r="AG106" s="25">
        <f t="shared" si="31"/>
        <v>0</v>
      </c>
      <c r="AH106" s="25">
        <f t="shared" si="32"/>
        <v>0</v>
      </c>
      <c r="AI106" s="11" t="s">
        <v>50</v>
      </c>
      <c r="AJ106" s="25">
        <f t="shared" si="33"/>
        <v>0</v>
      </c>
      <c r="AK106" s="25">
        <f t="shared" si="34"/>
        <v>0</v>
      </c>
      <c r="AL106" s="25">
        <f t="shared" si="35"/>
        <v>0</v>
      </c>
      <c r="AN106" s="25">
        <v>21</v>
      </c>
      <c r="AO106" s="25">
        <f>G106*0</f>
        <v>0</v>
      </c>
      <c r="AP106" s="25">
        <f>G106*(1-0)</f>
        <v>0</v>
      </c>
      <c r="AQ106" s="27" t="s">
        <v>53</v>
      </c>
      <c r="AV106" s="25">
        <f t="shared" si="36"/>
        <v>0</v>
      </c>
      <c r="AW106" s="25">
        <f t="shared" si="37"/>
        <v>0</v>
      </c>
      <c r="AX106" s="25">
        <f t="shared" si="38"/>
        <v>0</v>
      </c>
      <c r="AY106" s="27" t="s">
        <v>274</v>
      </c>
      <c r="AZ106" s="27" t="s">
        <v>231</v>
      </c>
      <c r="BA106" s="11" t="s">
        <v>60</v>
      </c>
      <c r="BC106" s="25">
        <f t="shared" si="39"/>
        <v>0</v>
      </c>
      <c r="BD106" s="25">
        <f t="shared" si="40"/>
        <v>0</v>
      </c>
      <c r="BE106" s="25">
        <v>0</v>
      </c>
      <c r="BF106" s="25">
        <f>106</f>
        <v>106</v>
      </c>
      <c r="BH106" s="25">
        <f t="shared" si="41"/>
        <v>0</v>
      </c>
      <c r="BI106" s="25">
        <f t="shared" si="42"/>
        <v>0</v>
      </c>
      <c r="BJ106" s="25">
        <f t="shared" si="43"/>
        <v>0</v>
      </c>
      <c r="BK106" s="27" t="s">
        <v>61</v>
      </c>
      <c r="BL106" s="25">
        <v>93</v>
      </c>
      <c r="BW106" s="25">
        <v>21</v>
      </c>
      <c r="BX106" s="5" t="s">
        <v>286</v>
      </c>
    </row>
    <row r="107" spans="1:76" x14ac:dyDescent="0.25">
      <c r="A107" s="2" t="s">
        <v>287</v>
      </c>
      <c r="B107" s="3" t="s">
        <v>285</v>
      </c>
      <c r="C107" s="80" t="s">
        <v>288</v>
      </c>
      <c r="D107" s="75"/>
      <c r="E107" s="3" t="s">
        <v>111</v>
      </c>
      <c r="F107" s="25">
        <v>1</v>
      </c>
      <c r="G107" s="25">
        <v>0</v>
      </c>
      <c r="H107" s="25">
        <f t="shared" si="22"/>
        <v>0</v>
      </c>
      <c r="I107" s="25">
        <f t="shared" si="23"/>
        <v>0</v>
      </c>
      <c r="J107" s="25">
        <f t="shared" si="24"/>
        <v>0</v>
      </c>
      <c r="K107" s="26" t="s">
        <v>50</v>
      </c>
      <c r="Z107" s="25">
        <f t="shared" si="25"/>
        <v>0</v>
      </c>
      <c r="AB107" s="25">
        <f t="shared" si="26"/>
        <v>0</v>
      </c>
      <c r="AC107" s="25">
        <f t="shared" si="27"/>
        <v>0</v>
      </c>
      <c r="AD107" s="25">
        <f t="shared" si="28"/>
        <v>0</v>
      </c>
      <c r="AE107" s="25">
        <f t="shared" si="29"/>
        <v>0</v>
      </c>
      <c r="AF107" s="25">
        <f t="shared" si="30"/>
        <v>0</v>
      </c>
      <c r="AG107" s="25">
        <f t="shared" si="31"/>
        <v>0</v>
      </c>
      <c r="AH107" s="25">
        <f t="shared" si="32"/>
        <v>0</v>
      </c>
      <c r="AI107" s="11" t="s">
        <v>50</v>
      </c>
      <c r="AJ107" s="25">
        <f t="shared" si="33"/>
        <v>0</v>
      </c>
      <c r="AK107" s="25">
        <f t="shared" si="34"/>
        <v>0</v>
      </c>
      <c r="AL107" s="25">
        <f t="shared" si="35"/>
        <v>0</v>
      </c>
      <c r="AN107" s="25">
        <v>21</v>
      </c>
      <c r="AO107" s="25">
        <f>G107*0</f>
        <v>0</v>
      </c>
      <c r="AP107" s="25">
        <f>G107*(1-0)</f>
        <v>0</v>
      </c>
      <c r="AQ107" s="27" t="s">
        <v>53</v>
      </c>
      <c r="AV107" s="25">
        <f t="shared" si="36"/>
        <v>0</v>
      </c>
      <c r="AW107" s="25">
        <f t="shared" si="37"/>
        <v>0</v>
      </c>
      <c r="AX107" s="25">
        <f t="shared" si="38"/>
        <v>0</v>
      </c>
      <c r="AY107" s="27" t="s">
        <v>274</v>
      </c>
      <c r="AZ107" s="27" t="s">
        <v>231</v>
      </c>
      <c r="BA107" s="11" t="s">
        <v>60</v>
      </c>
      <c r="BC107" s="25">
        <f t="shared" si="39"/>
        <v>0</v>
      </c>
      <c r="BD107" s="25">
        <f t="shared" si="40"/>
        <v>0</v>
      </c>
      <c r="BE107" s="25">
        <v>0</v>
      </c>
      <c r="BF107" s="25">
        <f>107</f>
        <v>107</v>
      </c>
      <c r="BH107" s="25">
        <f t="shared" si="41"/>
        <v>0</v>
      </c>
      <c r="BI107" s="25">
        <f t="shared" si="42"/>
        <v>0</v>
      </c>
      <c r="BJ107" s="25">
        <f t="shared" si="43"/>
        <v>0</v>
      </c>
      <c r="BK107" s="27" t="s">
        <v>61</v>
      </c>
      <c r="BL107" s="25">
        <v>93</v>
      </c>
      <c r="BW107" s="25">
        <v>21</v>
      </c>
      <c r="BX107" s="5" t="s">
        <v>288</v>
      </c>
    </row>
    <row r="108" spans="1:76" x14ac:dyDescent="0.25">
      <c r="A108" s="2" t="s">
        <v>289</v>
      </c>
      <c r="B108" s="3" t="s">
        <v>290</v>
      </c>
      <c r="C108" s="80" t="s">
        <v>291</v>
      </c>
      <c r="D108" s="75"/>
      <c r="E108" s="3" t="s">
        <v>218</v>
      </c>
      <c r="F108" s="25">
        <v>1</v>
      </c>
      <c r="G108" s="25">
        <v>0</v>
      </c>
      <c r="H108" s="25">
        <f t="shared" si="22"/>
        <v>0</v>
      </c>
      <c r="I108" s="25">
        <f t="shared" si="23"/>
        <v>0</v>
      </c>
      <c r="J108" s="25">
        <f t="shared" si="24"/>
        <v>0</v>
      </c>
      <c r="K108" s="26" t="s">
        <v>57</v>
      </c>
      <c r="Z108" s="25">
        <f t="shared" si="25"/>
        <v>0</v>
      </c>
      <c r="AB108" s="25">
        <f t="shared" si="26"/>
        <v>0</v>
      </c>
      <c r="AC108" s="25">
        <f t="shared" si="27"/>
        <v>0</v>
      </c>
      <c r="AD108" s="25">
        <f t="shared" si="28"/>
        <v>0</v>
      </c>
      <c r="AE108" s="25">
        <f t="shared" si="29"/>
        <v>0</v>
      </c>
      <c r="AF108" s="25">
        <f t="shared" si="30"/>
        <v>0</v>
      </c>
      <c r="AG108" s="25">
        <f t="shared" si="31"/>
        <v>0</v>
      </c>
      <c r="AH108" s="25">
        <f t="shared" si="32"/>
        <v>0</v>
      </c>
      <c r="AI108" s="11" t="s">
        <v>50</v>
      </c>
      <c r="AJ108" s="25">
        <f t="shared" si="33"/>
        <v>0</v>
      </c>
      <c r="AK108" s="25">
        <f t="shared" si="34"/>
        <v>0</v>
      </c>
      <c r="AL108" s="25">
        <f t="shared" si="35"/>
        <v>0</v>
      </c>
      <c r="AN108" s="25">
        <v>21</v>
      </c>
      <c r="AO108" s="25">
        <f>G108*1</f>
        <v>0</v>
      </c>
      <c r="AP108" s="25">
        <f>G108*(1-1)</f>
        <v>0</v>
      </c>
      <c r="AQ108" s="27" t="s">
        <v>53</v>
      </c>
      <c r="AV108" s="25">
        <f t="shared" si="36"/>
        <v>0</v>
      </c>
      <c r="AW108" s="25">
        <f t="shared" si="37"/>
        <v>0</v>
      </c>
      <c r="AX108" s="25">
        <f t="shared" si="38"/>
        <v>0</v>
      </c>
      <c r="AY108" s="27" t="s">
        <v>274</v>
      </c>
      <c r="AZ108" s="27" t="s">
        <v>231</v>
      </c>
      <c r="BA108" s="11" t="s">
        <v>60</v>
      </c>
      <c r="BC108" s="25">
        <f t="shared" si="39"/>
        <v>0</v>
      </c>
      <c r="BD108" s="25">
        <f t="shared" si="40"/>
        <v>0</v>
      </c>
      <c r="BE108" s="25">
        <v>0</v>
      </c>
      <c r="BF108" s="25">
        <f>108</f>
        <v>108</v>
      </c>
      <c r="BH108" s="25">
        <f t="shared" si="41"/>
        <v>0</v>
      </c>
      <c r="BI108" s="25">
        <f t="shared" si="42"/>
        <v>0</v>
      </c>
      <c r="BJ108" s="25">
        <f t="shared" si="43"/>
        <v>0</v>
      </c>
      <c r="BK108" s="27" t="s">
        <v>125</v>
      </c>
      <c r="BL108" s="25">
        <v>93</v>
      </c>
      <c r="BW108" s="25">
        <v>21</v>
      </c>
      <c r="BX108" s="5" t="s">
        <v>291</v>
      </c>
    </row>
    <row r="109" spans="1:76" x14ac:dyDescent="0.25">
      <c r="A109" s="30" t="s">
        <v>50</v>
      </c>
      <c r="B109" s="31" t="s">
        <v>292</v>
      </c>
      <c r="C109" s="99" t="s">
        <v>293</v>
      </c>
      <c r="D109" s="100"/>
      <c r="E109" s="32" t="s">
        <v>4</v>
      </c>
      <c r="F109" s="32" t="s">
        <v>4</v>
      </c>
      <c r="G109" s="32" t="s">
        <v>4</v>
      </c>
      <c r="H109" s="1">
        <f>SUM(H110:H110)</f>
        <v>0</v>
      </c>
      <c r="I109" s="1">
        <f>SUM(I110:I110)</f>
        <v>0</v>
      </c>
      <c r="J109" s="1">
        <f>SUM(J110:J110)</f>
        <v>0</v>
      </c>
      <c r="K109" s="33" t="s">
        <v>50</v>
      </c>
      <c r="AI109" s="11" t="s">
        <v>50</v>
      </c>
      <c r="AS109" s="1">
        <f>SUM(AJ110:AJ110)</f>
        <v>0</v>
      </c>
      <c r="AT109" s="1">
        <f>SUM(AK110:AK110)</f>
        <v>0</v>
      </c>
      <c r="AU109" s="1">
        <f>SUM(AL110:AL110)</f>
        <v>0</v>
      </c>
    </row>
    <row r="110" spans="1:76" x14ac:dyDescent="0.25">
      <c r="A110" s="2" t="s">
        <v>294</v>
      </c>
      <c r="B110" s="3" t="s">
        <v>295</v>
      </c>
      <c r="C110" s="80" t="s">
        <v>296</v>
      </c>
      <c r="D110" s="75"/>
      <c r="E110" s="3" t="s">
        <v>144</v>
      </c>
      <c r="F110" s="25">
        <v>473.12099999999998</v>
      </c>
      <c r="G110" s="25">
        <v>0</v>
      </c>
      <c r="H110" s="25">
        <f>ROUND(F110*AO110,2)</f>
        <v>0</v>
      </c>
      <c r="I110" s="25">
        <f>ROUND(F110*AP110,2)</f>
        <v>0</v>
      </c>
      <c r="J110" s="25">
        <f>ROUND(F110*G110,2)</f>
        <v>0</v>
      </c>
      <c r="K110" s="26" t="s">
        <v>57</v>
      </c>
      <c r="Z110" s="25">
        <f>ROUND(IF(AQ110="5",BJ110,0),2)</f>
        <v>0</v>
      </c>
      <c r="AB110" s="25">
        <f>ROUND(IF(AQ110="1",BH110,0),2)</f>
        <v>0</v>
      </c>
      <c r="AC110" s="25">
        <f>ROUND(IF(AQ110="1",BI110,0),2)</f>
        <v>0</v>
      </c>
      <c r="AD110" s="25">
        <f>ROUND(IF(AQ110="7",BH110,0),2)</f>
        <v>0</v>
      </c>
      <c r="AE110" s="25">
        <f>ROUND(IF(AQ110="7",BI110,0),2)</f>
        <v>0</v>
      </c>
      <c r="AF110" s="25">
        <f>ROUND(IF(AQ110="2",BH110,0),2)</f>
        <v>0</v>
      </c>
      <c r="AG110" s="25">
        <f>ROUND(IF(AQ110="2",BI110,0),2)</f>
        <v>0</v>
      </c>
      <c r="AH110" s="25">
        <f>ROUND(IF(AQ110="0",BJ110,0),2)</f>
        <v>0</v>
      </c>
      <c r="AI110" s="11" t="s">
        <v>50</v>
      </c>
      <c r="AJ110" s="25">
        <f>IF(AN110=0,J110,0)</f>
        <v>0</v>
      </c>
      <c r="AK110" s="25">
        <f>IF(AN110=12,J110,0)</f>
        <v>0</v>
      </c>
      <c r="AL110" s="25">
        <f>IF(AN110=21,J110,0)</f>
        <v>0</v>
      </c>
      <c r="AN110" s="25">
        <v>21</v>
      </c>
      <c r="AO110" s="25">
        <f>G110*0</f>
        <v>0</v>
      </c>
      <c r="AP110" s="25">
        <f>G110*(1-0)</f>
        <v>0</v>
      </c>
      <c r="AQ110" s="27" t="s">
        <v>74</v>
      </c>
      <c r="AV110" s="25">
        <f>ROUND(AW110+AX110,2)</f>
        <v>0</v>
      </c>
      <c r="AW110" s="25">
        <f>ROUND(F110*AO110,2)</f>
        <v>0</v>
      </c>
      <c r="AX110" s="25">
        <f>ROUND(F110*AP110,2)</f>
        <v>0</v>
      </c>
      <c r="AY110" s="27" t="s">
        <v>297</v>
      </c>
      <c r="AZ110" s="27" t="s">
        <v>231</v>
      </c>
      <c r="BA110" s="11" t="s">
        <v>60</v>
      </c>
      <c r="BC110" s="25">
        <f>AW110+AX110</f>
        <v>0</v>
      </c>
      <c r="BD110" s="25">
        <f>G110/(100-BE110)*100</f>
        <v>0</v>
      </c>
      <c r="BE110" s="25">
        <v>0</v>
      </c>
      <c r="BF110" s="25">
        <f>110</f>
        <v>110</v>
      </c>
      <c r="BH110" s="25">
        <f>F110*AO110</f>
        <v>0</v>
      </c>
      <c r="BI110" s="25">
        <f>F110*AP110</f>
        <v>0</v>
      </c>
      <c r="BJ110" s="25">
        <f>F110*G110</f>
        <v>0</v>
      </c>
      <c r="BK110" s="27" t="s">
        <v>61</v>
      </c>
      <c r="BL110" s="25"/>
      <c r="BW110" s="25">
        <v>21</v>
      </c>
      <c r="BX110" s="5" t="s">
        <v>296</v>
      </c>
    </row>
    <row r="111" spans="1:76" x14ac:dyDescent="0.25">
      <c r="A111" s="30" t="s">
        <v>50</v>
      </c>
      <c r="B111" s="31" t="s">
        <v>298</v>
      </c>
      <c r="C111" s="99" t="s">
        <v>299</v>
      </c>
      <c r="D111" s="100"/>
      <c r="E111" s="32" t="s">
        <v>4</v>
      </c>
      <c r="F111" s="32" t="s">
        <v>4</v>
      </c>
      <c r="G111" s="32" t="s">
        <v>4</v>
      </c>
      <c r="H111" s="1">
        <f>SUM(H112:H112)</f>
        <v>0</v>
      </c>
      <c r="I111" s="1">
        <f>SUM(I112:I112)</f>
        <v>0</v>
      </c>
      <c r="J111" s="1">
        <f>SUM(J112:J112)</f>
        <v>0</v>
      </c>
      <c r="K111" s="33" t="s">
        <v>50</v>
      </c>
      <c r="AI111" s="11" t="s">
        <v>50</v>
      </c>
      <c r="AS111" s="1">
        <f>SUM(AJ112:AJ112)</f>
        <v>0</v>
      </c>
      <c r="AT111" s="1">
        <f>SUM(AK112:AK112)</f>
        <v>0</v>
      </c>
      <c r="AU111" s="1">
        <f>SUM(AL112:AL112)</f>
        <v>0</v>
      </c>
    </row>
    <row r="112" spans="1:76" x14ac:dyDescent="0.25">
      <c r="A112" s="2" t="s">
        <v>300</v>
      </c>
      <c r="B112" s="3" t="s">
        <v>301</v>
      </c>
      <c r="C112" s="80" t="s">
        <v>302</v>
      </c>
      <c r="D112" s="75"/>
      <c r="E112" s="3" t="s">
        <v>218</v>
      </c>
      <c r="F112" s="25">
        <v>2</v>
      </c>
      <c r="G112" s="25">
        <v>0</v>
      </c>
      <c r="H112" s="25">
        <f>ROUND(F112*AO112,2)</f>
        <v>0</v>
      </c>
      <c r="I112" s="25">
        <f>ROUND(F112*AP112,2)</f>
        <v>0</v>
      </c>
      <c r="J112" s="25">
        <f>ROUND(F112*G112,2)</f>
        <v>0</v>
      </c>
      <c r="K112" s="26" t="s">
        <v>57</v>
      </c>
      <c r="Z112" s="25">
        <f>ROUND(IF(AQ112="5",BJ112,0),2)</f>
        <v>0</v>
      </c>
      <c r="AB112" s="25">
        <f>ROUND(IF(AQ112="1",BH112,0),2)</f>
        <v>0</v>
      </c>
      <c r="AC112" s="25">
        <f>ROUND(IF(AQ112="1",BI112,0),2)</f>
        <v>0</v>
      </c>
      <c r="AD112" s="25">
        <f>ROUND(IF(AQ112="7",BH112,0),2)</f>
        <v>0</v>
      </c>
      <c r="AE112" s="25">
        <f>ROUND(IF(AQ112="7",BI112,0),2)</f>
        <v>0</v>
      </c>
      <c r="AF112" s="25">
        <f>ROUND(IF(AQ112="2",BH112,0),2)</f>
        <v>0</v>
      </c>
      <c r="AG112" s="25">
        <f>ROUND(IF(AQ112="2",BI112,0),2)</f>
        <v>0</v>
      </c>
      <c r="AH112" s="25">
        <f>ROUND(IF(AQ112="0",BJ112,0),2)</f>
        <v>0</v>
      </c>
      <c r="AI112" s="11" t="s">
        <v>50</v>
      </c>
      <c r="AJ112" s="25">
        <f>IF(AN112=0,J112,0)</f>
        <v>0</v>
      </c>
      <c r="AK112" s="25">
        <f>IF(AN112=12,J112,0)</f>
        <v>0</v>
      </c>
      <c r="AL112" s="25">
        <f>IF(AN112=21,J112,0)</f>
        <v>0</v>
      </c>
      <c r="AN112" s="25">
        <v>21</v>
      </c>
      <c r="AO112" s="25">
        <f>G112*0</f>
        <v>0</v>
      </c>
      <c r="AP112" s="25">
        <f>G112*(1-0)</f>
        <v>0</v>
      </c>
      <c r="AQ112" s="27" t="s">
        <v>53</v>
      </c>
      <c r="AV112" s="25">
        <f>ROUND(AW112+AX112,2)</f>
        <v>0</v>
      </c>
      <c r="AW112" s="25">
        <f>ROUND(F112*AO112,2)</f>
        <v>0</v>
      </c>
      <c r="AX112" s="25">
        <f>ROUND(F112*AP112,2)</f>
        <v>0</v>
      </c>
      <c r="AY112" s="27" t="s">
        <v>303</v>
      </c>
      <c r="AZ112" s="27" t="s">
        <v>231</v>
      </c>
      <c r="BA112" s="11" t="s">
        <v>60</v>
      </c>
      <c r="BC112" s="25">
        <f>AW112+AX112</f>
        <v>0</v>
      </c>
      <c r="BD112" s="25">
        <f>G112/(100-BE112)*100</f>
        <v>0</v>
      </c>
      <c r="BE112" s="25">
        <v>0</v>
      </c>
      <c r="BF112" s="25">
        <f>112</f>
        <v>112</v>
      </c>
      <c r="BH112" s="25">
        <f>F112*AO112</f>
        <v>0</v>
      </c>
      <c r="BI112" s="25">
        <f>F112*AP112</f>
        <v>0</v>
      </c>
      <c r="BJ112" s="25">
        <f>F112*G112</f>
        <v>0</v>
      </c>
      <c r="BK112" s="27" t="s">
        <v>61</v>
      </c>
      <c r="BL112" s="25">
        <v>96</v>
      </c>
      <c r="BW112" s="25">
        <v>21</v>
      </c>
      <c r="BX112" s="5" t="s">
        <v>302</v>
      </c>
    </row>
    <row r="113" spans="1:76" x14ac:dyDescent="0.25">
      <c r="A113" s="30" t="s">
        <v>50</v>
      </c>
      <c r="B113" s="31" t="s">
        <v>304</v>
      </c>
      <c r="C113" s="99" t="s">
        <v>305</v>
      </c>
      <c r="D113" s="100"/>
      <c r="E113" s="32" t="s">
        <v>4</v>
      </c>
      <c r="F113" s="32" t="s">
        <v>4</v>
      </c>
      <c r="G113" s="32" t="s">
        <v>4</v>
      </c>
      <c r="H113" s="1">
        <f>SUM(H114:H118)</f>
        <v>0</v>
      </c>
      <c r="I113" s="1">
        <f>SUM(I114:I118)</f>
        <v>0</v>
      </c>
      <c r="J113" s="1">
        <f>SUM(J114:J118)</f>
        <v>0</v>
      </c>
      <c r="K113" s="33" t="s">
        <v>50</v>
      </c>
      <c r="AI113" s="11" t="s">
        <v>50</v>
      </c>
      <c r="AS113" s="1">
        <f>SUM(AJ114:AJ118)</f>
        <v>0</v>
      </c>
      <c r="AT113" s="1">
        <f>SUM(AK114:AK118)</f>
        <v>0</v>
      </c>
      <c r="AU113" s="1">
        <f>SUM(AL114:AL118)</f>
        <v>0</v>
      </c>
    </row>
    <row r="114" spans="1:76" x14ac:dyDescent="0.25">
      <c r="A114" s="2" t="s">
        <v>306</v>
      </c>
      <c r="B114" s="3" t="s">
        <v>307</v>
      </c>
      <c r="C114" s="80" t="s">
        <v>308</v>
      </c>
      <c r="D114" s="75"/>
      <c r="E114" s="3" t="s">
        <v>144</v>
      </c>
      <c r="F114" s="25">
        <v>355.815</v>
      </c>
      <c r="G114" s="25">
        <v>0</v>
      </c>
      <c r="H114" s="25">
        <f>ROUND(F114*AO114,2)</f>
        <v>0</v>
      </c>
      <c r="I114" s="25">
        <f>ROUND(F114*AP114,2)</f>
        <v>0</v>
      </c>
      <c r="J114" s="25">
        <f>ROUND(F114*G114,2)</f>
        <v>0</v>
      </c>
      <c r="K114" s="26" t="s">
        <v>57</v>
      </c>
      <c r="Z114" s="25">
        <f>ROUND(IF(AQ114="5",BJ114,0),2)</f>
        <v>0</v>
      </c>
      <c r="AB114" s="25">
        <f>ROUND(IF(AQ114="1",BH114,0),2)</f>
        <v>0</v>
      </c>
      <c r="AC114" s="25">
        <f>ROUND(IF(AQ114="1",BI114,0),2)</f>
        <v>0</v>
      </c>
      <c r="AD114" s="25">
        <f>ROUND(IF(AQ114="7",BH114,0),2)</f>
        <v>0</v>
      </c>
      <c r="AE114" s="25">
        <f>ROUND(IF(AQ114="7",BI114,0),2)</f>
        <v>0</v>
      </c>
      <c r="AF114" s="25">
        <f>ROUND(IF(AQ114="2",BH114,0),2)</f>
        <v>0</v>
      </c>
      <c r="AG114" s="25">
        <f>ROUND(IF(AQ114="2",BI114,0),2)</f>
        <v>0</v>
      </c>
      <c r="AH114" s="25">
        <f>ROUND(IF(AQ114="0",BJ114,0),2)</f>
        <v>0</v>
      </c>
      <c r="AI114" s="11" t="s">
        <v>50</v>
      </c>
      <c r="AJ114" s="25">
        <f>IF(AN114=0,J114,0)</f>
        <v>0</v>
      </c>
      <c r="AK114" s="25">
        <f>IF(AN114=12,J114,0)</f>
        <v>0</v>
      </c>
      <c r="AL114" s="25">
        <f>IF(AN114=21,J114,0)</f>
        <v>0</v>
      </c>
      <c r="AN114" s="25">
        <v>21</v>
      </c>
      <c r="AO114" s="25">
        <f>G114*0.010622017</f>
        <v>0</v>
      </c>
      <c r="AP114" s="25">
        <f>G114*(1-0.010622017)</f>
        <v>0</v>
      </c>
      <c r="AQ114" s="27" t="s">
        <v>74</v>
      </c>
      <c r="AV114" s="25">
        <f>ROUND(AW114+AX114,2)</f>
        <v>0</v>
      </c>
      <c r="AW114" s="25">
        <f>ROUND(F114*AO114,2)</f>
        <v>0</v>
      </c>
      <c r="AX114" s="25">
        <f>ROUND(F114*AP114,2)</f>
        <v>0</v>
      </c>
      <c r="AY114" s="27" t="s">
        <v>309</v>
      </c>
      <c r="AZ114" s="27" t="s">
        <v>231</v>
      </c>
      <c r="BA114" s="11" t="s">
        <v>60</v>
      </c>
      <c r="BC114" s="25">
        <f>AW114+AX114</f>
        <v>0</v>
      </c>
      <c r="BD114" s="25">
        <f>G114/(100-BE114)*100</f>
        <v>0</v>
      </c>
      <c r="BE114" s="25">
        <v>0</v>
      </c>
      <c r="BF114" s="25">
        <f>114</f>
        <v>114</v>
      </c>
      <c r="BH114" s="25">
        <f>F114*AO114</f>
        <v>0</v>
      </c>
      <c r="BI114" s="25">
        <f>F114*AP114</f>
        <v>0</v>
      </c>
      <c r="BJ114" s="25">
        <f>F114*G114</f>
        <v>0</v>
      </c>
      <c r="BK114" s="27" t="s">
        <v>61</v>
      </c>
      <c r="BL114" s="25"/>
      <c r="BW114" s="25">
        <v>21</v>
      </c>
      <c r="BX114" s="5" t="s">
        <v>308</v>
      </c>
    </row>
    <row r="115" spans="1:76" ht="13.5" customHeight="1" x14ac:dyDescent="0.25">
      <c r="A115" s="28"/>
      <c r="B115" s="29" t="s">
        <v>62</v>
      </c>
      <c r="C115" s="96" t="s">
        <v>310</v>
      </c>
      <c r="D115" s="97"/>
      <c r="E115" s="97"/>
      <c r="F115" s="97"/>
      <c r="G115" s="97"/>
      <c r="H115" s="97"/>
      <c r="I115" s="97"/>
      <c r="J115" s="97"/>
      <c r="K115" s="98"/>
    </row>
    <row r="116" spans="1:76" x14ac:dyDescent="0.25">
      <c r="A116" s="2" t="s">
        <v>311</v>
      </c>
      <c r="B116" s="3" t="s">
        <v>312</v>
      </c>
      <c r="C116" s="80" t="s">
        <v>313</v>
      </c>
      <c r="D116" s="75"/>
      <c r="E116" s="3" t="s">
        <v>144</v>
      </c>
      <c r="F116" s="25">
        <v>31.92</v>
      </c>
      <c r="G116" s="25">
        <v>0</v>
      </c>
      <c r="H116" s="25">
        <f>ROUND(F116*AO116,2)</f>
        <v>0</v>
      </c>
      <c r="I116" s="25">
        <f>ROUND(F116*AP116,2)</f>
        <v>0</v>
      </c>
      <c r="J116" s="25">
        <f>ROUND(F116*G116,2)</f>
        <v>0</v>
      </c>
      <c r="K116" s="26" t="s">
        <v>57</v>
      </c>
      <c r="Z116" s="25">
        <f>ROUND(IF(AQ116="5",BJ116,0),2)</f>
        <v>0</v>
      </c>
      <c r="AB116" s="25">
        <f>ROUND(IF(AQ116="1",BH116,0),2)</f>
        <v>0</v>
      </c>
      <c r="AC116" s="25">
        <f>ROUND(IF(AQ116="1",BI116,0),2)</f>
        <v>0</v>
      </c>
      <c r="AD116" s="25">
        <f>ROUND(IF(AQ116="7",BH116,0),2)</f>
        <v>0</v>
      </c>
      <c r="AE116" s="25">
        <f>ROUND(IF(AQ116="7",BI116,0),2)</f>
        <v>0</v>
      </c>
      <c r="AF116" s="25">
        <f>ROUND(IF(AQ116="2",BH116,0),2)</f>
        <v>0</v>
      </c>
      <c r="AG116" s="25">
        <f>ROUND(IF(AQ116="2",BI116,0),2)</f>
        <v>0</v>
      </c>
      <c r="AH116" s="25">
        <f>ROUND(IF(AQ116="0",BJ116,0),2)</f>
        <v>0</v>
      </c>
      <c r="AI116" s="11" t="s">
        <v>50</v>
      </c>
      <c r="AJ116" s="25">
        <f>IF(AN116=0,J116,0)</f>
        <v>0</v>
      </c>
      <c r="AK116" s="25">
        <f>IF(AN116=12,J116,0)</f>
        <v>0</v>
      </c>
      <c r="AL116" s="25">
        <f>IF(AN116=21,J116,0)</f>
        <v>0</v>
      </c>
      <c r="AN116" s="25">
        <v>21</v>
      </c>
      <c r="AO116" s="25">
        <f>G116*0</f>
        <v>0</v>
      </c>
      <c r="AP116" s="25">
        <f>G116*(1-0)</f>
        <v>0</v>
      </c>
      <c r="AQ116" s="27" t="s">
        <v>74</v>
      </c>
      <c r="AV116" s="25">
        <f>ROUND(AW116+AX116,2)</f>
        <v>0</v>
      </c>
      <c r="AW116" s="25">
        <f>ROUND(F116*AO116,2)</f>
        <v>0</v>
      </c>
      <c r="AX116" s="25">
        <f>ROUND(F116*AP116,2)</f>
        <v>0</v>
      </c>
      <c r="AY116" s="27" t="s">
        <v>309</v>
      </c>
      <c r="AZ116" s="27" t="s">
        <v>231</v>
      </c>
      <c r="BA116" s="11" t="s">
        <v>60</v>
      </c>
      <c r="BC116" s="25">
        <f>AW116+AX116</f>
        <v>0</v>
      </c>
      <c r="BD116" s="25">
        <f>G116/(100-BE116)*100</f>
        <v>0</v>
      </c>
      <c r="BE116" s="25">
        <v>0</v>
      </c>
      <c r="BF116" s="25">
        <f>116</f>
        <v>116</v>
      </c>
      <c r="BH116" s="25">
        <f>F116*AO116</f>
        <v>0</v>
      </c>
      <c r="BI116" s="25">
        <f>F116*AP116</f>
        <v>0</v>
      </c>
      <c r="BJ116" s="25">
        <f>F116*G116</f>
        <v>0</v>
      </c>
      <c r="BK116" s="27" t="s">
        <v>61</v>
      </c>
      <c r="BL116" s="25"/>
      <c r="BW116" s="25">
        <v>21</v>
      </c>
      <c r="BX116" s="5" t="s">
        <v>313</v>
      </c>
    </row>
    <row r="117" spans="1:76" x14ac:dyDescent="0.25">
      <c r="A117" s="2" t="s">
        <v>314</v>
      </c>
      <c r="B117" s="3" t="s">
        <v>315</v>
      </c>
      <c r="C117" s="80" t="s">
        <v>316</v>
      </c>
      <c r="D117" s="75"/>
      <c r="E117" s="3" t="s">
        <v>144</v>
      </c>
      <c r="F117" s="25">
        <v>308.495</v>
      </c>
      <c r="G117" s="25">
        <v>0</v>
      </c>
      <c r="H117" s="25">
        <f>ROUND(F117*AO117,2)</f>
        <v>0</v>
      </c>
      <c r="I117" s="25">
        <f>ROUND(F117*AP117,2)</f>
        <v>0</v>
      </c>
      <c r="J117" s="25">
        <f>ROUND(F117*G117,2)</f>
        <v>0</v>
      </c>
      <c r="K117" s="26" t="s">
        <v>57</v>
      </c>
      <c r="Z117" s="25">
        <f>ROUND(IF(AQ117="5",BJ117,0),2)</f>
        <v>0</v>
      </c>
      <c r="AB117" s="25">
        <f>ROUND(IF(AQ117="1",BH117,0),2)</f>
        <v>0</v>
      </c>
      <c r="AC117" s="25">
        <f>ROUND(IF(AQ117="1",BI117,0),2)</f>
        <v>0</v>
      </c>
      <c r="AD117" s="25">
        <f>ROUND(IF(AQ117="7",BH117,0),2)</f>
        <v>0</v>
      </c>
      <c r="AE117" s="25">
        <f>ROUND(IF(AQ117="7",BI117,0),2)</f>
        <v>0</v>
      </c>
      <c r="AF117" s="25">
        <f>ROUND(IF(AQ117="2",BH117,0),2)</f>
        <v>0</v>
      </c>
      <c r="AG117" s="25">
        <f>ROUND(IF(AQ117="2",BI117,0),2)</f>
        <v>0</v>
      </c>
      <c r="AH117" s="25">
        <f>ROUND(IF(AQ117="0",BJ117,0),2)</f>
        <v>0</v>
      </c>
      <c r="AI117" s="11" t="s">
        <v>50</v>
      </c>
      <c r="AJ117" s="25">
        <f>IF(AN117=0,J117,0)</f>
        <v>0</v>
      </c>
      <c r="AK117" s="25">
        <f>IF(AN117=12,J117,0)</f>
        <v>0</v>
      </c>
      <c r="AL117" s="25">
        <f>IF(AN117=21,J117,0)</f>
        <v>0</v>
      </c>
      <c r="AN117" s="25">
        <v>21</v>
      </c>
      <c r="AO117" s="25">
        <f>G117*0</f>
        <v>0</v>
      </c>
      <c r="AP117" s="25">
        <f>G117*(1-0)</f>
        <v>0</v>
      </c>
      <c r="AQ117" s="27" t="s">
        <v>74</v>
      </c>
      <c r="AV117" s="25">
        <f>ROUND(AW117+AX117,2)</f>
        <v>0</v>
      </c>
      <c r="AW117" s="25">
        <f>ROUND(F117*AO117,2)</f>
        <v>0</v>
      </c>
      <c r="AX117" s="25">
        <f>ROUND(F117*AP117,2)</f>
        <v>0</v>
      </c>
      <c r="AY117" s="27" t="s">
        <v>309</v>
      </c>
      <c r="AZ117" s="27" t="s">
        <v>231</v>
      </c>
      <c r="BA117" s="11" t="s">
        <v>60</v>
      </c>
      <c r="BC117" s="25">
        <f>AW117+AX117</f>
        <v>0</v>
      </c>
      <c r="BD117" s="25">
        <f>G117/(100-BE117)*100</f>
        <v>0</v>
      </c>
      <c r="BE117" s="25">
        <v>0</v>
      </c>
      <c r="BF117" s="25">
        <f>117</f>
        <v>117</v>
      </c>
      <c r="BH117" s="25">
        <f>F117*AO117</f>
        <v>0</v>
      </c>
      <c r="BI117" s="25">
        <f>F117*AP117</f>
        <v>0</v>
      </c>
      <c r="BJ117" s="25">
        <f>F117*G117</f>
        <v>0</v>
      </c>
      <c r="BK117" s="27" t="s">
        <v>61</v>
      </c>
      <c r="BL117" s="25"/>
      <c r="BW117" s="25">
        <v>21</v>
      </c>
      <c r="BX117" s="5" t="s">
        <v>316</v>
      </c>
    </row>
    <row r="118" spans="1:76" ht="25.5" x14ac:dyDescent="0.25">
      <c r="A118" s="2" t="s">
        <v>317</v>
      </c>
      <c r="B118" s="3" t="s">
        <v>318</v>
      </c>
      <c r="C118" s="80" t="s">
        <v>319</v>
      </c>
      <c r="D118" s="75"/>
      <c r="E118" s="3" t="s">
        <v>144</v>
      </c>
      <c r="F118" s="25">
        <v>11.55</v>
      </c>
      <c r="G118" s="25">
        <v>0</v>
      </c>
      <c r="H118" s="25">
        <f>ROUND(F118*AO118,2)</f>
        <v>0</v>
      </c>
      <c r="I118" s="25">
        <f>ROUND(F118*AP118,2)</f>
        <v>0</v>
      </c>
      <c r="J118" s="25">
        <f>ROUND(F118*G118,2)</f>
        <v>0</v>
      </c>
      <c r="K118" s="26" t="s">
        <v>57</v>
      </c>
      <c r="Z118" s="25">
        <f>ROUND(IF(AQ118="5",BJ118,0),2)</f>
        <v>0</v>
      </c>
      <c r="AB118" s="25">
        <f>ROUND(IF(AQ118="1",BH118,0),2)</f>
        <v>0</v>
      </c>
      <c r="AC118" s="25">
        <f>ROUND(IF(AQ118="1",BI118,0),2)</f>
        <v>0</v>
      </c>
      <c r="AD118" s="25">
        <f>ROUND(IF(AQ118="7",BH118,0),2)</f>
        <v>0</v>
      </c>
      <c r="AE118" s="25">
        <f>ROUND(IF(AQ118="7",BI118,0),2)</f>
        <v>0</v>
      </c>
      <c r="AF118" s="25">
        <f>ROUND(IF(AQ118="2",BH118,0),2)</f>
        <v>0</v>
      </c>
      <c r="AG118" s="25">
        <f>ROUND(IF(AQ118="2",BI118,0),2)</f>
        <v>0</v>
      </c>
      <c r="AH118" s="25">
        <f>ROUND(IF(AQ118="0",BJ118,0),2)</f>
        <v>0</v>
      </c>
      <c r="AI118" s="11" t="s">
        <v>50</v>
      </c>
      <c r="AJ118" s="25">
        <f>IF(AN118=0,J118,0)</f>
        <v>0</v>
      </c>
      <c r="AK118" s="25">
        <f>IF(AN118=12,J118,0)</f>
        <v>0</v>
      </c>
      <c r="AL118" s="25">
        <f>IF(AN118=21,J118,0)</f>
        <v>0</v>
      </c>
      <c r="AN118" s="25">
        <v>21</v>
      </c>
      <c r="AO118" s="25">
        <f>G118*0</f>
        <v>0</v>
      </c>
      <c r="AP118" s="25">
        <f>G118*(1-0)</f>
        <v>0</v>
      </c>
      <c r="AQ118" s="27" t="s">
        <v>53</v>
      </c>
      <c r="AV118" s="25">
        <f>ROUND(AW118+AX118,2)</f>
        <v>0</v>
      </c>
      <c r="AW118" s="25">
        <f>ROUND(F118*AO118,2)</f>
        <v>0</v>
      </c>
      <c r="AX118" s="25">
        <f>ROUND(F118*AP118,2)</f>
        <v>0</v>
      </c>
      <c r="AY118" s="27" t="s">
        <v>309</v>
      </c>
      <c r="AZ118" s="27" t="s">
        <v>231</v>
      </c>
      <c r="BA118" s="11" t="s">
        <v>60</v>
      </c>
      <c r="BC118" s="25">
        <f>AW118+AX118</f>
        <v>0</v>
      </c>
      <c r="BD118" s="25">
        <f>G118/(100-BE118)*100</f>
        <v>0</v>
      </c>
      <c r="BE118" s="25">
        <v>0</v>
      </c>
      <c r="BF118" s="25">
        <f>118</f>
        <v>118</v>
      </c>
      <c r="BH118" s="25">
        <f>F118*AO118</f>
        <v>0</v>
      </c>
      <c r="BI118" s="25">
        <f>F118*AP118</f>
        <v>0</v>
      </c>
      <c r="BJ118" s="25">
        <f>F118*G118</f>
        <v>0</v>
      </c>
      <c r="BK118" s="27" t="s">
        <v>61</v>
      </c>
      <c r="BL118" s="25"/>
      <c r="BW118" s="25">
        <v>21</v>
      </c>
      <c r="BX118" s="5" t="s">
        <v>319</v>
      </c>
    </row>
    <row r="119" spans="1:76" x14ac:dyDescent="0.25">
      <c r="A119" s="30" t="s">
        <v>50</v>
      </c>
      <c r="B119" s="31" t="s">
        <v>320</v>
      </c>
      <c r="C119" s="99" t="s">
        <v>321</v>
      </c>
      <c r="D119" s="100"/>
      <c r="E119" s="32" t="s">
        <v>4</v>
      </c>
      <c r="F119" s="32" t="s">
        <v>4</v>
      </c>
      <c r="G119" s="32" t="s">
        <v>4</v>
      </c>
      <c r="H119" s="1">
        <f>SUM(H120:H122)</f>
        <v>0</v>
      </c>
      <c r="I119" s="1">
        <f>SUM(I120:I122)</f>
        <v>0</v>
      </c>
      <c r="J119" s="1">
        <f>SUM(J120:J122)</f>
        <v>0</v>
      </c>
      <c r="K119" s="33" t="s">
        <v>50</v>
      </c>
      <c r="AI119" s="11" t="s">
        <v>50</v>
      </c>
      <c r="AS119" s="1">
        <f>SUM(AJ120:AJ122)</f>
        <v>0</v>
      </c>
      <c r="AT119" s="1">
        <f>SUM(AK120:AK122)</f>
        <v>0</v>
      </c>
      <c r="AU119" s="1">
        <f>SUM(AL120:AL122)</f>
        <v>0</v>
      </c>
    </row>
    <row r="120" spans="1:76" x14ac:dyDescent="0.25">
      <c r="A120" s="2" t="s">
        <v>322</v>
      </c>
      <c r="B120" s="3" t="s">
        <v>323</v>
      </c>
      <c r="C120" s="80" t="s">
        <v>324</v>
      </c>
      <c r="D120" s="75"/>
      <c r="E120" s="3" t="s">
        <v>56</v>
      </c>
      <c r="F120" s="25">
        <v>10.199999999999999</v>
      </c>
      <c r="G120" s="25">
        <v>0</v>
      </c>
      <c r="H120" s="25">
        <f>ROUND(F120*AO120,2)</f>
        <v>0</v>
      </c>
      <c r="I120" s="25">
        <f>ROUND(F120*AP120,2)</f>
        <v>0</v>
      </c>
      <c r="J120" s="25">
        <f>ROUND(F120*G120,2)</f>
        <v>0</v>
      </c>
      <c r="K120" s="26" t="s">
        <v>57</v>
      </c>
      <c r="Z120" s="25">
        <f>ROUND(IF(AQ120="5",BJ120,0),2)</f>
        <v>0</v>
      </c>
      <c r="AB120" s="25">
        <f>ROUND(IF(AQ120="1",BH120,0),2)</f>
        <v>0</v>
      </c>
      <c r="AC120" s="25">
        <f>ROUND(IF(AQ120="1",BI120,0),2)</f>
        <v>0</v>
      </c>
      <c r="AD120" s="25">
        <f>ROUND(IF(AQ120="7",BH120,0),2)</f>
        <v>0</v>
      </c>
      <c r="AE120" s="25">
        <f>ROUND(IF(AQ120="7",BI120,0),2)</f>
        <v>0</v>
      </c>
      <c r="AF120" s="25">
        <f>ROUND(IF(AQ120="2",BH120,0),2)</f>
        <v>0</v>
      </c>
      <c r="AG120" s="25">
        <f>ROUND(IF(AQ120="2",BI120,0),2)</f>
        <v>0</v>
      </c>
      <c r="AH120" s="25">
        <f>ROUND(IF(AQ120="0",BJ120,0),2)</f>
        <v>0</v>
      </c>
      <c r="AI120" s="11" t="s">
        <v>50</v>
      </c>
      <c r="AJ120" s="25">
        <f>IF(AN120=0,J120,0)</f>
        <v>0</v>
      </c>
      <c r="AK120" s="25">
        <f>IF(AN120=12,J120,0)</f>
        <v>0</v>
      </c>
      <c r="AL120" s="25">
        <f>IF(AN120=21,J120,0)</f>
        <v>0</v>
      </c>
      <c r="AN120" s="25">
        <v>21</v>
      </c>
      <c r="AO120" s="25">
        <f>G120*0.196536497</f>
        <v>0</v>
      </c>
      <c r="AP120" s="25">
        <f>G120*(1-0.196536497)</f>
        <v>0</v>
      </c>
      <c r="AQ120" s="27" t="s">
        <v>81</v>
      </c>
      <c r="AV120" s="25">
        <f>ROUND(AW120+AX120,2)</f>
        <v>0</v>
      </c>
      <c r="AW120" s="25">
        <f>ROUND(F120*AO120,2)</f>
        <v>0</v>
      </c>
      <c r="AX120" s="25">
        <f>ROUND(F120*AP120,2)</f>
        <v>0</v>
      </c>
      <c r="AY120" s="27" t="s">
        <v>325</v>
      </c>
      <c r="AZ120" s="27" t="s">
        <v>326</v>
      </c>
      <c r="BA120" s="11" t="s">
        <v>60</v>
      </c>
      <c r="BC120" s="25">
        <f>AW120+AX120</f>
        <v>0</v>
      </c>
      <c r="BD120" s="25">
        <f>G120/(100-BE120)*100</f>
        <v>0</v>
      </c>
      <c r="BE120" s="25">
        <v>0</v>
      </c>
      <c r="BF120" s="25">
        <f>120</f>
        <v>120</v>
      </c>
      <c r="BH120" s="25">
        <f>F120*AO120</f>
        <v>0</v>
      </c>
      <c r="BI120" s="25">
        <f>F120*AP120</f>
        <v>0</v>
      </c>
      <c r="BJ120" s="25">
        <f>F120*G120</f>
        <v>0</v>
      </c>
      <c r="BK120" s="27" t="s">
        <v>61</v>
      </c>
      <c r="BL120" s="25">
        <v>711</v>
      </c>
      <c r="BW120" s="25">
        <v>21</v>
      </c>
      <c r="BX120" s="5" t="s">
        <v>324</v>
      </c>
    </row>
    <row r="121" spans="1:76" x14ac:dyDescent="0.25">
      <c r="A121" s="2" t="s">
        <v>327</v>
      </c>
      <c r="B121" s="3" t="s">
        <v>328</v>
      </c>
      <c r="C121" s="80" t="s">
        <v>329</v>
      </c>
      <c r="D121" s="75"/>
      <c r="E121" s="3" t="s">
        <v>56</v>
      </c>
      <c r="F121" s="25">
        <v>11</v>
      </c>
      <c r="G121" s="25">
        <v>0</v>
      </c>
      <c r="H121" s="25">
        <f>ROUND(F121*AO121,2)</f>
        <v>0</v>
      </c>
      <c r="I121" s="25">
        <f>ROUND(F121*AP121,2)</f>
        <v>0</v>
      </c>
      <c r="J121" s="25">
        <f>ROUND(F121*G121,2)</f>
        <v>0</v>
      </c>
      <c r="K121" s="26" t="s">
        <v>57</v>
      </c>
      <c r="Z121" s="25">
        <f>ROUND(IF(AQ121="5",BJ121,0),2)</f>
        <v>0</v>
      </c>
      <c r="AB121" s="25">
        <f>ROUND(IF(AQ121="1",BH121,0),2)</f>
        <v>0</v>
      </c>
      <c r="AC121" s="25">
        <f>ROUND(IF(AQ121="1",BI121,0),2)</f>
        <v>0</v>
      </c>
      <c r="AD121" s="25">
        <f>ROUND(IF(AQ121="7",BH121,0),2)</f>
        <v>0</v>
      </c>
      <c r="AE121" s="25">
        <f>ROUND(IF(AQ121="7",BI121,0),2)</f>
        <v>0</v>
      </c>
      <c r="AF121" s="25">
        <f>ROUND(IF(AQ121="2",BH121,0),2)</f>
        <v>0</v>
      </c>
      <c r="AG121" s="25">
        <f>ROUND(IF(AQ121="2",BI121,0),2)</f>
        <v>0</v>
      </c>
      <c r="AH121" s="25">
        <f>ROUND(IF(AQ121="0",BJ121,0),2)</f>
        <v>0</v>
      </c>
      <c r="AI121" s="11" t="s">
        <v>50</v>
      </c>
      <c r="AJ121" s="25">
        <f>IF(AN121=0,J121,0)</f>
        <v>0</v>
      </c>
      <c r="AK121" s="25">
        <f>IF(AN121=12,J121,0)</f>
        <v>0</v>
      </c>
      <c r="AL121" s="25">
        <f>IF(AN121=21,J121,0)</f>
        <v>0</v>
      </c>
      <c r="AN121" s="25">
        <v>21</v>
      </c>
      <c r="AO121" s="25">
        <f>G121*1</f>
        <v>0</v>
      </c>
      <c r="AP121" s="25">
        <f>G121*(1-1)</f>
        <v>0</v>
      </c>
      <c r="AQ121" s="27" t="s">
        <v>81</v>
      </c>
      <c r="AV121" s="25">
        <f>ROUND(AW121+AX121,2)</f>
        <v>0</v>
      </c>
      <c r="AW121" s="25">
        <f>ROUND(F121*AO121,2)</f>
        <v>0</v>
      </c>
      <c r="AX121" s="25">
        <f>ROUND(F121*AP121,2)</f>
        <v>0</v>
      </c>
      <c r="AY121" s="27" t="s">
        <v>325</v>
      </c>
      <c r="AZ121" s="27" t="s">
        <v>326</v>
      </c>
      <c r="BA121" s="11" t="s">
        <v>60</v>
      </c>
      <c r="BC121" s="25">
        <f>AW121+AX121</f>
        <v>0</v>
      </c>
      <c r="BD121" s="25">
        <f>G121/(100-BE121)*100</f>
        <v>0</v>
      </c>
      <c r="BE121" s="25">
        <v>0</v>
      </c>
      <c r="BF121" s="25">
        <f>121</f>
        <v>121</v>
      </c>
      <c r="BH121" s="25">
        <f>F121*AO121</f>
        <v>0</v>
      </c>
      <c r="BI121" s="25">
        <f>F121*AP121</f>
        <v>0</v>
      </c>
      <c r="BJ121" s="25">
        <f>F121*G121</f>
        <v>0</v>
      </c>
      <c r="BK121" s="27" t="s">
        <v>125</v>
      </c>
      <c r="BL121" s="25">
        <v>711</v>
      </c>
      <c r="BW121" s="25">
        <v>21</v>
      </c>
      <c r="BX121" s="5" t="s">
        <v>329</v>
      </c>
    </row>
    <row r="122" spans="1:76" x14ac:dyDescent="0.25">
      <c r="A122" s="2" t="s">
        <v>330</v>
      </c>
      <c r="B122" s="3" t="s">
        <v>331</v>
      </c>
      <c r="C122" s="80" t="s">
        <v>332</v>
      </c>
      <c r="D122" s="75"/>
      <c r="E122" s="3" t="s">
        <v>144</v>
      </c>
      <c r="F122" s="25">
        <v>7.0000000000000001E-3</v>
      </c>
      <c r="G122" s="25">
        <v>0</v>
      </c>
      <c r="H122" s="25">
        <f>ROUND(F122*AO122,2)</f>
        <v>0</v>
      </c>
      <c r="I122" s="25">
        <f>ROUND(F122*AP122,2)</f>
        <v>0</v>
      </c>
      <c r="J122" s="25">
        <f>ROUND(F122*G122,2)</f>
        <v>0</v>
      </c>
      <c r="K122" s="26" t="s">
        <v>57</v>
      </c>
      <c r="Z122" s="25">
        <f>ROUND(IF(AQ122="5",BJ122,0),2)</f>
        <v>0</v>
      </c>
      <c r="AB122" s="25">
        <f>ROUND(IF(AQ122="1",BH122,0),2)</f>
        <v>0</v>
      </c>
      <c r="AC122" s="25">
        <f>ROUND(IF(AQ122="1",BI122,0),2)</f>
        <v>0</v>
      </c>
      <c r="AD122" s="25">
        <f>ROUND(IF(AQ122="7",BH122,0),2)</f>
        <v>0</v>
      </c>
      <c r="AE122" s="25">
        <f>ROUND(IF(AQ122="7",BI122,0),2)</f>
        <v>0</v>
      </c>
      <c r="AF122" s="25">
        <f>ROUND(IF(AQ122="2",BH122,0),2)</f>
        <v>0</v>
      </c>
      <c r="AG122" s="25">
        <f>ROUND(IF(AQ122="2",BI122,0),2)</f>
        <v>0</v>
      </c>
      <c r="AH122" s="25">
        <f>ROUND(IF(AQ122="0",BJ122,0),2)</f>
        <v>0</v>
      </c>
      <c r="AI122" s="11" t="s">
        <v>50</v>
      </c>
      <c r="AJ122" s="25">
        <f>IF(AN122=0,J122,0)</f>
        <v>0</v>
      </c>
      <c r="AK122" s="25">
        <f>IF(AN122=12,J122,0)</f>
        <v>0</v>
      </c>
      <c r="AL122" s="25">
        <f>IF(AN122=21,J122,0)</f>
        <v>0</v>
      </c>
      <c r="AN122" s="25">
        <v>21</v>
      </c>
      <c r="AO122" s="25">
        <f>G122*0</f>
        <v>0</v>
      </c>
      <c r="AP122" s="25">
        <f>G122*(1-0)</f>
        <v>0</v>
      </c>
      <c r="AQ122" s="27" t="s">
        <v>74</v>
      </c>
      <c r="AV122" s="25">
        <f>ROUND(AW122+AX122,2)</f>
        <v>0</v>
      </c>
      <c r="AW122" s="25">
        <f>ROUND(F122*AO122,2)</f>
        <v>0</v>
      </c>
      <c r="AX122" s="25">
        <f>ROUND(F122*AP122,2)</f>
        <v>0</v>
      </c>
      <c r="AY122" s="27" t="s">
        <v>325</v>
      </c>
      <c r="AZ122" s="27" t="s">
        <v>326</v>
      </c>
      <c r="BA122" s="11" t="s">
        <v>60</v>
      </c>
      <c r="BC122" s="25">
        <f>AW122+AX122</f>
        <v>0</v>
      </c>
      <c r="BD122" s="25">
        <f>G122/(100-BE122)*100</f>
        <v>0</v>
      </c>
      <c r="BE122" s="25">
        <v>0</v>
      </c>
      <c r="BF122" s="25">
        <f>122</f>
        <v>122</v>
      </c>
      <c r="BH122" s="25">
        <f>F122*AO122</f>
        <v>0</v>
      </c>
      <c r="BI122" s="25">
        <f>F122*AP122</f>
        <v>0</v>
      </c>
      <c r="BJ122" s="25">
        <f>F122*G122</f>
        <v>0</v>
      </c>
      <c r="BK122" s="27" t="s">
        <v>61</v>
      </c>
      <c r="BL122" s="25">
        <v>711</v>
      </c>
      <c r="BW122" s="25">
        <v>21</v>
      </c>
      <c r="BX122" s="5" t="s">
        <v>332</v>
      </c>
    </row>
    <row r="123" spans="1:76" x14ac:dyDescent="0.25">
      <c r="A123" s="30" t="s">
        <v>50</v>
      </c>
      <c r="B123" s="31" t="s">
        <v>333</v>
      </c>
      <c r="C123" s="99" t="s">
        <v>334</v>
      </c>
      <c r="D123" s="100"/>
      <c r="E123" s="32" t="s">
        <v>4</v>
      </c>
      <c r="F123" s="32" t="s">
        <v>4</v>
      </c>
      <c r="G123" s="32" t="s">
        <v>4</v>
      </c>
      <c r="H123" s="1">
        <f>SUM(H124:H127)</f>
        <v>0</v>
      </c>
      <c r="I123" s="1">
        <f>SUM(I124:I127)</f>
        <v>0</v>
      </c>
      <c r="J123" s="1">
        <f>SUM(J124:J127)</f>
        <v>0</v>
      </c>
      <c r="K123" s="33" t="s">
        <v>50</v>
      </c>
      <c r="AI123" s="11" t="s">
        <v>50</v>
      </c>
      <c r="AS123" s="1">
        <f>SUM(AJ124:AJ127)</f>
        <v>0</v>
      </c>
      <c r="AT123" s="1">
        <f>SUM(AK124:AK127)</f>
        <v>0</v>
      </c>
      <c r="AU123" s="1">
        <f>SUM(AL124:AL127)</f>
        <v>0</v>
      </c>
    </row>
    <row r="124" spans="1:76" x14ac:dyDescent="0.25">
      <c r="A124" s="2" t="s">
        <v>335</v>
      </c>
      <c r="B124" s="3" t="s">
        <v>336</v>
      </c>
      <c r="C124" s="80" t="s">
        <v>337</v>
      </c>
      <c r="D124" s="75"/>
      <c r="E124" s="3" t="s">
        <v>67</v>
      </c>
      <c r="F124" s="25">
        <v>14</v>
      </c>
      <c r="G124" s="25">
        <v>0</v>
      </c>
      <c r="H124" s="25">
        <f>ROUND(F124*AO124,2)</f>
        <v>0</v>
      </c>
      <c r="I124" s="25">
        <f>ROUND(F124*AP124,2)</f>
        <v>0</v>
      </c>
      <c r="J124" s="25">
        <f>ROUND(F124*G124,2)</f>
        <v>0</v>
      </c>
      <c r="K124" s="26" t="s">
        <v>57</v>
      </c>
      <c r="Z124" s="25">
        <f>ROUND(IF(AQ124="5",BJ124,0),2)</f>
        <v>0</v>
      </c>
      <c r="AB124" s="25">
        <f>ROUND(IF(AQ124="1",BH124,0),2)</f>
        <v>0</v>
      </c>
      <c r="AC124" s="25">
        <f>ROUND(IF(AQ124="1",BI124,0),2)</f>
        <v>0</v>
      </c>
      <c r="AD124" s="25">
        <f>ROUND(IF(AQ124="7",BH124,0),2)</f>
        <v>0</v>
      </c>
      <c r="AE124" s="25">
        <f>ROUND(IF(AQ124="7",BI124,0),2)</f>
        <v>0</v>
      </c>
      <c r="AF124" s="25">
        <f>ROUND(IF(AQ124="2",BH124,0),2)</f>
        <v>0</v>
      </c>
      <c r="AG124" s="25">
        <f>ROUND(IF(AQ124="2",BI124,0),2)</f>
        <v>0</v>
      </c>
      <c r="AH124" s="25">
        <f>ROUND(IF(AQ124="0",BJ124,0),2)</f>
        <v>0</v>
      </c>
      <c r="AI124" s="11" t="s">
        <v>50</v>
      </c>
      <c r="AJ124" s="25">
        <f>IF(AN124=0,J124,0)</f>
        <v>0</v>
      </c>
      <c r="AK124" s="25">
        <f>IF(AN124=12,J124,0)</f>
        <v>0</v>
      </c>
      <c r="AL124" s="25">
        <f>IF(AN124=21,J124,0)</f>
        <v>0</v>
      </c>
      <c r="AN124" s="25">
        <v>21</v>
      </c>
      <c r="AO124" s="25">
        <f>G124*0.029877398</f>
        <v>0</v>
      </c>
      <c r="AP124" s="25">
        <f>G124*(1-0.029877398)</f>
        <v>0</v>
      </c>
      <c r="AQ124" s="27" t="s">
        <v>81</v>
      </c>
      <c r="AV124" s="25">
        <f>ROUND(AW124+AX124,2)</f>
        <v>0</v>
      </c>
      <c r="AW124" s="25">
        <f>ROUND(F124*AO124,2)</f>
        <v>0</v>
      </c>
      <c r="AX124" s="25">
        <f>ROUND(F124*AP124,2)</f>
        <v>0</v>
      </c>
      <c r="AY124" s="27" t="s">
        <v>338</v>
      </c>
      <c r="AZ124" s="27" t="s">
        <v>339</v>
      </c>
      <c r="BA124" s="11" t="s">
        <v>60</v>
      </c>
      <c r="BC124" s="25">
        <f>AW124+AX124</f>
        <v>0</v>
      </c>
      <c r="BD124" s="25">
        <f>G124/(100-BE124)*100</f>
        <v>0</v>
      </c>
      <c r="BE124" s="25">
        <v>0</v>
      </c>
      <c r="BF124" s="25">
        <f>124</f>
        <v>124</v>
      </c>
      <c r="BH124" s="25">
        <f>F124*AO124</f>
        <v>0</v>
      </c>
      <c r="BI124" s="25">
        <f>F124*AP124</f>
        <v>0</v>
      </c>
      <c r="BJ124" s="25">
        <f>F124*G124</f>
        <v>0</v>
      </c>
      <c r="BK124" s="27" t="s">
        <v>61</v>
      </c>
      <c r="BL124" s="25">
        <v>762</v>
      </c>
      <c r="BW124" s="25">
        <v>21</v>
      </c>
      <c r="BX124" s="5" t="s">
        <v>337</v>
      </c>
    </row>
    <row r="125" spans="1:76" x14ac:dyDescent="0.25">
      <c r="A125" s="2" t="s">
        <v>340</v>
      </c>
      <c r="B125" s="3" t="s">
        <v>341</v>
      </c>
      <c r="C125" s="80" t="s">
        <v>342</v>
      </c>
      <c r="D125" s="75"/>
      <c r="E125" s="3" t="s">
        <v>94</v>
      </c>
      <c r="F125" s="25">
        <v>0.308</v>
      </c>
      <c r="G125" s="25">
        <v>0</v>
      </c>
      <c r="H125" s="25">
        <f>ROUND(F125*AO125,2)</f>
        <v>0</v>
      </c>
      <c r="I125" s="25">
        <f>ROUND(F125*AP125,2)</f>
        <v>0</v>
      </c>
      <c r="J125" s="25">
        <f>ROUND(F125*G125,2)</f>
        <v>0</v>
      </c>
      <c r="K125" s="26" t="s">
        <v>57</v>
      </c>
      <c r="Z125" s="25">
        <f>ROUND(IF(AQ125="5",BJ125,0),2)</f>
        <v>0</v>
      </c>
      <c r="AB125" s="25">
        <f>ROUND(IF(AQ125="1",BH125,0),2)</f>
        <v>0</v>
      </c>
      <c r="AC125" s="25">
        <f>ROUND(IF(AQ125="1",BI125,0),2)</f>
        <v>0</v>
      </c>
      <c r="AD125" s="25">
        <f>ROUND(IF(AQ125="7",BH125,0),2)</f>
        <v>0</v>
      </c>
      <c r="AE125" s="25">
        <f>ROUND(IF(AQ125="7",BI125,0),2)</f>
        <v>0</v>
      </c>
      <c r="AF125" s="25">
        <f>ROUND(IF(AQ125="2",BH125,0),2)</f>
        <v>0</v>
      </c>
      <c r="AG125" s="25">
        <f>ROUND(IF(AQ125="2",BI125,0),2)</f>
        <v>0</v>
      </c>
      <c r="AH125" s="25">
        <f>ROUND(IF(AQ125="0",BJ125,0),2)</f>
        <v>0</v>
      </c>
      <c r="AI125" s="11" t="s">
        <v>50</v>
      </c>
      <c r="AJ125" s="25">
        <f>IF(AN125=0,J125,0)</f>
        <v>0</v>
      </c>
      <c r="AK125" s="25">
        <f>IF(AN125=12,J125,0)</f>
        <v>0</v>
      </c>
      <c r="AL125" s="25">
        <f>IF(AN125=21,J125,0)</f>
        <v>0</v>
      </c>
      <c r="AN125" s="25">
        <v>21</v>
      </c>
      <c r="AO125" s="25">
        <f>G125*1</f>
        <v>0</v>
      </c>
      <c r="AP125" s="25">
        <f>G125*(1-1)</f>
        <v>0</v>
      </c>
      <c r="AQ125" s="27" t="s">
        <v>81</v>
      </c>
      <c r="AV125" s="25">
        <f>ROUND(AW125+AX125,2)</f>
        <v>0</v>
      </c>
      <c r="AW125" s="25">
        <f>ROUND(F125*AO125,2)</f>
        <v>0</v>
      </c>
      <c r="AX125" s="25">
        <f>ROUND(F125*AP125,2)</f>
        <v>0</v>
      </c>
      <c r="AY125" s="27" t="s">
        <v>338</v>
      </c>
      <c r="AZ125" s="27" t="s">
        <v>339</v>
      </c>
      <c r="BA125" s="11" t="s">
        <v>60</v>
      </c>
      <c r="BC125" s="25">
        <f>AW125+AX125</f>
        <v>0</v>
      </c>
      <c r="BD125" s="25">
        <f>G125/(100-BE125)*100</f>
        <v>0</v>
      </c>
      <c r="BE125" s="25">
        <v>0</v>
      </c>
      <c r="BF125" s="25">
        <f>125</f>
        <v>125</v>
      </c>
      <c r="BH125" s="25">
        <f>F125*AO125</f>
        <v>0</v>
      </c>
      <c r="BI125" s="25">
        <f>F125*AP125</f>
        <v>0</v>
      </c>
      <c r="BJ125" s="25">
        <f>F125*G125</f>
        <v>0</v>
      </c>
      <c r="BK125" s="27" t="s">
        <v>125</v>
      </c>
      <c r="BL125" s="25">
        <v>762</v>
      </c>
      <c r="BW125" s="25">
        <v>21</v>
      </c>
      <c r="BX125" s="5" t="s">
        <v>342</v>
      </c>
    </row>
    <row r="126" spans="1:76" x14ac:dyDescent="0.25">
      <c r="A126" s="2" t="s">
        <v>343</v>
      </c>
      <c r="B126" s="3" t="s">
        <v>344</v>
      </c>
      <c r="C126" s="80" t="s">
        <v>345</v>
      </c>
      <c r="D126" s="75"/>
      <c r="E126" s="3" t="s">
        <v>94</v>
      </c>
      <c r="F126" s="25">
        <v>0.28000000000000003</v>
      </c>
      <c r="G126" s="25">
        <v>0</v>
      </c>
      <c r="H126" s="25">
        <f>ROUND(F126*AO126,2)</f>
        <v>0</v>
      </c>
      <c r="I126" s="25">
        <f>ROUND(F126*AP126,2)</f>
        <v>0</v>
      </c>
      <c r="J126" s="25">
        <f>ROUND(F126*G126,2)</f>
        <v>0</v>
      </c>
      <c r="K126" s="26" t="s">
        <v>57</v>
      </c>
      <c r="Z126" s="25">
        <f>ROUND(IF(AQ126="5",BJ126,0),2)</f>
        <v>0</v>
      </c>
      <c r="AB126" s="25">
        <f>ROUND(IF(AQ126="1",BH126,0),2)</f>
        <v>0</v>
      </c>
      <c r="AC126" s="25">
        <f>ROUND(IF(AQ126="1",BI126,0),2)</f>
        <v>0</v>
      </c>
      <c r="AD126" s="25">
        <f>ROUND(IF(AQ126="7",BH126,0),2)</f>
        <v>0</v>
      </c>
      <c r="AE126" s="25">
        <f>ROUND(IF(AQ126="7",BI126,0),2)</f>
        <v>0</v>
      </c>
      <c r="AF126" s="25">
        <f>ROUND(IF(AQ126="2",BH126,0),2)</f>
        <v>0</v>
      </c>
      <c r="AG126" s="25">
        <f>ROUND(IF(AQ126="2",BI126,0),2)</f>
        <v>0</v>
      </c>
      <c r="AH126" s="25">
        <f>ROUND(IF(AQ126="0",BJ126,0),2)</f>
        <v>0</v>
      </c>
      <c r="AI126" s="11" t="s">
        <v>50</v>
      </c>
      <c r="AJ126" s="25">
        <f>IF(AN126=0,J126,0)</f>
        <v>0</v>
      </c>
      <c r="AK126" s="25">
        <f>IF(AN126=12,J126,0)</f>
        <v>0</v>
      </c>
      <c r="AL126" s="25">
        <f>IF(AN126=21,J126,0)</f>
        <v>0</v>
      </c>
      <c r="AN126" s="25">
        <v>21</v>
      </c>
      <c r="AO126" s="25">
        <f>G126*0.999917526</f>
        <v>0</v>
      </c>
      <c r="AP126" s="25">
        <f>G126*(1-0.999917526)</f>
        <v>0</v>
      </c>
      <c r="AQ126" s="27" t="s">
        <v>81</v>
      </c>
      <c r="AV126" s="25">
        <f>ROUND(AW126+AX126,2)</f>
        <v>0</v>
      </c>
      <c r="AW126" s="25">
        <f>ROUND(F126*AO126,2)</f>
        <v>0</v>
      </c>
      <c r="AX126" s="25">
        <f>ROUND(F126*AP126,2)</f>
        <v>0</v>
      </c>
      <c r="AY126" s="27" t="s">
        <v>338</v>
      </c>
      <c r="AZ126" s="27" t="s">
        <v>339</v>
      </c>
      <c r="BA126" s="11" t="s">
        <v>60</v>
      </c>
      <c r="BC126" s="25">
        <f>AW126+AX126</f>
        <v>0</v>
      </c>
      <c r="BD126" s="25">
        <f>G126/(100-BE126)*100</f>
        <v>0</v>
      </c>
      <c r="BE126" s="25">
        <v>0</v>
      </c>
      <c r="BF126" s="25">
        <f>126</f>
        <v>126</v>
      </c>
      <c r="BH126" s="25">
        <f>F126*AO126</f>
        <v>0</v>
      </c>
      <c r="BI126" s="25">
        <f>F126*AP126</f>
        <v>0</v>
      </c>
      <c r="BJ126" s="25">
        <f>F126*G126</f>
        <v>0</v>
      </c>
      <c r="BK126" s="27" t="s">
        <v>61</v>
      </c>
      <c r="BL126" s="25">
        <v>762</v>
      </c>
      <c r="BW126" s="25">
        <v>21</v>
      </c>
      <c r="BX126" s="5" t="s">
        <v>345</v>
      </c>
    </row>
    <row r="127" spans="1:76" x14ac:dyDescent="0.25">
      <c r="A127" s="2" t="s">
        <v>346</v>
      </c>
      <c r="B127" s="3" t="s">
        <v>347</v>
      </c>
      <c r="C127" s="80" t="s">
        <v>348</v>
      </c>
      <c r="D127" s="75"/>
      <c r="E127" s="3" t="s">
        <v>144</v>
      </c>
      <c r="F127" s="25">
        <v>0.224</v>
      </c>
      <c r="G127" s="25">
        <v>0</v>
      </c>
      <c r="H127" s="25">
        <f>ROUND(F127*AO127,2)</f>
        <v>0</v>
      </c>
      <c r="I127" s="25">
        <f>ROUND(F127*AP127,2)</f>
        <v>0</v>
      </c>
      <c r="J127" s="25">
        <f>ROUND(F127*G127,2)</f>
        <v>0</v>
      </c>
      <c r="K127" s="26" t="s">
        <v>57</v>
      </c>
      <c r="Z127" s="25">
        <f>ROUND(IF(AQ127="5",BJ127,0),2)</f>
        <v>0</v>
      </c>
      <c r="AB127" s="25">
        <f>ROUND(IF(AQ127="1",BH127,0),2)</f>
        <v>0</v>
      </c>
      <c r="AC127" s="25">
        <f>ROUND(IF(AQ127="1",BI127,0),2)</f>
        <v>0</v>
      </c>
      <c r="AD127" s="25">
        <f>ROUND(IF(AQ127="7",BH127,0),2)</f>
        <v>0</v>
      </c>
      <c r="AE127" s="25">
        <f>ROUND(IF(AQ127="7",BI127,0),2)</f>
        <v>0</v>
      </c>
      <c r="AF127" s="25">
        <f>ROUND(IF(AQ127="2",BH127,0),2)</f>
        <v>0</v>
      </c>
      <c r="AG127" s="25">
        <f>ROUND(IF(AQ127="2",BI127,0),2)</f>
        <v>0</v>
      </c>
      <c r="AH127" s="25">
        <f>ROUND(IF(AQ127="0",BJ127,0),2)</f>
        <v>0</v>
      </c>
      <c r="AI127" s="11" t="s">
        <v>50</v>
      </c>
      <c r="AJ127" s="25">
        <f>IF(AN127=0,J127,0)</f>
        <v>0</v>
      </c>
      <c r="AK127" s="25">
        <f>IF(AN127=12,J127,0)</f>
        <v>0</v>
      </c>
      <c r="AL127" s="25">
        <f>IF(AN127=21,J127,0)</f>
        <v>0</v>
      </c>
      <c r="AN127" s="25">
        <v>21</v>
      </c>
      <c r="AO127" s="25">
        <f>G127*0</f>
        <v>0</v>
      </c>
      <c r="AP127" s="25">
        <f>G127*(1-0)</f>
        <v>0</v>
      </c>
      <c r="AQ127" s="27" t="s">
        <v>74</v>
      </c>
      <c r="AV127" s="25">
        <f>ROUND(AW127+AX127,2)</f>
        <v>0</v>
      </c>
      <c r="AW127" s="25">
        <f>ROUND(F127*AO127,2)</f>
        <v>0</v>
      </c>
      <c r="AX127" s="25">
        <f>ROUND(F127*AP127,2)</f>
        <v>0</v>
      </c>
      <c r="AY127" s="27" t="s">
        <v>338</v>
      </c>
      <c r="AZ127" s="27" t="s">
        <v>339</v>
      </c>
      <c r="BA127" s="11" t="s">
        <v>60</v>
      </c>
      <c r="BC127" s="25">
        <f>AW127+AX127</f>
        <v>0</v>
      </c>
      <c r="BD127" s="25">
        <f>G127/(100-BE127)*100</f>
        <v>0</v>
      </c>
      <c r="BE127" s="25">
        <v>0</v>
      </c>
      <c r="BF127" s="25">
        <f>127</f>
        <v>127</v>
      </c>
      <c r="BH127" s="25">
        <f>F127*AO127</f>
        <v>0</v>
      </c>
      <c r="BI127" s="25">
        <f>F127*AP127</f>
        <v>0</v>
      </c>
      <c r="BJ127" s="25">
        <f>F127*G127</f>
        <v>0</v>
      </c>
      <c r="BK127" s="27" t="s">
        <v>61</v>
      </c>
      <c r="BL127" s="25">
        <v>762</v>
      </c>
      <c r="BW127" s="25">
        <v>21</v>
      </c>
      <c r="BX127" s="5" t="s">
        <v>348</v>
      </c>
    </row>
    <row r="128" spans="1:76" x14ac:dyDescent="0.25">
      <c r="A128" s="30" t="s">
        <v>50</v>
      </c>
      <c r="B128" s="31" t="s">
        <v>349</v>
      </c>
      <c r="C128" s="99" t="s">
        <v>350</v>
      </c>
      <c r="D128" s="100"/>
      <c r="E128" s="32" t="s">
        <v>4</v>
      </c>
      <c r="F128" s="32" t="s">
        <v>4</v>
      </c>
      <c r="G128" s="32" t="s">
        <v>4</v>
      </c>
      <c r="H128" s="1">
        <f>SUM(H129:H131)</f>
        <v>0</v>
      </c>
      <c r="I128" s="1">
        <f>SUM(I129:I131)</f>
        <v>0</v>
      </c>
      <c r="J128" s="1">
        <f>SUM(J129:J131)</f>
        <v>0</v>
      </c>
      <c r="K128" s="33" t="s">
        <v>50</v>
      </c>
      <c r="AI128" s="11" t="s">
        <v>50</v>
      </c>
      <c r="AS128" s="1">
        <f>SUM(AJ129:AJ131)</f>
        <v>0</v>
      </c>
      <c r="AT128" s="1">
        <f>SUM(AK129:AK131)</f>
        <v>0</v>
      </c>
      <c r="AU128" s="1">
        <f>SUM(AL129:AL131)</f>
        <v>0</v>
      </c>
    </row>
    <row r="129" spans="1:76" x14ac:dyDescent="0.25">
      <c r="A129" s="2" t="s">
        <v>351</v>
      </c>
      <c r="B129" s="3" t="s">
        <v>352</v>
      </c>
      <c r="C129" s="80" t="s">
        <v>353</v>
      </c>
      <c r="D129" s="75"/>
      <c r="E129" s="3" t="s">
        <v>67</v>
      </c>
      <c r="F129" s="25">
        <v>30</v>
      </c>
      <c r="G129" s="25">
        <v>0</v>
      </c>
      <c r="H129" s="25">
        <f>ROUND(F129*AO129,2)</f>
        <v>0</v>
      </c>
      <c r="I129" s="25">
        <f>ROUND(F129*AP129,2)</f>
        <v>0</v>
      </c>
      <c r="J129" s="25">
        <f>ROUND(F129*G129,2)</f>
        <v>0</v>
      </c>
      <c r="K129" s="26" t="s">
        <v>57</v>
      </c>
      <c r="Z129" s="25">
        <f>ROUND(IF(AQ129="5",BJ129,0),2)</f>
        <v>0</v>
      </c>
      <c r="AB129" s="25">
        <f>ROUND(IF(AQ129="1",BH129,0),2)</f>
        <v>0</v>
      </c>
      <c r="AC129" s="25">
        <f>ROUND(IF(AQ129="1",BI129,0),2)</f>
        <v>0</v>
      </c>
      <c r="AD129" s="25">
        <f>ROUND(IF(AQ129="7",BH129,0),2)</f>
        <v>0</v>
      </c>
      <c r="AE129" s="25">
        <f>ROUND(IF(AQ129="7",BI129,0),2)</f>
        <v>0</v>
      </c>
      <c r="AF129" s="25">
        <f>ROUND(IF(AQ129="2",BH129,0),2)</f>
        <v>0</v>
      </c>
      <c r="AG129" s="25">
        <f>ROUND(IF(AQ129="2",BI129,0),2)</f>
        <v>0</v>
      </c>
      <c r="AH129" s="25">
        <f>ROUND(IF(AQ129="0",BJ129,0),2)</f>
        <v>0</v>
      </c>
      <c r="AI129" s="11" t="s">
        <v>50</v>
      </c>
      <c r="AJ129" s="25">
        <f>IF(AN129=0,J129,0)</f>
        <v>0</v>
      </c>
      <c r="AK129" s="25">
        <f>IF(AN129=12,J129,0)</f>
        <v>0</v>
      </c>
      <c r="AL129" s="25">
        <f>IF(AN129=21,J129,0)</f>
        <v>0</v>
      </c>
      <c r="AN129" s="25">
        <v>21</v>
      </c>
      <c r="AO129" s="25">
        <f>G129*0.736458056</f>
        <v>0</v>
      </c>
      <c r="AP129" s="25">
        <f>G129*(1-0.736458056)</f>
        <v>0</v>
      </c>
      <c r="AQ129" s="27" t="s">
        <v>64</v>
      </c>
      <c r="AV129" s="25">
        <f>ROUND(AW129+AX129,2)</f>
        <v>0</v>
      </c>
      <c r="AW129" s="25">
        <f>ROUND(F129*AO129,2)</f>
        <v>0</v>
      </c>
      <c r="AX129" s="25">
        <f>ROUND(F129*AP129,2)</f>
        <v>0</v>
      </c>
      <c r="AY129" s="27" t="s">
        <v>354</v>
      </c>
      <c r="AZ129" s="27" t="s">
        <v>231</v>
      </c>
      <c r="BA129" s="11" t="s">
        <v>60</v>
      </c>
      <c r="BC129" s="25">
        <f>AW129+AX129</f>
        <v>0</v>
      </c>
      <c r="BD129" s="25">
        <f>G129/(100-BE129)*100</f>
        <v>0</v>
      </c>
      <c r="BE129" s="25">
        <v>0</v>
      </c>
      <c r="BF129" s="25">
        <f>129</f>
        <v>129</v>
      </c>
      <c r="BH129" s="25">
        <f>F129*AO129</f>
        <v>0</v>
      </c>
      <c r="BI129" s="25">
        <f>F129*AP129</f>
        <v>0</v>
      </c>
      <c r="BJ129" s="25">
        <f>F129*G129</f>
        <v>0</v>
      </c>
      <c r="BK129" s="27" t="s">
        <v>61</v>
      </c>
      <c r="BL129" s="25"/>
      <c r="BW129" s="25">
        <v>21</v>
      </c>
      <c r="BX129" s="5" t="s">
        <v>353</v>
      </c>
    </row>
    <row r="130" spans="1:76" ht="13.5" customHeight="1" x14ac:dyDescent="0.25">
      <c r="A130" s="28"/>
      <c r="B130" s="29" t="s">
        <v>62</v>
      </c>
      <c r="C130" s="96" t="s">
        <v>355</v>
      </c>
      <c r="D130" s="97"/>
      <c r="E130" s="97"/>
      <c r="F130" s="97"/>
      <c r="G130" s="97"/>
      <c r="H130" s="97"/>
      <c r="I130" s="97"/>
      <c r="J130" s="97"/>
      <c r="K130" s="98"/>
    </row>
    <row r="131" spans="1:76" x14ac:dyDescent="0.25">
      <c r="A131" s="2" t="s">
        <v>356</v>
      </c>
      <c r="B131" s="3" t="s">
        <v>357</v>
      </c>
      <c r="C131" s="80" t="s">
        <v>358</v>
      </c>
      <c r="D131" s="75"/>
      <c r="E131" s="3" t="s">
        <v>111</v>
      </c>
      <c r="F131" s="25">
        <v>1</v>
      </c>
      <c r="G131" s="25">
        <v>0</v>
      </c>
      <c r="H131" s="25">
        <f>ROUND(F131*AO131,2)</f>
        <v>0</v>
      </c>
      <c r="I131" s="25">
        <f>ROUND(F131*AP131,2)</f>
        <v>0</v>
      </c>
      <c r="J131" s="25">
        <f>ROUND(F131*G131,2)</f>
        <v>0</v>
      </c>
      <c r="K131" s="26" t="s">
        <v>50</v>
      </c>
      <c r="Z131" s="25">
        <f>ROUND(IF(AQ131="5",BJ131,0),2)</f>
        <v>0</v>
      </c>
      <c r="AB131" s="25">
        <f>ROUND(IF(AQ131="1",BH131,0),2)</f>
        <v>0</v>
      </c>
      <c r="AC131" s="25">
        <f>ROUND(IF(AQ131="1",BI131,0),2)</f>
        <v>0</v>
      </c>
      <c r="AD131" s="25">
        <f>ROUND(IF(AQ131="7",BH131,0),2)</f>
        <v>0</v>
      </c>
      <c r="AE131" s="25">
        <f>ROUND(IF(AQ131="7",BI131,0),2)</f>
        <v>0</v>
      </c>
      <c r="AF131" s="25">
        <f>ROUND(IF(AQ131="2",BH131,0),2)</f>
        <v>0</v>
      </c>
      <c r="AG131" s="25">
        <f>ROUND(IF(AQ131="2",BI131,0),2)</f>
        <v>0</v>
      </c>
      <c r="AH131" s="25">
        <f>ROUND(IF(AQ131="0",BJ131,0),2)</f>
        <v>0</v>
      </c>
      <c r="AI131" s="11" t="s">
        <v>50</v>
      </c>
      <c r="AJ131" s="25">
        <f>IF(AN131=0,J131,0)</f>
        <v>0</v>
      </c>
      <c r="AK131" s="25">
        <f>IF(AN131=12,J131,0)</f>
        <v>0</v>
      </c>
      <c r="AL131" s="25">
        <f>IF(AN131=21,J131,0)</f>
        <v>0</v>
      </c>
      <c r="AN131" s="25">
        <v>21</v>
      </c>
      <c r="AO131" s="25">
        <f>G131*0.9</f>
        <v>0</v>
      </c>
      <c r="AP131" s="25">
        <f>G131*(1-0.9)</f>
        <v>0</v>
      </c>
      <c r="AQ131" s="27" t="s">
        <v>64</v>
      </c>
      <c r="AV131" s="25">
        <f>ROUND(AW131+AX131,2)</f>
        <v>0</v>
      </c>
      <c r="AW131" s="25">
        <f>ROUND(F131*AO131,2)</f>
        <v>0</v>
      </c>
      <c r="AX131" s="25">
        <f>ROUND(F131*AP131,2)</f>
        <v>0</v>
      </c>
      <c r="AY131" s="27" t="s">
        <v>354</v>
      </c>
      <c r="AZ131" s="27" t="s">
        <v>231</v>
      </c>
      <c r="BA131" s="11" t="s">
        <v>60</v>
      </c>
      <c r="BC131" s="25">
        <f>AW131+AX131</f>
        <v>0</v>
      </c>
      <c r="BD131" s="25">
        <f>G131/(100-BE131)*100</f>
        <v>0</v>
      </c>
      <c r="BE131" s="25">
        <v>0</v>
      </c>
      <c r="BF131" s="25">
        <f>131</f>
        <v>131</v>
      </c>
      <c r="BH131" s="25">
        <f>F131*AO131</f>
        <v>0</v>
      </c>
      <c r="BI131" s="25">
        <f>F131*AP131</f>
        <v>0</v>
      </c>
      <c r="BJ131" s="25">
        <f>F131*G131</f>
        <v>0</v>
      </c>
      <c r="BK131" s="27" t="s">
        <v>61</v>
      </c>
      <c r="BL131" s="25"/>
      <c r="BW131" s="25">
        <v>21</v>
      </c>
      <c r="BX131" s="5" t="s">
        <v>358</v>
      </c>
    </row>
    <row r="132" spans="1:76" ht="13.5" customHeight="1" x14ac:dyDescent="0.25">
      <c r="A132" s="28"/>
      <c r="B132" s="29" t="s">
        <v>62</v>
      </c>
      <c r="C132" s="96" t="s">
        <v>359</v>
      </c>
      <c r="D132" s="97"/>
      <c r="E132" s="97"/>
      <c r="F132" s="97"/>
      <c r="G132" s="97"/>
      <c r="H132" s="97"/>
      <c r="I132" s="97"/>
      <c r="J132" s="97"/>
      <c r="K132" s="98"/>
    </row>
    <row r="133" spans="1:76" x14ac:dyDescent="0.25">
      <c r="A133" s="30" t="s">
        <v>50</v>
      </c>
      <c r="B133" s="31" t="s">
        <v>360</v>
      </c>
      <c r="C133" s="99" t="s">
        <v>361</v>
      </c>
      <c r="D133" s="100"/>
      <c r="E133" s="32" t="s">
        <v>4</v>
      </c>
      <c r="F133" s="32" t="s">
        <v>4</v>
      </c>
      <c r="G133" s="32" t="s">
        <v>4</v>
      </c>
      <c r="H133" s="1">
        <f>SUM(H134:H137)</f>
        <v>0</v>
      </c>
      <c r="I133" s="1">
        <f>SUM(I134:I137)</f>
        <v>0</v>
      </c>
      <c r="J133" s="1">
        <f>SUM(J134:J137)</f>
        <v>0</v>
      </c>
      <c r="K133" s="33" t="s">
        <v>50</v>
      </c>
      <c r="AI133" s="11" t="s">
        <v>50</v>
      </c>
      <c r="AS133" s="1">
        <f>SUM(AJ134:AJ137)</f>
        <v>0</v>
      </c>
      <c r="AT133" s="1">
        <f>SUM(AK134:AK137)</f>
        <v>0</v>
      </c>
      <c r="AU133" s="1">
        <f>SUM(AL134:AL137)</f>
        <v>0</v>
      </c>
    </row>
    <row r="134" spans="1:76" x14ac:dyDescent="0.25">
      <c r="A134" s="2" t="s">
        <v>362</v>
      </c>
      <c r="B134" s="3" t="s">
        <v>363</v>
      </c>
      <c r="C134" s="80" t="s">
        <v>364</v>
      </c>
      <c r="D134" s="75"/>
      <c r="E134" s="3" t="s">
        <v>67</v>
      </c>
      <c r="F134" s="25">
        <v>30</v>
      </c>
      <c r="G134" s="25">
        <v>0</v>
      </c>
      <c r="H134" s="25">
        <f>ROUND(F134*AO134,2)</f>
        <v>0</v>
      </c>
      <c r="I134" s="25">
        <f>ROUND(F134*AP134,2)</f>
        <v>0</v>
      </c>
      <c r="J134" s="25">
        <f>ROUND(F134*G134,2)</f>
        <v>0</v>
      </c>
      <c r="K134" s="26" t="s">
        <v>57</v>
      </c>
      <c r="Z134" s="25">
        <f>ROUND(IF(AQ134="5",BJ134,0),2)</f>
        <v>0</v>
      </c>
      <c r="AB134" s="25">
        <f>ROUND(IF(AQ134="1",BH134,0),2)</f>
        <v>0</v>
      </c>
      <c r="AC134" s="25">
        <f>ROUND(IF(AQ134="1",BI134,0),2)</f>
        <v>0</v>
      </c>
      <c r="AD134" s="25">
        <f>ROUND(IF(AQ134="7",BH134,0),2)</f>
        <v>0</v>
      </c>
      <c r="AE134" s="25">
        <f>ROUND(IF(AQ134="7",BI134,0),2)</f>
        <v>0</v>
      </c>
      <c r="AF134" s="25">
        <f>ROUND(IF(AQ134="2",BH134,0),2)</f>
        <v>0</v>
      </c>
      <c r="AG134" s="25">
        <f>ROUND(IF(AQ134="2",BI134,0),2)</f>
        <v>0</v>
      </c>
      <c r="AH134" s="25">
        <f>ROUND(IF(AQ134="0",BJ134,0),2)</f>
        <v>0</v>
      </c>
      <c r="AI134" s="11" t="s">
        <v>50</v>
      </c>
      <c r="AJ134" s="25">
        <f>IF(AN134=0,J134,0)</f>
        <v>0</v>
      </c>
      <c r="AK134" s="25">
        <f>IF(AN134=12,J134,0)</f>
        <v>0</v>
      </c>
      <c r="AL134" s="25">
        <f>IF(AN134=21,J134,0)</f>
        <v>0</v>
      </c>
      <c r="AN134" s="25">
        <v>21</v>
      </c>
      <c r="AO134" s="25">
        <f>G134*0</f>
        <v>0</v>
      </c>
      <c r="AP134" s="25">
        <f>G134*(1-0)</f>
        <v>0</v>
      </c>
      <c r="AQ134" s="27" t="s">
        <v>64</v>
      </c>
      <c r="AV134" s="25">
        <f>ROUND(AW134+AX134,2)</f>
        <v>0</v>
      </c>
      <c r="AW134" s="25">
        <f>ROUND(F134*AO134,2)</f>
        <v>0</v>
      </c>
      <c r="AX134" s="25">
        <f>ROUND(F134*AP134,2)</f>
        <v>0</v>
      </c>
      <c r="AY134" s="27" t="s">
        <v>365</v>
      </c>
      <c r="AZ134" s="27" t="s">
        <v>231</v>
      </c>
      <c r="BA134" s="11" t="s">
        <v>60</v>
      </c>
      <c r="BC134" s="25">
        <f>AW134+AX134</f>
        <v>0</v>
      </c>
      <c r="BD134" s="25">
        <f>G134/(100-BE134)*100</f>
        <v>0</v>
      </c>
      <c r="BE134" s="25">
        <v>0</v>
      </c>
      <c r="BF134" s="25">
        <f>134</f>
        <v>134</v>
      </c>
      <c r="BH134" s="25">
        <f>F134*AO134</f>
        <v>0</v>
      </c>
      <c r="BI134" s="25">
        <f>F134*AP134</f>
        <v>0</v>
      </c>
      <c r="BJ134" s="25">
        <f>F134*G134</f>
        <v>0</v>
      </c>
      <c r="BK134" s="27" t="s">
        <v>61</v>
      </c>
      <c r="BL134" s="25"/>
      <c r="BW134" s="25">
        <v>21</v>
      </c>
      <c r="BX134" s="5" t="s">
        <v>364</v>
      </c>
    </row>
    <row r="135" spans="1:76" ht="13.5" customHeight="1" x14ac:dyDescent="0.25">
      <c r="A135" s="28"/>
      <c r="B135" s="29" t="s">
        <v>62</v>
      </c>
      <c r="C135" s="96" t="s">
        <v>366</v>
      </c>
      <c r="D135" s="97"/>
      <c r="E135" s="97"/>
      <c r="F135" s="97"/>
      <c r="G135" s="97"/>
      <c r="H135" s="97"/>
      <c r="I135" s="97"/>
      <c r="J135" s="97"/>
      <c r="K135" s="98"/>
    </row>
    <row r="136" spans="1:76" x14ac:dyDescent="0.25">
      <c r="A136" s="2" t="s">
        <v>367</v>
      </c>
      <c r="B136" s="3" t="s">
        <v>368</v>
      </c>
      <c r="C136" s="80" t="s">
        <v>369</v>
      </c>
      <c r="D136" s="75"/>
      <c r="E136" s="3" t="s">
        <v>67</v>
      </c>
      <c r="F136" s="25">
        <v>30</v>
      </c>
      <c r="G136" s="25">
        <v>0</v>
      </c>
      <c r="H136" s="25">
        <f>ROUND(F136*AO136,2)</f>
        <v>0</v>
      </c>
      <c r="I136" s="25">
        <f>ROUND(F136*AP136,2)</f>
        <v>0</v>
      </c>
      <c r="J136" s="25">
        <f>ROUND(F136*G136,2)</f>
        <v>0</v>
      </c>
      <c r="K136" s="26" t="s">
        <v>57</v>
      </c>
      <c r="Z136" s="25">
        <f>ROUND(IF(AQ136="5",BJ136,0),2)</f>
        <v>0</v>
      </c>
      <c r="AB136" s="25">
        <f>ROUND(IF(AQ136="1",BH136,0),2)</f>
        <v>0</v>
      </c>
      <c r="AC136" s="25">
        <f>ROUND(IF(AQ136="1",BI136,0),2)</f>
        <v>0</v>
      </c>
      <c r="AD136" s="25">
        <f>ROUND(IF(AQ136="7",BH136,0),2)</f>
        <v>0</v>
      </c>
      <c r="AE136" s="25">
        <f>ROUND(IF(AQ136="7",BI136,0),2)</f>
        <v>0</v>
      </c>
      <c r="AF136" s="25">
        <f>ROUND(IF(AQ136="2",BH136,0),2)</f>
        <v>0</v>
      </c>
      <c r="AG136" s="25">
        <f>ROUND(IF(AQ136="2",BI136,0),2)</f>
        <v>0</v>
      </c>
      <c r="AH136" s="25">
        <f>ROUND(IF(AQ136="0",BJ136,0),2)</f>
        <v>0</v>
      </c>
      <c r="AI136" s="11" t="s">
        <v>50</v>
      </c>
      <c r="AJ136" s="25">
        <f>IF(AN136=0,J136,0)</f>
        <v>0</v>
      </c>
      <c r="AK136" s="25">
        <f>IF(AN136=12,J136,0)</f>
        <v>0</v>
      </c>
      <c r="AL136" s="25">
        <f>IF(AN136=21,J136,0)</f>
        <v>0</v>
      </c>
      <c r="AN136" s="25">
        <v>21</v>
      </c>
      <c r="AO136" s="25">
        <f>G136*0</f>
        <v>0</v>
      </c>
      <c r="AP136" s="25">
        <f>G136*(1-0)</f>
        <v>0</v>
      </c>
      <c r="AQ136" s="27" t="s">
        <v>64</v>
      </c>
      <c r="AV136" s="25">
        <f>ROUND(AW136+AX136,2)</f>
        <v>0</v>
      </c>
      <c r="AW136" s="25">
        <f>ROUND(F136*AO136,2)</f>
        <v>0</v>
      </c>
      <c r="AX136" s="25">
        <f>ROUND(F136*AP136,2)</f>
        <v>0</v>
      </c>
      <c r="AY136" s="27" t="s">
        <v>365</v>
      </c>
      <c r="AZ136" s="27" t="s">
        <v>231</v>
      </c>
      <c r="BA136" s="11" t="s">
        <v>60</v>
      </c>
      <c r="BC136" s="25">
        <f>AW136+AX136</f>
        <v>0</v>
      </c>
      <c r="BD136" s="25">
        <f>G136/(100-BE136)*100</f>
        <v>0</v>
      </c>
      <c r="BE136" s="25">
        <v>0</v>
      </c>
      <c r="BF136" s="25">
        <f>136</f>
        <v>136</v>
      </c>
      <c r="BH136" s="25">
        <f>F136*AO136</f>
        <v>0</v>
      </c>
      <c r="BI136" s="25">
        <f>F136*AP136</f>
        <v>0</v>
      </c>
      <c r="BJ136" s="25">
        <f>F136*G136</f>
        <v>0</v>
      </c>
      <c r="BK136" s="27" t="s">
        <v>61</v>
      </c>
      <c r="BL136" s="25"/>
      <c r="BW136" s="25">
        <v>21</v>
      </c>
      <c r="BX136" s="5" t="s">
        <v>369</v>
      </c>
    </row>
    <row r="137" spans="1:76" x14ac:dyDescent="0.25">
      <c r="A137" s="2" t="s">
        <v>370</v>
      </c>
      <c r="B137" s="3" t="s">
        <v>371</v>
      </c>
      <c r="C137" s="80" t="s">
        <v>372</v>
      </c>
      <c r="D137" s="75"/>
      <c r="E137" s="3" t="s">
        <v>218</v>
      </c>
      <c r="F137" s="25">
        <v>1</v>
      </c>
      <c r="G137" s="25">
        <v>0</v>
      </c>
      <c r="H137" s="25">
        <f>ROUND(F137*AO137,2)</f>
        <v>0</v>
      </c>
      <c r="I137" s="25">
        <f>ROUND(F137*AP137,2)</f>
        <v>0</v>
      </c>
      <c r="J137" s="25">
        <f>ROUND(F137*G137,2)</f>
        <v>0</v>
      </c>
      <c r="K137" s="26" t="s">
        <v>57</v>
      </c>
      <c r="Z137" s="25">
        <f>ROUND(IF(AQ137="5",BJ137,0),2)</f>
        <v>0</v>
      </c>
      <c r="AB137" s="25">
        <f>ROUND(IF(AQ137="1",BH137,0),2)</f>
        <v>0</v>
      </c>
      <c r="AC137" s="25">
        <f>ROUND(IF(AQ137="1",BI137,0),2)</f>
        <v>0</v>
      </c>
      <c r="AD137" s="25">
        <f>ROUND(IF(AQ137="7",BH137,0),2)</f>
        <v>0</v>
      </c>
      <c r="AE137" s="25">
        <f>ROUND(IF(AQ137="7",BI137,0),2)</f>
        <v>0</v>
      </c>
      <c r="AF137" s="25">
        <f>ROUND(IF(AQ137="2",BH137,0),2)</f>
        <v>0</v>
      </c>
      <c r="AG137" s="25">
        <f>ROUND(IF(AQ137="2",BI137,0),2)</f>
        <v>0</v>
      </c>
      <c r="AH137" s="25">
        <f>ROUND(IF(AQ137="0",BJ137,0),2)</f>
        <v>0</v>
      </c>
      <c r="AI137" s="11" t="s">
        <v>50</v>
      </c>
      <c r="AJ137" s="25">
        <f>IF(AN137=0,J137,0)</f>
        <v>0</v>
      </c>
      <c r="AK137" s="25">
        <f>IF(AN137=12,J137,0)</f>
        <v>0</v>
      </c>
      <c r="AL137" s="25">
        <f>IF(AN137=21,J137,0)</f>
        <v>0</v>
      </c>
      <c r="AN137" s="25">
        <v>21</v>
      </c>
      <c r="AO137" s="25">
        <f>G137*0.54459015</f>
        <v>0</v>
      </c>
      <c r="AP137" s="25">
        <f>G137*(1-0.54459015)</f>
        <v>0</v>
      </c>
      <c r="AQ137" s="27" t="s">
        <v>64</v>
      </c>
      <c r="AV137" s="25">
        <f>ROUND(AW137+AX137,2)</f>
        <v>0</v>
      </c>
      <c r="AW137" s="25">
        <f>ROUND(F137*AO137,2)</f>
        <v>0</v>
      </c>
      <c r="AX137" s="25">
        <f>ROUND(F137*AP137,2)</f>
        <v>0</v>
      </c>
      <c r="AY137" s="27" t="s">
        <v>365</v>
      </c>
      <c r="AZ137" s="27" t="s">
        <v>231</v>
      </c>
      <c r="BA137" s="11" t="s">
        <v>60</v>
      </c>
      <c r="BC137" s="25">
        <f>AW137+AX137</f>
        <v>0</v>
      </c>
      <c r="BD137" s="25">
        <f>G137/(100-BE137)*100</f>
        <v>0</v>
      </c>
      <c r="BE137" s="25">
        <v>0</v>
      </c>
      <c r="BF137" s="25">
        <f>137</f>
        <v>137</v>
      </c>
      <c r="BH137" s="25">
        <f>F137*AO137</f>
        <v>0</v>
      </c>
      <c r="BI137" s="25">
        <f>F137*AP137</f>
        <v>0</v>
      </c>
      <c r="BJ137" s="25">
        <f>F137*G137</f>
        <v>0</v>
      </c>
      <c r="BK137" s="27" t="s">
        <v>61</v>
      </c>
      <c r="BL137" s="25"/>
      <c r="BW137" s="25">
        <v>21</v>
      </c>
      <c r="BX137" s="5" t="s">
        <v>372</v>
      </c>
    </row>
    <row r="138" spans="1:76" ht="13.5" customHeight="1" x14ac:dyDescent="0.25">
      <c r="A138" s="28"/>
      <c r="B138" s="29" t="s">
        <v>62</v>
      </c>
      <c r="C138" s="96" t="s">
        <v>373</v>
      </c>
      <c r="D138" s="97"/>
      <c r="E138" s="97"/>
      <c r="F138" s="97"/>
      <c r="G138" s="97"/>
      <c r="H138" s="97"/>
      <c r="I138" s="97"/>
      <c r="J138" s="97"/>
      <c r="K138" s="98"/>
    </row>
    <row r="139" spans="1:76" x14ac:dyDescent="0.25">
      <c r="A139" s="30" t="s">
        <v>50</v>
      </c>
      <c r="B139" s="31" t="s">
        <v>374</v>
      </c>
      <c r="C139" s="99" t="s">
        <v>375</v>
      </c>
      <c r="D139" s="100"/>
      <c r="E139" s="32" t="s">
        <v>4</v>
      </c>
      <c r="F139" s="32" t="s">
        <v>4</v>
      </c>
      <c r="G139" s="32" t="s">
        <v>4</v>
      </c>
      <c r="H139" s="1">
        <f>SUM(H140:H144)</f>
        <v>0</v>
      </c>
      <c r="I139" s="1">
        <f>SUM(I140:I144)</f>
        <v>0</v>
      </c>
      <c r="J139" s="1">
        <f>SUM(J140:J144)</f>
        <v>0</v>
      </c>
      <c r="K139" s="33" t="s">
        <v>50</v>
      </c>
      <c r="AI139" s="11" t="s">
        <v>50</v>
      </c>
      <c r="AS139" s="1">
        <f>SUM(AJ140:AJ144)</f>
        <v>0</v>
      </c>
      <c r="AT139" s="1">
        <f>SUM(AK140:AK144)</f>
        <v>0</v>
      </c>
      <c r="AU139" s="1">
        <f>SUM(AL140:AL144)</f>
        <v>0</v>
      </c>
    </row>
    <row r="140" spans="1:76" x14ac:dyDescent="0.25">
      <c r="A140" s="2" t="s">
        <v>376</v>
      </c>
      <c r="B140" s="3" t="s">
        <v>377</v>
      </c>
      <c r="C140" s="80" t="s">
        <v>378</v>
      </c>
      <c r="D140" s="75"/>
      <c r="E140" s="3" t="s">
        <v>218</v>
      </c>
      <c r="F140" s="25">
        <v>8</v>
      </c>
      <c r="G140" s="25">
        <v>0</v>
      </c>
      <c r="H140" s="25">
        <f>ROUND(F140*AO140,2)</f>
        <v>0</v>
      </c>
      <c r="I140" s="25">
        <f>ROUND(F140*AP140,2)</f>
        <v>0</v>
      </c>
      <c r="J140" s="25">
        <f>ROUND(F140*G140,2)</f>
        <v>0</v>
      </c>
      <c r="K140" s="26" t="s">
        <v>57</v>
      </c>
      <c r="Z140" s="25">
        <f>ROUND(IF(AQ140="5",BJ140,0),2)</f>
        <v>0</v>
      </c>
      <c r="AB140" s="25">
        <f>ROUND(IF(AQ140="1",BH140,0),2)</f>
        <v>0</v>
      </c>
      <c r="AC140" s="25">
        <f>ROUND(IF(AQ140="1",BI140,0),2)</f>
        <v>0</v>
      </c>
      <c r="AD140" s="25">
        <f>ROUND(IF(AQ140="7",BH140,0),2)</f>
        <v>0</v>
      </c>
      <c r="AE140" s="25">
        <f>ROUND(IF(AQ140="7",BI140,0),2)</f>
        <v>0</v>
      </c>
      <c r="AF140" s="25">
        <f>ROUND(IF(AQ140="2",BH140,0),2)</f>
        <v>0</v>
      </c>
      <c r="AG140" s="25">
        <f>ROUND(IF(AQ140="2",BI140,0),2)</f>
        <v>0</v>
      </c>
      <c r="AH140" s="25">
        <f>ROUND(IF(AQ140="0",BJ140,0),2)</f>
        <v>0</v>
      </c>
      <c r="AI140" s="11" t="s">
        <v>50</v>
      </c>
      <c r="AJ140" s="25">
        <f>IF(AN140=0,J140,0)</f>
        <v>0</v>
      </c>
      <c r="AK140" s="25">
        <f>IF(AN140=12,J140,0)</f>
        <v>0</v>
      </c>
      <c r="AL140" s="25">
        <f>IF(AN140=21,J140,0)</f>
        <v>0</v>
      </c>
      <c r="AN140" s="25">
        <v>21</v>
      </c>
      <c r="AO140" s="25">
        <f>G140*0</f>
        <v>0</v>
      </c>
      <c r="AP140" s="25">
        <f>G140*(1-0)</f>
        <v>0</v>
      </c>
      <c r="AQ140" s="27" t="s">
        <v>64</v>
      </c>
      <c r="AV140" s="25">
        <f>ROUND(AW140+AX140,2)</f>
        <v>0</v>
      </c>
      <c r="AW140" s="25">
        <f>ROUND(F140*AO140,2)</f>
        <v>0</v>
      </c>
      <c r="AX140" s="25">
        <f>ROUND(F140*AP140,2)</f>
        <v>0</v>
      </c>
      <c r="AY140" s="27" t="s">
        <v>379</v>
      </c>
      <c r="AZ140" s="27" t="s">
        <v>231</v>
      </c>
      <c r="BA140" s="11" t="s">
        <v>60</v>
      </c>
      <c r="BC140" s="25">
        <f>AW140+AX140</f>
        <v>0</v>
      </c>
      <c r="BD140" s="25">
        <f>G140/(100-BE140)*100</f>
        <v>0</v>
      </c>
      <c r="BE140" s="25">
        <v>0</v>
      </c>
      <c r="BF140" s="25">
        <f>140</f>
        <v>140</v>
      </c>
      <c r="BH140" s="25">
        <f>F140*AO140</f>
        <v>0</v>
      </c>
      <c r="BI140" s="25">
        <f>F140*AP140</f>
        <v>0</v>
      </c>
      <c r="BJ140" s="25">
        <f>F140*G140</f>
        <v>0</v>
      </c>
      <c r="BK140" s="27" t="s">
        <v>61</v>
      </c>
      <c r="BL140" s="25"/>
      <c r="BW140" s="25">
        <v>21</v>
      </c>
      <c r="BX140" s="5" t="s">
        <v>378</v>
      </c>
    </row>
    <row r="141" spans="1:76" x14ac:dyDescent="0.25">
      <c r="A141" s="2" t="s">
        <v>380</v>
      </c>
      <c r="B141" s="3" t="s">
        <v>381</v>
      </c>
      <c r="C141" s="80" t="s">
        <v>382</v>
      </c>
      <c r="D141" s="75"/>
      <c r="E141" s="3" t="s">
        <v>218</v>
      </c>
      <c r="F141" s="25">
        <v>8</v>
      </c>
      <c r="G141" s="25">
        <v>0</v>
      </c>
      <c r="H141" s="25">
        <f>ROUND(F141*AO141,2)</f>
        <v>0</v>
      </c>
      <c r="I141" s="25">
        <f>ROUND(F141*AP141,2)</f>
        <v>0</v>
      </c>
      <c r="J141" s="25">
        <f>ROUND(F141*G141,2)</f>
        <v>0</v>
      </c>
      <c r="K141" s="26" t="s">
        <v>57</v>
      </c>
      <c r="Z141" s="25">
        <f>ROUND(IF(AQ141="5",BJ141,0),2)</f>
        <v>0</v>
      </c>
      <c r="AB141" s="25">
        <f>ROUND(IF(AQ141="1",BH141,0),2)</f>
        <v>0</v>
      </c>
      <c r="AC141" s="25">
        <f>ROUND(IF(AQ141="1",BI141,0),2)</f>
        <v>0</v>
      </c>
      <c r="AD141" s="25">
        <f>ROUND(IF(AQ141="7",BH141,0),2)</f>
        <v>0</v>
      </c>
      <c r="AE141" s="25">
        <f>ROUND(IF(AQ141="7",BI141,0),2)</f>
        <v>0</v>
      </c>
      <c r="AF141" s="25">
        <f>ROUND(IF(AQ141="2",BH141,0),2)</f>
        <v>0</v>
      </c>
      <c r="AG141" s="25">
        <f>ROUND(IF(AQ141="2",BI141,0),2)</f>
        <v>0</v>
      </c>
      <c r="AH141" s="25">
        <f>ROUND(IF(AQ141="0",BJ141,0),2)</f>
        <v>0</v>
      </c>
      <c r="AI141" s="11" t="s">
        <v>50</v>
      </c>
      <c r="AJ141" s="25">
        <f>IF(AN141=0,J141,0)</f>
        <v>0</v>
      </c>
      <c r="AK141" s="25">
        <f>IF(AN141=12,J141,0)</f>
        <v>0</v>
      </c>
      <c r="AL141" s="25">
        <f>IF(AN141=21,J141,0)</f>
        <v>0</v>
      </c>
      <c r="AN141" s="25">
        <v>21</v>
      </c>
      <c r="AO141" s="25">
        <f>G141*1</f>
        <v>0</v>
      </c>
      <c r="AP141" s="25">
        <f>G141*(1-1)</f>
        <v>0</v>
      </c>
      <c r="AQ141" s="27" t="s">
        <v>64</v>
      </c>
      <c r="AV141" s="25">
        <f>ROUND(AW141+AX141,2)</f>
        <v>0</v>
      </c>
      <c r="AW141" s="25">
        <f>ROUND(F141*AO141,2)</f>
        <v>0</v>
      </c>
      <c r="AX141" s="25">
        <f>ROUND(F141*AP141,2)</f>
        <v>0</v>
      </c>
      <c r="AY141" s="27" t="s">
        <v>379</v>
      </c>
      <c r="AZ141" s="27" t="s">
        <v>231</v>
      </c>
      <c r="BA141" s="11" t="s">
        <v>60</v>
      </c>
      <c r="BC141" s="25">
        <f>AW141+AX141</f>
        <v>0</v>
      </c>
      <c r="BD141" s="25">
        <f>G141/(100-BE141)*100</f>
        <v>0</v>
      </c>
      <c r="BE141" s="25">
        <v>0</v>
      </c>
      <c r="BF141" s="25">
        <f>141</f>
        <v>141</v>
      </c>
      <c r="BH141" s="25">
        <f>F141*AO141</f>
        <v>0</v>
      </c>
      <c r="BI141" s="25">
        <f>F141*AP141</f>
        <v>0</v>
      </c>
      <c r="BJ141" s="25">
        <f>F141*G141</f>
        <v>0</v>
      </c>
      <c r="BK141" s="27" t="s">
        <v>125</v>
      </c>
      <c r="BL141" s="25"/>
      <c r="BW141" s="25">
        <v>21</v>
      </c>
      <c r="BX141" s="5" t="s">
        <v>382</v>
      </c>
    </row>
    <row r="142" spans="1:76" x14ac:dyDescent="0.25">
      <c r="A142" s="2" t="s">
        <v>383</v>
      </c>
      <c r="B142" s="3" t="s">
        <v>384</v>
      </c>
      <c r="C142" s="80" t="s">
        <v>385</v>
      </c>
      <c r="D142" s="75"/>
      <c r="E142" s="3" t="s">
        <v>218</v>
      </c>
      <c r="F142" s="25">
        <v>2</v>
      </c>
      <c r="G142" s="25">
        <v>0</v>
      </c>
      <c r="H142" s="25">
        <f>ROUND(F142*AO142,2)</f>
        <v>0</v>
      </c>
      <c r="I142" s="25">
        <f>ROUND(F142*AP142,2)</f>
        <v>0</v>
      </c>
      <c r="J142" s="25">
        <f>ROUND(F142*G142,2)</f>
        <v>0</v>
      </c>
      <c r="K142" s="26" t="s">
        <v>57</v>
      </c>
      <c r="Z142" s="25">
        <f>ROUND(IF(AQ142="5",BJ142,0),2)</f>
        <v>0</v>
      </c>
      <c r="AB142" s="25">
        <f>ROUND(IF(AQ142="1",BH142,0),2)</f>
        <v>0</v>
      </c>
      <c r="AC142" s="25">
        <f>ROUND(IF(AQ142="1",BI142,0),2)</f>
        <v>0</v>
      </c>
      <c r="AD142" s="25">
        <f>ROUND(IF(AQ142="7",BH142,0),2)</f>
        <v>0</v>
      </c>
      <c r="AE142" s="25">
        <f>ROUND(IF(AQ142="7",BI142,0),2)</f>
        <v>0</v>
      </c>
      <c r="AF142" s="25">
        <f>ROUND(IF(AQ142="2",BH142,0),2)</f>
        <v>0</v>
      </c>
      <c r="AG142" s="25">
        <f>ROUND(IF(AQ142="2",BI142,0),2)</f>
        <v>0</v>
      </c>
      <c r="AH142" s="25">
        <f>ROUND(IF(AQ142="0",BJ142,0),2)</f>
        <v>0</v>
      </c>
      <c r="AI142" s="11" t="s">
        <v>50</v>
      </c>
      <c r="AJ142" s="25">
        <f>IF(AN142=0,J142,0)</f>
        <v>0</v>
      </c>
      <c r="AK142" s="25">
        <f>IF(AN142=12,J142,0)</f>
        <v>0</v>
      </c>
      <c r="AL142" s="25">
        <f>IF(AN142=21,J142,0)</f>
        <v>0</v>
      </c>
      <c r="AN142" s="25">
        <v>21</v>
      </c>
      <c r="AO142" s="25">
        <f>G142*0</f>
        <v>0</v>
      </c>
      <c r="AP142" s="25">
        <f>G142*(1-0)</f>
        <v>0</v>
      </c>
      <c r="AQ142" s="27" t="s">
        <v>64</v>
      </c>
      <c r="AV142" s="25">
        <f>ROUND(AW142+AX142,2)</f>
        <v>0</v>
      </c>
      <c r="AW142" s="25">
        <f>ROUND(F142*AO142,2)</f>
        <v>0</v>
      </c>
      <c r="AX142" s="25">
        <f>ROUND(F142*AP142,2)</f>
        <v>0</v>
      </c>
      <c r="AY142" s="27" t="s">
        <v>379</v>
      </c>
      <c r="AZ142" s="27" t="s">
        <v>231</v>
      </c>
      <c r="BA142" s="11" t="s">
        <v>60</v>
      </c>
      <c r="BC142" s="25">
        <f>AW142+AX142</f>
        <v>0</v>
      </c>
      <c r="BD142" s="25">
        <f>G142/(100-BE142)*100</f>
        <v>0</v>
      </c>
      <c r="BE142" s="25">
        <v>0</v>
      </c>
      <c r="BF142" s="25">
        <f>142</f>
        <v>142</v>
      </c>
      <c r="BH142" s="25">
        <f>F142*AO142</f>
        <v>0</v>
      </c>
      <c r="BI142" s="25">
        <f>F142*AP142</f>
        <v>0</v>
      </c>
      <c r="BJ142" s="25">
        <f>F142*G142</f>
        <v>0</v>
      </c>
      <c r="BK142" s="27" t="s">
        <v>61</v>
      </c>
      <c r="BL142" s="25"/>
      <c r="BW142" s="25">
        <v>21</v>
      </c>
      <c r="BX142" s="5" t="s">
        <v>385</v>
      </c>
    </row>
    <row r="143" spans="1:76" x14ac:dyDescent="0.25">
      <c r="A143" s="2" t="s">
        <v>386</v>
      </c>
      <c r="B143" s="3" t="s">
        <v>387</v>
      </c>
      <c r="C143" s="80" t="s">
        <v>388</v>
      </c>
      <c r="D143" s="75"/>
      <c r="E143" s="3" t="s">
        <v>218</v>
      </c>
      <c r="F143" s="25">
        <v>2</v>
      </c>
      <c r="G143" s="25">
        <v>0</v>
      </c>
      <c r="H143" s="25">
        <f>ROUND(F143*AO143,2)</f>
        <v>0</v>
      </c>
      <c r="I143" s="25">
        <f>ROUND(F143*AP143,2)</f>
        <v>0</v>
      </c>
      <c r="J143" s="25">
        <f>ROUND(F143*G143,2)</f>
        <v>0</v>
      </c>
      <c r="K143" s="26" t="s">
        <v>57</v>
      </c>
      <c r="Z143" s="25">
        <f>ROUND(IF(AQ143="5",BJ143,0),2)</f>
        <v>0</v>
      </c>
      <c r="AB143" s="25">
        <f>ROUND(IF(AQ143="1",BH143,0),2)</f>
        <v>0</v>
      </c>
      <c r="AC143" s="25">
        <f>ROUND(IF(AQ143="1",BI143,0),2)</f>
        <v>0</v>
      </c>
      <c r="AD143" s="25">
        <f>ROUND(IF(AQ143="7",BH143,0),2)</f>
        <v>0</v>
      </c>
      <c r="AE143" s="25">
        <f>ROUND(IF(AQ143="7",BI143,0),2)</f>
        <v>0</v>
      </c>
      <c r="AF143" s="25">
        <f>ROUND(IF(AQ143="2",BH143,0),2)</f>
        <v>0</v>
      </c>
      <c r="AG143" s="25">
        <f>ROUND(IF(AQ143="2",BI143,0),2)</f>
        <v>0</v>
      </c>
      <c r="AH143" s="25">
        <f>ROUND(IF(AQ143="0",BJ143,0),2)</f>
        <v>0</v>
      </c>
      <c r="AI143" s="11" t="s">
        <v>50</v>
      </c>
      <c r="AJ143" s="25">
        <f>IF(AN143=0,J143,0)</f>
        <v>0</v>
      </c>
      <c r="AK143" s="25">
        <f>IF(AN143=12,J143,0)</f>
        <v>0</v>
      </c>
      <c r="AL143" s="25">
        <f>IF(AN143=21,J143,0)</f>
        <v>0</v>
      </c>
      <c r="AN143" s="25">
        <v>21</v>
      </c>
      <c r="AO143" s="25">
        <f>G143*1</f>
        <v>0</v>
      </c>
      <c r="AP143" s="25">
        <f>G143*(1-1)</f>
        <v>0</v>
      </c>
      <c r="AQ143" s="27" t="s">
        <v>64</v>
      </c>
      <c r="AV143" s="25">
        <f>ROUND(AW143+AX143,2)</f>
        <v>0</v>
      </c>
      <c r="AW143" s="25">
        <f>ROUND(F143*AO143,2)</f>
        <v>0</v>
      </c>
      <c r="AX143" s="25">
        <f>ROUND(F143*AP143,2)</f>
        <v>0</v>
      </c>
      <c r="AY143" s="27" t="s">
        <v>379</v>
      </c>
      <c r="AZ143" s="27" t="s">
        <v>231</v>
      </c>
      <c r="BA143" s="11" t="s">
        <v>60</v>
      </c>
      <c r="BC143" s="25">
        <f>AW143+AX143</f>
        <v>0</v>
      </c>
      <c r="BD143" s="25">
        <f>G143/(100-BE143)*100</f>
        <v>0</v>
      </c>
      <c r="BE143" s="25">
        <v>0</v>
      </c>
      <c r="BF143" s="25">
        <f>143</f>
        <v>143</v>
      </c>
      <c r="BH143" s="25">
        <f>F143*AO143</f>
        <v>0</v>
      </c>
      <c r="BI143" s="25">
        <f>F143*AP143</f>
        <v>0</v>
      </c>
      <c r="BJ143" s="25">
        <f>F143*G143</f>
        <v>0</v>
      </c>
      <c r="BK143" s="27" t="s">
        <v>125</v>
      </c>
      <c r="BL143" s="25"/>
      <c r="BW143" s="25">
        <v>21</v>
      </c>
      <c r="BX143" s="5" t="s">
        <v>388</v>
      </c>
    </row>
    <row r="144" spans="1:76" x14ac:dyDescent="0.25">
      <c r="A144" s="34" t="s">
        <v>389</v>
      </c>
      <c r="B144" s="35" t="s">
        <v>390</v>
      </c>
      <c r="C144" s="101" t="s">
        <v>391</v>
      </c>
      <c r="D144" s="102"/>
      <c r="E144" s="35" t="s">
        <v>218</v>
      </c>
      <c r="F144" s="36">
        <v>1</v>
      </c>
      <c r="G144" s="36">
        <v>0</v>
      </c>
      <c r="H144" s="36">
        <f>ROUND(F144*AO144,2)</f>
        <v>0</v>
      </c>
      <c r="I144" s="36">
        <f>ROUND(F144*AP144,2)</f>
        <v>0</v>
      </c>
      <c r="J144" s="36">
        <f>ROUND(F144*G144,2)</f>
        <v>0</v>
      </c>
      <c r="K144" s="37" t="s">
        <v>57</v>
      </c>
      <c r="Z144" s="25">
        <f>ROUND(IF(AQ144="5",BJ144,0),2)</f>
        <v>0</v>
      </c>
      <c r="AB144" s="25">
        <f>ROUND(IF(AQ144="1",BH144,0),2)</f>
        <v>0</v>
      </c>
      <c r="AC144" s="25">
        <f>ROUND(IF(AQ144="1",BI144,0),2)</f>
        <v>0</v>
      </c>
      <c r="AD144" s="25">
        <f>ROUND(IF(AQ144="7",BH144,0),2)</f>
        <v>0</v>
      </c>
      <c r="AE144" s="25">
        <f>ROUND(IF(AQ144="7",BI144,0),2)</f>
        <v>0</v>
      </c>
      <c r="AF144" s="25">
        <f>ROUND(IF(AQ144="2",BH144,0),2)</f>
        <v>0</v>
      </c>
      <c r="AG144" s="25">
        <f>ROUND(IF(AQ144="2",BI144,0),2)</f>
        <v>0</v>
      </c>
      <c r="AH144" s="25">
        <f>ROUND(IF(AQ144="0",BJ144,0),2)</f>
        <v>0</v>
      </c>
      <c r="AI144" s="11" t="s">
        <v>50</v>
      </c>
      <c r="AJ144" s="25">
        <f>IF(AN144=0,J144,0)</f>
        <v>0</v>
      </c>
      <c r="AK144" s="25">
        <f>IF(AN144=12,J144,0)</f>
        <v>0</v>
      </c>
      <c r="AL144" s="25">
        <f>IF(AN144=21,J144,0)</f>
        <v>0</v>
      </c>
      <c r="AN144" s="25">
        <v>21</v>
      </c>
      <c r="AO144" s="25">
        <f>G144*0</f>
        <v>0</v>
      </c>
      <c r="AP144" s="25">
        <f>G144*(1-0)</f>
        <v>0</v>
      </c>
      <c r="AQ144" s="27" t="s">
        <v>64</v>
      </c>
      <c r="AV144" s="25">
        <f>ROUND(AW144+AX144,2)</f>
        <v>0</v>
      </c>
      <c r="AW144" s="25">
        <f>ROUND(F144*AO144,2)</f>
        <v>0</v>
      </c>
      <c r="AX144" s="25">
        <f>ROUND(F144*AP144,2)</f>
        <v>0</v>
      </c>
      <c r="AY144" s="27" t="s">
        <v>379</v>
      </c>
      <c r="AZ144" s="27" t="s">
        <v>231</v>
      </c>
      <c r="BA144" s="11" t="s">
        <v>60</v>
      </c>
      <c r="BC144" s="25">
        <f>AW144+AX144</f>
        <v>0</v>
      </c>
      <c r="BD144" s="25">
        <f>G144/(100-BE144)*100</f>
        <v>0</v>
      </c>
      <c r="BE144" s="25">
        <v>0</v>
      </c>
      <c r="BF144" s="25">
        <f>144</f>
        <v>144</v>
      </c>
      <c r="BH144" s="25">
        <f>F144*AO144</f>
        <v>0</v>
      </c>
      <c r="BI144" s="25">
        <f>F144*AP144</f>
        <v>0</v>
      </c>
      <c r="BJ144" s="25">
        <f>F144*G144</f>
        <v>0</v>
      </c>
      <c r="BK144" s="27" t="s">
        <v>61</v>
      </c>
      <c r="BL144" s="25"/>
      <c r="BW144" s="25">
        <v>21</v>
      </c>
      <c r="BX144" s="5" t="s">
        <v>391</v>
      </c>
    </row>
    <row r="145" spans="1:11" x14ac:dyDescent="0.25">
      <c r="H145" s="103" t="s">
        <v>392</v>
      </c>
      <c r="I145" s="103"/>
      <c r="J145" s="38">
        <f>ROUND(J12+J27+J31+J35+J41+J47+J49+J64+J67+J79+J83+J100+J109+J111+J113+J119+J123+J128+J133+J139,0)</f>
        <v>0</v>
      </c>
    </row>
    <row r="146" spans="1:11" x14ac:dyDescent="0.25">
      <c r="A146" s="39" t="s">
        <v>393</v>
      </c>
    </row>
    <row r="147" spans="1:11" ht="12.75" customHeight="1" x14ac:dyDescent="0.25">
      <c r="A147" s="80" t="s">
        <v>50</v>
      </c>
      <c r="B147" s="75"/>
      <c r="C147" s="75"/>
      <c r="D147" s="75"/>
      <c r="E147" s="75"/>
      <c r="F147" s="75"/>
      <c r="G147" s="75"/>
      <c r="H147" s="75"/>
      <c r="I147" s="75"/>
      <c r="J147" s="75"/>
      <c r="K147" s="75"/>
    </row>
  </sheetData>
  <mergeCells count="163">
    <mergeCell ref="H145:I145"/>
    <mergeCell ref="A147:K147"/>
    <mergeCell ref="C140:D140"/>
    <mergeCell ref="C141:D141"/>
    <mergeCell ref="C142:D142"/>
    <mergeCell ref="C143:D143"/>
    <mergeCell ref="C144:D144"/>
    <mergeCell ref="C135:K135"/>
    <mergeCell ref="C136:D136"/>
    <mergeCell ref="C137:D137"/>
    <mergeCell ref="C138:K138"/>
    <mergeCell ref="C139:D139"/>
    <mergeCell ref="C130:K130"/>
    <mergeCell ref="C131:D131"/>
    <mergeCell ref="C132:K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K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K91"/>
    <mergeCell ref="C92:D92"/>
    <mergeCell ref="C93:D93"/>
    <mergeCell ref="C94:D94"/>
    <mergeCell ref="C85:K85"/>
    <mergeCell ref="C86:D86"/>
    <mergeCell ref="C87:K87"/>
    <mergeCell ref="C88:D88"/>
    <mergeCell ref="C89:D89"/>
    <mergeCell ref="C80:D80"/>
    <mergeCell ref="C81:K81"/>
    <mergeCell ref="C82:D82"/>
    <mergeCell ref="C83:D83"/>
    <mergeCell ref="C84:D84"/>
    <mergeCell ref="C75:K75"/>
    <mergeCell ref="C76:D76"/>
    <mergeCell ref="C77:D77"/>
    <mergeCell ref="C78:K78"/>
    <mergeCell ref="C79:D79"/>
    <mergeCell ref="C70:D70"/>
    <mergeCell ref="C71:D71"/>
    <mergeCell ref="C72:K72"/>
    <mergeCell ref="C73:D73"/>
    <mergeCell ref="C74:D74"/>
    <mergeCell ref="C65:D65"/>
    <mergeCell ref="C66:K66"/>
    <mergeCell ref="C67:D67"/>
    <mergeCell ref="C68:D68"/>
    <mergeCell ref="C69:K69"/>
    <mergeCell ref="C60:D60"/>
    <mergeCell ref="C61:K61"/>
    <mergeCell ref="C62:D62"/>
    <mergeCell ref="C63:K63"/>
    <mergeCell ref="C64:D64"/>
    <mergeCell ref="C55:K55"/>
    <mergeCell ref="C56:D56"/>
    <mergeCell ref="C57:K57"/>
    <mergeCell ref="C58:D58"/>
    <mergeCell ref="C59:K59"/>
    <mergeCell ref="C50:D50"/>
    <mergeCell ref="C51:K51"/>
    <mergeCell ref="C52:D52"/>
    <mergeCell ref="C53:K53"/>
    <mergeCell ref="C54:D54"/>
    <mergeCell ref="C45:D45"/>
    <mergeCell ref="C46:K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K33"/>
    <mergeCell ref="C34:D34"/>
    <mergeCell ref="C25:D25"/>
    <mergeCell ref="C26:D26"/>
    <mergeCell ref="C27:D27"/>
    <mergeCell ref="C28:D28"/>
    <mergeCell ref="C29:K29"/>
    <mergeCell ref="C20:D20"/>
    <mergeCell ref="C21:K21"/>
    <mergeCell ref="C22:D22"/>
    <mergeCell ref="C23:K23"/>
    <mergeCell ref="C24:D24"/>
    <mergeCell ref="C15:D15"/>
    <mergeCell ref="C16:D16"/>
    <mergeCell ref="C17:D17"/>
    <mergeCell ref="C18:D18"/>
    <mergeCell ref="C19:K19"/>
    <mergeCell ref="C11:D11"/>
    <mergeCell ref="H10:J10"/>
    <mergeCell ref="C12:D12"/>
    <mergeCell ref="C13:D13"/>
    <mergeCell ref="C14:K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pane ySplit="11" topLeftCell="A12" activePane="bottomLeft" state="frozen"/>
      <selection pane="bottomLeft" activeCell="C30" sqref="C30:D30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 x14ac:dyDescent="0.25">
      <c r="A1" s="71" t="s">
        <v>394</v>
      </c>
      <c r="B1" s="71"/>
      <c r="C1" s="71"/>
      <c r="D1" s="71"/>
      <c r="E1" s="71"/>
      <c r="F1" s="71"/>
      <c r="G1" s="71"/>
    </row>
    <row r="2" spans="1:9" x14ac:dyDescent="0.25">
      <c r="A2" s="72" t="s">
        <v>1</v>
      </c>
      <c r="B2" s="73"/>
      <c r="C2" s="81" t="str">
        <f>'Stavební rozpočet'!C2</f>
        <v>Revitalizace náměstí U Dubu, Stochov</v>
      </c>
      <c r="D2" s="73" t="s">
        <v>3</v>
      </c>
      <c r="E2" s="73" t="s">
        <v>4</v>
      </c>
      <c r="F2" s="79" t="s">
        <v>5</v>
      </c>
      <c r="G2" s="104" t="str">
        <f>'Stavební rozpočet'!I2</f>
        <v>Město Stochov</v>
      </c>
    </row>
    <row r="3" spans="1:9" ht="15" customHeight="1" x14ac:dyDescent="0.25">
      <c r="A3" s="74"/>
      <c r="B3" s="75"/>
      <c r="C3" s="83"/>
      <c r="D3" s="75"/>
      <c r="E3" s="75"/>
      <c r="F3" s="75"/>
      <c r="G3" s="85"/>
    </row>
    <row r="4" spans="1:9" x14ac:dyDescent="0.25">
      <c r="A4" s="76" t="s">
        <v>7</v>
      </c>
      <c r="B4" s="75"/>
      <c r="C4" s="80" t="str">
        <f>'Stavební rozpočet'!C4</f>
        <v xml:space="preserve"> </v>
      </c>
      <c r="D4" s="75" t="s">
        <v>8</v>
      </c>
      <c r="E4" s="75" t="s">
        <v>4</v>
      </c>
      <c r="F4" s="80" t="s">
        <v>9</v>
      </c>
      <c r="G4" s="105" t="str">
        <f>'Stavební rozpočet'!I4</f>
        <v>Ing.arch.Karel Albrecht</v>
      </c>
    </row>
    <row r="5" spans="1:9" ht="15" customHeight="1" x14ac:dyDescent="0.25">
      <c r="A5" s="74"/>
      <c r="B5" s="75"/>
      <c r="C5" s="75"/>
      <c r="D5" s="75"/>
      <c r="E5" s="75"/>
      <c r="F5" s="75"/>
      <c r="G5" s="85"/>
    </row>
    <row r="6" spans="1:9" x14ac:dyDescent="0.25">
      <c r="A6" s="76" t="s">
        <v>11</v>
      </c>
      <c r="B6" s="75"/>
      <c r="C6" s="80" t="str">
        <f>'Stavební rozpočet'!C6</f>
        <v>nám.U Dubu, Parc.č. 808/1,4/1,2/2 k.ú.Stochov, město Stochov</v>
      </c>
      <c r="D6" s="75" t="s">
        <v>13</v>
      </c>
      <c r="E6" s="75" t="s">
        <v>4</v>
      </c>
      <c r="F6" s="80" t="s">
        <v>14</v>
      </c>
      <c r="G6" s="105" t="str">
        <f>'Stavební rozpočet'!I6</f>
        <v>Dle výběrového řízení</v>
      </c>
    </row>
    <row r="7" spans="1:9" ht="15" customHeight="1" x14ac:dyDescent="0.25">
      <c r="A7" s="74"/>
      <c r="B7" s="75"/>
      <c r="C7" s="75"/>
      <c r="D7" s="75"/>
      <c r="E7" s="75"/>
      <c r="F7" s="75"/>
      <c r="G7" s="85"/>
    </row>
    <row r="8" spans="1:9" x14ac:dyDescent="0.25">
      <c r="A8" s="76" t="s">
        <v>19</v>
      </c>
      <c r="B8" s="75"/>
      <c r="C8" s="80" t="str">
        <f>'Stavební rozpočet'!I8</f>
        <v> </v>
      </c>
      <c r="D8" s="75" t="s">
        <v>17</v>
      </c>
      <c r="E8" s="75" t="s">
        <v>18</v>
      </c>
      <c r="F8" s="75" t="s">
        <v>17</v>
      </c>
      <c r="G8" s="105" t="str">
        <f>'Stavební rozpočet'!G8</f>
        <v>03.09.2025</v>
      </c>
    </row>
    <row r="9" spans="1:9" x14ac:dyDescent="0.25">
      <c r="A9" s="77"/>
      <c r="B9" s="78"/>
      <c r="C9" s="78"/>
      <c r="D9" s="102"/>
      <c r="E9" s="78"/>
      <c r="F9" s="78"/>
      <c r="G9" s="86"/>
    </row>
    <row r="10" spans="1:9" x14ac:dyDescent="0.25">
      <c r="A10" s="40" t="s">
        <v>395</v>
      </c>
      <c r="B10" s="41" t="s">
        <v>22</v>
      </c>
      <c r="C10" s="42" t="s">
        <v>396</v>
      </c>
      <c r="E10" s="43" t="s">
        <v>397</v>
      </c>
      <c r="F10" s="44" t="s">
        <v>398</v>
      </c>
      <c r="G10" s="44" t="s">
        <v>399</v>
      </c>
    </row>
    <row r="11" spans="1:9" x14ac:dyDescent="0.25">
      <c r="A11" s="45" t="s">
        <v>50</v>
      </c>
      <c r="B11" s="46" t="s">
        <v>51</v>
      </c>
      <c r="C11" s="75" t="s">
        <v>52</v>
      </c>
      <c r="D11" s="75"/>
      <c r="E11" s="47">
        <f>ROUND('Stavební rozpočet'!H12,2)</f>
        <v>0</v>
      </c>
      <c r="F11" s="47">
        <f>ROUND('Stavební rozpočet'!I12,2)</f>
        <v>0</v>
      </c>
      <c r="G11" s="47">
        <f>ROUND('Stavební rozpočet'!J12,2)</f>
        <v>0</v>
      </c>
      <c r="H11" s="27" t="s">
        <v>400</v>
      </c>
      <c r="I11" s="25">
        <f t="shared" ref="I11:I30" si="0">IF(H11="F",0,G11)</f>
        <v>0</v>
      </c>
    </row>
    <row r="12" spans="1:9" x14ac:dyDescent="0.25">
      <c r="A12" s="2" t="s">
        <v>50</v>
      </c>
      <c r="B12" s="3" t="s">
        <v>95</v>
      </c>
      <c r="C12" s="75" t="s">
        <v>96</v>
      </c>
      <c r="D12" s="75"/>
      <c r="E12" s="25">
        <f>ROUND('Stavební rozpočet'!H27,2)</f>
        <v>0</v>
      </c>
      <c r="F12" s="25">
        <f>ROUND('Stavební rozpočet'!I27,2)</f>
        <v>0</v>
      </c>
      <c r="G12" s="25">
        <f>ROUND('Stavební rozpočet'!J27,2)</f>
        <v>0</v>
      </c>
      <c r="H12" s="27" t="s">
        <v>400</v>
      </c>
      <c r="I12" s="25">
        <f t="shared" si="0"/>
        <v>0</v>
      </c>
    </row>
    <row r="13" spans="1:9" x14ac:dyDescent="0.25">
      <c r="A13" s="2" t="s">
        <v>50</v>
      </c>
      <c r="B13" s="3" t="s">
        <v>103</v>
      </c>
      <c r="C13" s="75" t="s">
        <v>104</v>
      </c>
      <c r="D13" s="75"/>
      <c r="E13" s="25">
        <f>ROUND('Stavební rozpočet'!H31,2)</f>
        <v>0</v>
      </c>
      <c r="F13" s="25">
        <f>ROUND('Stavební rozpočet'!I31,2)</f>
        <v>0</v>
      </c>
      <c r="G13" s="25">
        <f>ROUND('Stavební rozpočet'!J31,2)</f>
        <v>0</v>
      </c>
      <c r="H13" s="27" t="s">
        <v>400</v>
      </c>
      <c r="I13" s="25">
        <f t="shared" si="0"/>
        <v>0</v>
      </c>
    </row>
    <row r="14" spans="1:9" x14ac:dyDescent="0.25">
      <c r="A14" s="2" t="s">
        <v>50</v>
      </c>
      <c r="B14" s="3" t="s">
        <v>112</v>
      </c>
      <c r="C14" s="75" t="s">
        <v>113</v>
      </c>
      <c r="D14" s="75"/>
      <c r="E14" s="25">
        <f>ROUND('Stavební rozpočet'!H35,2)</f>
        <v>0</v>
      </c>
      <c r="F14" s="25">
        <f>ROUND('Stavební rozpočet'!I35,2)</f>
        <v>0</v>
      </c>
      <c r="G14" s="25">
        <f>ROUND('Stavební rozpočet'!J35,2)</f>
        <v>0</v>
      </c>
      <c r="H14" s="27" t="s">
        <v>400</v>
      </c>
      <c r="I14" s="25">
        <f t="shared" si="0"/>
        <v>0</v>
      </c>
    </row>
    <row r="15" spans="1:9" x14ac:dyDescent="0.25">
      <c r="A15" s="2" t="s">
        <v>50</v>
      </c>
      <c r="B15" s="3" t="s">
        <v>131</v>
      </c>
      <c r="C15" s="75" t="s">
        <v>132</v>
      </c>
      <c r="D15" s="75"/>
      <c r="E15" s="25">
        <f>ROUND('Stavební rozpočet'!H41,2)</f>
        <v>0</v>
      </c>
      <c r="F15" s="25">
        <f>ROUND('Stavební rozpočet'!I41,2)</f>
        <v>0</v>
      </c>
      <c r="G15" s="25">
        <f>ROUND('Stavební rozpočet'!J41,2)</f>
        <v>0</v>
      </c>
      <c r="H15" s="27" t="s">
        <v>400</v>
      </c>
      <c r="I15" s="25">
        <f t="shared" si="0"/>
        <v>0</v>
      </c>
    </row>
    <row r="16" spans="1:9" x14ac:dyDescent="0.25">
      <c r="A16" s="2" t="s">
        <v>50</v>
      </c>
      <c r="B16" s="3" t="s">
        <v>149</v>
      </c>
      <c r="C16" s="75" t="s">
        <v>150</v>
      </c>
      <c r="D16" s="75"/>
      <c r="E16" s="25">
        <f>ROUND('Stavební rozpočet'!H47,2)</f>
        <v>0</v>
      </c>
      <c r="F16" s="25">
        <f>ROUND('Stavební rozpočet'!I47,2)</f>
        <v>0</v>
      </c>
      <c r="G16" s="25">
        <f>ROUND('Stavební rozpočet'!J47,2)</f>
        <v>0</v>
      </c>
      <c r="H16" s="27" t="s">
        <v>400</v>
      </c>
      <c r="I16" s="25">
        <f t="shared" si="0"/>
        <v>0</v>
      </c>
    </row>
    <row r="17" spans="1:9" x14ac:dyDescent="0.25">
      <c r="A17" s="2" t="s">
        <v>50</v>
      </c>
      <c r="B17" s="3" t="s">
        <v>156</v>
      </c>
      <c r="C17" s="75" t="s">
        <v>157</v>
      </c>
      <c r="D17" s="75"/>
      <c r="E17" s="25">
        <f>ROUND('Stavební rozpočet'!H49,2)</f>
        <v>0</v>
      </c>
      <c r="F17" s="25">
        <f>ROUND('Stavební rozpočet'!I49,2)</f>
        <v>0</v>
      </c>
      <c r="G17" s="25">
        <f>ROUND('Stavební rozpočet'!J49,2)</f>
        <v>0</v>
      </c>
      <c r="H17" s="27" t="s">
        <v>400</v>
      </c>
      <c r="I17" s="25">
        <f t="shared" si="0"/>
        <v>0</v>
      </c>
    </row>
    <row r="18" spans="1:9" x14ac:dyDescent="0.25">
      <c r="A18" s="2" t="s">
        <v>50</v>
      </c>
      <c r="B18" s="3" t="s">
        <v>182</v>
      </c>
      <c r="C18" s="75" t="s">
        <v>183</v>
      </c>
      <c r="D18" s="75"/>
      <c r="E18" s="25">
        <f>ROUND('Stavební rozpočet'!H64,2)</f>
        <v>0</v>
      </c>
      <c r="F18" s="25">
        <f>ROUND('Stavební rozpočet'!I64,2)</f>
        <v>0</v>
      </c>
      <c r="G18" s="25">
        <f>ROUND('Stavební rozpočet'!J64,2)</f>
        <v>0</v>
      </c>
      <c r="H18" s="27" t="s">
        <v>400</v>
      </c>
      <c r="I18" s="25">
        <f t="shared" si="0"/>
        <v>0</v>
      </c>
    </row>
    <row r="19" spans="1:9" x14ac:dyDescent="0.25">
      <c r="A19" s="2" t="s">
        <v>50</v>
      </c>
      <c r="B19" s="3" t="s">
        <v>188</v>
      </c>
      <c r="C19" s="75" t="s">
        <v>189</v>
      </c>
      <c r="D19" s="75"/>
      <c r="E19" s="25">
        <f>ROUND('Stavební rozpočet'!H67,2)</f>
        <v>0</v>
      </c>
      <c r="F19" s="25">
        <f>ROUND('Stavební rozpočet'!I67,2)</f>
        <v>0</v>
      </c>
      <c r="G19" s="25">
        <f>ROUND('Stavební rozpočet'!J67,2)</f>
        <v>0</v>
      </c>
      <c r="H19" s="27" t="s">
        <v>400</v>
      </c>
      <c r="I19" s="25">
        <f t="shared" si="0"/>
        <v>0</v>
      </c>
    </row>
    <row r="20" spans="1:9" x14ac:dyDescent="0.25">
      <c r="A20" s="2" t="s">
        <v>50</v>
      </c>
      <c r="B20" s="3" t="s">
        <v>213</v>
      </c>
      <c r="C20" s="75" t="s">
        <v>214</v>
      </c>
      <c r="D20" s="75"/>
      <c r="E20" s="25">
        <f>ROUND('Stavební rozpočet'!H79,2)</f>
        <v>0</v>
      </c>
      <c r="F20" s="25">
        <f>ROUND('Stavební rozpočet'!I79,2)</f>
        <v>0</v>
      </c>
      <c r="G20" s="25">
        <f>ROUND('Stavební rozpočet'!J79,2)</f>
        <v>0</v>
      </c>
      <c r="H20" s="27" t="s">
        <v>400</v>
      </c>
      <c r="I20" s="25">
        <f t="shared" si="0"/>
        <v>0</v>
      </c>
    </row>
    <row r="21" spans="1:9" x14ac:dyDescent="0.25">
      <c r="A21" s="2" t="s">
        <v>50</v>
      </c>
      <c r="B21" s="3" t="s">
        <v>225</v>
      </c>
      <c r="C21" s="75" t="s">
        <v>226</v>
      </c>
      <c r="D21" s="75"/>
      <c r="E21" s="25">
        <f>ROUND('Stavební rozpočet'!H83,2)</f>
        <v>0</v>
      </c>
      <c r="F21" s="25">
        <f>ROUND('Stavební rozpočet'!I83,2)</f>
        <v>0</v>
      </c>
      <c r="G21" s="25">
        <f>ROUND('Stavební rozpočet'!J83,2)</f>
        <v>0</v>
      </c>
      <c r="H21" s="27" t="s">
        <v>400</v>
      </c>
      <c r="I21" s="25">
        <f t="shared" si="0"/>
        <v>0</v>
      </c>
    </row>
    <row r="22" spans="1:9" x14ac:dyDescent="0.25">
      <c r="A22" s="2" t="s">
        <v>50</v>
      </c>
      <c r="B22" s="3" t="s">
        <v>269</v>
      </c>
      <c r="C22" s="75" t="s">
        <v>270</v>
      </c>
      <c r="D22" s="75"/>
      <c r="E22" s="25">
        <f>ROUND('Stavební rozpočet'!H100,2)</f>
        <v>0</v>
      </c>
      <c r="F22" s="25">
        <f>ROUND('Stavební rozpočet'!I100,2)</f>
        <v>0</v>
      </c>
      <c r="G22" s="25">
        <f>ROUND('Stavební rozpočet'!J100,2)</f>
        <v>0</v>
      </c>
      <c r="H22" s="27" t="s">
        <v>400</v>
      </c>
      <c r="I22" s="25">
        <f t="shared" si="0"/>
        <v>0</v>
      </c>
    </row>
    <row r="23" spans="1:9" x14ac:dyDescent="0.25">
      <c r="A23" s="2" t="s">
        <v>50</v>
      </c>
      <c r="B23" s="3" t="s">
        <v>292</v>
      </c>
      <c r="C23" s="75" t="s">
        <v>293</v>
      </c>
      <c r="D23" s="75"/>
      <c r="E23" s="25">
        <f>ROUND('Stavební rozpočet'!H109,2)</f>
        <v>0</v>
      </c>
      <c r="F23" s="25">
        <f>ROUND('Stavební rozpočet'!I109,2)</f>
        <v>0</v>
      </c>
      <c r="G23" s="25">
        <f>ROUND('Stavební rozpočet'!J109,2)</f>
        <v>0</v>
      </c>
      <c r="H23" s="27" t="s">
        <v>400</v>
      </c>
      <c r="I23" s="25">
        <f t="shared" si="0"/>
        <v>0</v>
      </c>
    </row>
    <row r="24" spans="1:9" x14ac:dyDescent="0.25">
      <c r="A24" s="2" t="s">
        <v>50</v>
      </c>
      <c r="B24" s="3" t="s">
        <v>298</v>
      </c>
      <c r="C24" s="75" t="s">
        <v>299</v>
      </c>
      <c r="D24" s="75"/>
      <c r="E24" s="25">
        <f>ROUND('Stavební rozpočet'!H111,2)</f>
        <v>0</v>
      </c>
      <c r="F24" s="25">
        <f>ROUND('Stavební rozpočet'!I111,2)</f>
        <v>0</v>
      </c>
      <c r="G24" s="25">
        <f>ROUND('Stavební rozpočet'!J111,2)</f>
        <v>0</v>
      </c>
      <c r="H24" s="27" t="s">
        <v>400</v>
      </c>
      <c r="I24" s="25">
        <f t="shared" si="0"/>
        <v>0</v>
      </c>
    </row>
    <row r="25" spans="1:9" x14ac:dyDescent="0.25">
      <c r="A25" s="2" t="s">
        <v>50</v>
      </c>
      <c r="B25" s="3" t="s">
        <v>304</v>
      </c>
      <c r="C25" s="75" t="s">
        <v>305</v>
      </c>
      <c r="D25" s="75"/>
      <c r="E25" s="25">
        <f>ROUND('Stavební rozpočet'!H113,2)</f>
        <v>0</v>
      </c>
      <c r="F25" s="25">
        <f>ROUND('Stavební rozpočet'!I113,2)</f>
        <v>0</v>
      </c>
      <c r="G25" s="25">
        <f>ROUND('Stavební rozpočet'!J113,2)</f>
        <v>0</v>
      </c>
      <c r="H25" s="27" t="s">
        <v>400</v>
      </c>
      <c r="I25" s="25">
        <f t="shared" si="0"/>
        <v>0</v>
      </c>
    </row>
    <row r="26" spans="1:9" x14ac:dyDescent="0.25">
      <c r="A26" s="2" t="s">
        <v>50</v>
      </c>
      <c r="B26" s="3" t="s">
        <v>320</v>
      </c>
      <c r="C26" s="75" t="s">
        <v>321</v>
      </c>
      <c r="D26" s="75"/>
      <c r="E26" s="25">
        <f>ROUND('Stavební rozpočet'!H119,2)</f>
        <v>0</v>
      </c>
      <c r="F26" s="25">
        <f>ROUND('Stavební rozpočet'!I119,2)</f>
        <v>0</v>
      </c>
      <c r="G26" s="25">
        <f>ROUND('Stavební rozpočet'!J119,2)</f>
        <v>0</v>
      </c>
      <c r="H26" s="27" t="s">
        <v>400</v>
      </c>
      <c r="I26" s="25">
        <f t="shared" si="0"/>
        <v>0</v>
      </c>
    </row>
    <row r="27" spans="1:9" x14ac:dyDescent="0.25">
      <c r="A27" s="2" t="s">
        <v>50</v>
      </c>
      <c r="B27" s="3" t="s">
        <v>333</v>
      </c>
      <c r="C27" s="75" t="s">
        <v>334</v>
      </c>
      <c r="D27" s="75"/>
      <c r="E27" s="25">
        <f>ROUND('Stavební rozpočet'!H123,2)</f>
        <v>0</v>
      </c>
      <c r="F27" s="25">
        <f>ROUND('Stavební rozpočet'!I123,2)</f>
        <v>0</v>
      </c>
      <c r="G27" s="25">
        <f>ROUND('Stavební rozpočet'!J123,2)</f>
        <v>0</v>
      </c>
      <c r="H27" s="27" t="s">
        <v>400</v>
      </c>
      <c r="I27" s="25">
        <f t="shared" si="0"/>
        <v>0</v>
      </c>
    </row>
    <row r="28" spans="1:9" x14ac:dyDescent="0.25">
      <c r="A28" s="2" t="s">
        <v>50</v>
      </c>
      <c r="B28" s="3" t="s">
        <v>349</v>
      </c>
      <c r="C28" s="75" t="s">
        <v>350</v>
      </c>
      <c r="D28" s="75"/>
      <c r="E28" s="25">
        <f>ROUND('Stavební rozpočet'!H128,2)</f>
        <v>0</v>
      </c>
      <c r="F28" s="25">
        <f>ROUND('Stavební rozpočet'!I128,2)</f>
        <v>0</v>
      </c>
      <c r="G28" s="25">
        <f>ROUND('Stavební rozpočet'!J128,2)</f>
        <v>0</v>
      </c>
      <c r="H28" s="27" t="s">
        <v>400</v>
      </c>
      <c r="I28" s="25">
        <f t="shared" si="0"/>
        <v>0</v>
      </c>
    </row>
    <row r="29" spans="1:9" x14ac:dyDescent="0.25">
      <c r="A29" s="2" t="s">
        <v>50</v>
      </c>
      <c r="B29" s="3" t="s">
        <v>360</v>
      </c>
      <c r="C29" s="75" t="s">
        <v>361</v>
      </c>
      <c r="D29" s="75"/>
      <c r="E29" s="25">
        <f>ROUND('Stavební rozpočet'!H133,2)</f>
        <v>0</v>
      </c>
      <c r="F29" s="25">
        <f>ROUND('Stavební rozpočet'!I133,2)</f>
        <v>0</v>
      </c>
      <c r="G29" s="25">
        <f>ROUND('Stavební rozpočet'!J133,2)</f>
        <v>0</v>
      </c>
      <c r="H29" s="27" t="s">
        <v>400</v>
      </c>
      <c r="I29" s="25">
        <f t="shared" si="0"/>
        <v>0</v>
      </c>
    </row>
    <row r="30" spans="1:9" x14ac:dyDescent="0.25">
      <c r="A30" s="2" t="s">
        <v>50</v>
      </c>
      <c r="B30" s="3" t="s">
        <v>374</v>
      </c>
      <c r="C30" s="75" t="s">
        <v>375</v>
      </c>
      <c r="D30" s="75"/>
      <c r="E30" s="25">
        <f>ROUND('Stavební rozpočet'!H139,2)</f>
        <v>0</v>
      </c>
      <c r="F30" s="25">
        <f>ROUND('Stavební rozpočet'!I139,2)</f>
        <v>0</v>
      </c>
      <c r="G30" s="25">
        <f>ROUND('Stavební rozpočet'!J139,2)</f>
        <v>0</v>
      </c>
      <c r="H30" s="27" t="s">
        <v>400</v>
      </c>
      <c r="I30" s="25">
        <f t="shared" si="0"/>
        <v>0</v>
      </c>
    </row>
    <row r="31" spans="1:9" x14ac:dyDescent="0.25">
      <c r="F31" s="4" t="s">
        <v>392</v>
      </c>
      <c r="G31" s="48">
        <f>ROUND(SUM(I11:I30),0)</f>
        <v>0</v>
      </c>
    </row>
  </sheetData>
  <mergeCells count="45">
    <mergeCell ref="C27:D27"/>
    <mergeCell ref="C28:D28"/>
    <mergeCell ref="C29:D29"/>
    <mergeCell ref="C30:D30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G2:G3"/>
    <mergeCell ref="G4:G5"/>
    <mergeCell ref="G6:G7"/>
    <mergeCell ref="G8:G9"/>
    <mergeCell ref="C11:D11"/>
    <mergeCell ref="C8:C9"/>
    <mergeCell ref="E2:E3"/>
    <mergeCell ref="E4:E5"/>
    <mergeCell ref="E6:E7"/>
    <mergeCell ref="E8:E9"/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06" t="s">
        <v>401</v>
      </c>
      <c r="B1" s="71"/>
      <c r="C1" s="71"/>
      <c r="D1" s="71"/>
      <c r="E1" s="71"/>
      <c r="F1" s="71"/>
      <c r="G1" s="71"/>
      <c r="H1" s="71"/>
      <c r="I1" s="71"/>
    </row>
    <row r="2" spans="1:9" x14ac:dyDescent="0.25">
      <c r="A2" s="72" t="s">
        <v>1</v>
      </c>
      <c r="B2" s="73"/>
      <c r="C2" s="81" t="str">
        <f>'Stavební rozpočet'!C2</f>
        <v>Revitalizace náměstí U Dubu, Stochov</v>
      </c>
      <c r="D2" s="82"/>
      <c r="E2" s="79" t="s">
        <v>5</v>
      </c>
      <c r="F2" s="79" t="str">
        <f>'Stavební rozpočet'!I2</f>
        <v>Město Stochov</v>
      </c>
      <c r="G2" s="73"/>
      <c r="H2" s="79" t="s">
        <v>402</v>
      </c>
      <c r="I2" s="84" t="s">
        <v>50</v>
      </c>
    </row>
    <row r="3" spans="1:9" ht="15" customHeight="1" x14ac:dyDescent="0.25">
      <c r="A3" s="74"/>
      <c r="B3" s="75"/>
      <c r="C3" s="83"/>
      <c r="D3" s="83"/>
      <c r="E3" s="75"/>
      <c r="F3" s="75"/>
      <c r="G3" s="75"/>
      <c r="H3" s="75"/>
      <c r="I3" s="85"/>
    </row>
    <row r="4" spans="1:9" x14ac:dyDescent="0.25">
      <c r="A4" s="76" t="s">
        <v>7</v>
      </c>
      <c r="B4" s="75"/>
      <c r="C4" s="80" t="str">
        <f>'Stavební rozpočet'!C4</f>
        <v xml:space="preserve"> </v>
      </c>
      <c r="D4" s="75"/>
      <c r="E4" s="80" t="s">
        <v>9</v>
      </c>
      <c r="F4" s="80" t="str">
        <f>'Stavební rozpočet'!I4</f>
        <v>Ing.arch.Karel Albrecht</v>
      </c>
      <c r="G4" s="75"/>
      <c r="H4" s="80" t="s">
        <v>402</v>
      </c>
      <c r="I4" s="85" t="s">
        <v>50</v>
      </c>
    </row>
    <row r="5" spans="1:9" ht="15" customHeight="1" x14ac:dyDescent="0.25">
      <c r="A5" s="74"/>
      <c r="B5" s="75"/>
      <c r="C5" s="75"/>
      <c r="D5" s="75"/>
      <c r="E5" s="75"/>
      <c r="F5" s="75"/>
      <c r="G5" s="75"/>
      <c r="H5" s="75"/>
      <c r="I5" s="85"/>
    </row>
    <row r="6" spans="1:9" x14ac:dyDescent="0.25">
      <c r="A6" s="76" t="s">
        <v>11</v>
      </c>
      <c r="B6" s="75"/>
      <c r="C6" s="80" t="str">
        <f>'Stavební rozpočet'!C6</f>
        <v>nám.U Dubu, Parc.č. 808/1,4/1,2/2 k.ú.Stochov, město Stochov</v>
      </c>
      <c r="D6" s="75"/>
      <c r="E6" s="80" t="s">
        <v>14</v>
      </c>
      <c r="F6" s="80" t="str">
        <f>'Stavební rozpočet'!I6</f>
        <v>Dle výběrového řízení</v>
      </c>
      <c r="G6" s="75"/>
      <c r="H6" s="80" t="s">
        <v>402</v>
      </c>
      <c r="I6" s="85" t="s">
        <v>50</v>
      </c>
    </row>
    <row r="7" spans="1:9" ht="15" customHeight="1" x14ac:dyDescent="0.25">
      <c r="A7" s="74"/>
      <c r="B7" s="75"/>
      <c r="C7" s="75"/>
      <c r="D7" s="75"/>
      <c r="E7" s="75"/>
      <c r="F7" s="75"/>
      <c r="G7" s="75"/>
      <c r="H7" s="75"/>
      <c r="I7" s="85"/>
    </row>
    <row r="8" spans="1:9" x14ac:dyDescent="0.25">
      <c r="A8" s="76" t="s">
        <v>8</v>
      </c>
      <c r="B8" s="75"/>
      <c r="C8" s="80" t="str">
        <f>'Stavební rozpočet'!G4</f>
        <v xml:space="preserve"> </v>
      </c>
      <c r="D8" s="75"/>
      <c r="E8" s="80" t="s">
        <v>13</v>
      </c>
      <c r="F8" s="80" t="str">
        <f>'Stavební rozpočet'!G6</f>
        <v xml:space="preserve"> </v>
      </c>
      <c r="G8" s="75"/>
      <c r="H8" s="75" t="s">
        <v>403</v>
      </c>
      <c r="I8" s="108">
        <v>85</v>
      </c>
    </row>
    <row r="9" spans="1:9" x14ac:dyDescent="0.25">
      <c r="A9" s="74"/>
      <c r="B9" s="75"/>
      <c r="C9" s="75"/>
      <c r="D9" s="75"/>
      <c r="E9" s="75"/>
      <c r="F9" s="75"/>
      <c r="G9" s="75"/>
      <c r="H9" s="75"/>
      <c r="I9" s="85"/>
    </row>
    <row r="10" spans="1:9" x14ac:dyDescent="0.25">
      <c r="A10" s="76" t="s">
        <v>16</v>
      </c>
      <c r="B10" s="75"/>
      <c r="C10" s="80" t="str">
        <f>'Stavební rozpočet'!C8</f>
        <v xml:space="preserve"> </v>
      </c>
      <c r="D10" s="75"/>
      <c r="E10" s="80" t="s">
        <v>19</v>
      </c>
      <c r="F10" s="80" t="str">
        <f>'Stavební rozpočet'!I8</f>
        <v> </v>
      </c>
      <c r="G10" s="75"/>
      <c r="H10" s="75" t="s">
        <v>404</v>
      </c>
      <c r="I10" s="105" t="str">
        <f>'Stavební rozpočet'!G8</f>
        <v>03.09.2025</v>
      </c>
    </row>
    <row r="11" spans="1:9" x14ac:dyDescent="0.25">
      <c r="A11" s="107"/>
      <c r="B11" s="102"/>
      <c r="C11" s="102"/>
      <c r="D11" s="102"/>
      <c r="E11" s="102"/>
      <c r="F11" s="102"/>
      <c r="G11" s="102"/>
      <c r="H11" s="102"/>
      <c r="I11" s="109"/>
    </row>
    <row r="12" spans="1:9" ht="23.25" x14ac:dyDescent="0.25">
      <c r="A12" s="110" t="s">
        <v>405</v>
      </c>
      <c r="B12" s="110"/>
      <c r="C12" s="110"/>
      <c r="D12" s="110"/>
      <c r="E12" s="110"/>
      <c r="F12" s="110"/>
      <c r="G12" s="110"/>
      <c r="H12" s="110"/>
      <c r="I12" s="110"/>
    </row>
    <row r="13" spans="1:9" ht="26.25" customHeight="1" x14ac:dyDescent="0.25">
      <c r="A13" s="49" t="s">
        <v>406</v>
      </c>
      <c r="B13" s="111" t="s">
        <v>407</v>
      </c>
      <c r="C13" s="112"/>
      <c r="D13" s="50" t="s">
        <v>408</v>
      </c>
      <c r="E13" s="111" t="s">
        <v>409</v>
      </c>
      <c r="F13" s="112"/>
      <c r="G13" s="50" t="s">
        <v>410</v>
      </c>
      <c r="H13" s="111" t="s">
        <v>411</v>
      </c>
      <c r="I13" s="112"/>
    </row>
    <row r="14" spans="1:9" ht="15.75" x14ac:dyDescent="0.25">
      <c r="A14" s="51" t="s">
        <v>412</v>
      </c>
      <c r="B14" s="52" t="s">
        <v>413</v>
      </c>
      <c r="C14" s="53">
        <f>SUM('Stavební rozpočet'!AB12:AB288)</f>
        <v>0</v>
      </c>
      <c r="D14" s="119" t="s">
        <v>414</v>
      </c>
      <c r="E14" s="120"/>
      <c r="F14" s="53">
        <f>VORN!I15</f>
        <v>0</v>
      </c>
      <c r="G14" s="119" t="s">
        <v>415</v>
      </c>
      <c r="H14" s="120"/>
      <c r="I14" s="54">
        <f>VORN!I21</f>
        <v>0</v>
      </c>
    </row>
    <row r="15" spans="1:9" ht="15.75" x14ac:dyDescent="0.25">
      <c r="A15" s="55" t="s">
        <v>50</v>
      </c>
      <c r="B15" s="52" t="s">
        <v>35</v>
      </c>
      <c r="C15" s="53">
        <f>SUM('Stavební rozpočet'!AC12:AC288)</f>
        <v>0</v>
      </c>
      <c r="D15" s="119" t="s">
        <v>416</v>
      </c>
      <c r="E15" s="120"/>
      <c r="F15" s="53">
        <f>VORN!I16</f>
        <v>0</v>
      </c>
      <c r="G15" s="119" t="s">
        <v>417</v>
      </c>
      <c r="H15" s="120"/>
      <c r="I15" s="54">
        <f>VORN!I22</f>
        <v>0</v>
      </c>
    </row>
    <row r="16" spans="1:9" ht="15.75" x14ac:dyDescent="0.25">
      <c r="A16" s="51" t="s">
        <v>418</v>
      </c>
      <c r="B16" s="52" t="s">
        <v>413</v>
      </c>
      <c r="C16" s="53">
        <f>SUM('Stavební rozpočet'!AD12:AD288)</f>
        <v>0</v>
      </c>
      <c r="D16" s="119" t="s">
        <v>419</v>
      </c>
      <c r="E16" s="120"/>
      <c r="F16" s="53">
        <f>VORN!I17</f>
        <v>0</v>
      </c>
      <c r="G16" s="119" t="s">
        <v>420</v>
      </c>
      <c r="H16" s="120"/>
      <c r="I16" s="54">
        <f>VORN!I23</f>
        <v>0</v>
      </c>
    </row>
    <row r="17" spans="1:9" ht="15.75" x14ac:dyDescent="0.25">
      <c r="A17" s="55" t="s">
        <v>50</v>
      </c>
      <c r="B17" s="52" t="s">
        <v>35</v>
      </c>
      <c r="C17" s="53">
        <f>SUM('Stavební rozpočet'!AE12:AE288)</f>
        <v>0</v>
      </c>
      <c r="D17" s="119" t="s">
        <v>50</v>
      </c>
      <c r="E17" s="120"/>
      <c r="F17" s="54" t="s">
        <v>50</v>
      </c>
      <c r="G17" s="119" t="s">
        <v>421</v>
      </c>
      <c r="H17" s="120"/>
      <c r="I17" s="54">
        <f>VORN!I24</f>
        <v>0</v>
      </c>
    </row>
    <row r="18" spans="1:9" ht="15.75" x14ac:dyDescent="0.25">
      <c r="A18" s="51" t="s">
        <v>422</v>
      </c>
      <c r="B18" s="52" t="s">
        <v>413</v>
      </c>
      <c r="C18" s="53">
        <f>SUM('Stavební rozpočet'!AF12:AF288)</f>
        <v>0</v>
      </c>
      <c r="D18" s="119" t="s">
        <v>50</v>
      </c>
      <c r="E18" s="120"/>
      <c r="F18" s="54" t="s">
        <v>50</v>
      </c>
      <c r="G18" s="119" t="s">
        <v>423</v>
      </c>
      <c r="H18" s="120"/>
      <c r="I18" s="54">
        <f>VORN!I25</f>
        <v>0</v>
      </c>
    </row>
    <row r="19" spans="1:9" ht="15.75" x14ac:dyDescent="0.25">
      <c r="A19" s="55" t="s">
        <v>50</v>
      </c>
      <c r="B19" s="52" t="s">
        <v>35</v>
      </c>
      <c r="C19" s="53">
        <f>SUM('Stavební rozpočet'!AG12:AG288)</f>
        <v>0</v>
      </c>
      <c r="D19" s="119" t="s">
        <v>50</v>
      </c>
      <c r="E19" s="120"/>
      <c r="F19" s="54" t="s">
        <v>50</v>
      </c>
      <c r="G19" s="119" t="s">
        <v>424</v>
      </c>
      <c r="H19" s="120"/>
      <c r="I19" s="54">
        <f>VORN!I26</f>
        <v>0</v>
      </c>
    </row>
    <row r="20" spans="1:9" ht="15.75" x14ac:dyDescent="0.25">
      <c r="A20" s="113" t="s">
        <v>425</v>
      </c>
      <c r="B20" s="114"/>
      <c r="C20" s="53">
        <f>SUM('Stavební rozpočet'!AH12:AH288)</f>
        <v>0</v>
      </c>
      <c r="D20" s="119" t="s">
        <v>50</v>
      </c>
      <c r="E20" s="120"/>
      <c r="F20" s="54" t="s">
        <v>50</v>
      </c>
      <c r="G20" s="119" t="s">
        <v>50</v>
      </c>
      <c r="H20" s="120"/>
      <c r="I20" s="54" t="s">
        <v>50</v>
      </c>
    </row>
    <row r="21" spans="1:9" ht="15.75" x14ac:dyDescent="0.25">
      <c r="A21" s="115" t="s">
        <v>426</v>
      </c>
      <c r="B21" s="116"/>
      <c r="C21" s="56">
        <f>SUM('Stavební rozpočet'!Z12:Z288)</f>
        <v>0</v>
      </c>
      <c r="D21" s="121" t="s">
        <v>50</v>
      </c>
      <c r="E21" s="122"/>
      <c r="F21" s="57" t="s">
        <v>50</v>
      </c>
      <c r="G21" s="121" t="s">
        <v>50</v>
      </c>
      <c r="H21" s="122"/>
      <c r="I21" s="57" t="s">
        <v>50</v>
      </c>
    </row>
    <row r="22" spans="1:9" ht="16.5" customHeight="1" x14ac:dyDescent="0.25">
      <c r="A22" s="117" t="s">
        <v>427</v>
      </c>
      <c r="B22" s="118"/>
      <c r="C22" s="58">
        <f>ROUND(SUM(C14:C21),0)</f>
        <v>0</v>
      </c>
      <c r="D22" s="123" t="s">
        <v>428</v>
      </c>
      <c r="E22" s="118"/>
      <c r="F22" s="58">
        <f>SUM(F14:F21)</f>
        <v>0</v>
      </c>
      <c r="G22" s="123" t="s">
        <v>429</v>
      </c>
      <c r="H22" s="118"/>
      <c r="I22" s="58">
        <f>ROUND(C22*(5/100),2)</f>
        <v>0</v>
      </c>
    </row>
    <row r="23" spans="1:9" ht="15.75" x14ac:dyDescent="0.25">
      <c r="D23" s="113" t="s">
        <v>430</v>
      </c>
      <c r="E23" s="114"/>
      <c r="F23" s="59">
        <v>0</v>
      </c>
      <c r="G23" s="124" t="s">
        <v>431</v>
      </c>
      <c r="H23" s="114"/>
      <c r="I23" s="53">
        <v>0</v>
      </c>
    </row>
    <row r="24" spans="1:9" ht="15.75" x14ac:dyDescent="0.25">
      <c r="G24" s="113" t="s">
        <v>432</v>
      </c>
      <c r="H24" s="114"/>
      <c r="I24" s="56">
        <f>vorn_sum</f>
        <v>0</v>
      </c>
    </row>
    <row r="25" spans="1:9" ht="15.75" x14ac:dyDescent="0.25">
      <c r="G25" s="113" t="s">
        <v>433</v>
      </c>
      <c r="H25" s="114"/>
      <c r="I25" s="58">
        <v>0</v>
      </c>
    </row>
    <row r="27" spans="1:9" ht="15.75" x14ac:dyDescent="0.25">
      <c r="A27" s="125" t="s">
        <v>434</v>
      </c>
      <c r="B27" s="126"/>
      <c r="C27" s="60">
        <f>ROUND(SUM('Stavební rozpočet'!AJ12:AJ288),0)</f>
        <v>0</v>
      </c>
    </row>
    <row r="28" spans="1:9" ht="15.75" x14ac:dyDescent="0.25">
      <c r="A28" s="127" t="s">
        <v>435</v>
      </c>
      <c r="B28" s="128"/>
      <c r="C28" s="61">
        <f>ROUND(SUM('Stavební rozpočet'!AK12:AK288),0)</f>
        <v>0</v>
      </c>
      <c r="D28" s="129" t="s">
        <v>436</v>
      </c>
      <c r="E28" s="126"/>
      <c r="F28" s="60">
        <f>ROUND(C28*(12/100),2)</f>
        <v>0</v>
      </c>
      <c r="G28" s="129" t="s">
        <v>437</v>
      </c>
      <c r="H28" s="126"/>
      <c r="I28" s="60">
        <f>ROUND(SUM(C27:C29),0)</f>
        <v>0</v>
      </c>
    </row>
    <row r="29" spans="1:9" ht="15.75" x14ac:dyDescent="0.25">
      <c r="A29" s="127" t="s">
        <v>438</v>
      </c>
      <c r="B29" s="128"/>
      <c r="C29" s="61">
        <f>ROUND(SUM('Stavební rozpočet'!AL12:AL288)+(F22+I22+F23+I23+I24+I25),0)</f>
        <v>0</v>
      </c>
      <c r="D29" s="130" t="s">
        <v>439</v>
      </c>
      <c r="E29" s="128"/>
      <c r="F29" s="61">
        <f>ROUND(C29*(21/100),2)</f>
        <v>0</v>
      </c>
      <c r="G29" s="130" t="s">
        <v>440</v>
      </c>
      <c r="H29" s="128"/>
      <c r="I29" s="61">
        <f>ROUND(SUM(F28:F29)+I28,0)</f>
        <v>0</v>
      </c>
    </row>
    <row r="31" spans="1:9" x14ac:dyDescent="0.25">
      <c r="A31" s="131" t="s">
        <v>441</v>
      </c>
      <c r="B31" s="132"/>
      <c r="C31" s="133"/>
      <c r="D31" s="140" t="s">
        <v>442</v>
      </c>
      <c r="E31" s="132"/>
      <c r="F31" s="133"/>
      <c r="G31" s="140" t="s">
        <v>443</v>
      </c>
      <c r="H31" s="132"/>
      <c r="I31" s="133"/>
    </row>
    <row r="32" spans="1:9" x14ac:dyDescent="0.25">
      <c r="A32" s="134" t="s">
        <v>50</v>
      </c>
      <c r="B32" s="135"/>
      <c r="C32" s="136"/>
      <c r="D32" s="141" t="s">
        <v>50</v>
      </c>
      <c r="E32" s="135"/>
      <c r="F32" s="136"/>
      <c r="G32" s="141" t="s">
        <v>50</v>
      </c>
      <c r="H32" s="135"/>
      <c r="I32" s="136"/>
    </row>
    <row r="33" spans="1:9" x14ac:dyDescent="0.25">
      <c r="A33" s="134" t="s">
        <v>50</v>
      </c>
      <c r="B33" s="135"/>
      <c r="C33" s="136"/>
      <c r="D33" s="141" t="s">
        <v>50</v>
      </c>
      <c r="E33" s="135"/>
      <c r="F33" s="136"/>
      <c r="G33" s="141" t="s">
        <v>50</v>
      </c>
      <c r="H33" s="135"/>
      <c r="I33" s="136"/>
    </row>
    <row r="34" spans="1:9" x14ac:dyDescent="0.25">
      <c r="A34" s="134" t="s">
        <v>50</v>
      </c>
      <c r="B34" s="135"/>
      <c r="C34" s="136"/>
      <c r="D34" s="141" t="s">
        <v>50</v>
      </c>
      <c r="E34" s="135"/>
      <c r="F34" s="136"/>
      <c r="G34" s="141" t="s">
        <v>50</v>
      </c>
      <c r="H34" s="135"/>
      <c r="I34" s="136"/>
    </row>
    <row r="35" spans="1:9" x14ac:dyDescent="0.25">
      <c r="A35" s="137" t="s">
        <v>444</v>
      </c>
      <c r="B35" s="138"/>
      <c r="C35" s="139"/>
      <c r="D35" s="142" t="s">
        <v>444</v>
      </c>
      <c r="E35" s="138"/>
      <c r="F35" s="139"/>
      <c r="G35" s="142" t="s">
        <v>444</v>
      </c>
      <c r="H35" s="138"/>
      <c r="I35" s="139"/>
    </row>
    <row r="36" spans="1:9" x14ac:dyDescent="0.25">
      <c r="A36" s="62" t="s">
        <v>393</v>
      </c>
    </row>
    <row r="37" spans="1:9" ht="12.75" customHeight="1" x14ac:dyDescent="0.25">
      <c r="A37" s="80" t="s">
        <v>50</v>
      </c>
      <c r="B37" s="75"/>
      <c r="C37" s="75"/>
      <c r="D37" s="75"/>
      <c r="E37" s="75"/>
      <c r="F37" s="75"/>
      <c r="G37" s="75"/>
      <c r="H37" s="75"/>
      <c r="I37" s="75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06" t="s">
        <v>445</v>
      </c>
      <c r="B1" s="71"/>
      <c r="C1" s="71"/>
      <c r="D1" s="71"/>
      <c r="E1" s="71"/>
      <c r="F1" s="71"/>
      <c r="G1" s="71"/>
      <c r="H1" s="71"/>
      <c r="I1" s="71"/>
    </row>
    <row r="2" spans="1:9" x14ac:dyDescent="0.25">
      <c r="A2" s="72" t="s">
        <v>1</v>
      </c>
      <c r="B2" s="73"/>
      <c r="C2" s="81" t="str">
        <f>'Stavební rozpočet'!C2</f>
        <v>Revitalizace náměstí U Dubu, Stochov</v>
      </c>
      <c r="D2" s="82"/>
      <c r="E2" s="79" t="s">
        <v>5</v>
      </c>
      <c r="F2" s="79" t="str">
        <f>'Stavební rozpočet'!I2</f>
        <v>Město Stochov</v>
      </c>
      <c r="G2" s="73"/>
      <c r="H2" s="79" t="s">
        <v>402</v>
      </c>
      <c r="I2" s="84" t="s">
        <v>50</v>
      </c>
    </row>
    <row r="3" spans="1:9" ht="15" customHeight="1" x14ac:dyDescent="0.25">
      <c r="A3" s="74"/>
      <c r="B3" s="75"/>
      <c r="C3" s="83"/>
      <c r="D3" s="83"/>
      <c r="E3" s="75"/>
      <c r="F3" s="75"/>
      <c r="G3" s="75"/>
      <c r="H3" s="75"/>
      <c r="I3" s="85"/>
    </row>
    <row r="4" spans="1:9" x14ac:dyDescent="0.25">
      <c r="A4" s="76" t="s">
        <v>7</v>
      </c>
      <c r="B4" s="75"/>
      <c r="C4" s="80" t="str">
        <f>'Stavební rozpočet'!C4</f>
        <v xml:space="preserve"> </v>
      </c>
      <c r="D4" s="75"/>
      <c r="E4" s="80" t="s">
        <v>9</v>
      </c>
      <c r="F4" s="80" t="str">
        <f>'Stavební rozpočet'!I4</f>
        <v>Ing.arch.Karel Albrecht</v>
      </c>
      <c r="G4" s="75"/>
      <c r="H4" s="80" t="s">
        <v>402</v>
      </c>
      <c r="I4" s="85" t="s">
        <v>50</v>
      </c>
    </row>
    <row r="5" spans="1:9" ht="15" customHeight="1" x14ac:dyDescent="0.25">
      <c r="A5" s="74"/>
      <c r="B5" s="75"/>
      <c r="C5" s="75"/>
      <c r="D5" s="75"/>
      <c r="E5" s="75"/>
      <c r="F5" s="75"/>
      <c r="G5" s="75"/>
      <c r="H5" s="75"/>
      <c r="I5" s="85"/>
    </row>
    <row r="6" spans="1:9" x14ac:dyDescent="0.25">
      <c r="A6" s="76" t="s">
        <v>11</v>
      </c>
      <c r="B6" s="75"/>
      <c r="C6" s="80" t="str">
        <f>'Stavební rozpočet'!C6</f>
        <v>nám.U Dubu, Parc.č. 808/1,4/1,2/2 k.ú.Stochov, město Stochov</v>
      </c>
      <c r="D6" s="75"/>
      <c r="E6" s="80" t="s">
        <v>14</v>
      </c>
      <c r="F6" s="80" t="str">
        <f>'Stavební rozpočet'!I6</f>
        <v>Dle výběrového řízení</v>
      </c>
      <c r="G6" s="75"/>
      <c r="H6" s="80" t="s">
        <v>402</v>
      </c>
      <c r="I6" s="85" t="s">
        <v>50</v>
      </c>
    </row>
    <row r="7" spans="1:9" ht="15" customHeight="1" x14ac:dyDescent="0.25">
      <c r="A7" s="74"/>
      <c r="B7" s="75"/>
      <c r="C7" s="75"/>
      <c r="D7" s="75"/>
      <c r="E7" s="75"/>
      <c r="F7" s="75"/>
      <c r="G7" s="75"/>
      <c r="H7" s="75"/>
      <c r="I7" s="85"/>
    </row>
    <row r="8" spans="1:9" x14ac:dyDescent="0.25">
      <c r="A8" s="76" t="s">
        <v>8</v>
      </c>
      <c r="B8" s="75"/>
      <c r="C8" s="80" t="str">
        <f>'Stavební rozpočet'!G4</f>
        <v xml:space="preserve"> </v>
      </c>
      <c r="D8" s="75"/>
      <c r="E8" s="80" t="s">
        <v>13</v>
      </c>
      <c r="F8" s="80" t="str">
        <f>'Stavební rozpočet'!G6</f>
        <v xml:space="preserve"> </v>
      </c>
      <c r="G8" s="75"/>
      <c r="H8" s="75" t="s">
        <v>403</v>
      </c>
      <c r="I8" s="108">
        <v>85</v>
      </c>
    </row>
    <row r="9" spans="1:9" x14ac:dyDescent="0.25">
      <c r="A9" s="74"/>
      <c r="B9" s="75"/>
      <c r="C9" s="75"/>
      <c r="D9" s="75"/>
      <c r="E9" s="75"/>
      <c r="F9" s="75"/>
      <c r="G9" s="75"/>
      <c r="H9" s="75"/>
      <c r="I9" s="85"/>
    </row>
    <row r="10" spans="1:9" x14ac:dyDescent="0.25">
      <c r="A10" s="76" t="s">
        <v>16</v>
      </c>
      <c r="B10" s="75"/>
      <c r="C10" s="80" t="str">
        <f>'Stavební rozpočet'!C8</f>
        <v xml:space="preserve"> </v>
      </c>
      <c r="D10" s="75"/>
      <c r="E10" s="80" t="s">
        <v>19</v>
      </c>
      <c r="F10" s="80" t="str">
        <f>'Stavební rozpočet'!I8</f>
        <v> </v>
      </c>
      <c r="G10" s="75"/>
      <c r="H10" s="75" t="s">
        <v>404</v>
      </c>
      <c r="I10" s="105" t="str">
        <f>'Stavební rozpočet'!G8</f>
        <v>03.09.2025</v>
      </c>
    </row>
    <row r="11" spans="1:9" x14ac:dyDescent="0.25">
      <c r="A11" s="107"/>
      <c r="B11" s="102"/>
      <c r="C11" s="102"/>
      <c r="D11" s="102"/>
      <c r="E11" s="102"/>
      <c r="F11" s="102"/>
      <c r="G11" s="102"/>
      <c r="H11" s="102"/>
      <c r="I11" s="109"/>
    </row>
    <row r="13" spans="1:9" ht="15.75" x14ac:dyDescent="0.25">
      <c r="A13" s="143" t="s">
        <v>446</v>
      </c>
      <c r="B13" s="143"/>
      <c r="C13" s="143"/>
      <c r="D13" s="143"/>
      <c r="E13" s="143"/>
    </row>
    <row r="14" spans="1:9" x14ac:dyDescent="0.25">
      <c r="A14" s="144" t="s">
        <v>447</v>
      </c>
      <c r="B14" s="145"/>
      <c r="C14" s="145"/>
      <c r="D14" s="145"/>
      <c r="E14" s="146"/>
      <c r="F14" s="63" t="s">
        <v>448</v>
      </c>
      <c r="G14" s="63" t="s">
        <v>449</v>
      </c>
      <c r="H14" s="63" t="s">
        <v>450</v>
      </c>
      <c r="I14" s="63" t="s">
        <v>448</v>
      </c>
    </row>
    <row r="15" spans="1:9" x14ac:dyDescent="0.25">
      <c r="A15" s="147" t="s">
        <v>414</v>
      </c>
      <c r="B15" s="148"/>
      <c r="C15" s="148"/>
      <c r="D15" s="148"/>
      <c r="E15" s="149"/>
      <c r="F15" s="64">
        <v>0</v>
      </c>
      <c r="G15" s="65" t="s">
        <v>50</v>
      </c>
      <c r="H15" s="65" t="s">
        <v>50</v>
      </c>
      <c r="I15" s="64">
        <f>F15</f>
        <v>0</v>
      </c>
    </row>
    <row r="16" spans="1:9" x14ac:dyDescent="0.25">
      <c r="A16" s="147" t="s">
        <v>416</v>
      </c>
      <c r="B16" s="148"/>
      <c r="C16" s="148"/>
      <c r="D16" s="148"/>
      <c r="E16" s="149"/>
      <c r="F16" s="64">
        <v>0</v>
      </c>
      <c r="G16" s="65" t="s">
        <v>50</v>
      </c>
      <c r="H16" s="65" t="s">
        <v>50</v>
      </c>
      <c r="I16" s="64">
        <f>F16</f>
        <v>0</v>
      </c>
    </row>
    <row r="17" spans="1:9" x14ac:dyDescent="0.25">
      <c r="A17" s="150" t="s">
        <v>419</v>
      </c>
      <c r="B17" s="151"/>
      <c r="C17" s="151"/>
      <c r="D17" s="151"/>
      <c r="E17" s="152"/>
      <c r="F17" s="66">
        <v>0</v>
      </c>
      <c r="G17" s="67" t="s">
        <v>50</v>
      </c>
      <c r="H17" s="67" t="s">
        <v>50</v>
      </c>
      <c r="I17" s="66">
        <f>F17</f>
        <v>0</v>
      </c>
    </row>
    <row r="18" spans="1:9" x14ac:dyDescent="0.25">
      <c r="A18" s="153" t="s">
        <v>451</v>
      </c>
      <c r="B18" s="154"/>
      <c r="C18" s="154"/>
      <c r="D18" s="154"/>
      <c r="E18" s="155"/>
      <c r="F18" s="68" t="s">
        <v>50</v>
      </c>
      <c r="G18" s="69" t="s">
        <v>50</v>
      </c>
      <c r="H18" s="69" t="s">
        <v>50</v>
      </c>
      <c r="I18" s="70">
        <f>SUM(I15:I17)</f>
        <v>0</v>
      </c>
    </row>
    <row r="20" spans="1:9" x14ac:dyDescent="0.25">
      <c r="A20" s="144" t="s">
        <v>411</v>
      </c>
      <c r="B20" s="145"/>
      <c r="C20" s="145"/>
      <c r="D20" s="145"/>
      <c r="E20" s="146"/>
      <c r="F20" s="63" t="s">
        <v>448</v>
      </c>
      <c r="G20" s="63" t="s">
        <v>449</v>
      </c>
      <c r="H20" s="63" t="s">
        <v>450</v>
      </c>
      <c r="I20" s="63" t="s">
        <v>448</v>
      </c>
    </row>
    <row r="21" spans="1:9" x14ac:dyDescent="0.25">
      <c r="A21" s="147" t="s">
        <v>415</v>
      </c>
      <c r="B21" s="148"/>
      <c r="C21" s="148"/>
      <c r="D21" s="148"/>
      <c r="E21" s="149"/>
      <c r="F21" s="64">
        <v>0</v>
      </c>
      <c r="G21" s="65" t="s">
        <v>50</v>
      </c>
      <c r="H21" s="65" t="s">
        <v>50</v>
      </c>
      <c r="I21" s="64">
        <f t="shared" ref="I21:I26" si="0">F21</f>
        <v>0</v>
      </c>
    </row>
    <row r="22" spans="1:9" x14ac:dyDescent="0.25">
      <c r="A22" s="147" t="s">
        <v>417</v>
      </c>
      <c r="B22" s="148"/>
      <c r="C22" s="148"/>
      <c r="D22" s="148"/>
      <c r="E22" s="149"/>
      <c r="F22" s="64">
        <v>0</v>
      </c>
      <c r="G22" s="65" t="s">
        <v>50</v>
      </c>
      <c r="H22" s="65" t="s">
        <v>50</v>
      </c>
      <c r="I22" s="64">
        <f t="shared" si="0"/>
        <v>0</v>
      </c>
    </row>
    <row r="23" spans="1:9" x14ac:dyDescent="0.25">
      <c r="A23" s="147" t="s">
        <v>420</v>
      </c>
      <c r="B23" s="148"/>
      <c r="C23" s="148"/>
      <c r="D23" s="148"/>
      <c r="E23" s="149"/>
      <c r="F23" s="64">
        <v>0</v>
      </c>
      <c r="G23" s="65" t="s">
        <v>50</v>
      </c>
      <c r="H23" s="65" t="s">
        <v>50</v>
      </c>
      <c r="I23" s="64">
        <f t="shared" si="0"/>
        <v>0</v>
      </c>
    </row>
    <row r="24" spans="1:9" x14ac:dyDescent="0.25">
      <c r="A24" s="147" t="s">
        <v>421</v>
      </c>
      <c r="B24" s="148"/>
      <c r="C24" s="148"/>
      <c r="D24" s="148"/>
      <c r="E24" s="149"/>
      <c r="F24" s="64">
        <v>0</v>
      </c>
      <c r="G24" s="65" t="s">
        <v>50</v>
      </c>
      <c r="H24" s="65" t="s">
        <v>50</v>
      </c>
      <c r="I24" s="64">
        <f t="shared" si="0"/>
        <v>0</v>
      </c>
    </row>
    <row r="25" spans="1:9" x14ac:dyDescent="0.25">
      <c r="A25" s="147" t="s">
        <v>423</v>
      </c>
      <c r="B25" s="148"/>
      <c r="C25" s="148"/>
      <c r="D25" s="148"/>
      <c r="E25" s="149"/>
      <c r="F25" s="64">
        <v>0</v>
      </c>
      <c r="G25" s="65" t="s">
        <v>50</v>
      </c>
      <c r="H25" s="65" t="s">
        <v>50</v>
      </c>
      <c r="I25" s="64">
        <f t="shared" si="0"/>
        <v>0</v>
      </c>
    </row>
    <row r="26" spans="1:9" x14ac:dyDescent="0.25">
      <c r="A26" s="150" t="s">
        <v>424</v>
      </c>
      <c r="B26" s="151"/>
      <c r="C26" s="151"/>
      <c r="D26" s="151"/>
      <c r="E26" s="152"/>
      <c r="F26" s="66">
        <v>0</v>
      </c>
      <c r="G26" s="67" t="s">
        <v>50</v>
      </c>
      <c r="H26" s="67" t="s">
        <v>50</v>
      </c>
      <c r="I26" s="66">
        <f t="shared" si="0"/>
        <v>0</v>
      </c>
    </row>
    <row r="27" spans="1:9" x14ac:dyDescent="0.25">
      <c r="A27" s="153" t="s">
        <v>452</v>
      </c>
      <c r="B27" s="154"/>
      <c r="C27" s="154"/>
      <c r="D27" s="154"/>
      <c r="E27" s="155"/>
      <c r="F27" s="68" t="s">
        <v>50</v>
      </c>
      <c r="G27" s="70">
        <v>5</v>
      </c>
      <c r="H27" s="70">
        <f>'Krycí list rozpočtu'!C22</f>
        <v>0</v>
      </c>
      <c r="I27" s="70">
        <f>ROUND((G27/100)*H27,2)</f>
        <v>0</v>
      </c>
    </row>
    <row r="29" spans="1:9" ht="15.75" x14ac:dyDescent="0.25">
      <c r="A29" s="156" t="s">
        <v>453</v>
      </c>
      <c r="B29" s="157"/>
      <c r="C29" s="157"/>
      <c r="D29" s="157"/>
      <c r="E29" s="158"/>
      <c r="F29" s="159">
        <f>I18+I27</f>
        <v>0</v>
      </c>
      <c r="G29" s="160"/>
      <c r="H29" s="160"/>
      <c r="I29" s="161"/>
    </row>
    <row r="33" spans="1:9" ht="15.75" x14ac:dyDescent="0.25">
      <c r="A33" s="143" t="s">
        <v>454</v>
      </c>
      <c r="B33" s="143"/>
      <c r="C33" s="143"/>
      <c r="D33" s="143"/>
      <c r="E33" s="143"/>
    </row>
    <row r="34" spans="1:9" x14ac:dyDescent="0.25">
      <c r="A34" s="144" t="s">
        <v>455</v>
      </c>
      <c r="B34" s="145"/>
      <c r="C34" s="145"/>
      <c r="D34" s="145"/>
      <c r="E34" s="146"/>
      <c r="F34" s="63" t="s">
        <v>448</v>
      </c>
      <c r="G34" s="63" t="s">
        <v>449</v>
      </c>
      <c r="H34" s="63" t="s">
        <v>450</v>
      </c>
      <c r="I34" s="63" t="s">
        <v>448</v>
      </c>
    </row>
    <row r="35" spans="1:9" x14ac:dyDescent="0.25">
      <c r="A35" s="150" t="s">
        <v>50</v>
      </c>
      <c r="B35" s="151"/>
      <c r="C35" s="151"/>
      <c r="D35" s="151"/>
      <c r="E35" s="152"/>
      <c r="F35" s="66">
        <v>0</v>
      </c>
      <c r="G35" s="67" t="s">
        <v>50</v>
      </c>
      <c r="H35" s="67" t="s">
        <v>50</v>
      </c>
      <c r="I35" s="66">
        <f>F35</f>
        <v>0</v>
      </c>
    </row>
    <row r="36" spans="1:9" x14ac:dyDescent="0.25">
      <c r="A36" s="153" t="s">
        <v>456</v>
      </c>
      <c r="B36" s="154"/>
      <c r="C36" s="154"/>
      <c r="D36" s="154"/>
      <c r="E36" s="155"/>
      <c r="F36" s="68" t="s">
        <v>50</v>
      </c>
      <c r="G36" s="69" t="s">
        <v>50</v>
      </c>
      <c r="H36" s="69" t="s">
        <v>50</v>
      </c>
      <c r="I36" s="70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Stavební rozpočet - součet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Plicka</cp:lastModifiedBy>
  <dcterms:created xsi:type="dcterms:W3CDTF">2021-06-10T20:06:38Z</dcterms:created>
  <dcterms:modified xsi:type="dcterms:W3CDTF">2025-09-08T10:20:55Z</dcterms:modified>
</cp:coreProperties>
</file>