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ARIPROS\Stochov_město\Technické_služby_Stochov\Reko_TS_šatny\"/>
    </mc:Choice>
  </mc:AlternateContent>
  <xr:revisionPtr revIDLastSave="0" documentId="13_ncr:1_{D9D66AF0-A4AD-4EB9-8C23-A6FE90735C84}" xr6:coauthVersionLast="47" xr6:coauthVersionMax="47" xr10:uidLastSave="{00000000-0000-0000-0000-000000000000}"/>
  <bookViews>
    <workbookView xWindow="-120" yWindow="-120" windowWidth="51840" windowHeight="21120" activeTab="2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VORN!$I$36</definedName>
  </definedNames>
  <calcPr calcId="191029"/>
</workbook>
</file>

<file path=xl/calcChain.xml><?xml version="1.0" encoding="utf-8"?>
<calcChain xmlns="http://schemas.openxmlformats.org/spreadsheetml/2006/main">
  <c r="I36" i="4" l="1"/>
  <c r="I35" i="4"/>
  <c r="I26" i="4"/>
  <c r="I25" i="4"/>
  <c r="I24" i="4"/>
  <c r="I17" i="3" s="1"/>
  <c r="I23" i="4"/>
  <c r="I16" i="3" s="1"/>
  <c r="I22" i="4"/>
  <c r="I21" i="4"/>
  <c r="I17" i="4"/>
  <c r="I18" i="4" s="1"/>
  <c r="I16" i="4"/>
  <c r="I15" i="4"/>
  <c r="I10" i="4"/>
  <c r="F10" i="4"/>
  <c r="C10" i="4"/>
  <c r="F8" i="4"/>
  <c r="C8" i="4"/>
  <c r="F6" i="4"/>
  <c r="C6" i="4"/>
  <c r="F4" i="4"/>
  <c r="C4" i="4"/>
  <c r="F2" i="4"/>
  <c r="C2" i="4"/>
  <c r="I24" i="3"/>
  <c r="I19" i="3"/>
  <c r="F16" i="3"/>
  <c r="F15" i="3"/>
  <c r="F14" i="3"/>
  <c r="F22" i="3" s="1"/>
  <c r="C10" i="3"/>
  <c r="F6" i="3"/>
  <c r="C6" i="3"/>
  <c r="F4" i="3"/>
  <c r="C4" i="3"/>
  <c r="F2" i="3"/>
  <c r="C2" i="3"/>
  <c r="G6" i="2"/>
  <c r="C6" i="2"/>
  <c r="G4" i="2"/>
  <c r="C4" i="2"/>
  <c r="G2" i="2"/>
  <c r="C2" i="2"/>
  <c r="BW647" i="1"/>
  <c r="BJ647" i="1"/>
  <c r="BD647" i="1"/>
  <c r="AP647" i="1"/>
  <c r="AO647" i="1"/>
  <c r="AK647" i="1"/>
  <c r="AJ647" i="1"/>
  <c r="AH647" i="1"/>
  <c r="AG647" i="1"/>
  <c r="AF647" i="1"/>
  <c r="AE647" i="1"/>
  <c r="AD647" i="1"/>
  <c r="AC647" i="1"/>
  <c r="AB647" i="1"/>
  <c r="Z647" i="1"/>
  <c r="P647" i="1"/>
  <c r="BF647" i="1" s="1"/>
  <c r="L647" i="1"/>
  <c r="M647" i="1" s="1"/>
  <c r="BW646" i="1"/>
  <c r="BJ646" i="1"/>
  <c r="Z646" i="1" s="1"/>
  <c r="BD646" i="1"/>
  <c r="AP646" i="1"/>
  <c r="BI646" i="1" s="1"/>
  <c r="AO646" i="1"/>
  <c r="AW646" i="1" s="1"/>
  <c r="AK646" i="1"/>
  <c r="AJ646" i="1"/>
  <c r="AH646" i="1"/>
  <c r="AG646" i="1"/>
  <c r="AF646" i="1"/>
  <c r="AE646" i="1"/>
  <c r="AD646" i="1"/>
  <c r="AC646" i="1"/>
  <c r="AB646" i="1"/>
  <c r="P646" i="1"/>
  <c r="BF646" i="1" s="1"/>
  <c r="L646" i="1"/>
  <c r="K646" i="1"/>
  <c r="BW644" i="1"/>
  <c r="BJ644" i="1"/>
  <c r="Z644" i="1" s="1"/>
  <c r="BD644" i="1"/>
  <c r="AP644" i="1"/>
  <c r="AO644" i="1"/>
  <c r="AK644" i="1"/>
  <c r="AJ644" i="1"/>
  <c r="AH644" i="1"/>
  <c r="AG644" i="1"/>
  <c r="AF644" i="1"/>
  <c r="AE644" i="1"/>
  <c r="AD644" i="1"/>
  <c r="AC644" i="1"/>
  <c r="AB644" i="1"/>
  <c r="P644" i="1"/>
  <c r="BF644" i="1" s="1"/>
  <c r="L644" i="1"/>
  <c r="AL644" i="1" s="1"/>
  <c r="BW643" i="1"/>
  <c r="BJ643" i="1"/>
  <c r="Z643" i="1" s="1"/>
  <c r="BD643" i="1"/>
  <c r="AP643" i="1"/>
  <c r="BI643" i="1" s="1"/>
  <c r="AO643" i="1"/>
  <c r="BH643" i="1" s="1"/>
  <c r="AK643" i="1"/>
  <c r="AJ643" i="1"/>
  <c r="AH643" i="1"/>
  <c r="AG643" i="1"/>
  <c r="AF643" i="1"/>
  <c r="AE643" i="1"/>
  <c r="AD643" i="1"/>
  <c r="AC643" i="1"/>
  <c r="AB643" i="1"/>
  <c r="P643" i="1"/>
  <c r="BF643" i="1" s="1"/>
  <c r="L643" i="1"/>
  <c r="AL643" i="1" s="1"/>
  <c r="BW642" i="1"/>
  <c r="BJ642" i="1"/>
  <c r="Z642" i="1" s="1"/>
  <c r="BD642" i="1"/>
  <c r="AP642" i="1"/>
  <c r="BI642" i="1" s="1"/>
  <c r="AO642" i="1"/>
  <c r="BH642" i="1" s="1"/>
  <c r="AK642" i="1"/>
  <c r="AJ642" i="1"/>
  <c r="AH642" i="1"/>
  <c r="AG642" i="1"/>
  <c r="AF642" i="1"/>
  <c r="AE642" i="1"/>
  <c r="AD642" i="1"/>
  <c r="AC642" i="1"/>
  <c r="AB642" i="1"/>
  <c r="P642" i="1"/>
  <c r="L642" i="1"/>
  <c r="AL642" i="1" s="1"/>
  <c r="BW641" i="1"/>
  <c r="BJ641" i="1"/>
  <c r="Z641" i="1" s="1"/>
  <c r="BD641" i="1"/>
  <c r="AP641" i="1"/>
  <c r="AO641" i="1"/>
  <c r="BH641" i="1" s="1"/>
  <c r="AK641" i="1"/>
  <c r="AJ641" i="1"/>
  <c r="AH641" i="1"/>
  <c r="AG641" i="1"/>
  <c r="AF641" i="1"/>
  <c r="AE641" i="1"/>
  <c r="AD641" i="1"/>
  <c r="AC641" i="1"/>
  <c r="AB641" i="1"/>
  <c r="P641" i="1"/>
  <c r="BF641" i="1" s="1"/>
  <c r="L641" i="1"/>
  <c r="BW640" i="1"/>
  <c r="BJ640" i="1"/>
  <c r="Z640" i="1" s="1"/>
  <c r="BD640" i="1"/>
  <c r="AP640" i="1"/>
  <c r="AX640" i="1" s="1"/>
  <c r="AO640" i="1"/>
  <c r="BH640" i="1" s="1"/>
  <c r="AK640" i="1"/>
  <c r="AJ640" i="1"/>
  <c r="AH640" i="1"/>
  <c r="AG640" i="1"/>
  <c r="AF640" i="1"/>
  <c r="AE640" i="1"/>
  <c r="AD640" i="1"/>
  <c r="AC640" i="1"/>
  <c r="AB640" i="1"/>
  <c r="P640" i="1"/>
  <c r="BF640" i="1" s="1"/>
  <c r="L640" i="1"/>
  <c r="BW637" i="1"/>
  <c r="BJ637" i="1"/>
  <c r="Z637" i="1" s="1"/>
  <c r="BD637" i="1"/>
  <c r="AP637" i="1"/>
  <c r="K637" i="1" s="1"/>
  <c r="AO637" i="1"/>
  <c r="BH637" i="1" s="1"/>
  <c r="AK637" i="1"/>
  <c r="AJ637" i="1"/>
  <c r="AH637" i="1"/>
  <c r="AG637" i="1"/>
  <c r="AF637" i="1"/>
  <c r="AE637" i="1"/>
  <c r="AD637" i="1"/>
  <c r="AC637" i="1"/>
  <c r="AB637" i="1"/>
  <c r="P637" i="1"/>
  <c r="BF637" i="1" s="1"/>
  <c r="L637" i="1"/>
  <c r="M637" i="1" s="1"/>
  <c r="BW636" i="1"/>
  <c r="BJ636" i="1"/>
  <c r="Z636" i="1" s="1"/>
  <c r="BD636" i="1"/>
  <c r="AP636" i="1"/>
  <c r="AX636" i="1" s="1"/>
  <c r="AO636" i="1"/>
  <c r="AK636" i="1"/>
  <c r="AJ636" i="1"/>
  <c r="AH636" i="1"/>
  <c r="AG636" i="1"/>
  <c r="AF636" i="1"/>
  <c r="AE636" i="1"/>
  <c r="AD636" i="1"/>
  <c r="AC636" i="1"/>
  <c r="AB636" i="1"/>
  <c r="P636" i="1"/>
  <c r="BF636" i="1" s="1"/>
  <c r="L636" i="1"/>
  <c r="BW634" i="1"/>
  <c r="BJ634" i="1"/>
  <c r="BD634" i="1"/>
  <c r="AP634" i="1"/>
  <c r="AX634" i="1" s="1"/>
  <c r="AO634" i="1"/>
  <c r="AK634" i="1"/>
  <c r="AJ634" i="1"/>
  <c r="AH634" i="1"/>
  <c r="AE634" i="1"/>
  <c r="AD634" i="1"/>
  <c r="AC634" i="1"/>
  <c r="AB634" i="1"/>
  <c r="Z634" i="1"/>
  <c r="P634" i="1"/>
  <c r="BF634" i="1" s="1"/>
  <c r="L634" i="1"/>
  <c r="BW632" i="1"/>
  <c r="BJ632" i="1"/>
  <c r="BD632" i="1"/>
  <c r="AP632" i="1"/>
  <c r="BI632" i="1" s="1"/>
  <c r="AG632" i="1" s="1"/>
  <c r="AO632" i="1"/>
  <c r="BH632" i="1" s="1"/>
  <c r="AF632" i="1" s="1"/>
  <c r="AK632" i="1"/>
  <c r="AJ632" i="1"/>
  <c r="AH632" i="1"/>
  <c r="AE632" i="1"/>
  <c r="AD632" i="1"/>
  <c r="AC632" i="1"/>
  <c r="AB632" i="1"/>
  <c r="Z632" i="1"/>
  <c r="P632" i="1"/>
  <c r="BF632" i="1" s="1"/>
  <c r="L632" i="1"/>
  <c r="AL632" i="1" s="1"/>
  <c r="BW630" i="1"/>
  <c r="BJ630" i="1"/>
  <c r="BD630" i="1"/>
  <c r="AP630" i="1"/>
  <c r="AX630" i="1" s="1"/>
  <c r="AO630" i="1"/>
  <c r="AW630" i="1" s="1"/>
  <c r="AK630" i="1"/>
  <c r="AJ630" i="1"/>
  <c r="AH630" i="1"/>
  <c r="AE630" i="1"/>
  <c r="AD630" i="1"/>
  <c r="AC630" i="1"/>
  <c r="AB630" i="1"/>
  <c r="Z630" i="1"/>
  <c r="P630" i="1"/>
  <c r="BF630" i="1" s="1"/>
  <c r="L630" i="1"/>
  <c r="M630" i="1" s="1"/>
  <c r="BW628" i="1"/>
  <c r="BJ628" i="1"/>
  <c r="BD628" i="1"/>
  <c r="AP628" i="1"/>
  <c r="AX628" i="1" s="1"/>
  <c r="AO628" i="1"/>
  <c r="AW628" i="1" s="1"/>
  <c r="AK628" i="1"/>
  <c r="AJ628" i="1"/>
  <c r="AH628" i="1"/>
  <c r="AE628" i="1"/>
  <c r="AD628" i="1"/>
  <c r="AC628" i="1"/>
  <c r="AB628" i="1"/>
  <c r="Z628" i="1"/>
  <c r="P628" i="1"/>
  <c r="BF628" i="1" s="1"/>
  <c r="L628" i="1"/>
  <c r="M628" i="1" s="1"/>
  <c r="BW626" i="1"/>
  <c r="BJ626" i="1"/>
  <c r="BD626" i="1"/>
  <c r="AP626" i="1"/>
  <c r="BI626" i="1" s="1"/>
  <c r="AG626" i="1" s="1"/>
  <c r="AO626" i="1"/>
  <c r="BH626" i="1" s="1"/>
  <c r="AF626" i="1" s="1"/>
  <c r="AK626" i="1"/>
  <c r="AJ626" i="1"/>
  <c r="AH626" i="1"/>
  <c r="AE626" i="1"/>
  <c r="AD626" i="1"/>
  <c r="AC626" i="1"/>
  <c r="AB626" i="1"/>
  <c r="Z626" i="1"/>
  <c r="P626" i="1"/>
  <c r="BF626" i="1" s="1"/>
  <c r="L626" i="1"/>
  <c r="J626" i="1"/>
  <c r="BW624" i="1"/>
  <c r="BJ624" i="1"/>
  <c r="BD624" i="1"/>
  <c r="AP624" i="1"/>
  <c r="AO624" i="1"/>
  <c r="AK624" i="1"/>
  <c r="AJ624" i="1"/>
  <c r="AH624" i="1"/>
  <c r="AE624" i="1"/>
  <c r="AD624" i="1"/>
  <c r="AC624" i="1"/>
  <c r="AB624" i="1"/>
  <c r="Z624" i="1"/>
  <c r="P624" i="1"/>
  <c r="BF624" i="1" s="1"/>
  <c r="L624" i="1"/>
  <c r="AL624" i="1" s="1"/>
  <c r="BW622" i="1"/>
  <c r="BJ622" i="1"/>
  <c r="BD622" i="1"/>
  <c r="AP622" i="1"/>
  <c r="BI622" i="1" s="1"/>
  <c r="AG622" i="1" s="1"/>
  <c r="AO622" i="1"/>
  <c r="BH622" i="1" s="1"/>
  <c r="AF622" i="1" s="1"/>
  <c r="AK622" i="1"/>
  <c r="AJ622" i="1"/>
  <c r="AH622" i="1"/>
  <c r="AE622" i="1"/>
  <c r="AD622" i="1"/>
  <c r="AC622" i="1"/>
  <c r="AB622" i="1"/>
  <c r="Z622" i="1"/>
  <c r="P622" i="1"/>
  <c r="BF622" i="1" s="1"/>
  <c r="L622" i="1"/>
  <c r="BW620" i="1"/>
  <c r="BJ620" i="1"/>
  <c r="BD620" i="1"/>
  <c r="AP620" i="1"/>
  <c r="AX620" i="1" s="1"/>
  <c r="AO620" i="1"/>
  <c r="AK620" i="1"/>
  <c r="AJ620" i="1"/>
  <c r="AH620" i="1"/>
  <c r="AE620" i="1"/>
  <c r="AD620" i="1"/>
  <c r="AC620" i="1"/>
  <c r="AB620" i="1"/>
  <c r="Z620" i="1"/>
  <c r="P620" i="1"/>
  <c r="BF620" i="1" s="1"/>
  <c r="L620" i="1"/>
  <c r="BW617" i="1"/>
  <c r="M617" i="1" s="1"/>
  <c r="BJ617" i="1"/>
  <c r="BD617" i="1"/>
  <c r="AP617" i="1"/>
  <c r="BI617" i="1" s="1"/>
  <c r="AC617" i="1" s="1"/>
  <c r="AO617" i="1"/>
  <c r="BH617" i="1" s="1"/>
  <c r="AB617" i="1" s="1"/>
  <c r="AK617" i="1"/>
  <c r="AJ617" i="1"/>
  <c r="AH617" i="1"/>
  <c r="AG617" i="1"/>
  <c r="AF617" i="1"/>
  <c r="AE617" i="1"/>
  <c r="AD617" i="1"/>
  <c r="Z617" i="1"/>
  <c r="P617" i="1"/>
  <c r="BF617" i="1" s="1"/>
  <c r="L617" i="1"/>
  <c r="AL617" i="1" s="1"/>
  <c r="BW615" i="1"/>
  <c r="BJ615" i="1"/>
  <c r="BD615" i="1"/>
  <c r="AP615" i="1"/>
  <c r="AO615" i="1"/>
  <c r="BH615" i="1" s="1"/>
  <c r="AF615" i="1" s="1"/>
  <c r="AK615" i="1"/>
  <c r="AJ615" i="1"/>
  <c r="AH615" i="1"/>
  <c r="AE615" i="1"/>
  <c r="AD615" i="1"/>
  <c r="AC615" i="1"/>
  <c r="AB615" i="1"/>
  <c r="Z615" i="1"/>
  <c r="P615" i="1"/>
  <c r="BF615" i="1" s="1"/>
  <c r="L615" i="1"/>
  <c r="AL615" i="1" s="1"/>
  <c r="BW613" i="1"/>
  <c r="BJ613" i="1"/>
  <c r="BD613" i="1"/>
  <c r="AP613" i="1"/>
  <c r="AX613" i="1" s="1"/>
  <c r="AO613" i="1"/>
  <c r="AK613" i="1"/>
  <c r="AJ613" i="1"/>
  <c r="AH613" i="1"/>
  <c r="AE613" i="1"/>
  <c r="AD613" i="1"/>
  <c r="AC613" i="1"/>
  <c r="AB613" i="1"/>
  <c r="Z613" i="1"/>
  <c r="P613" i="1"/>
  <c r="BF613" i="1" s="1"/>
  <c r="L613" i="1"/>
  <c r="BW611" i="1"/>
  <c r="BJ611" i="1"/>
  <c r="BD611" i="1"/>
  <c r="AP611" i="1"/>
  <c r="AX611" i="1" s="1"/>
  <c r="AO611" i="1"/>
  <c r="BH611" i="1" s="1"/>
  <c r="AF611" i="1" s="1"/>
  <c r="AK611" i="1"/>
  <c r="AJ611" i="1"/>
  <c r="AH611" i="1"/>
  <c r="AE611" i="1"/>
  <c r="AD611" i="1"/>
  <c r="AC611" i="1"/>
  <c r="AB611" i="1"/>
  <c r="Z611" i="1"/>
  <c r="P611" i="1"/>
  <c r="BF611" i="1" s="1"/>
  <c r="L611" i="1"/>
  <c r="M611" i="1" s="1"/>
  <c r="BW609" i="1"/>
  <c r="BJ609" i="1"/>
  <c r="BD609" i="1"/>
  <c r="AP609" i="1"/>
  <c r="AO609" i="1"/>
  <c r="BH609" i="1" s="1"/>
  <c r="AF609" i="1" s="1"/>
  <c r="AK609" i="1"/>
  <c r="AJ609" i="1"/>
  <c r="AH609" i="1"/>
  <c r="AE609" i="1"/>
  <c r="AD609" i="1"/>
  <c r="AC609" i="1"/>
  <c r="AB609" i="1"/>
  <c r="Z609" i="1"/>
  <c r="P609" i="1"/>
  <c r="BF609" i="1" s="1"/>
  <c r="L609" i="1"/>
  <c r="AL609" i="1" s="1"/>
  <c r="BW608" i="1"/>
  <c r="BJ608" i="1"/>
  <c r="BD608" i="1"/>
  <c r="AP608" i="1"/>
  <c r="BI608" i="1" s="1"/>
  <c r="AG608" i="1" s="1"/>
  <c r="AO608" i="1"/>
  <c r="AK608" i="1"/>
  <c r="AJ608" i="1"/>
  <c r="AH608" i="1"/>
  <c r="AE608" i="1"/>
  <c r="AD608" i="1"/>
  <c r="AC608" i="1"/>
  <c r="AB608" i="1"/>
  <c r="Z608" i="1"/>
  <c r="P608" i="1"/>
  <c r="BF608" i="1" s="1"/>
  <c r="L608" i="1"/>
  <c r="AL608" i="1" s="1"/>
  <c r="BW606" i="1"/>
  <c r="BJ606" i="1"/>
  <c r="BD606" i="1"/>
  <c r="AP606" i="1"/>
  <c r="AO606" i="1"/>
  <c r="AW606" i="1" s="1"/>
  <c r="AK606" i="1"/>
  <c r="AJ606" i="1"/>
  <c r="AH606" i="1"/>
  <c r="AE606" i="1"/>
  <c r="AD606" i="1"/>
  <c r="AC606" i="1"/>
  <c r="AB606" i="1"/>
  <c r="Z606" i="1"/>
  <c r="P606" i="1"/>
  <c r="BF606" i="1" s="1"/>
  <c r="L606" i="1"/>
  <c r="BW604" i="1"/>
  <c r="BJ604" i="1"/>
  <c r="BD604" i="1"/>
  <c r="AP604" i="1"/>
  <c r="BI604" i="1" s="1"/>
  <c r="AG604" i="1" s="1"/>
  <c r="AO604" i="1"/>
  <c r="BH604" i="1" s="1"/>
  <c r="AF604" i="1" s="1"/>
  <c r="AK604" i="1"/>
  <c r="AJ604" i="1"/>
  <c r="AH604" i="1"/>
  <c r="AE604" i="1"/>
  <c r="AD604" i="1"/>
  <c r="AC604" i="1"/>
  <c r="AB604" i="1"/>
  <c r="Z604" i="1"/>
  <c r="P604" i="1"/>
  <c r="BF604" i="1" s="1"/>
  <c r="L604" i="1"/>
  <c r="AL604" i="1" s="1"/>
  <c r="BW602" i="1"/>
  <c r="BJ602" i="1"/>
  <c r="BD602" i="1"/>
  <c r="AP602" i="1"/>
  <c r="AX602" i="1" s="1"/>
  <c r="AO602" i="1"/>
  <c r="AW602" i="1" s="1"/>
  <c r="AK602" i="1"/>
  <c r="AJ602" i="1"/>
  <c r="AH602" i="1"/>
  <c r="AE602" i="1"/>
  <c r="AD602" i="1"/>
  <c r="AC602" i="1"/>
  <c r="AB602" i="1"/>
  <c r="Z602" i="1"/>
  <c r="P602" i="1"/>
  <c r="BF602" i="1" s="1"/>
  <c r="L602" i="1"/>
  <c r="AL602" i="1" s="1"/>
  <c r="BW600" i="1"/>
  <c r="BJ600" i="1"/>
  <c r="BD600" i="1"/>
  <c r="AW600" i="1"/>
  <c r="AP600" i="1"/>
  <c r="AO600" i="1"/>
  <c r="BH600" i="1" s="1"/>
  <c r="AF600" i="1" s="1"/>
  <c r="AK600" i="1"/>
  <c r="AJ600" i="1"/>
  <c r="AH600" i="1"/>
  <c r="AE600" i="1"/>
  <c r="AD600" i="1"/>
  <c r="AC600" i="1"/>
  <c r="AB600" i="1"/>
  <c r="Z600" i="1"/>
  <c r="P600" i="1"/>
  <c r="BF600" i="1" s="1"/>
  <c r="L600" i="1"/>
  <c r="AL600" i="1" s="1"/>
  <c r="BW598" i="1"/>
  <c r="BJ598" i="1"/>
  <c r="BI598" i="1"/>
  <c r="AG598" i="1" s="1"/>
  <c r="BD598" i="1"/>
  <c r="AP598" i="1"/>
  <c r="AX598" i="1" s="1"/>
  <c r="AO598" i="1"/>
  <c r="BH598" i="1" s="1"/>
  <c r="AF598" i="1" s="1"/>
  <c r="AK598" i="1"/>
  <c r="AJ598" i="1"/>
  <c r="AH598" i="1"/>
  <c r="AE598" i="1"/>
  <c r="AD598" i="1"/>
  <c r="AC598" i="1"/>
  <c r="AB598" i="1"/>
  <c r="Z598" i="1"/>
  <c r="P598" i="1"/>
  <c r="BF598" i="1" s="1"/>
  <c r="L598" i="1"/>
  <c r="K598" i="1"/>
  <c r="BW596" i="1"/>
  <c r="BJ596" i="1"/>
  <c r="BD596" i="1"/>
  <c r="AP596" i="1"/>
  <c r="AX596" i="1" s="1"/>
  <c r="AO596" i="1"/>
  <c r="AW596" i="1" s="1"/>
  <c r="AK596" i="1"/>
  <c r="AJ596" i="1"/>
  <c r="AH596" i="1"/>
  <c r="AE596" i="1"/>
  <c r="AD596" i="1"/>
  <c r="AC596" i="1"/>
  <c r="AB596" i="1"/>
  <c r="Z596" i="1"/>
  <c r="P596" i="1"/>
  <c r="BF596" i="1" s="1"/>
  <c r="L596" i="1"/>
  <c r="M596" i="1" s="1"/>
  <c r="BW595" i="1"/>
  <c r="BJ595" i="1"/>
  <c r="BD595" i="1"/>
  <c r="AP595" i="1"/>
  <c r="BI595" i="1" s="1"/>
  <c r="AG595" i="1" s="1"/>
  <c r="AO595" i="1"/>
  <c r="BH595" i="1" s="1"/>
  <c r="AK595" i="1"/>
  <c r="AJ595" i="1"/>
  <c r="AH595" i="1"/>
  <c r="AF595" i="1"/>
  <c r="AE595" i="1"/>
  <c r="AD595" i="1"/>
  <c r="AC595" i="1"/>
  <c r="AB595" i="1"/>
  <c r="Z595" i="1"/>
  <c r="P595" i="1"/>
  <c r="BF595" i="1" s="1"/>
  <c r="L595" i="1"/>
  <c r="AL595" i="1" s="1"/>
  <c r="J595" i="1"/>
  <c r="BW594" i="1"/>
  <c r="BJ594" i="1"/>
  <c r="BH594" i="1"/>
  <c r="AB594" i="1" s="1"/>
  <c r="BD594" i="1"/>
  <c r="AP594" i="1"/>
  <c r="AO594" i="1"/>
  <c r="AW594" i="1" s="1"/>
  <c r="AK594" i="1"/>
  <c r="AJ594" i="1"/>
  <c r="AH594" i="1"/>
  <c r="AG594" i="1"/>
  <c r="AF594" i="1"/>
  <c r="AE594" i="1"/>
  <c r="AD594" i="1"/>
  <c r="Z594" i="1"/>
  <c r="P594" i="1"/>
  <c r="BF594" i="1" s="1"/>
  <c r="L594" i="1"/>
  <c r="M594" i="1" s="1"/>
  <c r="BW592" i="1"/>
  <c r="BJ592" i="1"/>
  <c r="BD592" i="1"/>
  <c r="AP592" i="1"/>
  <c r="BI592" i="1" s="1"/>
  <c r="AG592" i="1" s="1"/>
  <c r="AO592" i="1"/>
  <c r="AW592" i="1" s="1"/>
  <c r="AK592" i="1"/>
  <c r="AJ592" i="1"/>
  <c r="AH592" i="1"/>
  <c r="AE592" i="1"/>
  <c r="AD592" i="1"/>
  <c r="AC592" i="1"/>
  <c r="AB592" i="1"/>
  <c r="Z592" i="1"/>
  <c r="P592" i="1"/>
  <c r="BF592" i="1" s="1"/>
  <c r="L592" i="1"/>
  <c r="J592" i="1"/>
  <c r="BW590" i="1"/>
  <c r="BJ590" i="1"/>
  <c r="BI590" i="1"/>
  <c r="AG590" i="1" s="1"/>
  <c r="BD590" i="1"/>
  <c r="AP590" i="1"/>
  <c r="AO590" i="1"/>
  <c r="AK590" i="1"/>
  <c r="AJ590" i="1"/>
  <c r="AH590" i="1"/>
  <c r="AE590" i="1"/>
  <c r="AD590" i="1"/>
  <c r="AC590" i="1"/>
  <c r="AB590" i="1"/>
  <c r="Z590" i="1"/>
  <c r="P590" i="1"/>
  <c r="BF590" i="1" s="1"/>
  <c r="L590" i="1"/>
  <c r="M590" i="1" s="1"/>
  <c r="BW588" i="1"/>
  <c r="BJ588" i="1"/>
  <c r="BI588" i="1"/>
  <c r="AC588" i="1" s="1"/>
  <c r="BD588" i="1"/>
  <c r="AP588" i="1"/>
  <c r="AX588" i="1" s="1"/>
  <c r="AO588" i="1"/>
  <c r="AW588" i="1" s="1"/>
  <c r="AK588" i="1"/>
  <c r="AJ588" i="1"/>
  <c r="AH588" i="1"/>
  <c r="AG588" i="1"/>
  <c r="AF588" i="1"/>
  <c r="AE588" i="1"/>
  <c r="AD588" i="1"/>
  <c r="Z588" i="1"/>
  <c r="P588" i="1"/>
  <c r="BF588" i="1" s="1"/>
  <c r="L588" i="1"/>
  <c r="BW587" i="1"/>
  <c r="BJ587" i="1"/>
  <c r="BD587" i="1"/>
  <c r="AP587" i="1"/>
  <c r="AX587" i="1" s="1"/>
  <c r="AO587" i="1"/>
  <c r="AK587" i="1"/>
  <c r="AJ587" i="1"/>
  <c r="AH587" i="1"/>
  <c r="AG587" i="1"/>
  <c r="AF587" i="1"/>
  <c r="AE587" i="1"/>
  <c r="AD587" i="1"/>
  <c r="Z587" i="1"/>
  <c r="P587" i="1"/>
  <c r="BF587" i="1" s="1"/>
  <c r="L587" i="1"/>
  <c r="AL587" i="1" s="1"/>
  <c r="K587" i="1"/>
  <c r="BW586" i="1"/>
  <c r="BJ586" i="1"/>
  <c r="BD586" i="1"/>
  <c r="AP586" i="1"/>
  <c r="AO586" i="1"/>
  <c r="AK586" i="1"/>
  <c r="AJ586" i="1"/>
  <c r="AH586" i="1"/>
  <c r="AG586" i="1"/>
  <c r="AF586" i="1"/>
  <c r="AE586" i="1"/>
  <c r="AD586" i="1"/>
  <c r="Z586" i="1"/>
  <c r="P586" i="1"/>
  <c r="BF586" i="1" s="1"/>
  <c r="L586" i="1"/>
  <c r="AL586" i="1" s="1"/>
  <c r="BW585" i="1"/>
  <c r="BJ585" i="1"/>
  <c r="BD585" i="1"/>
  <c r="AP585" i="1"/>
  <c r="AX585" i="1" s="1"/>
  <c r="AO585" i="1"/>
  <c r="BH585" i="1" s="1"/>
  <c r="AB585" i="1" s="1"/>
  <c r="AK585" i="1"/>
  <c r="AJ585" i="1"/>
  <c r="AH585" i="1"/>
  <c r="AG585" i="1"/>
  <c r="AF585" i="1"/>
  <c r="AE585" i="1"/>
  <c r="AD585" i="1"/>
  <c r="Z585" i="1"/>
  <c r="P585" i="1"/>
  <c r="BF585" i="1" s="1"/>
  <c r="L585" i="1"/>
  <c r="AL585" i="1" s="1"/>
  <c r="BW584" i="1"/>
  <c r="BJ584" i="1"/>
  <c r="BD584" i="1"/>
  <c r="AP584" i="1"/>
  <c r="AX584" i="1" s="1"/>
  <c r="AO584" i="1"/>
  <c r="AW584" i="1" s="1"/>
  <c r="AK584" i="1"/>
  <c r="AJ584" i="1"/>
  <c r="AH584" i="1"/>
  <c r="AE584" i="1"/>
  <c r="AD584" i="1"/>
  <c r="AC584" i="1"/>
  <c r="AB584" i="1"/>
  <c r="Z584" i="1"/>
  <c r="P584" i="1"/>
  <c r="BF584" i="1" s="1"/>
  <c r="L584" i="1"/>
  <c r="BW583" i="1"/>
  <c r="BJ583" i="1"/>
  <c r="BD583" i="1"/>
  <c r="AP583" i="1"/>
  <c r="AO583" i="1"/>
  <c r="BH583" i="1" s="1"/>
  <c r="AB583" i="1" s="1"/>
  <c r="AK583" i="1"/>
  <c r="AJ583" i="1"/>
  <c r="AH583" i="1"/>
  <c r="AG583" i="1"/>
  <c r="AF583" i="1"/>
  <c r="AE583" i="1"/>
  <c r="AD583" i="1"/>
  <c r="Z583" i="1"/>
  <c r="P583" i="1"/>
  <c r="BF583" i="1" s="1"/>
  <c r="L583" i="1"/>
  <c r="AL583" i="1" s="1"/>
  <c r="BW582" i="1"/>
  <c r="BJ582" i="1"/>
  <c r="BD582" i="1"/>
  <c r="AP582" i="1"/>
  <c r="BI582" i="1" s="1"/>
  <c r="AC582" i="1" s="1"/>
  <c r="AO582" i="1"/>
  <c r="AW582" i="1" s="1"/>
  <c r="AK582" i="1"/>
  <c r="AJ582" i="1"/>
  <c r="AH582" i="1"/>
  <c r="AG582" i="1"/>
  <c r="AF582" i="1"/>
  <c r="AE582" i="1"/>
  <c r="AD582" i="1"/>
  <c r="Z582" i="1"/>
  <c r="P582" i="1"/>
  <c r="BF582" i="1" s="1"/>
  <c r="L582" i="1"/>
  <c r="AL582" i="1" s="1"/>
  <c r="BW581" i="1"/>
  <c r="BJ581" i="1"/>
  <c r="BD581" i="1"/>
  <c r="AP581" i="1"/>
  <c r="AX581" i="1" s="1"/>
  <c r="AO581" i="1"/>
  <c r="AW581" i="1" s="1"/>
  <c r="AK581" i="1"/>
  <c r="AJ581" i="1"/>
  <c r="AH581" i="1"/>
  <c r="AG581" i="1"/>
  <c r="AF581" i="1"/>
  <c r="AE581" i="1"/>
  <c r="AD581" i="1"/>
  <c r="Z581" i="1"/>
  <c r="P581" i="1"/>
  <c r="BF581" i="1" s="1"/>
  <c r="L581" i="1"/>
  <c r="BW580" i="1"/>
  <c r="BJ580" i="1"/>
  <c r="BD580" i="1"/>
  <c r="AP580" i="1"/>
  <c r="AO580" i="1"/>
  <c r="BH580" i="1" s="1"/>
  <c r="AB580" i="1" s="1"/>
  <c r="AK580" i="1"/>
  <c r="AJ580" i="1"/>
  <c r="AH580" i="1"/>
  <c r="AG580" i="1"/>
  <c r="AF580" i="1"/>
  <c r="AE580" i="1"/>
  <c r="AD580" i="1"/>
  <c r="Z580" i="1"/>
  <c r="P580" i="1"/>
  <c r="BF580" i="1" s="1"/>
  <c r="L580" i="1"/>
  <c r="BW579" i="1"/>
  <c r="BJ579" i="1"/>
  <c r="BD579" i="1"/>
  <c r="AP579" i="1"/>
  <c r="AX579" i="1" s="1"/>
  <c r="AO579" i="1"/>
  <c r="BH579" i="1" s="1"/>
  <c r="AF579" i="1" s="1"/>
  <c r="AK579" i="1"/>
  <c r="AJ579" i="1"/>
  <c r="AH579" i="1"/>
  <c r="AE579" i="1"/>
  <c r="AD579" i="1"/>
  <c r="AC579" i="1"/>
  <c r="AB579" i="1"/>
  <c r="Z579" i="1"/>
  <c r="P579" i="1"/>
  <c r="BF579" i="1" s="1"/>
  <c r="L579" i="1"/>
  <c r="BW578" i="1"/>
  <c r="BJ578" i="1"/>
  <c r="BD578" i="1"/>
  <c r="AP578" i="1"/>
  <c r="AO578" i="1"/>
  <c r="AK578" i="1"/>
  <c r="AJ578" i="1"/>
  <c r="AH578" i="1"/>
  <c r="AE578" i="1"/>
  <c r="AD578" i="1"/>
  <c r="AC578" i="1"/>
  <c r="AB578" i="1"/>
  <c r="Z578" i="1"/>
  <c r="P578" i="1"/>
  <c r="BF578" i="1" s="1"/>
  <c r="L578" i="1"/>
  <c r="AL578" i="1" s="1"/>
  <c r="BW577" i="1"/>
  <c r="BJ577" i="1"/>
  <c r="BD577" i="1"/>
  <c r="AP577" i="1"/>
  <c r="AX577" i="1" s="1"/>
  <c r="AO577" i="1"/>
  <c r="BH577" i="1" s="1"/>
  <c r="AF577" i="1" s="1"/>
  <c r="AK577" i="1"/>
  <c r="AJ577" i="1"/>
  <c r="AH577" i="1"/>
  <c r="AE577" i="1"/>
  <c r="AD577" i="1"/>
  <c r="AC577" i="1"/>
  <c r="AB577" i="1"/>
  <c r="Z577" i="1"/>
  <c r="P577" i="1"/>
  <c r="BF577" i="1" s="1"/>
  <c r="L577" i="1"/>
  <c r="BW576" i="1"/>
  <c r="BJ576" i="1"/>
  <c r="BD576" i="1"/>
  <c r="AP576" i="1"/>
  <c r="AX576" i="1" s="1"/>
  <c r="AO576" i="1"/>
  <c r="AW576" i="1" s="1"/>
  <c r="AK576" i="1"/>
  <c r="AJ576" i="1"/>
  <c r="AH576" i="1"/>
  <c r="AE576" i="1"/>
  <c r="AD576" i="1"/>
  <c r="AC576" i="1"/>
  <c r="AB576" i="1"/>
  <c r="Z576" i="1"/>
  <c r="P576" i="1"/>
  <c r="BF576" i="1" s="1"/>
  <c r="L576" i="1"/>
  <c r="M576" i="1" s="1"/>
  <c r="BW575" i="1"/>
  <c r="BJ575" i="1"/>
  <c r="BD575" i="1"/>
  <c r="AP575" i="1"/>
  <c r="AO575" i="1"/>
  <c r="BH575" i="1" s="1"/>
  <c r="AF575" i="1" s="1"/>
  <c r="AK575" i="1"/>
  <c r="AJ575" i="1"/>
  <c r="AH575" i="1"/>
  <c r="AE575" i="1"/>
  <c r="AD575" i="1"/>
  <c r="AC575" i="1"/>
  <c r="AB575" i="1"/>
  <c r="Z575" i="1"/>
  <c r="P575" i="1"/>
  <c r="BF575" i="1" s="1"/>
  <c r="L575" i="1"/>
  <c r="AL575" i="1" s="1"/>
  <c r="BW574" i="1"/>
  <c r="BJ574" i="1"/>
  <c r="BD574" i="1"/>
  <c r="AP574" i="1"/>
  <c r="BI574" i="1" s="1"/>
  <c r="AG574" i="1" s="1"/>
  <c r="AO574" i="1"/>
  <c r="AW574" i="1" s="1"/>
  <c r="AK574" i="1"/>
  <c r="AJ574" i="1"/>
  <c r="AH574" i="1"/>
  <c r="AE574" i="1"/>
  <c r="AD574" i="1"/>
  <c r="AC574" i="1"/>
  <c r="AB574" i="1"/>
  <c r="Z574" i="1"/>
  <c r="P574" i="1"/>
  <c r="BF574" i="1" s="1"/>
  <c r="L574" i="1"/>
  <c r="M574" i="1" s="1"/>
  <c r="BW573" i="1"/>
  <c r="BJ573" i="1"/>
  <c r="BD573" i="1"/>
  <c r="AP573" i="1"/>
  <c r="AO573" i="1"/>
  <c r="AW573" i="1" s="1"/>
  <c r="AK573" i="1"/>
  <c r="AJ573" i="1"/>
  <c r="AH573" i="1"/>
  <c r="AG573" i="1"/>
  <c r="AF573" i="1"/>
  <c r="AE573" i="1"/>
  <c r="AD573" i="1"/>
  <c r="Z573" i="1"/>
  <c r="P573" i="1"/>
  <c r="L573" i="1"/>
  <c r="BW571" i="1"/>
  <c r="BJ571" i="1"/>
  <c r="BD571" i="1"/>
  <c r="AP571" i="1"/>
  <c r="AO571" i="1"/>
  <c r="BH571" i="1" s="1"/>
  <c r="AF571" i="1" s="1"/>
  <c r="AK571" i="1"/>
  <c r="AJ571" i="1"/>
  <c r="AH571" i="1"/>
  <c r="AE571" i="1"/>
  <c r="AD571" i="1"/>
  <c r="AC571" i="1"/>
  <c r="AB571" i="1"/>
  <c r="Z571" i="1"/>
  <c r="P571" i="1"/>
  <c r="BF571" i="1" s="1"/>
  <c r="L571" i="1"/>
  <c r="J571" i="1"/>
  <c r="BW568" i="1"/>
  <c r="BJ568" i="1"/>
  <c r="BD568" i="1"/>
  <c r="AP568" i="1"/>
  <c r="AO568" i="1"/>
  <c r="AW568" i="1" s="1"/>
  <c r="AK568" i="1"/>
  <c r="AJ568" i="1"/>
  <c r="AH568" i="1"/>
  <c r="AE568" i="1"/>
  <c r="AD568" i="1"/>
  <c r="AC568" i="1"/>
  <c r="AB568" i="1"/>
  <c r="Z568" i="1"/>
  <c r="P568" i="1"/>
  <c r="BF568" i="1" s="1"/>
  <c r="L568" i="1"/>
  <c r="M568" i="1" s="1"/>
  <c r="BW566" i="1"/>
  <c r="BJ566" i="1"/>
  <c r="BD566" i="1"/>
  <c r="AP566" i="1"/>
  <c r="BI566" i="1" s="1"/>
  <c r="AG566" i="1" s="1"/>
  <c r="AO566" i="1"/>
  <c r="AW566" i="1" s="1"/>
  <c r="AK566" i="1"/>
  <c r="AJ566" i="1"/>
  <c r="AH566" i="1"/>
  <c r="AE566" i="1"/>
  <c r="AD566" i="1"/>
  <c r="AC566" i="1"/>
  <c r="AB566" i="1"/>
  <c r="Z566" i="1"/>
  <c r="P566" i="1"/>
  <c r="BF566" i="1" s="1"/>
  <c r="L566" i="1"/>
  <c r="M566" i="1" s="1"/>
  <c r="BW564" i="1"/>
  <c r="BJ564" i="1"/>
  <c r="BD564" i="1"/>
  <c r="AP564" i="1"/>
  <c r="BI564" i="1" s="1"/>
  <c r="AC564" i="1" s="1"/>
  <c r="AO564" i="1"/>
  <c r="BH564" i="1" s="1"/>
  <c r="AB564" i="1" s="1"/>
  <c r="AK564" i="1"/>
  <c r="AJ564" i="1"/>
  <c r="AH564" i="1"/>
  <c r="AG564" i="1"/>
  <c r="AF564" i="1"/>
  <c r="AE564" i="1"/>
  <c r="AD564" i="1"/>
  <c r="Z564" i="1"/>
  <c r="P564" i="1"/>
  <c r="BF564" i="1" s="1"/>
  <c r="L564" i="1"/>
  <c r="BW563" i="1"/>
  <c r="BJ563" i="1"/>
  <c r="BD563" i="1"/>
  <c r="AP563" i="1"/>
  <c r="AO563" i="1"/>
  <c r="BH563" i="1" s="1"/>
  <c r="AF563" i="1" s="1"/>
  <c r="AK563" i="1"/>
  <c r="AJ563" i="1"/>
  <c r="AH563" i="1"/>
  <c r="AE563" i="1"/>
  <c r="AD563" i="1"/>
  <c r="AC563" i="1"/>
  <c r="AB563" i="1"/>
  <c r="Z563" i="1"/>
  <c r="P563" i="1"/>
  <c r="BF563" i="1" s="1"/>
  <c r="L563" i="1"/>
  <c r="AL563" i="1" s="1"/>
  <c r="BW562" i="1"/>
  <c r="BJ562" i="1"/>
  <c r="BD562" i="1"/>
  <c r="AP562" i="1"/>
  <c r="BI562" i="1" s="1"/>
  <c r="AO562" i="1"/>
  <c r="BH562" i="1" s="1"/>
  <c r="AF562" i="1" s="1"/>
  <c r="AK562" i="1"/>
  <c r="AJ562" i="1"/>
  <c r="AH562" i="1"/>
  <c r="AG562" i="1"/>
  <c r="AE562" i="1"/>
  <c r="AD562" i="1"/>
  <c r="AC562" i="1"/>
  <c r="AB562" i="1"/>
  <c r="Z562" i="1"/>
  <c r="P562" i="1"/>
  <c r="BF562" i="1" s="1"/>
  <c r="L562" i="1"/>
  <c r="K562" i="1"/>
  <c r="BW561" i="1"/>
  <c r="BJ561" i="1"/>
  <c r="BD561" i="1"/>
  <c r="AP561" i="1"/>
  <c r="AO561" i="1"/>
  <c r="BH561" i="1" s="1"/>
  <c r="AF561" i="1" s="1"/>
  <c r="AK561" i="1"/>
  <c r="AJ561" i="1"/>
  <c r="AH561" i="1"/>
  <c r="AE561" i="1"/>
  <c r="AD561" i="1"/>
  <c r="AC561" i="1"/>
  <c r="AB561" i="1"/>
  <c r="Z561" i="1"/>
  <c r="P561" i="1"/>
  <c r="BF561" i="1" s="1"/>
  <c r="L561" i="1"/>
  <c r="AL561" i="1" s="1"/>
  <c r="BW560" i="1"/>
  <c r="BJ560" i="1"/>
  <c r="BD560" i="1"/>
  <c r="AP560" i="1"/>
  <c r="AX560" i="1" s="1"/>
  <c r="AO560" i="1"/>
  <c r="AW560" i="1" s="1"/>
  <c r="AK560" i="1"/>
  <c r="AJ560" i="1"/>
  <c r="AH560" i="1"/>
  <c r="AG560" i="1"/>
  <c r="AF560" i="1"/>
  <c r="AE560" i="1"/>
  <c r="AD560" i="1"/>
  <c r="AC560" i="1"/>
  <c r="AB560" i="1"/>
  <c r="Z560" i="1"/>
  <c r="P560" i="1"/>
  <c r="BF560" i="1" s="1"/>
  <c r="L560" i="1"/>
  <c r="BW558" i="1"/>
  <c r="BJ558" i="1"/>
  <c r="BD558" i="1"/>
  <c r="AP558" i="1"/>
  <c r="AO558" i="1"/>
  <c r="AK558" i="1"/>
  <c r="AJ558" i="1"/>
  <c r="AH558" i="1"/>
  <c r="AE558" i="1"/>
  <c r="AD558" i="1"/>
  <c r="AC558" i="1"/>
  <c r="AB558" i="1"/>
  <c r="Z558" i="1"/>
  <c r="P558" i="1"/>
  <c r="BF558" i="1" s="1"/>
  <c r="L558" i="1"/>
  <c r="AL558" i="1" s="1"/>
  <c r="BW556" i="1"/>
  <c r="BJ556" i="1"/>
  <c r="BD556" i="1"/>
  <c r="AP556" i="1"/>
  <c r="AO556" i="1"/>
  <c r="AW556" i="1" s="1"/>
  <c r="AK556" i="1"/>
  <c r="AJ556" i="1"/>
  <c r="AH556" i="1"/>
  <c r="AE556" i="1"/>
  <c r="AD556" i="1"/>
  <c r="AC556" i="1"/>
  <c r="AB556" i="1"/>
  <c r="Z556" i="1"/>
  <c r="P556" i="1"/>
  <c r="BF556" i="1" s="1"/>
  <c r="L556" i="1"/>
  <c r="M556" i="1" s="1"/>
  <c r="BW554" i="1"/>
  <c r="BJ554" i="1"/>
  <c r="BD554" i="1"/>
  <c r="AP554" i="1"/>
  <c r="BI554" i="1" s="1"/>
  <c r="AG554" i="1" s="1"/>
  <c r="AO554" i="1"/>
  <c r="AW554" i="1" s="1"/>
  <c r="AK554" i="1"/>
  <c r="AJ554" i="1"/>
  <c r="AH554" i="1"/>
  <c r="AE554" i="1"/>
  <c r="AD554" i="1"/>
  <c r="AC554" i="1"/>
  <c r="AB554" i="1"/>
  <c r="Z554" i="1"/>
  <c r="P554" i="1"/>
  <c r="BF554" i="1" s="1"/>
  <c r="L554" i="1"/>
  <c r="AL554" i="1" s="1"/>
  <c r="BW553" i="1"/>
  <c r="BJ553" i="1"/>
  <c r="BD553" i="1"/>
  <c r="AP553" i="1"/>
  <c r="AO553" i="1"/>
  <c r="AK553" i="1"/>
  <c r="AJ553" i="1"/>
  <c r="AH553" i="1"/>
  <c r="AG553" i="1"/>
  <c r="AF553" i="1"/>
  <c r="AE553" i="1"/>
  <c r="AD553" i="1"/>
  <c r="Z553" i="1"/>
  <c r="P553" i="1"/>
  <c r="BF553" i="1" s="1"/>
  <c r="L553" i="1"/>
  <c r="BW551" i="1"/>
  <c r="BJ551" i="1"/>
  <c r="BD551" i="1"/>
  <c r="AP551" i="1"/>
  <c r="BI551" i="1" s="1"/>
  <c r="AG551" i="1" s="1"/>
  <c r="AO551" i="1"/>
  <c r="BH551" i="1" s="1"/>
  <c r="AF551" i="1" s="1"/>
  <c r="AK551" i="1"/>
  <c r="AJ551" i="1"/>
  <c r="AH551" i="1"/>
  <c r="AE551" i="1"/>
  <c r="AD551" i="1"/>
  <c r="AC551" i="1"/>
  <c r="AB551" i="1"/>
  <c r="Z551" i="1"/>
  <c r="P551" i="1"/>
  <c r="BF551" i="1" s="1"/>
  <c r="L551" i="1"/>
  <c r="BW550" i="1"/>
  <c r="BJ550" i="1"/>
  <c r="BD550" i="1"/>
  <c r="AP550" i="1"/>
  <c r="AO550" i="1"/>
  <c r="AK550" i="1"/>
  <c r="AJ550" i="1"/>
  <c r="AH550" i="1"/>
  <c r="AE550" i="1"/>
  <c r="AD550" i="1"/>
  <c r="AC550" i="1"/>
  <c r="AB550" i="1"/>
  <c r="Z550" i="1"/>
  <c r="P550" i="1"/>
  <c r="BF550" i="1" s="1"/>
  <c r="L550" i="1"/>
  <c r="AL550" i="1" s="1"/>
  <c r="BW548" i="1"/>
  <c r="BJ548" i="1"/>
  <c r="BD548" i="1"/>
  <c r="AP548" i="1"/>
  <c r="BI548" i="1" s="1"/>
  <c r="AG548" i="1" s="1"/>
  <c r="AO548" i="1"/>
  <c r="AK548" i="1"/>
  <c r="AJ548" i="1"/>
  <c r="AH548" i="1"/>
  <c r="AE548" i="1"/>
  <c r="AD548" i="1"/>
  <c r="AC548" i="1"/>
  <c r="AB548" i="1"/>
  <c r="Z548" i="1"/>
  <c r="P548" i="1"/>
  <c r="BF548" i="1" s="1"/>
  <c r="L548" i="1"/>
  <c r="BW547" i="1"/>
  <c r="BJ547" i="1"/>
  <c r="BD547" i="1"/>
  <c r="AP547" i="1"/>
  <c r="AX547" i="1" s="1"/>
  <c r="AO547" i="1"/>
  <c r="AW547" i="1" s="1"/>
  <c r="AK547" i="1"/>
  <c r="AJ547" i="1"/>
  <c r="AH547" i="1"/>
  <c r="AE547" i="1"/>
  <c r="AD547" i="1"/>
  <c r="AC547" i="1"/>
  <c r="AB547" i="1"/>
  <c r="Z547" i="1"/>
  <c r="P547" i="1"/>
  <c r="BF547" i="1" s="1"/>
  <c r="L547" i="1"/>
  <c r="AL547" i="1" s="1"/>
  <c r="J547" i="1"/>
  <c r="BW545" i="1"/>
  <c r="BJ545" i="1"/>
  <c r="BD545" i="1"/>
  <c r="AP545" i="1"/>
  <c r="AO545" i="1"/>
  <c r="BH545" i="1" s="1"/>
  <c r="AB545" i="1" s="1"/>
  <c r="AK545" i="1"/>
  <c r="AJ545" i="1"/>
  <c r="AH545" i="1"/>
  <c r="AG545" i="1"/>
  <c r="AF545" i="1"/>
  <c r="AE545" i="1"/>
  <c r="AD545" i="1"/>
  <c r="Z545" i="1"/>
  <c r="P545" i="1"/>
  <c r="L545" i="1"/>
  <c r="AL545" i="1" s="1"/>
  <c r="BW543" i="1"/>
  <c r="BJ543" i="1"/>
  <c r="BD543" i="1"/>
  <c r="AP543" i="1"/>
  <c r="BI543" i="1" s="1"/>
  <c r="AC543" i="1" s="1"/>
  <c r="AO543" i="1"/>
  <c r="AK543" i="1"/>
  <c r="AJ543" i="1"/>
  <c r="AH543" i="1"/>
  <c r="AG543" i="1"/>
  <c r="AF543" i="1"/>
  <c r="AE543" i="1"/>
  <c r="AD543" i="1"/>
  <c r="Z543" i="1"/>
  <c r="P543" i="1"/>
  <c r="BF543" i="1" s="1"/>
  <c r="L543" i="1"/>
  <c r="BW541" i="1"/>
  <c r="BJ541" i="1"/>
  <c r="Z541" i="1" s="1"/>
  <c r="BD541" i="1"/>
  <c r="AP541" i="1"/>
  <c r="AX541" i="1" s="1"/>
  <c r="AO541" i="1"/>
  <c r="AK541" i="1"/>
  <c r="AT540" i="1" s="1"/>
  <c r="AJ541" i="1"/>
  <c r="AS540" i="1" s="1"/>
  <c r="AH541" i="1"/>
  <c r="AG541" i="1"/>
  <c r="AF541" i="1"/>
  <c r="AE541" i="1"/>
  <c r="AD541" i="1"/>
  <c r="AC541" i="1"/>
  <c r="AB541" i="1"/>
  <c r="P541" i="1"/>
  <c r="BF541" i="1" s="1"/>
  <c r="L541" i="1"/>
  <c r="P540" i="1"/>
  <c r="G37" i="2" s="1"/>
  <c r="BW538" i="1"/>
  <c r="BJ538" i="1"/>
  <c r="BD538" i="1"/>
  <c r="AP538" i="1"/>
  <c r="BI538" i="1" s="1"/>
  <c r="AC538" i="1" s="1"/>
  <c r="AO538" i="1"/>
  <c r="AK538" i="1"/>
  <c r="AJ538" i="1"/>
  <c r="AH538" i="1"/>
  <c r="AG538" i="1"/>
  <c r="AF538" i="1"/>
  <c r="AE538" i="1"/>
  <c r="AD538" i="1"/>
  <c r="Z538" i="1"/>
  <c r="P538" i="1"/>
  <c r="BF538" i="1" s="1"/>
  <c r="L538" i="1"/>
  <c r="M538" i="1" s="1"/>
  <c r="BW537" i="1"/>
  <c r="BJ537" i="1"/>
  <c r="BD537" i="1"/>
  <c r="AP537" i="1"/>
  <c r="BI537" i="1" s="1"/>
  <c r="AC537" i="1" s="1"/>
  <c r="AO537" i="1"/>
  <c r="BH537" i="1" s="1"/>
  <c r="AB537" i="1" s="1"/>
  <c r="AK537" i="1"/>
  <c r="AJ537" i="1"/>
  <c r="AH537" i="1"/>
  <c r="AG537" i="1"/>
  <c r="AF537" i="1"/>
  <c r="AE537" i="1"/>
  <c r="AD537" i="1"/>
  <c r="Z537" i="1"/>
  <c r="P537" i="1"/>
  <c r="BF537" i="1" s="1"/>
  <c r="L537" i="1"/>
  <c r="AL537" i="1" s="1"/>
  <c r="BW536" i="1"/>
  <c r="BJ536" i="1"/>
  <c r="BD536" i="1"/>
  <c r="AP536" i="1"/>
  <c r="BI536" i="1" s="1"/>
  <c r="AC536" i="1" s="1"/>
  <c r="AO536" i="1"/>
  <c r="BH536" i="1" s="1"/>
  <c r="AB536" i="1" s="1"/>
  <c r="AK536" i="1"/>
  <c r="AJ536" i="1"/>
  <c r="AH536" i="1"/>
  <c r="AG536" i="1"/>
  <c r="AF536" i="1"/>
  <c r="AE536" i="1"/>
  <c r="AD536" i="1"/>
  <c r="Z536" i="1"/>
  <c r="P536" i="1"/>
  <c r="BF536" i="1" s="1"/>
  <c r="L536" i="1"/>
  <c r="AL536" i="1" s="1"/>
  <c r="BW535" i="1"/>
  <c r="BJ535" i="1"/>
  <c r="BD535" i="1"/>
  <c r="AP535" i="1"/>
  <c r="AX535" i="1" s="1"/>
  <c r="AO535" i="1"/>
  <c r="AW535" i="1" s="1"/>
  <c r="AK535" i="1"/>
  <c r="AJ535" i="1"/>
  <c r="AH535" i="1"/>
  <c r="AG535" i="1"/>
  <c r="AF535" i="1"/>
  <c r="AE535" i="1"/>
  <c r="AD535" i="1"/>
  <c r="Z535" i="1"/>
  <c r="P535" i="1"/>
  <c r="BF535" i="1" s="1"/>
  <c r="L535" i="1"/>
  <c r="AL535" i="1" s="1"/>
  <c r="BW533" i="1"/>
  <c r="BJ533" i="1"/>
  <c r="BD533" i="1"/>
  <c r="AP533" i="1"/>
  <c r="BI533" i="1" s="1"/>
  <c r="AG533" i="1" s="1"/>
  <c r="AO533" i="1"/>
  <c r="BH533" i="1" s="1"/>
  <c r="AK533" i="1"/>
  <c r="AJ533" i="1"/>
  <c r="AH533" i="1"/>
  <c r="AF533" i="1"/>
  <c r="AE533" i="1"/>
  <c r="AD533" i="1"/>
  <c r="AC533" i="1"/>
  <c r="AB533" i="1"/>
  <c r="Z533" i="1"/>
  <c r="P533" i="1"/>
  <c r="BF533" i="1" s="1"/>
  <c r="L533" i="1"/>
  <c r="BW532" i="1"/>
  <c r="BJ532" i="1"/>
  <c r="BD532" i="1"/>
  <c r="AP532" i="1"/>
  <c r="AX532" i="1" s="1"/>
  <c r="AO532" i="1"/>
  <c r="BH532" i="1" s="1"/>
  <c r="AB532" i="1" s="1"/>
  <c r="AK532" i="1"/>
  <c r="AJ532" i="1"/>
  <c r="AH532" i="1"/>
  <c r="AG532" i="1"/>
  <c r="AF532" i="1"/>
  <c r="AE532" i="1"/>
  <c r="AD532" i="1"/>
  <c r="Z532" i="1"/>
  <c r="P532" i="1"/>
  <c r="BF532" i="1" s="1"/>
  <c r="L532" i="1"/>
  <c r="AL532" i="1" s="1"/>
  <c r="BW530" i="1"/>
  <c r="BJ530" i="1"/>
  <c r="BD530" i="1"/>
  <c r="AP530" i="1"/>
  <c r="BI530" i="1" s="1"/>
  <c r="AC530" i="1" s="1"/>
  <c r="AO530" i="1"/>
  <c r="BH530" i="1" s="1"/>
  <c r="AB530" i="1" s="1"/>
  <c r="AK530" i="1"/>
  <c r="AJ530" i="1"/>
  <c r="AH530" i="1"/>
  <c r="AG530" i="1"/>
  <c r="AF530" i="1"/>
  <c r="AE530" i="1"/>
  <c r="AD530" i="1"/>
  <c r="Z530" i="1"/>
  <c r="P530" i="1"/>
  <c r="BF530" i="1" s="1"/>
  <c r="L530" i="1"/>
  <c r="AL530" i="1" s="1"/>
  <c r="K530" i="1"/>
  <c r="BW529" i="1"/>
  <c r="BJ529" i="1"/>
  <c r="BD529" i="1"/>
  <c r="AP529" i="1"/>
  <c r="AX529" i="1" s="1"/>
  <c r="AO529" i="1"/>
  <c r="AK529" i="1"/>
  <c r="AJ529" i="1"/>
  <c r="AH529" i="1"/>
  <c r="AG529" i="1"/>
  <c r="AF529" i="1"/>
  <c r="AE529" i="1"/>
  <c r="AD529" i="1"/>
  <c r="Z529" i="1"/>
  <c r="P529" i="1"/>
  <c r="BF529" i="1" s="1"/>
  <c r="L529" i="1"/>
  <c r="BW528" i="1"/>
  <c r="BJ528" i="1"/>
  <c r="BD528" i="1"/>
  <c r="AP528" i="1"/>
  <c r="BI528" i="1" s="1"/>
  <c r="AC528" i="1" s="1"/>
  <c r="AO528" i="1"/>
  <c r="AW528" i="1" s="1"/>
  <c r="AK528" i="1"/>
  <c r="AJ528" i="1"/>
  <c r="AH528" i="1"/>
  <c r="AG528" i="1"/>
  <c r="AF528" i="1"/>
  <c r="AE528" i="1"/>
  <c r="AD528" i="1"/>
  <c r="Z528" i="1"/>
  <c r="P528" i="1"/>
  <c r="BF528" i="1" s="1"/>
  <c r="L528" i="1"/>
  <c r="BW527" i="1"/>
  <c r="BJ527" i="1"/>
  <c r="BD527" i="1"/>
  <c r="AP527" i="1"/>
  <c r="BI527" i="1" s="1"/>
  <c r="AC527" i="1" s="1"/>
  <c r="AO527" i="1"/>
  <c r="BH527" i="1" s="1"/>
  <c r="AB527" i="1" s="1"/>
  <c r="AK527" i="1"/>
  <c r="AJ527" i="1"/>
  <c r="AH527" i="1"/>
  <c r="AG527" i="1"/>
  <c r="AF527" i="1"/>
  <c r="AE527" i="1"/>
  <c r="AD527" i="1"/>
  <c r="Z527" i="1"/>
  <c r="P527" i="1"/>
  <c r="BF527" i="1" s="1"/>
  <c r="L527" i="1"/>
  <c r="AL527" i="1" s="1"/>
  <c r="BW526" i="1"/>
  <c r="BJ526" i="1"/>
  <c r="BD526" i="1"/>
  <c r="AP526" i="1"/>
  <c r="BI526" i="1" s="1"/>
  <c r="AO526" i="1"/>
  <c r="AK526" i="1"/>
  <c r="AJ526" i="1"/>
  <c r="AH526" i="1"/>
  <c r="AG526" i="1"/>
  <c r="AF526" i="1"/>
  <c r="AE526" i="1"/>
  <c r="AD526" i="1"/>
  <c r="AC526" i="1"/>
  <c r="Z526" i="1"/>
  <c r="P526" i="1"/>
  <c r="BF526" i="1" s="1"/>
  <c r="L526" i="1"/>
  <c r="AL526" i="1" s="1"/>
  <c r="K526" i="1"/>
  <c r="BW525" i="1"/>
  <c r="BJ525" i="1"/>
  <c r="BD525" i="1"/>
  <c r="AW525" i="1"/>
  <c r="AP525" i="1"/>
  <c r="BI525" i="1" s="1"/>
  <c r="AC525" i="1" s="1"/>
  <c r="AO525" i="1"/>
  <c r="BH525" i="1" s="1"/>
  <c r="AB525" i="1" s="1"/>
  <c r="AK525" i="1"/>
  <c r="AJ525" i="1"/>
  <c r="AH525" i="1"/>
  <c r="AG525" i="1"/>
  <c r="AF525" i="1"/>
  <c r="AE525" i="1"/>
  <c r="AD525" i="1"/>
  <c r="Z525" i="1"/>
  <c r="P525" i="1"/>
  <c r="BF525" i="1" s="1"/>
  <c r="L525" i="1"/>
  <c r="M525" i="1" s="1"/>
  <c r="BW524" i="1"/>
  <c r="BJ524" i="1"/>
  <c r="BD524" i="1"/>
  <c r="AP524" i="1"/>
  <c r="AO524" i="1"/>
  <c r="BH524" i="1" s="1"/>
  <c r="AB524" i="1" s="1"/>
  <c r="AK524" i="1"/>
  <c r="AJ524" i="1"/>
  <c r="AH524" i="1"/>
  <c r="AG524" i="1"/>
  <c r="AF524" i="1"/>
  <c r="AE524" i="1"/>
  <c r="AD524" i="1"/>
  <c r="Z524" i="1"/>
  <c r="P524" i="1"/>
  <c r="BF524" i="1" s="1"/>
  <c r="L524" i="1"/>
  <c r="BW522" i="1"/>
  <c r="BJ522" i="1"/>
  <c r="BD522" i="1"/>
  <c r="AP522" i="1"/>
  <c r="AX522" i="1" s="1"/>
  <c r="AO522" i="1"/>
  <c r="BH522" i="1" s="1"/>
  <c r="AB522" i="1" s="1"/>
  <c r="AK522" i="1"/>
  <c r="AJ522" i="1"/>
  <c r="AH522" i="1"/>
  <c r="AG522" i="1"/>
  <c r="AF522" i="1"/>
  <c r="AE522" i="1"/>
  <c r="AD522" i="1"/>
  <c r="Z522" i="1"/>
  <c r="P522" i="1"/>
  <c r="BF522" i="1" s="1"/>
  <c r="L522" i="1"/>
  <c r="AL522" i="1" s="1"/>
  <c r="BW521" i="1"/>
  <c r="BJ521" i="1"/>
  <c r="BD521" i="1"/>
  <c r="AP521" i="1"/>
  <c r="BI521" i="1" s="1"/>
  <c r="AC521" i="1" s="1"/>
  <c r="AO521" i="1"/>
  <c r="BH521" i="1" s="1"/>
  <c r="AB521" i="1" s="1"/>
  <c r="AK521" i="1"/>
  <c r="AJ521" i="1"/>
  <c r="AH521" i="1"/>
  <c r="AG521" i="1"/>
  <c r="AF521" i="1"/>
  <c r="AE521" i="1"/>
  <c r="AD521" i="1"/>
  <c r="Z521" i="1"/>
  <c r="P521" i="1"/>
  <c r="BF521" i="1" s="1"/>
  <c r="L521" i="1"/>
  <c r="AL521" i="1" s="1"/>
  <c r="BW520" i="1"/>
  <c r="BJ520" i="1"/>
  <c r="BF520" i="1"/>
  <c r="BD520" i="1"/>
  <c r="AP520" i="1"/>
  <c r="AX520" i="1" s="1"/>
  <c r="AO520" i="1"/>
  <c r="BH520" i="1" s="1"/>
  <c r="AB520" i="1" s="1"/>
  <c r="AK520" i="1"/>
  <c r="AJ520" i="1"/>
  <c r="AH520" i="1"/>
  <c r="AG520" i="1"/>
  <c r="AF520" i="1"/>
  <c r="AE520" i="1"/>
  <c r="AD520" i="1"/>
  <c r="Z520" i="1"/>
  <c r="P520" i="1"/>
  <c r="L520" i="1"/>
  <c r="K520" i="1"/>
  <c r="BW519" i="1"/>
  <c r="BJ519" i="1"/>
  <c r="BD519" i="1"/>
  <c r="AP519" i="1"/>
  <c r="BI519" i="1" s="1"/>
  <c r="AC519" i="1" s="1"/>
  <c r="AO519" i="1"/>
  <c r="BH519" i="1" s="1"/>
  <c r="AB519" i="1" s="1"/>
  <c r="AK519" i="1"/>
  <c r="AJ519" i="1"/>
  <c r="AH519" i="1"/>
  <c r="AG519" i="1"/>
  <c r="AF519" i="1"/>
  <c r="AE519" i="1"/>
  <c r="AD519" i="1"/>
  <c r="Z519" i="1"/>
  <c r="P519" i="1"/>
  <c r="M519" i="1"/>
  <c r="L519" i="1"/>
  <c r="AL519" i="1" s="1"/>
  <c r="BW515" i="1"/>
  <c r="BJ515" i="1"/>
  <c r="BD515" i="1"/>
  <c r="AP515" i="1"/>
  <c r="BI515" i="1" s="1"/>
  <c r="AC515" i="1" s="1"/>
  <c r="AO515" i="1"/>
  <c r="BH515" i="1" s="1"/>
  <c r="AB515" i="1" s="1"/>
  <c r="AK515" i="1"/>
  <c r="AJ515" i="1"/>
  <c r="AH515" i="1"/>
  <c r="AG515" i="1"/>
  <c r="AF515" i="1"/>
  <c r="AE515" i="1"/>
  <c r="AD515" i="1"/>
  <c r="Z515" i="1"/>
  <c r="P515" i="1"/>
  <c r="BF515" i="1" s="1"/>
  <c r="L515" i="1"/>
  <c r="AL515" i="1" s="1"/>
  <c r="K515" i="1"/>
  <c r="BW513" i="1"/>
  <c r="BJ513" i="1"/>
  <c r="BD513" i="1"/>
  <c r="AP513" i="1"/>
  <c r="AX513" i="1" s="1"/>
  <c r="AO513" i="1"/>
  <c r="BH513" i="1" s="1"/>
  <c r="AB513" i="1" s="1"/>
  <c r="AK513" i="1"/>
  <c r="AJ513" i="1"/>
  <c r="AH513" i="1"/>
  <c r="AG513" i="1"/>
  <c r="AF513" i="1"/>
  <c r="AE513" i="1"/>
  <c r="AD513" i="1"/>
  <c r="Z513" i="1"/>
  <c r="P513" i="1"/>
  <c r="BF513" i="1" s="1"/>
  <c r="L513" i="1"/>
  <c r="K513" i="1"/>
  <c r="BW512" i="1"/>
  <c r="BJ512" i="1"/>
  <c r="BD512" i="1"/>
  <c r="AP512" i="1"/>
  <c r="BI512" i="1" s="1"/>
  <c r="AG512" i="1" s="1"/>
  <c r="AO512" i="1"/>
  <c r="BH512" i="1" s="1"/>
  <c r="AF512" i="1" s="1"/>
  <c r="AK512" i="1"/>
  <c r="AJ512" i="1"/>
  <c r="AH512" i="1"/>
  <c r="AE512" i="1"/>
  <c r="AD512" i="1"/>
  <c r="AC512" i="1"/>
  <c r="AB512" i="1"/>
  <c r="Z512" i="1"/>
  <c r="P512" i="1"/>
  <c r="BF512" i="1" s="1"/>
  <c r="L512" i="1"/>
  <c r="BW510" i="1"/>
  <c r="BJ510" i="1"/>
  <c r="BD510" i="1"/>
  <c r="AP510" i="1"/>
  <c r="BI510" i="1" s="1"/>
  <c r="AC510" i="1" s="1"/>
  <c r="AO510" i="1"/>
  <c r="AK510" i="1"/>
  <c r="AJ510" i="1"/>
  <c r="AH510" i="1"/>
  <c r="AG510" i="1"/>
  <c r="AF510" i="1"/>
  <c r="AE510" i="1"/>
  <c r="AD510" i="1"/>
  <c r="Z510" i="1"/>
  <c r="P510" i="1"/>
  <c r="BF510" i="1" s="1"/>
  <c r="L510" i="1"/>
  <c r="AL510" i="1" s="1"/>
  <c r="BW508" i="1"/>
  <c r="BJ508" i="1"/>
  <c r="BD508" i="1"/>
  <c r="AP508" i="1"/>
  <c r="BI508" i="1" s="1"/>
  <c r="AC508" i="1" s="1"/>
  <c r="AO508" i="1"/>
  <c r="AW508" i="1" s="1"/>
  <c r="AK508" i="1"/>
  <c r="AJ508" i="1"/>
  <c r="AH508" i="1"/>
  <c r="AG508" i="1"/>
  <c r="AF508" i="1"/>
  <c r="AE508" i="1"/>
  <c r="AD508" i="1"/>
  <c r="Z508" i="1"/>
  <c r="P508" i="1"/>
  <c r="BF508" i="1" s="1"/>
  <c r="L508" i="1"/>
  <c r="BW506" i="1"/>
  <c r="BJ506" i="1"/>
  <c r="BD506" i="1"/>
  <c r="AP506" i="1"/>
  <c r="K506" i="1" s="1"/>
  <c r="AO506" i="1"/>
  <c r="AK506" i="1"/>
  <c r="AJ506" i="1"/>
  <c r="AH506" i="1"/>
  <c r="AG506" i="1"/>
  <c r="AF506" i="1"/>
  <c r="AE506" i="1"/>
  <c r="AD506" i="1"/>
  <c r="Z506" i="1"/>
  <c r="P506" i="1"/>
  <c r="BF506" i="1" s="1"/>
  <c r="L506" i="1"/>
  <c r="BW504" i="1"/>
  <c r="BJ504" i="1"/>
  <c r="BD504" i="1"/>
  <c r="AP504" i="1"/>
  <c r="AO504" i="1"/>
  <c r="AK504" i="1"/>
  <c r="AJ504" i="1"/>
  <c r="AH504" i="1"/>
  <c r="AG504" i="1"/>
  <c r="AF504" i="1"/>
  <c r="AE504" i="1"/>
  <c r="AD504" i="1"/>
  <c r="Z504" i="1"/>
  <c r="P504" i="1"/>
  <c r="BF504" i="1" s="1"/>
  <c r="L504" i="1"/>
  <c r="AL504" i="1" s="1"/>
  <c r="BW502" i="1"/>
  <c r="BJ502" i="1"/>
  <c r="BD502" i="1"/>
  <c r="AP502" i="1"/>
  <c r="AO502" i="1"/>
  <c r="AK502" i="1"/>
  <c r="AJ502" i="1"/>
  <c r="AH502" i="1"/>
  <c r="AG502" i="1"/>
  <c r="AF502" i="1"/>
  <c r="AE502" i="1"/>
  <c r="AD502" i="1"/>
  <c r="Z502" i="1"/>
  <c r="P502" i="1"/>
  <c r="BF502" i="1" s="1"/>
  <c r="L502" i="1"/>
  <c r="AL502" i="1" s="1"/>
  <c r="BW500" i="1"/>
  <c r="BJ500" i="1"/>
  <c r="BD500" i="1"/>
  <c r="AP500" i="1"/>
  <c r="BI500" i="1" s="1"/>
  <c r="AC500" i="1" s="1"/>
  <c r="AO500" i="1"/>
  <c r="BH500" i="1" s="1"/>
  <c r="AB500" i="1" s="1"/>
  <c r="AK500" i="1"/>
  <c r="AJ500" i="1"/>
  <c r="AH500" i="1"/>
  <c r="AG500" i="1"/>
  <c r="AF500" i="1"/>
  <c r="AE500" i="1"/>
  <c r="AD500" i="1"/>
  <c r="Z500" i="1"/>
  <c r="P500" i="1"/>
  <c r="BF500" i="1" s="1"/>
  <c r="L500" i="1"/>
  <c r="AL500" i="1" s="1"/>
  <c r="K500" i="1"/>
  <c r="BW498" i="1"/>
  <c r="BJ498" i="1"/>
  <c r="BD498" i="1"/>
  <c r="AP498" i="1"/>
  <c r="AX498" i="1" s="1"/>
  <c r="AO498" i="1"/>
  <c r="AK498" i="1"/>
  <c r="AJ498" i="1"/>
  <c r="AH498" i="1"/>
  <c r="AG498" i="1"/>
  <c r="AF498" i="1"/>
  <c r="AE498" i="1"/>
  <c r="AD498" i="1"/>
  <c r="Z498" i="1"/>
  <c r="P498" i="1"/>
  <c r="BF498" i="1" s="1"/>
  <c r="L498" i="1"/>
  <c r="BW496" i="1"/>
  <c r="BJ496" i="1"/>
  <c r="BD496" i="1"/>
  <c r="AP496" i="1"/>
  <c r="BI496" i="1" s="1"/>
  <c r="AC496" i="1" s="1"/>
  <c r="AO496" i="1"/>
  <c r="BH496" i="1" s="1"/>
  <c r="AB496" i="1" s="1"/>
  <c r="AK496" i="1"/>
  <c r="AJ496" i="1"/>
  <c r="AH496" i="1"/>
  <c r="AG496" i="1"/>
  <c r="AF496" i="1"/>
  <c r="AE496" i="1"/>
  <c r="AD496" i="1"/>
  <c r="Z496" i="1"/>
  <c r="P496" i="1"/>
  <c r="BF496" i="1" s="1"/>
  <c r="L496" i="1"/>
  <c r="AL496" i="1" s="1"/>
  <c r="J496" i="1"/>
  <c r="BW495" i="1"/>
  <c r="BJ495" i="1"/>
  <c r="BD495" i="1"/>
  <c r="AP495" i="1"/>
  <c r="BI495" i="1" s="1"/>
  <c r="AC495" i="1" s="1"/>
  <c r="AO495" i="1"/>
  <c r="AK495" i="1"/>
  <c r="AJ495" i="1"/>
  <c r="AH495" i="1"/>
  <c r="AG495" i="1"/>
  <c r="AF495" i="1"/>
  <c r="AE495" i="1"/>
  <c r="AD495" i="1"/>
  <c r="Z495" i="1"/>
  <c r="P495" i="1"/>
  <c r="BF495" i="1" s="1"/>
  <c r="L495" i="1"/>
  <c r="AL495" i="1" s="1"/>
  <c r="BW493" i="1"/>
  <c r="BJ493" i="1"/>
  <c r="BD493" i="1"/>
  <c r="AP493" i="1"/>
  <c r="BI493" i="1" s="1"/>
  <c r="AC493" i="1" s="1"/>
  <c r="AO493" i="1"/>
  <c r="AW493" i="1" s="1"/>
  <c r="AK493" i="1"/>
  <c r="AJ493" i="1"/>
  <c r="AH493" i="1"/>
  <c r="AG493" i="1"/>
  <c r="AF493" i="1"/>
  <c r="AE493" i="1"/>
  <c r="AD493" i="1"/>
  <c r="Z493" i="1"/>
  <c r="P493" i="1"/>
  <c r="BF493" i="1" s="1"/>
  <c r="L493" i="1"/>
  <c r="AL493" i="1" s="1"/>
  <c r="BW491" i="1"/>
  <c r="BJ491" i="1"/>
  <c r="BD491" i="1"/>
  <c r="AX491" i="1"/>
  <c r="AW491" i="1"/>
  <c r="AP491" i="1"/>
  <c r="K491" i="1" s="1"/>
  <c r="AO491" i="1"/>
  <c r="BH491" i="1" s="1"/>
  <c r="AB491" i="1" s="1"/>
  <c r="AK491" i="1"/>
  <c r="AJ491" i="1"/>
  <c r="AH491" i="1"/>
  <c r="AG491" i="1"/>
  <c r="AF491" i="1"/>
  <c r="AE491" i="1"/>
  <c r="AD491" i="1"/>
  <c r="Z491" i="1"/>
  <c r="P491" i="1"/>
  <c r="L491" i="1"/>
  <c r="BW489" i="1"/>
  <c r="BJ489" i="1"/>
  <c r="BI489" i="1"/>
  <c r="AC489" i="1" s="1"/>
  <c r="BD489" i="1"/>
  <c r="AP489" i="1"/>
  <c r="AX489" i="1" s="1"/>
  <c r="AO489" i="1"/>
  <c r="AK489" i="1"/>
  <c r="AJ489" i="1"/>
  <c r="AH489" i="1"/>
  <c r="AG489" i="1"/>
  <c r="AF489" i="1"/>
  <c r="AE489" i="1"/>
  <c r="AD489" i="1"/>
  <c r="Z489" i="1"/>
  <c r="P489" i="1"/>
  <c r="BF489" i="1" s="1"/>
  <c r="L489" i="1"/>
  <c r="AL489" i="1" s="1"/>
  <c r="BW486" i="1"/>
  <c r="BJ486" i="1"/>
  <c r="BD486" i="1"/>
  <c r="AP486" i="1"/>
  <c r="BI486" i="1" s="1"/>
  <c r="AC486" i="1" s="1"/>
  <c r="AO486" i="1"/>
  <c r="AK486" i="1"/>
  <c r="AJ486" i="1"/>
  <c r="AH486" i="1"/>
  <c r="AG486" i="1"/>
  <c r="AF486" i="1"/>
  <c r="AE486" i="1"/>
  <c r="AD486" i="1"/>
  <c r="Z486" i="1"/>
  <c r="P486" i="1"/>
  <c r="BF486" i="1" s="1"/>
  <c r="L486" i="1"/>
  <c r="BW484" i="1"/>
  <c r="BJ484" i="1"/>
  <c r="BD484" i="1"/>
  <c r="AP484" i="1"/>
  <c r="K484" i="1" s="1"/>
  <c r="AO484" i="1"/>
  <c r="AK484" i="1"/>
  <c r="AJ484" i="1"/>
  <c r="AH484" i="1"/>
  <c r="AG484" i="1"/>
  <c r="AF484" i="1"/>
  <c r="AE484" i="1"/>
  <c r="AD484" i="1"/>
  <c r="Z484" i="1"/>
  <c r="P484" i="1"/>
  <c r="L484" i="1"/>
  <c r="BW483" i="1"/>
  <c r="BJ483" i="1"/>
  <c r="BD483" i="1"/>
  <c r="AP483" i="1"/>
  <c r="AO483" i="1"/>
  <c r="BH483" i="1" s="1"/>
  <c r="AB483" i="1" s="1"/>
  <c r="AK483" i="1"/>
  <c r="AJ483" i="1"/>
  <c r="AH483" i="1"/>
  <c r="AG483" i="1"/>
  <c r="AF483" i="1"/>
  <c r="AE483" i="1"/>
  <c r="AD483" i="1"/>
  <c r="Z483" i="1"/>
  <c r="P483" i="1"/>
  <c r="BF483" i="1" s="1"/>
  <c r="L483" i="1"/>
  <c r="BW480" i="1"/>
  <c r="BJ480" i="1"/>
  <c r="BD480" i="1"/>
  <c r="AP480" i="1"/>
  <c r="AO480" i="1"/>
  <c r="AK480" i="1"/>
  <c r="AT479" i="1" s="1"/>
  <c r="AJ480" i="1"/>
  <c r="AS479" i="1" s="1"/>
  <c r="AH480" i="1"/>
  <c r="AG480" i="1"/>
  <c r="AF480" i="1"/>
  <c r="AE480" i="1"/>
  <c r="AD480" i="1"/>
  <c r="Z480" i="1"/>
  <c r="P480" i="1"/>
  <c r="P479" i="1" s="1"/>
  <c r="G33" i="2" s="1"/>
  <c r="L480" i="1"/>
  <c r="BW477" i="1"/>
  <c r="BJ477" i="1"/>
  <c r="BD477" i="1"/>
  <c r="AP477" i="1"/>
  <c r="BI477" i="1" s="1"/>
  <c r="AE477" i="1" s="1"/>
  <c r="AO477" i="1"/>
  <c r="AK477" i="1"/>
  <c r="AJ477" i="1"/>
  <c r="AH477" i="1"/>
  <c r="AG477" i="1"/>
  <c r="AF477" i="1"/>
  <c r="AC477" i="1"/>
  <c r="AB477" i="1"/>
  <c r="Z477" i="1"/>
  <c r="P477" i="1"/>
  <c r="BF477" i="1" s="1"/>
  <c r="L477" i="1"/>
  <c r="M477" i="1" s="1"/>
  <c r="BW476" i="1"/>
  <c r="BJ476" i="1"/>
  <c r="BD476" i="1"/>
  <c r="AP476" i="1"/>
  <c r="K476" i="1" s="1"/>
  <c r="AO476" i="1"/>
  <c r="BH476" i="1" s="1"/>
  <c r="AD476" i="1" s="1"/>
  <c r="AK476" i="1"/>
  <c r="AJ476" i="1"/>
  <c r="AH476" i="1"/>
  <c r="AG476" i="1"/>
  <c r="AF476" i="1"/>
  <c r="AC476" i="1"/>
  <c r="AB476" i="1"/>
  <c r="Z476" i="1"/>
  <c r="P476" i="1"/>
  <c r="P475" i="1" s="1"/>
  <c r="G32" i="2" s="1"/>
  <c r="L476" i="1"/>
  <c r="BW473" i="1"/>
  <c r="BJ473" i="1"/>
  <c r="BD473" i="1"/>
  <c r="AP473" i="1"/>
  <c r="AO473" i="1"/>
  <c r="AW473" i="1" s="1"/>
  <c r="AK473" i="1"/>
  <c r="AJ473" i="1"/>
  <c r="AH473" i="1"/>
  <c r="AG473" i="1"/>
  <c r="AF473" i="1"/>
  <c r="AC473" i="1"/>
  <c r="AB473" i="1"/>
  <c r="Z473" i="1"/>
  <c r="P473" i="1"/>
  <c r="BF473" i="1" s="1"/>
  <c r="L473" i="1"/>
  <c r="BW472" i="1"/>
  <c r="BJ472" i="1"/>
  <c r="BD472" i="1"/>
  <c r="AP472" i="1"/>
  <c r="AO472" i="1"/>
  <c r="J472" i="1" s="1"/>
  <c r="AK472" i="1"/>
  <c r="AJ472" i="1"/>
  <c r="AH472" i="1"/>
  <c r="AG472" i="1"/>
  <c r="AF472" i="1"/>
  <c r="AC472" i="1"/>
  <c r="AB472" i="1"/>
  <c r="Z472" i="1"/>
  <c r="P472" i="1"/>
  <c r="BF472" i="1" s="1"/>
  <c r="L472" i="1"/>
  <c r="AL472" i="1" s="1"/>
  <c r="BW470" i="1"/>
  <c r="BJ470" i="1"/>
  <c r="BD470" i="1"/>
  <c r="AP470" i="1"/>
  <c r="BI470" i="1" s="1"/>
  <c r="AE470" i="1" s="1"/>
  <c r="AO470" i="1"/>
  <c r="AK470" i="1"/>
  <c r="AJ470" i="1"/>
  <c r="AH470" i="1"/>
  <c r="AG470" i="1"/>
  <c r="AF470" i="1"/>
  <c r="AC470" i="1"/>
  <c r="AB470" i="1"/>
  <c r="Z470" i="1"/>
  <c r="P470" i="1"/>
  <c r="BF470" i="1" s="1"/>
  <c r="L470" i="1"/>
  <c r="BW468" i="1"/>
  <c r="BJ468" i="1"/>
  <c r="BD468" i="1"/>
  <c r="AP468" i="1"/>
  <c r="AO468" i="1"/>
  <c r="AW468" i="1" s="1"/>
  <c r="AK468" i="1"/>
  <c r="AJ468" i="1"/>
  <c r="AH468" i="1"/>
  <c r="AG468" i="1"/>
  <c r="AF468" i="1"/>
  <c r="AC468" i="1"/>
  <c r="AB468" i="1"/>
  <c r="Z468" i="1"/>
  <c r="P468" i="1"/>
  <c r="BF468" i="1" s="1"/>
  <c r="L468" i="1"/>
  <c r="M468" i="1" s="1"/>
  <c r="BW467" i="1"/>
  <c r="BJ467" i="1"/>
  <c r="BD467" i="1"/>
  <c r="AP467" i="1"/>
  <c r="AO467" i="1"/>
  <c r="BH467" i="1" s="1"/>
  <c r="AD467" i="1" s="1"/>
  <c r="AK467" i="1"/>
  <c r="AJ467" i="1"/>
  <c r="AH467" i="1"/>
  <c r="AG467" i="1"/>
  <c r="AF467" i="1"/>
  <c r="AC467" i="1"/>
  <c r="AB467" i="1"/>
  <c r="Z467" i="1"/>
  <c r="P467" i="1"/>
  <c r="BF467" i="1" s="1"/>
  <c r="L467" i="1"/>
  <c r="BW464" i="1"/>
  <c r="BJ464" i="1"/>
  <c r="BD464" i="1"/>
  <c r="AP464" i="1"/>
  <c r="AO464" i="1"/>
  <c r="BH464" i="1" s="1"/>
  <c r="AD464" i="1" s="1"/>
  <c r="AK464" i="1"/>
  <c r="AJ464" i="1"/>
  <c r="AH464" i="1"/>
  <c r="AG464" i="1"/>
  <c r="AF464" i="1"/>
  <c r="AC464" i="1"/>
  <c r="AB464" i="1"/>
  <c r="Z464" i="1"/>
  <c r="P464" i="1"/>
  <c r="BF464" i="1" s="1"/>
  <c r="L464" i="1"/>
  <c r="AL464" i="1" s="1"/>
  <c r="BW462" i="1"/>
  <c r="BJ462" i="1"/>
  <c r="BD462" i="1"/>
  <c r="AP462" i="1"/>
  <c r="BI462" i="1" s="1"/>
  <c r="AE462" i="1" s="1"/>
  <c r="AO462" i="1"/>
  <c r="AW462" i="1" s="1"/>
  <c r="AK462" i="1"/>
  <c r="AT461" i="1" s="1"/>
  <c r="AJ462" i="1"/>
  <c r="AH462" i="1"/>
  <c r="AG462" i="1"/>
  <c r="AF462" i="1"/>
  <c r="AC462" i="1"/>
  <c r="AB462" i="1"/>
  <c r="Z462" i="1"/>
  <c r="P462" i="1"/>
  <c r="L462" i="1"/>
  <c r="BW459" i="1"/>
  <c r="BJ459" i="1"/>
  <c r="BD459" i="1"/>
  <c r="AP459" i="1"/>
  <c r="BI459" i="1" s="1"/>
  <c r="AE459" i="1" s="1"/>
  <c r="AO459" i="1"/>
  <c r="BH459" i="1" s="1"/>
  <c r="AD459" i="1" s="1"/>
  <c r="AK459" i="1"/>
  <c r="AJ459" i="1"/>
  <c r="AH459" i="1"/>
  <c r="AG459" i="1"/>
  <c r="AF459" i="1"/>
  <c r="AC459" i="1"/>
  <c r="AB459" i="1"/>
  <c r="Z459" i="1"/>
  <c r="P459" i="1"/>
  <c r="BF459" i="1" s="1"/>
  <c r="L459" i="1"/>
  <c r="BW458" i="1"/>
  <c r="BJ458" i="1"/>
  <c r="BD458" i="1"/>
  <c r="AP458" i="1"/>
  <c r="AO458" i="1"/>
  <c r="AK458" i="1"/>
  <c r="AJ458" i="1"/>
  <c r="AH458" i="1"/>
  <c r="AG458" i="1"/>
  <c r="AF458" i="1"/>
  <c r="AC458" i="1"/>
  <c r="AB458" i="1"/>
  <c r="Z458" i="1"/>
  <c r="P458" i="1"/>
  <c r="BF458" i="1" s="1"/>
  <c r="L458" i="1"/>
  <c r="M458" i="1" s="1"/>
  <c r="BW457" i="1"/>
  <c r="BJ457" i="1"/>
  <c r="BD457" i="1"/>
  <c r="AP457" i="1"/>
  <c r="AO457" i="1"/>
  <c r="AW457" i="1" s="1"/>
  <c r="AL457" i="1"/>
  <c r="AK457" i="1"/>
  <c r="AJ457" i="1"/>
  <c r="AH457" i="1"/>
  <c r="AG457" i="1"/>
  <c r="AF457" i="1"/>
  <c r="AC457" i="1"/>
  <c r="AB457" i="1"/>
  <c r="Z457" i="1"/>
  <c r="P457" i="1"/>
  <c r="BF457" i="1" s="1"/>
  <c r="L457" i="1"/>
  <c r="M457" i="1" s="1"/>
  <c r="BW455" i="1"/>
  <c r="BJ455" i="1"/>
  <c r="BD455" i="1"/>
  <c r="AP455" i="1"/>
  <c r="AO455" i="1"/>
  <c r="BH455" i="1" s="1"/>
  <c r="AD455" i="1" s="1"/>
  <c r="AK455" i="1"/>
  <c r="AJ455" i="1"/>
  <c r="AH455" i="1"/>
  <c r="AG455" i="1"/>
  <c r="AF455" i="1"/>
  <c r="AC455" i="1"/>
  <c r="AB455" i="1"/>
  <c r="Z455" i="1"/>
  <c r="P455" i="1"/>
  <c r="BF455" i="1" s="1"/>
  <c r="L455" i="1"/>
  <c r="J455" i="1"/>
  <c r="BW453" i="1"/>
  <c r="BJ453" i="1"/>
  <c r="BD453" i="1"/>
  <c r="AP453" i="1"/>
  <c r="AO453" i="1"/>
  <c r="BH453" i="1" s="1"/>
  <c r="AD453" i="1" s="1"/>
  <c r="AK453" i="1"/>
  <c r="AJ453" i="1"/>
  <c r="AH453" i="1"/>
  <c r="AG453" i="1"/>
  <c r="AF453" i="1"/>
  <c r="AC453" i="1"/>
  <c r="AB453" i="1"/>
  <c r="Z453" i="1"/>
  <c r="P453" i="1"/>
  <c r="BF453" i="1" s="1"/>
  <c r="L453" i="1"/>
  <c r="AL453" i="1" s="1"/>
  <c r="BW451" i="1"/>
  <c r="BJ451" i="1"/>
  <c r="BD451" i="1"/>
  <c r="AP451" i="1"/>
  <c r="BI451" i="1" s="1"/>
  <c r="AE451" i="1" s="1"/>
  <c r="AO451" i="1"/>
  <c r="BH451" i="1" s="1"/>
  <c r="AD451" i="1" s="1"/>
  <c r="AK451" i="1"/>
  <c r="AJ451" i="1"/>
  <c r="AH451" i="1"/>
  <c r="AG451" i="1"/>
  <c r="AF451" i="1"/>
  <c r="AC451" i="1"/>
  <c r="AB451" i="1"/>
  <c r="Z451" i="1"/>
  <c r="P451" i="1"/>
  <c r="BF451" i="1" s="1"/>
  <c r="L451" i="1"/>
  <c r="AL451" i="1" s="1"/>
  <c r="BW449" i="1"/>
  <c r="BJ449" i="1"/>
  <c r="BD449" i="1"/>
  <c r="AP449" i="1"/>
  <c r="AO449" i="1"/>
  <c r="BH449" i="1" s="1"/>
  <c r="AD449" i="1" s="1"/>
  <c r="AK449" i="1"/>
  <c r="AJ449" i="1"/>
  <c r="AH449" i="1"/>
  <c r="AG449" i="1"/>
  <c r="AF449" i="1"/>
  <c r="AC449" i="1"/>
  <c r="AB449" i="1"/>
  <c r="Z449" i="1"/>
  <c r="P449" i="1"/>
  <c r="BF449" i="1" s="1"/>
  <c r="L449" i="1"/>
  <c r="AL449" i="1" s="1"/>
  <c r="BW446" i="1"/>
  <c r="BJ446" i="1"/>
  <c r="BD446" i="1"/>
  <c r="AP446" i="1"/>
  <c r="AX446" i="1" s="1"/>
  <c r="AO446" i="1"/>
  <c r="BH446" i="1" s="1"/>
  <c r="AD446" i="1" s="1"/>
  <c r="AK446" i="1"/>
  <c r="AJ446" i="1"/>
  <c r="AH446" i="1"/>
  <c r="AG446" i="1"/>
  <c r="AF446" i="1"/>
  <c r="AC446" i="1"/>
  <c r="AB446" i="1"/>
  <c r="Z446" i="1"/>
  <c r="P446" i="1"/>
  <c r="BF446" i="1" s="1"/>
  <c r="L446" i="1"/>
  <c r="K446" i="1"/>
  <c r="BW444" i="1"/>
  <c r="BJ444" i="1"/>
  <c r="BD444" i="1"/>
  <c r="AP444" i="1"/>
  <c r="AO444" i="1"/>
  <c r="AK444" i="1"/>
  <c r="AJ444" i="1"/>
  <c r="AH444" i="1"/>
  <c r="AG444" i="1"/>
  <c r="AF444" i="1"/>
  <c r="AC444" i="1"/>
  <c r="AB444" i="1"/>
  <c r="Z444" i="1"/>
  <c r="P444" i="1"/>
  <c r="BF444" i="1" s="1"/>
  <c r="L444" i="1"/>
  <c r="AL444" i="1" s="1"/>
  <c r="BW442" i="1"/>
  <c r="BJ442" i="1"/>
  <c r="BD442" i="1"/>
  <c r="AP442" i="1"/>
  <c r="BI442" i="1" s="1"/>
  <c r="AE442" i="1" s="1"/>
  <c r="AO442" i="1"/>
  <c r="AK442" i="1"/>
  <c r="AJ442" i="1"/>
  <c r="AH442" i="1"/>
  <c r="AG442" i="1"/>
  <c r="AF442" i="1"/>
  <c r="AC442" i="1"/>
  <c r="AB442" i="1"/>
  <c r="Z442" i="1"/>
  <c r="P442" i="1"/>
  <c r="BF442" i="1" s="1"/>
  <c r="L442" i="1"/>
  <c r="AL442" i="1" s="1"/>
  <c r="BW440" i="1"/>
  <c r="BJ440" i="1"/>
  <c r="BD440" i="1"/>
  <c r="AP440" i="1"/>
  <c r="AX440" i="1" s="1"/>
  <c r="AO440" i="1"/>
  <c r="AK440" i="1"/>
  <c r="AJ440" i="1"/>
  <c r="AH440" i="1"/>
  <c r="AG440" i="1"/>
  <c r="AF440" i="1"/>
  <c r="AC440" i="1"/>
  <c r="AB440" i="1"/>
  <c r="Z440" i="1"/>
  <c r="P440" i="1"/>
  <c r="BF440" i="1" s="1"/>
  <c r="L440" i="1"/>
  <c r="BW438" i="1"/>
  <c r="BJ438" i="1"/>
  <c r="BD438" i="1"/>
  <c r="AP438" i="1"/>
  <c r="BI438" i="1" s="1"/>
  <c r="AE438" i="1" s="1"/>
  <c r="AO438" i="1"/>
  <c r="AK438" i="1"/>
  <c r="AJ438" i="1"/>
  <c r="AH438" i="1"/>
  <c r="AG438" i="1"/>
  <c r="AF438" i="1"/>
  <c r="AC438" i="1"/>
  <c r="AB438" i="1"/>
  <c r="Z438" i="1"/>
  <c r="P438" i="1"/>
  <c r="BF438" i="1" s="1"/>
  <c r="L438" i="1"/>
  <c r="AL438" i="1" s="1"/>
  <c r="BW436" i="1"/>
  <c r="BJ436" i="1"/>
  <c r="BD436" i="1"/>
  <c r="AP436" i="1"/>
  <c r="AO436" i="1"/>
  <c r="AK436" i="1"/>
  <c r="AJ436" i="1"/>
  <c r="AH436" i="1"/>
  <c r="AG436" i="1"/>
  <c r="AF436" i="1"/>
  <c r="AC436" i="1"/>
  <c r="AB436" i="1"/>
  <c r="Z436" i="1"/>
  <c r="P436" i="1"/>
  <c r="BF436" i="1" s="1"/>
  <c r="L436" i="1"/>
  <c r="BW435" i="1"/>
  <c r="BJ435" i="1"/>
  <c r="BD435" i="1"/>
  <c r="AP435" i="1"/>
  <c r="BI435" i="1" s="1"/>
  <c r="AE435" i="1" s="1"/>
  <c r="AO435" i="1"/>
  <c r="AW435" i="1" s="1"/>
  <c r="AK435" i="1"/>
  <c r="AJ435" i="1"/>
  <c r="AH435" i="1"/>
  <c r="AG435" i="1"/>
  <c r="AF435" i="1"/>
  <c r="AC435" i="1"/>
  <c r="AB435" i="1"/>
  <c r="Z435" i="1"/>
  <c r="P435" i="1"/>
  <c r="BF435" i="1" s="1"/>
  <c r="L435" i="1"/>
  <c r="M435" i="1" s="1"/>
  <c r="BW434" i="1"/>
  <c r="BJ434" i="1"/>
  <c r="BD434" i="1"/>
  <c r="AP434" i="1"/>
  <c r="BI434" i="1" s="1"/>
  <c r="AE434" i="1" s="1"/>
  <c r="AO434" i="1"/>
  <c r="BH434" i="1" s="1"/>
  <c r="AD434" i="1" s="1"/>
  <c r="AK434" i="1"/>
  <c r="AJ434" i="1"/>
  <c r="AH434" i="1"/>
  <c r="AG434" i="1"/>
  <c r="AF434" i="1"/>
  <c r="AC434" i="1"/>
  <c r="AB434" i="1"/>
  <c r="Z434" i="1"/>
  <c r="P434" i="1"/>
  <c r="BF434" i="1" s="1"/>
  <c r="L434" i="1"/>
  <c r="BW432" i="1"/>
  <c r="BJ432" i="1"/>
  <c r="BD432" i="1"/>
  <c r="AP432" i="1"/>
  <c r="AX432" i="1" s="1"/>
  <c r="AO432" i="1"/>
  <c r="AK432" i="1"/>
  <c r="AJ432" i="1"/>
  <c r="AH432" i="1"/>
  <c r="AG432" i="1"/>
  <c r="AF432" i="1"/>
  <c r="AC432" i="1"/>
  <c r="AB432" i="1"/>
  <c r="Z432" i="1"/>
  <c r="P432" i="1"/>
  <c r="BF432" i="1" s="1"/>
  <c r="L432" i="1"/>
  <c r="AL432" i="1" s="1"/>
  <c r="BW430" i="1"/>
  <c r="BJ430" i="1"/>
  <c r="BD430" i="1"/>
  <c r="AP430" i="1"/>
  <c r="BI430" i="1" s="1"/>
  <c r="AE430" i="1" s="1"/>
  <c r="AO430" i="1"/>
  <c r="AW430" i="1" s="1"/>
  <c r="AK430" i="1"/>
  <c r="AJ430" i="1"/>
  <c r="AH430" i="1"/>
  <c r="AG430" i="1"/>
  <c r="AF430" i="1"/>
  <c r="AC430" i="1"/>
  <c r="AB430" i="1"/>
  <c r="Z430" i="1"/>
  <c r="P430" i="1"/>
  <c r="BF430" i="1" s="1"/>
  <c r="L430" i="1"/>
  <c r="AL430" i="1" s="1"/>
  <c r="BW428" i="1"/>
  <c r="BJ428" i="1"/>
  <c r="BD428" i="1"/>
  <c r="AP428" i="1"/>
  <c r="BI428" i="1" s="1"/>
  <c r="AE428" i="1" s="1"/>
  <c r="AO428" i="1"/>
  <c r="BH428" i="1" s="1"/>
  <c r="AD428" i="1" s="1"/>
  <c r="AK428" i="1"/>
  <c r="AJ428" i="1"/>
  <c r="AH428" i="1"/>
  <c r="AG428" i="1"/>
  <c r="AF428" i="1"/>
  <c r="AC428" i="1"/>
  <c r="AB428" i="1"/>
  <c r="Z428" i="1"/>
  <c r="P428" i="1"/>
  <c r="BF428" i="1" s="1"/>
  <c r="L428" i="1"/>
  <c r="AL428" i="1" s="1"/>
  <c r="K428" i="1"/>
  <c r="BW426" i="1"/>
  <c r="BJ426" i="1"/>
  <c r="BD426" i="1"/>
  <c r="AP426" i="1"/>
  <c r="AX426" i="1" s="1"/>
  <c r="AO426" i="1"/>
  <c r="AK426" i="1"/>
  <c r="AJ426" i="1"/>
  <c r="AH426" i="1"/>
  <c r="AG426" i="1"/>
  <c r="AF426" i="1"/>
  <c r="AC426" i="1"/>
  <c r="AB426" i="1"/>
  <c r="Z426" i="1"/>
  <c r="P426" i="1"/>
  <c r="BF426" i="1" s="1"/>
  <c r="L426" i="1"/>
  <c r="BW424" i="1"/>
  <c r="BJ424" i="1"/>
  <c r="BD424" i="1"/>
  <c r="AP424" i="1"/>
  <c r="BI424" i="1" s="1"/>
  <c r="AE424" i="1" s="1"/>
  <c r="AO424" i="1"/>
  <c r="AK424" i="1"/>
  <c r="AJ424" i="1"/>
  <c r="AH424" i="1"/>
  <c r="AG424" i="1"/>
  <c r="AF424" i="1"/>
  <c r="AC424" i="1"/>
  <c r="AB424" i="1"/>
  <c r="Z424" i="1"/>
  <c r="P424" i="1"/>
  <c r="BF424" i="1" s="1"/>
  <c r="L424" i="1"/>
  <c r="AL424" i="1" s="1"/>
  <c r="K424" i="1"/>
  <c r="BW423" i="1"/>
  <c r="BJ423" i="1"/>
  <c r="BD423" i="1"/>
  <c r="AP423" i="1"/>
  <c r="BI423" i="1" s="1"/>
  <c r="AE423" i="1" s="1"/>
  <c r="AO423" i="1"/>
  <c r="J423" i="1" s="1"/>
  <c r="AK423" i="1"/>
  <c r="AJ423" i="1"/>
  <c r="AH423" i="1"/>
  <c r="AG423" i="1"/>
  <c r="AF423" i="1"/>
  <c r="AC423" i="1"/>
  <c r="AB423" i="1"/>
  <c r="Z423" i="1"/>
  <c r="P423" i="1"/>
  <c r="BF423" i="1" s="1"/>
  <c r="L423" i="1"/>
  <c r="BW422" i="1"/>
  <c r="BJ422" i="1"/>
  <c r="BD422" i="1"/>
  <c r="AP422" i="1"/>
  <c r="AO422" i="1"/>
  <c r="AK422" i="1"/>
  <c r="AJ422" i="1"/>
  <c r="AH422" i="1"/>
  <c r="AG422" i="1"/>
  <c r="AF422" i="1"/>
  <c r="AC422" i="1"/>
  <c r="AB422" i="1"/>
  <c r="Z422" i="1"/>
  <c r="P422" i="1"/>
  <c r="BF422" i="1" s="1"/>
  <c r="L422" i="1"/>
  <c r="M422" i="1" s="1"/>
  <c r="BW420" i="1"/>
  <c r="BJ420" i="1"/>
  <c r="BD420" i="1"/>
  <c r="AP420" i="1"/>
  <c r="BI420" i="1" s="1"/>
  <c r="AE420" i="1" s="1"/>
  <c r="AO420" i="1"/>
  <c r="BH420" i="1" s="1"/>
  <c r="AD420" i="1" s="1"/>
  <c r="AK420" i="1"/>
  <c r="AJ420" i="1"/>
  <c r="AH420" i="1"/>
  <c r="AG420" i="1"/>
  <c r="AF420" i="1"/>
  <c r="AC420" i="1"/>
  <c r="AB420" i="1"/>
  <c r="Z420" i="1"/>
  <c r="P420" i="1"/>
  <c r="BF420" i="1" s="1"/>
  <c r="L420" i="1"/>
  <c r="BW419" i="1"/>
  <c r="BJ419" i="1"/>
  <c r="BD419" i="1"/>
  <c r="AP419" i="1"/>
  <c r="AX419" i="1" s="1"/>
  <c r="AO419" i="1"/>
  <c r="BH419" i="1" s="1"/>
  <c r="AD419" i="1" s="1"/>
  <c r="AK419" i="1"/>
  <c r="AJ419" i="1"/>
  <c r="AH419" i="1"/>
  <c r="AG419" i="1"/>
  <c r="AF419" i="1"/>
  <c r="AC419" i="1"/>
  <c r="AB419" i="1"/>
  <c r="Z419" i="1"/>
  <c r="P419" i="1"/>
  <c r="BF419" i="1" s="1"/>
  <c r="L419" i="1"/>
  <c r="K419" i="1"/>
  <c r="BW418" i="1"/>
  <c r="BJ418" i="1"/>
  <c r="BD418" i="1"/>
  <c r="AP418" i="1"/>
  <c r="AX418" i="1" s="1"/>
  <c r="AO418" i="1"/>
  <c r="J418" i="1" s="1"/>
  <c r="AK418" i="1"/>
  <c r="AJ418" i="1"/>
  <c r="AH418" i="1"/>
  <c r="AG418" i="1"/>
  <c r="AF418" i="1"/>
  <c r="AC418" i="1"/>
  <c r="AB418" i="1"/>
  <c r="Z418" i="1"/>
  <c r="P418" i="1"/>
  <c r="BF418" i="1" s="1"/>
  <c r="L418" i="1"/>
  <c r="AL418" i="1" s="1"/>
  <c r="BW416" i="1"/>
  <c r="BJ416" i="1"/>
  <c r="BD416" i="1"/>
  <c r="AP416" i="1"/>
  <c r="AO416" i="1"/>
  <c r="J416" i="1" s="1"/>
  <c r="AK416" i="1"/>
  <c r="AJ416" i="1"/>
  <c r="AH416" i="1"/>
  <c r="AG416" i="1"/>
  <c r="AF416" i="1"/>
  <c r="AC416" i="1"/>
  <c r="AB416" i="1"/>
  <c r="Z416" i="1"/>
  <c r="P416" i="1"/>
  <c r="BF416" i="1" s="1"/>
  <c r="L416" i="1"/>
  <c r="K416" i="1"/>
  <c r="BW415" i="1"/>
  <c r="BJ415" i="1"/>
  <c r="BD415" i="1"/>
  <c r="AP415" i="1"/>
  <c r="AO415" i="1"/>
  <c r="AW415" i="1" s="1"/>
  <c r="AK415" i="1"/>
  <c r="AJ415" i="1"/>
  <c r="AH415" i="1"/>
  <c r="AG415" i="1"/>
  <c r="AF415" i="1"/>
  <c r="AC415" i="1"/>
  <c r="AB415" i="1"/>
  <c r="Z415" i="1"/>
  <c r="P415" i="1"/>
  <c r="BF415" i="1" s="1"/>
  <c r="L415" i="1"/>
  <c r="AL415" i="1" s="1"/>
  <c r="BW414" i="1"/>
  <c r="BJ414" i="1"/>
  <c r="BD414" i="1"/>
  <c r="AP414" i="1"/>
  <c r="BI414" i="1" s="1"/>
  <c r="AE414" i="1" s="1"/>
  <c r="AO414" i="1"/>
  <c r="AK414" i="1"/>
  <c r="AJ414" i="1"/>
  <c r="AH414" i="1"/>
  <c r="AG414" i="1"/>
  <c r="AF414" i="1"/>
  <c r="AC414" i="1"/>
  <c r="AB414" i="1"/>
  <c r="Z414" i="1"/>
  <c r="P414" i="1"/>
  <c r="BF414" i="1" s="1"/>
  <c r="L414" i="1"/>
  <c r="AL414" i="1" s="1"/>
  <c r="BW412" i="1"/>
  <c r="BJ412" i="1"/>
  <c r="BD412" i="1"/>
  <c r="AW412" i="1"/>
  <c r="AP412" i="1"/>
  <c r="AX412" i="1" s="1"/>
  <c r="AO412" i="1"/>
  <c r="J412" i="1" s="1"/>
  <c r="AK412" i="1"/>
  <c r="AJ412" i="1"/>
  <c r="AH412" i="1"/>
  <c r="AG412" i="1"/>
  <c r="AF412" i="1"/>
  <c r="AC412" i="1"/>
  <c r="AB412" i="1"/>
  <c r="Z412" i="1"/>
  <c r="P412" i="1"/>
  <c r="BF412" i="1" s="1"/>
  <c r="L412" i="1"/>
  <c r="BW411" i="1"/>
  <c r="BJ411" i="1"/>
  <c r="BD411" i="1"/>
  <c r="AP411" i="1"/>
  <c r="BI411" i="1" s="1"/>
  <c r="AO411" i="1"/>
  <c r="AW411" i="1" s="1"/>
  <c r="AK411" i="1"/>
  <c r="AJ411" i="1"/>
  <c r="AH411" i="1"/>
  <c r="AG411" i="1"/>
  <c r="AF411" i="1"/>
  <c r="AE411" i="1"/>
  <c r="AC411" i="1"/>
  <c r="AB411" i="1"/>
  <c r="Z411" i="1"/>
  <c r="P411" i="1"/>
  <c r="BF411" i="1" s="1"/>
  <c r="L411" i="1"/>
  <c r="K411" i="1"/>
  <c r="J411" i="1"/>
  <c r="BW409" i="1"/>
  <c r="BJ409" i="1"/>
  <c r="BD409" i="1"/>
  <c r="AP409" i="1"/>
  <c r="K409" i="1" s="1"/>
  <c r="AO409" i="1"/>
  <c r="AK409" i="1"/>
  <c r="AJ409" i="1"/>
  <c r="AH409" i="1"/>
  <c r="AG409" i="1"/>
  <c r="AF409" i="1"/>
  <c r="AC409" i="1"/>
  <c r="AB409" i="1"/>
  <c r="Z409" i="1"/>
  <c r="P409" i="1"/>
  <c r="BF409" i="1" s="1"/>
  <c r="L409" i="1"/>
  <c r="BW407" i="1"/>
  <c r="BJ407" i="1"/>
  <c r="BD407" i="1"/>
  <c r="AP407" i="1"/>
  <c r="AX407" i="1" s="1"/>
  <c r="AO407" i="1"/>
  <c r="AW407" i="1" s="1"/>
  <c r="AK407" i="1"/>
  <c r="AJ407" i="1"/>
  <c r="AH407" i="1"/>
  <c r="AG407" i="1"/>
  <c r="AF407" i="1"/>
  <c r="AC407" i="1"/>
  <c r="AB407" i="1"/>
  <c r="Z407" i="1"/>
  <c r="P407" i="1"/>
  <c r="BF407" i="1" s="1"/>
  <c r="L407" i="1"/>
  <c r="J407" i="1"/>
  <c r="BW405" i="1"/>
  <c r="BJ405" i="1"/>
  <c r="BD405" i="1"/>
  <c r="AP405" i="1"/>
  <c r="AO405" i="1"/>
  <c r="AW405" i="1" s="1"/>
  <c r="AK405" i="1"/>
  <c r="AJ405" i="1"/>
  <c r="AH405" i="1"/>
  <c r="AG405" i="1"/>
  <c r="AF405" i="1"/>
  <c r="AC405" i="1"/>
  <c r="AB405" i="1"/>
  <c r="Z405" i="1"/>
  <c r="P405" i="1"/>
  <c r="BF405" i="1" s="1"/>
  <c r="L405" i="1"/>
  <c r="AL405" i="1" s="1"/>
  <c r="BW404" i="1"/>
  <c r="BJ404" i="1"/>
  <c r="BD404" i="1"/>
  <c r="AP404" i="1"/>
  <c r="BI404" i="1" s="1"/>
  <c r="AE404" i="1" s="1"/>
  <c r="AO404" i="1"/>
  <c r="BH404" i="1" s="1"/>
  <c r="AD404" i="1" s="1"/>
  <c r="AK404" i="1"/>
  <c r="AJ404" i="1"/>
  <c r="AH404" i="1"/>
  <c r="AG404" i="1"/>
  <c r="AF404" i="1"/>
  <c r="AC404" i="1"/>
  <c r="AB404" i="1"/>
  <c r="Z404" i="1"/>
  <c r="P404" i="1"/>
  <c r="BF404" i="1" s="1"/>
  <c r="L404" i="1"/>
  <c r="AL404" i="1" s="1"/>
  <c r="K404" i="1"/>
  <c r="BW403" i="1"/>
  <c r="BJ403" i="1"/>
  <c r="BD403" i="1"/>
  <c r="AP403" i="1"/>
  <c r="AO403" i="1"/>
  <c r="J403" i="1" s="1"/>
  <c r="AK403" i="1"/>
  <c r="AJ403" i="1"/>
  <c r="AH403" i="1"/>
  <c r="AG403" i="1"/>
  <c r="AF403" i="1"/>
  <c r="AC403" i="1"/>
  <c r="AB403" i="1"/>
  <c r="Z403" i="1"/>
  <c r="P403" i="1"/>
  <c r="BF403" i="1" s="1"/>
  <c r="L403" i="1"/>
  <c r="K403" i="1"/>
  <c r="BW402" i="1"/>
  <c r="BJ402" i="1"/>
  <c r="BD402" i="1"/>
  <c r="AP402" i="1"/>
  <c r="K402" i="1" s="1"/>
  <c r="AO402" i="1"/>
  <c r="BH402" i="1" s="1"/>
  <c r="AD402" i="1" s="1"/>
  <c r="AK402" i="1"/>
  <c r="AJ402" i="1"/>
  <c r="AH402" i="1"/>
  <c r="AG402" i="1"/>
  <c r="AF402" i="1"/>
  <c r="AC402" i="1"/>
  <c r="AB402" i="1"/>
  <c r="Z402" i="1"/>
  <c r="P402" i="1"/>
  <c r="BF402" i="1" s="1"/>
  <c r="L402" i="1"/>
  <c r="AL402" i="1" s="1"/>
  <c r="BW401" i="1"/>
  <c r="BJ401" i="1"/>
  <c r="BD401" i="1"/>
  <c r="AP401" i="1"/>
  <c r="BI401" i="1" s="1"/>
  <c r="AE401" i="1" s="1"/>
  <c r="AO401" i="1"/>
  <c r="AW401" i="1" s="1"/>
  <c r="AK401" i="1"/>
  <c r="AJ401" i="1"/>
  <c r="AH401" i="1"/>
  <c r="AG401" i="1"/>
  <c r="AF401" i="1"/>
  <c r="AC401" i="1"/>
  <c r="AB401" i="1"/>
  <c r="Z401" i="1"/>
  <c r="P401" i="1"/>
  <c r="BF401" i="1" s="1"/>
  <c r="L401" i="1"/>
  <c r="BW399" i="1"/>
  <c r="BJ399" i="1"/>
  <c r="BD399" i="1"/>
  <c r="AX399" i="1"/>
  <c r="AP399" i="1"/>
  <c r="BI399" i="1" s="1"/>
  <c r="AE399" i="1" s="1"/>
  <c r="AO399" i="1"/>
  <c r="AK399" i="1"/>
  <c r="AJ399" i="1"/>
  <c r="AH399" i="1"/>
  <c r="AG399" i="1"/>
  <c r="AF399" i="1"/>
  <c r="AC399" i="1"/>
  <c r="AB399" i="1"/>
  <c r="Z399" i="1"/>
  <c r="P399" i="1"/>
  <c r="BF399" i="1" s="1"/>
  <c r="L399" i="1"/>
  <c r="BW397" i="1"/>
  <c r="BJ397" i="1"/>
  <c r="BD397" i="1"/>
  <c r="AP397" i="1"/>
  <c r="AO397" i="1"/>
  <c r="BH397" i="1" s="1"/>
  <c r="AD397" i="1" s="1"/>
  <c r="AK397" i="1"/>
  <c r="AJ397" i="1"/>
  <c r="AH397" i="1"/>
  <c r="AG397" i="1"/>
  <c r="AF397" i="1"/>
  <c r="AC397" i="1"/>
  <c r="AB397" i="1"/>
  <c r="Z397" i="1"/>
  <c r="P397" i="1"/>
  <c r="BF397" i="1" s="1"/>
  <c r="L397" i="1"/>
  <c r="BW394" i="1"/>
  <c r="BJ394" i="1"/>
  <c r="BD394" i="1"/>
  <c r="AP394" i="1"/>
  <c r="BI394" i="1" s="1"/>
  <c r="AE394" i="1" s="1"/>
  <c r="AO394" i="1"/>
  <c r="AK394" i="1"/>
  <c r="AJ394" i="1"/>
  <c r="AH394" i="1"/>
  <c r="AG394" i="1"/>
  <c r="AF394" i="1"/>
  <c r="AC394" i="1"/>
  <c r="AB394" i="1"/>
  <c r="Z394" i="1"/>
  <c r="P394" i="1"/>
  <c r="BF394" i="1" s="1"/>
  <c r="L394" i="1"/>
  <c r="AL394" i="1" s="1"/>
  <c r="BW392" i="1"/>
  <c r="BJ392" i="1"/>
  <c r="BD392" i="1"/>
  <c r="AP392" i="1"/>
  <c r="BI392" i="1" s="1"/>
  <c r="AE392" i="1" s="1"/>
  <c r="AO392" i="1"/>
  <c r="BH392" i="1" s="1"/>
  <c r="AD392" i="1" s="1"/>
  <c r="AK392" i="1"/>
  <c r="AJ392" i="1"/>
  <c r="AH392" i="1"/>
  <c r="AG392" i="1"/>
  <c r="AF392" i="1"/>
  <c r="AC392" i="1"/>
  <c r="AB392" i="1"/>
  <c r="Z392" i="1"/>
  <c r="P392" i="1"/>
  <c r="BF392" i="1" s="1"/>
  <c r="L392" i="1"/>
  <c r="AL392" i="1" s="1"/>
  <c r="BW391" i="1"/>
  <c r="BJ391" i="1"/>
  <c r="BD391" i="1"/>
  <c r="AP391" i="1"/>
  <c r="AO391" i="1"/>
  <c r="BH391" i="1" s="1"/>
  <c r="AD391" i="1" s="1"/>
  <c r="AK391" i="1"/>
  <c r="AJ391" i="1"/>
  <c r="AH391" i="1"/>
  <c r="AG391" i="1"/>
  <c r="AF391" i="1"/>
  <c r="AC391" i="1"/>
  <c r="AB391" i="1"/>
  <c r="Z391" i="1"/>
  <c r="P391" i="1"/>
  <c r="BF391" i="1" s="1"/>
  <c r="L391" i="1"/>
  <c r="AL391" i="1" s="1"/>
  <c r="BW389" i="1"/>
  <c r="BJ389" i="1"/>
  <c r="BD389" i="1"/>
  <c r="AP389" i="1"/>
  <c r="AX389" i="1" s="1"/>
  <c r="AO389" i="1"/>
  <c r="BH389" i="1" s="1"/>
  <c r="AD389" i="1" s="1"/>
  <c r="AK389" i="1"/>
  <c r="AJ389" i="1"/>
  <c r="AH389" i="1"/>
  <c r="AG389" i="1"/>
  <c r="AF389" i="1"/>
  <c r="AC389" i="1"/>
  <c r="AB389" i="1"/>
  <c r="Z389" i="1"/>
  <c r="P389" i="1"/>
  <c r="BF389" i="1" s="1"/>
  <c r="L389" i="1"/>
  <c r="BW387" i="1"/>
  <c r="BJ387" i="1"/>
  <c r="BD387" i="1"/>
  <c r="AP387" i="1"/>
  <c r="BI387" i="1" s="1"/>
  <c r="AE387" i="1" s="1"/>
  <c r="AO387" i="1"/>
  <c r="AL387" i="1"/>
  <c r="AK387" i="1"/>
  <c r="AJ387" i="1"/>
  <c r="AH387" i="1"/>
  <c r="AG387" i="1"/>
  <c r="AF387" i="1"/>
  <c r="AC387" i="1"/>
  <c r="AB387" i="1"/>
  <c r="Z387" i="1"/>
  <c r="P387" i="1"/>
  <c r="BF387" i="1" s="1"/>
  <c r="L387" i="1"/>
  <c r="BW385" i="1"/>
  <c r="BJ385" i="1"/>
  <c r="BF385" i="1"/>
  <c r="BD385" i="1"/>
  <c r="AP385" i="1"/>
  <c r="AX385" i="1" s="1"/>
  <c r="AO385" i="1"/>
  <c r="BH385" i="1" s="1"/>
  <c r="AD385" i="1" s="1"/>
  <c r="AK385" i="1"/>
  <c r="AJ385" i="1"/>
  <c r="AH385" i="1"/>
  <c r="AG385" i="1"/>
  <c r="AF385" i="1"/>
  <c r="AC385" i="1"/>
  <c r="AB385" i="1"/>
  <c r="Z385" i="1"/>
  <c r="P385" i="1"/>
  <c r="L385" i="1"/>
  <c r="BW384" i="1"/>
  <c r="BJ384" i="1"/>
  <c r="BD384" i="1"/>
  <c r="AP384" i="1"/>
  <c r="BI384" i="1" s="1"/>
  <c r="AE384" i="1" s="1"/>
  <c r="AO384" i="1"/>
  <c r="AW384" i="1" s="1"/>
  <c r="AK384" i="1"/>
  <c r="AJ384" i="1"/>
  <c r="AH384" i="1"/>
  <c r="AG384" i="1"/>
  <c r="AF384" i="1"/>
  <c r="AC384" i="1"/>
  <c r="AB384" i="1"/>
  <c r="Z384" i="1"/>
  <c r="P384" i="1"/>
  <c r="BF384" i="1" s="1"/>
  <c r="L384" i="1"/>
  <c r="AL384" i="1" s="1"/>
  <c r="BW383" i="1"/>
  <c r="BJ383" i="1"/>
  <c r="BD383" i="1"/>
  <c r="AP383" i="1"/>
  <c r="BI383" i="1" s="1"/>
  <c r="AE383" i="1" s="1"/>
  <c r="AO383" i="1"/>
  <c r="BH383" i="1" s="1"/>
  <c r="AD383" i="1" s="1"/>
  <c r="AK383" i="1"/>
  <c r="AJ383" i="1"/>
  <c r="AH383" i="1"/>
  <c r="AG383" i="1"/>
  <c r="AF383" i="1"/>
  <c r="AC383" i="1"/>
  <c r="AB383" i="1"/>
  <c r="Z383" i="1"/>
  <c r="P383" i="1"/>
  <c r="BF383" i="1" s="1"/>
  <c r="L383" i="1"/>
  <c r="BW382" i="1"/>
  <c r="BJ382" i="1"/>
  <c r="BD382" i="1"/>
  <c r="AP382" i="1"/>
  <c r="BI382" i="1" s="1"/>
  <c r="AE382" i="1" s="1"/>
  <c r="AO382" i="1"/>
  <c r="J382" i="1" s="1"/>
  <c r="AK382" i="1"/>
  <c r="AJ382" i="1"/>
  <c r="AH382" i="1"/>
  <c r="AG382" i="1"/>
  <c r="AF382" i="1"/>
  <c r="AC382" i="1"/>
  <c r="AB382" i="1"/>
  <c r="Z382" i="1"/>
  <c r="P382" i="1"/>
  <c r="BF382" i="1" s="1"/>
  <c r="L382" i="1"/>
  <c r="M382" i="1" s="1"/>
  <c r="BW380" i="1"/>
  <c r="BJ380" i="1"/>
  <c r="BD380" i="1"/>
  <c r="AP380" i="1"/>
  <c r="AO380" i="1"/>
  <c r="BH380" i="1" s="1"/>
  <c r="AD380" i="1" s="1"/>
  <c r="AK380" i="1"/>
  <c r="AJ380" i="1"/>
  <c r="AH380" i="1"/>
  <c r="AG380" i="1"/>
  <c r="AF380" i="1"/>
  <c r="AC380" i="1"/>
  <c r="AB380" i="1"/>
  <c r="Z380" i="1"/>
  <c r="P380" i="1"/>
  <c r="BF380" i="1" s="1"/>
  <c r="L380" i="1"/>
  <c r="AL380" i="1" s="1"/>
  <c r="BW378" i="1"/>
  <c r="BJ378" i="1"/>
  <c r="BD378" i="1"/>
  <c r="AP378" i="1"/>
  <c r="BI378" i="1" s="1"/>
  <c r="AE378" i="1" s="1"/>
  <c r="AO378" i="1"/>
  <c r="BH378" i="1" s="1"/>
  <c r="AD378" i="1" s="1"/>
  <c r="AK378" i="1"/>
  <c r="AJ378" i="1"/>
  <c r="AH378" i="1"/>
  <c r="AG378" i="1"/>
  <c r="AF378" i="1"/>
  <c r="AC378" i="1"/>
  <c r="AB378" i="1"/>
  <c r="Z378" i="1"/>
  <c r="P378" i="1"/>
  <c r="BF378" i="1" s="1"/>
  <c r="L378" i="1"/>
  <c r="M378" i="1" s="1"/>
  <c r="BW375" i="1"/>
  <c r="BJ375" i="1"/>
  <c r="BD375" i="1"/>
  <c r="AP375" i="1"/>
  <c r="BI375" i="1" s="1"/>
  <c r="AE375" i="1" s="1"/>
  <c r="AO375" i="1"/>
  <c r="J375" i="1" s="1"/>
  <c r="AK375" i="1"/>
  <c r="AJ375" i="1"/>
  <c r="AH375" i="1"/>
  <c r="AG375" i="1"/>
  <c r="AF375" i="1"/>
  <c r="AC375" i="1"/>
  <c r="AB375" i="1"/>
  <c r="Z375" i="1"/>
  <c r="P375" i="1"/>
  <c r="BF375" i="1" s="1"/>
  <c r="L375" i="1"/>
  <c r="AL375" i="1" s="1"/>
  <c r="BW374" i="1"/>
  <c r="BJ374" i="1"/>
  <c r="BD374" i="1"/>
  <c r="AP374" i="1"/>
  <c r="BI374" i="1" s="1"/>
  <c r="AE374" i="1" s="1"/>
  <c r="AO374" i="1"/>
  <c r="AK374" i="1"/>
  <c r="AJ374" i="1"/>
  <c r="AH374" i="1"/>
  <c r="AG374" i="1"/>
  <c r="AF374" i="1"/>
  <c r="AC374" i="1"/>
  <c r="AB374" i="1"/>
  <c r="Z374" i="1"/>
  <c r="P374" i="1"/>
  <c r="BF374" i="1" s="1"/>
  <c r="L374" i="1"/>
  <c r="M374" i="1" s="1"/>
  <c r="BW373" i="1"/>
  <c r="BJ373" i="1"/>
  <c r="BD373" i="1"/>
  <c r="AP373" i="1"/>
  <c r="BI373" i="1" s="1"/>
  <c r="AE373" i="1" s="1"/>
  <c r="AO373" i="1"/>
  <c r="BH373" i="1" s="1"/>
  <c r="AD373" i="1" s="1"/>
  <c r="AK373" i="1"/>
  <c r="AJ373" i="1"/>
  <c r="AH373" i="1"/>
  <c r="AG373" i="1"/>
  <c r="AF373" i="1"/>
  <c r="AC373" i="1"/>
  <c r="AB373" i="1"/>
  <c r="Z373" i="1"/>
  <c r="P373" i="1"/>
  <c r="BF373" i="1" s="1"/>
  <c r="L373" i="1"/>
  <c r="AL373" i="1" s="1"/>
  <c r="BW372" i="1"/>
  <c r="BJ372" i="1"/>
  <c r="BD372" i="1"/>
  <c r="AP372" i="1"/>
  <c r="AX372" i="1" s="1"/>
  <c r="AO372" i="1"/>
  <c r="BH372" i="1" s="1"/>
  <c r="AD372" i="1" s="1"/>
  <c r="AK372" i="1"/>
  <c r="AJ372" i="1"/>
  <c r="AH372" i="1"/>
  <c r="AG372" i="1"/>
  <c r="AF372" i="1"/>
  <c r="AC372" i="1"/>
  <c r="AB372" i="1"/>
  <c r="Z372" i="1"/>
  <c r="P372" i="1"/>
  <c r="BF372" i="1" s="1"/>
  <c r="L372" i="1"/>
  <c r="AL372" i="1" s="1"/>
  <c r="BW371" i="1"/>
  <c r="BJ371" i="1"/>
  <c r="BD371" i="1"/>
  <c r="AP371" i="1"/>
  <c r="BI371" i="1" s="1"/>
  <c r="AE371" i="1" s="1"/>
  <c r="AO371" i="1"/>
  <c r="BH371" i="1" s="1"/>
  <c r="AD371" i="1" s="1"/>
  <c r="AK371" i="1"/>
  <c r="AJ371" i="1"/>
  <c r="AH371" i="1"/>
  <c r="AG371" i="1"/>
  <c r="AF371" i="1"/>
  <c r="AC371" i="1"/>
  <c r="AB371" i="1"/>
  <c r="Z371" i="1"/>
  <c r="P371" i="1"/>
  <c r="BF371" i="1" s="1"/>
  <c r="L371" i="1"/>
  <c r="AL371" i="1" s="1"/>
  <c r="BW370" i="1"/>
  <c r="BJ370" i="1"/>
  <c r="BD370" i="1"/>
  <c r="AP370" i="1"/>
  <c r="AX370" i="1" s="1"/>
  <c r="AO370" i="1"/>
  <c r="AK370" i="1"/>
  <c r="AJ370" i="1"/>
  <c r="AH370" i="1"/>
  <c r="AG370" i="1"/>
  <c r="AF370" i="1"/>
  <c r="AC370" i="1"/>
  <c r="AB370" i="1"/>
  <c r="Z370" i="1"/>
  <c r="P370" i="1"/>
  <c r="BF370" i="1" s="1"/>
  <c r="L370" i="1"/>
  <c r="BW369" i="1"/>
  <c r="BJ369" i="1"/>
  <c r="BD369" i="1"/>
  <c r="AP369" i="1"/>
  <c r="AO369" i="1"/>
  <c r="BH369" i="1" s="1"/>
  <c r="AD369" i="1" s="1"/>
  <c r="AK369" i="1"/>
  <c r="AJ369" i="1"/>
  <c r="AH369" i="1"/>
  <c r="AG369" i="1"/>
  <c r="AF369" i="1"/>
  <c r="AC369" i="1"/>
  <c r="AB369" i="1"/>
  <c r="Z369" i="1"/>
  <c r="P369" i="1"/>
  <c r="BF369" i="1" s="1"/>
  <c r="L369" i="1"/>
  <c r="AL369" i="1" s="1"/>
  <c r="BW368" i="1"/>
  <c r="BJ368" i="1"/>
  <c r="BD368" i="1"/>
  <c r="AP368" i="1"/>
  <c r="BI368" i="1" s="1"/>
  <c r="AE368" i="1" s="1"/>
  <c r="AO368" i="1"/>
  <c r="BH368" i="1" s="1"/>
  <c r="AD368" i="1" s="1"/>
  <c r="AK368" i="1"/>
  <c r="AJ368" i="1"/>
  <c r="AH368" i="1"/>
  <c r="AG368" i="1"/>
  <c r="AF368" i="1"/>
  <c r="AC368" i="1"/>
  <c r="AB368" i="1"/>
  <c r="Z368" i="1"/>
  <c r="P368" i="1"/>
  <c r="BF368" i="1" s="1"/>
  <c r="L368" i="1"/>
  <c r="BW367" i="1"/>
  <c r="BJ367" i="1"/>
  <c r="BD367" i="1"/>
  <c r="AP367" i="1"/>
  <c r="BI367" i="1" s="1"/>
  <c r="AE367" i="1" s="1"/>
  <c r="AO367" i="1"/>
  <c r="AW367" i="1" s="1"/>
  <c r="AK367" i="1"/>
  <c r="AJ367" i="1"/>
  <c r="AH367" i="1"/>
  <c r="AG367" i="1"/>
  <c r="AF367" i="1"/>
  <c r="AC367" i="1"/>
  <c r="AB367" i="1"/>
  <c r="Z367" i="1"/>
  <c r="P367" i="1"/>
  <c r="BF367" i="1" s="1"/>
  <c r="L367" i="1"/>
  <c r="AL367" i="1" s="1"/>
  <c r="BW366" i="1"/>
  <c r="BJ366" i="1"/>
  <c r="BD366" i="1"/>
  <c r="AP366" i="1"/>
  <c r="BI366" i="1" s="1"/>
  <c r="AE366" i="1" s="1"/>
  <c r="AO366" i="1"/>
  <c r="BH366" i="1" s="1"/>
  <c r="AD366" i="1" s="1"/>
  <c r="AK366" i="1"/>
  <c r="AJ366" i="1"/>
  <c r="AH366" i="1"/>
  <c r="AG366" i="1"/>
  <c r="AF366" i="1"/>
  <c r="AC366" i="1"/>
  <c r="AB366" i="1"/>
  <c r="Z366" i="1"/>
  <c r="P366" i="1"/>
  <c r="BF366" i="1" s="1"/>
  <c r="L366" i="1"/>
  <c r="AL366" i="1" s="1"/>
  <c r="BW365" i="1"/>
  <c r="BJ365" i="1"/>
  <c r="BD365" i="1"/>
  <c r="AP365" i="1"/>
  <c r="AO365" i="1"/>
  <c r="AK365" i="1"/>
  <c r="AJ365" i="1"/>
  <c r="AH365" i="1"/>
  <c r="AG365" i="1"/>
  <c r="AF365" i="1"/>
  <c r="AC365" i="1"/>
  <c r="AB365" i="1"/>
  <c r="Z365" i="1"/>
  <c r="P365" i="1"/>
  <c r="BF365" i="1" s="1"/>
  <c r="L365" i="1"/>
  <c r="AL365" i="1" s="1"/>
  <c r="BW364" i="1"/>
  <c r="BJ364" i="1"/>
  <c r="BD364" i="1"/>
  <c r="AP364" i="1"/>
  <c r="BI364" i="1" s="1"/>
  <c r="AE364" i="1" s="1"/>
  <c r="AO364" i="1"/>
  <c r="BH364" i="1" s="1"/>
  <c r="AD364" i="1" s="1"/>
  <c r="AL364" i="1"/>
  <c r="AK364" i="1"/>
  <c r="AJ364" i="1"/>
  <c r="AH364" i="1"/>
  <c r="AG364" i="1"/>
  <c r="AF364" i="1"/>
  <c r="AC364" i="1"/>
  <c r="AB364" i="1"/>
  <c r="Z364" i="1"/>
  <c r="P364" i="1"/>
  <c r="BF364" i="1" s="1"/>
  <c r="L364" i="1"/>
  <c r="BW363" i="1"/>
  <c r="BJ363" i="1"/>
  <c r="BD363" i="1"/>
  <c r="AP363" i="1"/>
  <c r="BI363" i="1" s="1"/>
  <c r="AE363" i="1" s="1"/>
  <c r="AO363" i="1"/>
  <c r="J363" i="1" s="1"/>
  <c r="AK363" i="1"/>
  <c r="AJ363" i="1"/>
  <c r="AH363" i="1"/>
  <c r="AG363" i="1"/>
  <c r="AF363" i="1"/>
  <c r="AC363" i="1"/>
  <c r="AB363" i="1"/>
  <c r="Z363" i="1"/>
  <c r="P363" i="1"/>
  <c r="BF363" i="1" s="1"/>
  <c r="L363" i="1"/>
  <c r="BW362" i="1"/>
  <c r="BJ362" i="1"/>
  <c r="BD362" i="1"/>
  <c r="AP362" i="1"/>
  <c r="AX362" i="1" s="1"/>
  <c r="AO362" i="1"/>
  <c r="AW362" i="1" s="1"/>
  <c r="AK362" i="1"/>
  <c r="AJ362" i="1"/>
  <c r="AH362" i="1"/>
  <c r="AG362" i="1"/>
  <c r="AF362" i="1"/>
  <c r="AC362" i="1"/>
  <c r="AB362" i="1"/>
  <c r="Z362" i="1"/>
  <c r="P362" i="1"/>
  <c r="L362" i="1"/>
  <c r="AL362" i="1" s="1"/>
  <c r="K362" i="1"/>
  <c r="BW359" i="1"/>
  <c r="BJ359" i="1"/>
  <c r="BD359" i="1"/>
  <c r="AP359" i="1"/>
  <c r="BI359" i="1" s="1"/>
  <c r="AE359" i="1" s="1"/>
  <c r="AO359" i="1"/>
  <c r="BH359" i="1" s="1"/>
  <c r="AD359" i="1" s="1"/>
  <c r="AK359" i="1"/>
  <c r="AJ359" i="1"/>
  <c r="AH359" i="1"/>
  <c r="AG359" i="1"/>
  <c r="AF359" i="1"/>
  <c r="AC359" i="1"/>
  <c r="AB359" i="1"/>
  <c r="Z359" i="1"/>
  <c r="P359" i="1"/>
  <c r="BF359" i="1" s="1"/>
  <c r="L359" i="1"/>
  <c r="BW357" i="1"/>
  <c r="BJ357" i="1"/>
  <c r="BD357" i="1"/>
  <c r="AP357" i="1"/>
  <c r="BI357" i="1" s="1"/>
  <c r="AE357" i="1" s="1"/>
  <c r="AO357" i="1"/>
  <c r="AK357" i="1"/>
  <c r="AJ357" i="1"/>
  <c r="AH357" i="1"/>
  <c r="AG357" i="1"/>
  <c r="AF357" i="1"/>
  <c r="AC357" i="1"/>
  <c r="AB357" i="1"/>
  <c r="Z357" i="1"/>
  <c r="P357" i="1"/>
  <c r="BF357" i="1" s="1"/>
  <c r="L357" i="1"/>
  <c r="AL357" i="1" s="1"/>
  <c r="BW356" i="1"/>
  <c r="BJ356" i="1"/>
  <c r="BD356" i="1"/>
  <c r="AP356" i="1"/>
  <c r="BI356" i="1" s="1"/>
  <c r="AE356" i="1" s="1"/>
  <c r="AO356" i="1"/>
  <c r="AW356" i="1" s="1"/>
  <c r="AK356" i="1"/>
  <c r="AJ356" i="1"/>
  <c r="AH356" i="1"/>
  <c r="AG356" i="1"/>
  <c r="AF356" i="1"/>
  <c r="AC356" i="1"/>
  <c r="AB356" i="1"/>
  <c r="Z356" i="1"/>
  <c r="P356" i="1"/>
  <c r="BF356" i="1" s="1"/>
  <c r="L356" i="1"/>
  <c r="K356" i="1"/>
  <c r="BW355" i="1"/>
  <c r="BJ355" i="1"/>
  <c r="BD355" i="1"/>
  <c r="AP355" i="1"/>
  <c r="AO355" i="1"/>
  <c r="BH355" i="1" s="1"/>
  <c r="AD355" i="1" s="1"/>
  <c r="AK355" i="1"/>
  <c r="AJ355" i="1"/>
  <c r="AH355" i="1"/>
  <c r="AG355" i="1"/>
  <c r="AF355" i="1"/>
  <c r="AC355" i="1"/>
  <c r="AB355" i="1"/>
  <c r="Z355" i="1"/>
  <c r="P355" i="1"/>
  <c r="BF355" i="1" s="1"/>
  <c r="L355" i="1"/>
  <c r="BW353" i="1"/>
  <c r="BJ353" i="1"/>
  <c r="BD353" i="1"/>
  <c r="AP353" i="1"/>
  <c r="AO353" i="1"/>
  <c r="AK353" i="1"/>
  <c r="AJ353" i="1"/>
  <c r="AH353" i="1"/>
  <c r="AG353" i="1"/>
  <c r="AF353" i="1"/>
  <c r="AC353" i="1"/>
  <c r="AB353" i="1"/>
  <c r="Z353" i="1"/>
  <c r="P353" i="1"/>
  <c r="BF353" i="1" s="1"/>
  <c r="L353" i="1"/>
  <c r="BW351" i="1"/>
  <c r="BJ351" i="1"/>
  <c r="BD351" i="1"/>
  <c r="AP351" i="1"/>
  <c r="BI351" i="1" s="1"/>
  <c r="AE351" i="1" s="1"/>
  <c r="AO351" i="1"/>
  <c r="BH351" i="1" s="1"/>
  <c r="AD351" i="1" s="1"/>
  <c r="AK351" i="1"/>
  <c r="AJ351" i="1"/>
  <c r="AH351" i="1"/>
  <c r="AG351" i="1"/>
  <c r="AF351" i="1"/>
  <c r="AC351" i="1"/>
  <c r="AB351" i="1"/>
  <c r="Z351" i="1"/>
  <c r="P351" i="1"/>
  <c r="BF351" i="1" s="1"/>
  <c r="L351" i="1"/>
  <c r="BW349" i="1"/>
  <c r="BJ349" i="1"/>
  <c r="BD349" i="1"/>
  <c r="AP349" i="1"/>
  <c r="BI349" i="1" s="1"/>
  <c r="AE349" i="1" s="1"/>
  <c r="AO349" i="1"/>
  <c r="BH349" i="1" s="1"/>
  <c r="AD349" i="1" s="1"/>
  <c r="AK349" i="1"/>
  <c r="AJ349" i="1"/>
  <c r="AH349" i="1"/>
  <c r="AG349" i="1"/>
  <c r="AF349" i="1"/>
  <c r="AC349" i="1"/>
  <c r="AB349" i="1"/>
  <c r="Z349" i="1"/>
  <c r="P349" i="1"/>
  <c r="BF349" i="1" s="1"/>
  <c r="L349" i="1"/>
  <c r="AL349" i="1" s="1"/>
  <c r="BW348" i="1"/>
  <c r="BJ348" i="1"/>
  <c r="BD348" i="1"/>
  <c r="AP348" i="1"/>
  <c r="AX348" i="1" s="1"/>
  <c r="AO348" i="1"/>
  <c r="AW348" i="1" s="1"/>
  <c r="AK348" i="1"/>
  <c r="AJ348" i="1"/>
  <c r="AH348" i="1"/>
  <c r="AG348" i="1"/>
  <c r="AF348" i="1"/>
  <c r="AC348" i="1"/>
  <c r="AB348" i="1"/>
  <c r="Z348" i="1"/>
  <c r="P348" i="1"/>
  <c r="BF348" i="1" s="1"/>
  <c r="L348" i="1"/>
  <c r="AL348" i="1" s="1"/>
  <c r="BW347" i="1"/>
  <c r="BJ347" i="1"/>
  <c r="BD347" i="1"/>
  <c r="AW347" i="1"/>
  <c r="AP347" i="1"/>
  <c r="BI347" i="1" s="1"/>
  <c r="AE347" i="1" s="1"/>
  <c r="AO347" i="1"/>
  <c r="BH347" i="1" s="1"/>
  <c r="AD347" i="1" s="1"/>
  <c r="AK347" i="1"/>
  <c r="AJ347" i="1"/>
  <c r="AH347" i="1"/>
  <c r="AG347" i="1"/>
  <c r="AF347" i="1"/>
  <c r="AC347" i="1"/>
  <c r="AB347" i="1"/>
  <c r="Z347" i="1"/>
  <c r="P347" i="1"/>
  <c r="BF347" i="1" s="1"/>
  <c r="L347" i="1"/>
  <c r="AL347" i="1" s="1"/>
  <c r="K347" i="1"/>
  <c r="J347" i="1"/>
  <c r="BW345" i="1"/>
  <c r="BJ345" i="1"/>
  <c r="BD345" i="1"/>
  <c r="AP345" i="1"/>
  <c r="AO345" i="1"/>
  <c r="BH345" i="1" s="1"/>
  <c r="AD345" i="1" s="1"/>
  <c r="AK345" i="1"/>
  <c r="AJ345" i="1"/>
  <c r="AH345" i="1"/>
  <c r="AG345" i="1"/>
  <c r="AF345" i="1"/>
  <c r="AC345" i="1"/>
  <c r="AB345" i="1"/>
  <c r="Z345" i="1"/>
  <c r="P345" i="1"/>
  <c r="BF345" i="1" s="1"/>
  <c r="L345" i="1"/>
  <c r="AL345" i="1" s="1"/>
  <c r="BW343" i="1"/>
  <c r="BJ343" i="1"/>
  <c r="BD343" i="1"/>
  <c r="AP343" i="1"/>
  <c r="BI343" i="1" s="1"/>
  <c r="AE343" i="1" s="1"/>
  <c r="AO343" i="1"/>
  <c r="AW343" i="1" s="1"/>
  <c r="AK343" i="1"/>
  <c r="AJ343" i="1"/>
  <c r="AH343" i="1"/>
  <c r="AG343" i="1"/>
  <c r="AF343" i="1"/>
  <c r="AC343" i="1"/>
  <c r="AB343" i="1"/>
  <c r="Z343" i="1"/>
  <c r="P343" i="1"/>
  <c r="BF343" i="1" s="1"/>
  <c r="L343" i="1"/>
  <c r="M343" i="1" s="1"/>
  <c r="J343" i="1"/>
  <c r="BW341" i="1"/>
  <c r="BJ341" i="1"/>
  <c r="BD341" i="1"/>
  <c r="AP341" i="1"/>
  <c r="BI341" i="1" s="1"/>
  <c r="AE341" i="1" s="1"/>
  <c r="AO341" i="1"/>
  <c r="AK341" i="1"/>
  <c r="AJ341" i="1"/>
  <c r="AH341" i="1"/>
  <c r="AG341" i="1"/>
  <c r="AF341" i="1"/>
  <c r="AC341" i="1"/>
  <c r="AB341" i="1"/>
  <c r="Z341" i="1"/>
  <c r="P341" i="1"/>
  <c r="BF341" i="1" s="1"/>
  <c r="L341" i="1"/>
  <c r="BW339" i="1"/>
  <c r="BJ339" i="1"/>
  <c r="BD339" i="1"/>
  <c r="AP339" i="1"/>
  <c r="AX339" i="1" s="1"/>
  <c r="AO339" i="1"/>
  <c r="BH339" i="1" s="1"/>
  <c r="AD339" i="1" s="1"/>
  <c r="AK339" i="1"/>
  <c r="AJ339" i="1"/>
  <c r="AH339" i="1"/>
  <c r="AG339" i="1"/>
  <c r="AF339" i="1"/>
  <c r="AC339" i="1"/>
  <c r="AB339" i="1"/>
  <c r="Z339" i="1"/>
  <c r="P339" i="1"/>
  <c r="BF339" i="1" s="1"/>
  <c r="L339" i="1"/>
  <c r="BW338" i="1"/>
  <c r="BJ338" i="1"/>
  <c r="BD338" i="1"/>
  <c r="AP338" i="1"/>
  <c r="BI338" i="1" s="1"/>
  <c r="AE338" i="1" s="1"/>
  <c r="AO338" i="1"/>
  <c r="AK338" i="1"/>
  <c r="AJ338" i="1"/>
  <c r="AH338" i="1"/>
  <c r="AG338" i="1"/>
  <c r="AF338" i="1"/>
  <c r="AC338" i="1"/>
  <c r="AB338" i="1"/>
  <c r="Z338" i="1"/>
  <c r="P338" i="1"/>
  <c r="BF338" i="1" s="1"/>
  <c r="L338" i="1"/>
  <c r="K338" i="1"/>
  <c r="BW337" i="1"/>
  <c r="BJ337" i="1"/>
  <c r="BD337" i="1"/>
  <c r="AP337" i="1"/>
  <c r="AO337" i="1"/>
  <c r="BH337" i="1" s="1"/>
  <c r="AD337" i="1" s="1"/>
  <c r="AK337" i="1"/>
  <c r="AJ337" i="1"/>
  <c r="AH337" i="1"/>
  <c r="AG337" i="1"/>
  <c r="AF337" i="1"/>
  <c r="AC337" i="1"/>
  <c r="AB337" i="1"/>
  <c r="Z337" i="1"/>
  <c r="P337" i="1"/>
  <c r="BF337" i="1" s="1"/>
  <c r="L337" i="1"/>
  <c r="AL337" i="1" s="1"/>
  <c r="BW336" i="1"/>
  <c r="BJ336" i="1"/>
  <c r="BD336" i="1"/>
  <c r="AP336" i="1"/>
  <c r="AX336" i="1" s="1"/>
  <c r="AO336" i="1"/>
  <c r="AW336" i="1" s="1"/>
  <c r="AK336" i="1"/>
  <c r="AJ336" i="1"/>
  <c r="AH336" i="1"/>
  <c r="AG336" i="1"/>
  <c r="AF336" i="1"/>
  <c r="AC336" i="1"/>
  <c r="AB336" i="1"/>
  <c r="Z336" i="1"/>
  <c r="P336" i="1"/>
  <c r="BF336" i="1" s="1"/>
  <c r="L336" i="1"/>
  <c r="AL336" i="1" s="1"/>
  <c r="J336" i="1"/>
  <c r="BW334" i="1"/>
  <c r="BJ334" i="1"/>
  <c r="BD334" i="1"/>
  <c r="AP334" i="1"/>
  <c r="BI334" i="1" s="1"/>
  <c r="AE334" i="1" s="1"/>
  <c r="AO334" i="1"/>
  <c r="BH334" i="1" s="1"/>
  <c r="AD334" i="1" s="1"/>
  <c r="AK334" i="1"/>
  <c r="AJ334" i="1"/>
  <c r="AH334" i="1"/>
  <c r="AG334" i="1"/>
  <c r="AF334" i="1"/>
  <c r="AC334" i="1"/>
  <c r="AB334" i="1"/>
  <c r="Z334" i="1"/>
  <c r="P334" i="1"/>
  <c r="BF334" i="1" s="1"/>
  <c r="L334" i="1"/>
  <c r="M334" i="1" s="1"/>
  <c r="BW332" i="1"/>
  <c r="BJ332" i="1"/>
  <c r="BD332" i="1"/>
  <c r="AP332" i="1"/>
  <c r="BI332" i="1" s="1"/>
  <c r="AE332" i="1" s="1"/>
  <c r="AO332" i="1"/>
  <c r="BH332" i="1" s="1"/>
  <c r="AD332" i="1" s="1"/>
  <c r="AK332" i="1"/>
  <c r="AJ332" i="1"/>
  <c r="AH332" i="1"/>
  <c r="AG332" i="1"/>
  <c r="AF332" i="1"/>
  <c r="AC332" i="1"/>
  <c r="AB332" i="1"/>
  <c r="Z332" i="1"/>
  <c r="P332" i="1"/>
  <c r="BF332" i="1" s="1"/>
  <c r="L332" i="1"/>
  <c r="AL332" i="1" s="1"/>
  <c r="BW330" i="1"/>
  <c r="BJ330" i="1"/>
  <c r="BD330" i="1"/>
  <c r="AP330" i="1"/>
  <c r="AO330" i="1"/>
  <c r="AW330" i="1" s="1"/>
  <c r="AK330" i="1"/>
  <c r="AJ330" i="1"/>
  <c r="AH330" i="1"/>
  <c r="AG330" i="1"/>
  <c r="AF330" i="1"/>
  <c r="AC330" i="1"/>
  <c r="AB330" i="1"/>
  <c r="Z330" i="1"/>
  <c r="P330" i="1"/>
  <c r="BF330" i="1" s="1"/>
  <c r="L330" i="1"/>
  <c r="AL330" i="1" s="1"/>
  <c r="BW328" i="1"/>
  <c r="BJ328" i="1"/>
  <c r="BD328" i="1"/>
  <c r="AP328" i="1"/>
  <c r="K328" i="1" s="1"/>
  <c r="AO328" i="1"/>
  <c r="BH328" i="1" s="1"/>
  <c r="AD328" i="1" s="1"/>
  <c r="AK328" i="1"/>
  <c r="AJ328" i="1"/>
  <c r="AH328" i="1"/>
  <c r="AG328" i="1"/>
  <c r="AF328" i="1"/>
  <c r="AC328" i="1"/>
  <c r="AB328" i="1"/>
  <c r="Z328" i="1"/>
  <c r="P328" i="1"/>
  <c r="BF328" i="1" s="1"/>
  <c r="L328" i="1"/>
  <c r="BW326" i="1"/>
  <c r="BJ326" i="1"/>
  <c r="BD326" i="1"/>
  <c r="AP326" i="1"/>
  <c r="AX326" i="1" s="1"/>
  <c r="AO326" i="1"/>
  <c r="AW326" i="1" s="1"/>
  <c r="AK326" i="1"/>
  <c r="AJ326" i="1"/>
  <c r="AH326" i="1"/>
  <c r="AG326" i="1"/>
  <c r="AF326" i="1"/>
  <c r="AC326" i="1"/>
  <c r="AB326" i="1"/>
  <c r="Z326" i="1"/>
  <c r="P326" i="1"/>
  <c r="BF326" i="1" s="1"/>
  <c r="L326" i="1"/>
  <c r="BW324" i="1"/>
  <c r="BJ324" i="1"/>
  <c r="BD324" i="1"/>
  <c r="AP324" i="1"/>
  <c r="BI324" i="1" s="1"/>
  <c r="AE324" i="1" s="1"/>
  <c r="AO324" i="1"/>
  <c r="BH324" i="1" s="1"/>
  <c r="AD324" i="1" s="1"/>
  <c r="AK324" i="1"/>
  <c r="AJ324" i="1"/>
  <c r="AH324" i="1"/>
  <c r="AG324" i="1"/>
  <c r="AF324" i="1"/>
  <c r="AC324" i="1"/>
  <c r="AB324" i="1"/>
  <c r="Z324" i="1"/>
  <c r="P324" i="1"/>
  <c r="L324" i="1"/>
  <c r="AL324" i="1" s="1"/>
  <c r="J324" i="1"/>
  <c r="BW322" i="1"/>
  <c r="BJ322" i="1"/>
  <c r="BD322" i="1"/>
  <c r="AP322" i="1"/>
  <c r="AX322" i="1" s="1"/>
  <c r="AO322" i="1"/>
  <c r="AK322" i="1"/>
  <c r="AJ322" i="1"/>
  <c r="AH322" i="1"/>
  <c r="AG322" i="1"/>
  <c r="AF322" i="1"/>
  <c r="AC322" i="1"/>
  <c r="AB322" i="1"/>
  <c r="Z322" i="1"/>
  <c r="P322" i="1"/>
  <c r="BF322" i="1" s="1"/>
  <c r="L322" i="1"/>
  <c r="BW320" i="1"/>
  <c r="BJ320" i="1"/>
  <c r="BD320" i="1"/>
  <c r="AP320" i="1"/>
  <c r="AO320" i="1"/>
  <c r="AW320" i="1" s="1"/>
  <c r="AK320" i="1"/>
  <c r="AJ320" i="1"/>
  <c r="AH320" i="1"/>
  <c r="AG320" i="1"/>
  <c r="AF320" i="1"/>
  <c r="AC320" i="1"/>
  <c r="AB320" i="1"/>
  <c r="Z320" i="1"/>
  <c r="P320" i="1"/>
  <c r="BF320" i="1" s="1"/>
  <c r="L320" i="1"/>
  <c r="M320" i="1" s="1"/>
  <c r="BW318" i="1"/>
  <c r="BJ318" i="1"/>
  <c r="BD318" i="1"/>
  <c r="AP318" i="1"/>
  <c r="BI318" i="1" s="1"/>
  <c r="AE318" i="1" s="1"/>
  <c r="AO318" i="1"/>
  <c r="BH318" i="1" s="1"/>
  <c r="AD318" i="1" s="1"/>
  <c r="AK318" i="1"/>
  <c r="AJ318" i="1"/>
  <c r="AH318" i="1"/>
  <c r="AG318" i="1"/>
  <c r="AF318" i="1"/>
  <c r="AC318" i="1"/>
  <c r="AB318" i="1"/>
  <c r="Z318" i="1"/>
  <c r="P318" i="1"/>
  <c r="BF318" i="1" s="1"/>
  <c r="L318" i="1"/>
  <c r="AL318" i="1" s="1"/>
  <c r="BW317" i="1"/>
  <c r="BJ317" i="1"/>
  <c r="BD317" i="1"/>
  <c r="AP317" i="1"/>
  <c r="AO317" i="1"/>
  <c r="J317" i="1" s="1"/>
  <c r="AK317" i="1"/>
  <c r="AJ317" i="1"/>
  <c r="AH317" i="1"/>
  <c r="AG317" i="1"/>
  <c r="AF317" i="1"/>
  <c r="AC317" i="1"/>
  <c r="AB317" i="1"/>
  <c r="Z317" i="1"/>
  <c r="P317" i="1"/>
  <c r="BF317" i="1" s="1"/>
  <c r="L317" i="1"/>
  <c r="AL317" i="1" s="1"/>
  <c r="BW316" i="1"/>
  <c r="BJ316" i="1"/>
  <c r="BD316" i="1"/>
  <c r="AP316" i="1"/>
  <c r="AX316" i="1" s="1"/>
  <c r="AO316" i="1"/>
  <c r="AK316" i="1"/>
  <c r="AJ316" i="1"/>
  <c r="AH316" i="1"/>
  <c r="AG316" i="1"/>
  <c r="AF316" i="1"/>
  <c r="AC316" i="1"/>
  <c r="AB316" i="1"/>
  <c r="Z316" i="1"/>
  <c r="P316" i="1"/>
  <c r="BF316" i="1" s="1"/>
  <c r="L316" i="1"/>
  <c r="BW315" i="1"/>
  <c r="BJ315" i="1"/>
  <c r="BD315" i="1"/>
  <c r="AP315" i="1"/>
  <c r="BI315" i="1" s="1"/>
  <c r="AE315" i="1" s="1"/>
  <c r="AO315" i="1"/>
  <c r="AK315" i="1"/>
  <c r="AJ315" i="1"/>
  <c r="AH315" i="1"/>
  <c r="AG315" i="1"/>
  <c r="AF315" i="1"/>
  <c r="AC315" i="1"/>
  <c r="AB315" i="1"/>
  <c r="Z315" i="1"/>
  <c r="P315" i="1"/>
  <c r="BF315" i="1" s="1"/>
  <c r="L315" i="1"/>
  <c r="AL315" i="1" s="1"/>
  <c r="BW313" i="1"/>
  <c r="BJ313" i="1"/>
  <c r="BF313" i="1"/>
  <c r="BD313" i="1"/>
  <c r="AP313" i="1"/>
  <c r="K313" i="1" s="1"/>
  <c r="AO313" i="1"/>
  <c r="AW313" i="1" s="1"/>
  <c r="AK313" i="1"/>
  <c r="AJ313" i="1"/>
  <c r="AH313" i="1"/>
  <c r="AG313" i="1"/>
  <c r="AF313" i="1"/>
  <c r="AC313" i="1"/>
  <c r="AB313" i="1"/>
  <c r="Z313" i="1"/>
  <c r="P313" i="1"/>
  <c r="L313" i="1"/>
  <c r="AL313" i="1" s="1"/>
  <c r="BW312" i="1"/>
  <c r="BJ312" i="1"/>
  <c r="BD312" i="1"/>
  <c r="AP312" i="1"/>
  <c r="BI312" i="1" s="1"/>
  <c r="AE312" i="1" s="1"/>
  <c r="AO312" i="1"/>
  <c r="AK312" i="1"/>
  <c r="AJ312" i="1"/>
  <c r="AH312" i="1"/>
  <c r="AG312" i="1"/>
  <c r="AF312" i="1"/>
  <c r="AC312" i="1"/>
  <c r="AB312" i="1"/>
  <c r="Z312" i="1"/>
  <c r="P312" i="1"/>
  <c r="BF312" i="1" s="1"/>
  <c r="L312" i="1"/>
  <c r="AL312" i="1" s="1"/>
  <c r="BW311" i="1"/>
  <c r="BJ311" i="1"/>
  <c r="BI311" i="1"/>
  <c r="AE311" i="1" s="1"/>
  <c r="BD311" i="1"/>
  <c r="AP311" i="1"/>
  <c r="K311" i="1" s="1"/>
  <c r="AO311" i="1"/>
  <c r="BH311" i="1" s="1"/>
  <c r="AD311" i="1" s="1"/>
  <c r="AK311" i="1"/>
  <c r="AJ311" i="1"/>
  <c r="AH311" i="1"/>
  <c r="AG311" i="1"/>
  <c r="AF311" i="1"/>
  <c r="AC311" i="1"/>
  <c r="AB311" i="1"/>
  <c r="Z311" i="1"/>
  <c r="P311" i="1"/>
  <c r="BF311" i="1" s="1"/>
  <c r="L311" i="1"/>
  <c r="AL311" i="1" s="1"/>
  <c r="J311" i="1"/>
  <c r="BW309" i="1"/>
  <c r="BJ309" i="1"/>
  <c r="BD309" i="1"/>
  <c r="AP309" i="1"/>
  <c r="AX309" i="1" s="1"/>
  <c r="AO309" i="1"/>
  <c r="AW309" i="1" s="1"/>
  <c r="AK309" i="1"/>
  <c r="AJ309" i="1"/>
  <c r="AH309" i="1"/>
  <c r="AG309" i="1"/>
  <c r="AF309" i="1"/>
  <c r="AC309" i="1"/>
  <c r="AB309" i="1"/>
  <c r="Z309" i="1"/>
  <c r="P309" i="1"/>
  <c r="BF309" i="1" s="1"/>
  <c r="L309" i="1"/>
  <c r="BW307" i="1"/>
  <c r="BJ307" i="1"/>
  <c r="BD307" i="1"/>
  <c r="AP307" i="1"/>
  <c r="BI307" i="1" s="1"/>
  <c r="AE307" i="1" s="1"/>
  <c r="AO307" i="1"/>
  <c r="AK307" i="1"/>
  <c r="AJ307" i="1"/>
  <c r="AH307" i="1"/>
  <c r="AG307" i="1"/>
  <c r="AF307" i="1"/>
  <c r="AC307" i="1"/>
  <c r="AB307" i="1"/>
  <c r="Z307" i="1"/>
  <c r="P307" i="1"/>
  <c r="BF307" i="1" s="1"/>
  <c r="L307" i="1"/>
  <c r="M307" i="1" s="1"/>
  <c r="BW305" i="1"/>
  <c r="BJ305" i="1"/>
  <c r="BD305" i="1"/>
  <c r="AP305" i="1"/>
  <c r="AX305" i="1" s="1"/>
  <c r="AO305" i="1"/>
  <c r="AK305" i="1"/>
  <c r="AJ305" i="1"/>
  <c r="AH305" i="1"/>
  <c r="AG305" i="1"/>
  <c r="AF305" i="1"/>
  <c r="AC305" i="1"/>
  <c r="AB305" i="1"/>
  <c r="Z305" i="1"/>
  <c r="P305" i="1"/>
  <c r="BF305" i="1" s="1"/>
  <c r="L305" i="1"/>
  <c r="BW304" i="1"/>
  <c r="BJ304" i="1"/>
  <c r="BD304" i="1"/>
  <c r="AP304" i="1"/>
  <c r="AX304" i="1" s="1"/>
  <c r="AO304" i="1"/>
  <c r="AW304" i="1" s="1"/>
  <c r="AK304" i="1"/>
  <c r="AJ304" i="1"/>
  <c r="AH304" i="1"/>
  <c r="AG304" i="1"/>
  <c r="AF304" i="1"/>
  <c r="AC304" i="1"/>
  <c r="AB304" i="1"/>
  <c r="Z304" i="1"/>
  <c r="P304" i="1"/>
  <c r="BF304" i="1" s="1"/>
  <c r="L304" i="1"/>
  <c r="BW303" i="1"/>
  <c r="BJ303" i="1"/>
  <c r="BD303" i="1"/>
  <c r="AP303" i="1"/>
  <c r="BI303" i="1" s="1"/>
  <c r="AE303" i="1" s="1"/>
  <c r="AO303" i="1"/>
  <c r="AK303" i="1"/>
  <c r="AJ303" i="1"/>
  <c r="AH303" i="1"/>
  <c r="AG303" i="1"/>
  <c r="AF303" i="1"/>
  <c r="AC303" i="1"/>
  <c r="AB303" i="1"/>
  <c r="Z303" i="1"/>
  <c r="P303" i="1"/>
  <c r="BF303" i="1" s="1"/>
  <c r="L303" i="1"/>
  <c r="AL303" i="1" s="1"/>
  <c r="BW302" i="1"/>
  <c r="BJ302" i="1"/>
  <c r="BD302" i="1"/>
  <c r="AP302" i="1"/>
  <c r="AO302" i="1"/>
  <c r="AW302" i="1" s="1"/>
  <c r="AK302" i="1"/>
  <c r="AJ302" i="1"/>
  <c r="AH302" i="1"/>
  <c r="AG302" i="1"/>
  <c r="AF302" i="1"/>
  <c r="AC302" i="1"/>
  <c r="AB302" i="1"/>
  <c r="Z302" i="1"/>
  <c r="P302" i="1"/>
  <c r="BF302" i="1" s="1"/>
  <c r="L302" i="1"/>
  <c r="BW301" i="1"/>
  <c r="BJ301" i="1"/>
  <c r="BD301" i="1"/>
  <c r="AP301" i="1"/>
  <c r="BI301" i="1" s="1"/>
  <c r="AE301" i="1" s="1"/>
  <c r="AO301" i="1"/>
  <c r="AK301" i="1"/>
  <c r="AJ301" i="1"/>
  <c r="AH301" i="1"/>
  <c r="AG301" i="1"/>
  <c r="AF301" i="1"/>
  <c r="AC301" i="1"/>
  <c r="AB301" i="1"/>
  <c r="Z301" i="1"/>
  <c r="P301" i="1"/>
  <c r="BF301" i="1" s="1"/>
  <c r="L301" i="1"/>
  <c r="AL301" i="1" s="1"/>
  <c r="BW300" i="1"/>
  <c r="BJ300" i="1"/>
  <c r="BD300" i="1"/>
  <c r="AP300" i="1"/>
  <c r="AO300" i="1"/>
  <c r="BH300" i="1" s="1"/>
  <c r="AD300" i="1" s="1"/>
  <c r="AK300" i="1"/>
  <c r="AJ300" i="1"/>
  <c r="AH300" i="1"/>
  <c r="AG300" i="1"/>
  <c r="AF300" i="1"/>
  <c r="AC300" i="1"/>
  <c r="AB300" i="1"/>
  <c r="Z300" i="1"/>
  <c r="P300" i="1"/>
  <c r="L300" i="1"/>
  <c r="BW299" i="1"/>
  <c r="BJ299" i="1"/>
  <c r="BD299" i="1"/>
  <c r="AP299" i="1"/>
  <c r="AO299" i="1"/>
  <c r="AW299" i="1" s="1"/>
  <c r="AK299" i="1"/>
  <c r="AJ299" i="1"/>
  <c r="AH299" i="1"/>
  <c r="AG299" i="1"/>
  <c r="AF299" i="1"/>
  <c r="AC299" i="1"/>
  <c r="AB299" i="1"/>
  <c r="Z299" i="1"/>
  <c r="P299" i="1"/>
  <c r="BF299" i="1" s="1"/>
  <c r="L299" i="1"/>
  <c r="M299" i="1" s="1"/>
  <c r="BW296" i="1"/>
  <c r="BJ296" i="1"/>
  <c r="BD296" i="1"/>
  <c r="AP296" i="1"/>
  <c r="AO296" i="1"/>
  <c r="BH296" i="1" s="1"/>
  <c r="AD296" i="1" s="1"/>
  <c r="AK296" i="1"/>
  <c r="AJ296" i="1"/>
  <c r="AH296" i="1"/>
  <c r="AG296" i="1"/>
  <c r="AF296" i="1"/>
  <c r="AC296" i="1"/>
  <c r="AB296" i="1"/>
  <c r="Z296" i="1"/>
  <c r="P296" i="1"/>
  <c r="BF296" i="1" s="1"/>
  <c r="L296" i="1"/>
  <c r="M296" i="1" s="1"/>
  <c r="BW294" i="1"/>
  <c r="BJ294" i="1"/>
  <c r="BD294" i="1"/>
  <c r="AP294" i="1"/>
  <c r="AO294" i="1"/>
  <c r="BH294" i="1" s="1"/>
  <c r="AD294" i="1" s="1"/>
  <c r="AK294" i="1"/>
  <c r="AJ294" i="1"/>
  <c r="AH294" i="1"/>
  <c r="AG294" i="1"/>
  <c r="AF294" i="1"/>
  <c r="AC294" i="1"/>
  <c r="AB294" i="1"/>
  <c r="Z294" i="1"/>
  <c r="P294" i="1"/>
  <c r="BF294" i="1" s="1"/>
  <c r="L294" i="1"/>
  <c r="J294" i="1"/>
  <c r="BW292" i="1"/>
  <c r="BJ292" i="1"/>
  <c r="BD292" i="1"/>
  <c r="AP292" i="1"/>
  <c r="BI292" i="1" s="1"/>
  <c r="AE292" i="1" s="1"/>
  <c r="AO292" i="1"/>
  <c r="BH292" i="1" s="1"/>
  <c r="AD292" i="1" s="1"/>
  <c r="AK292" i="1"/>
  <c r="AJ292" i="1"/>
  <c r="AH292" i="1"/>
  <c r="AG292" i="1"/>
  <c r="AF292" i="1"/>
  <c r="AC292" i="1"/>
  <c r="AB292" i="1"/>
  <c r="Z292" i="1"/>
  <c r="P292" i="1"/>
  <c r="BF292" i="1" s="1"/>
  <c r="L292" i="1"/>
  <c r="BW290" i="1"/>
  <c r="BJ290" i="1"/>
  <c r="BD290" i="1"/>
  <c r="AP290" i="1"/>
  <c r="BI290" i="1" s="1"/>
  <c r="AE290" i="1" s="1"/>
  <c r="AO290" i="1"/>
  <c r="AW290" i="1" s="1"/>
  <c r="AK290" i="1"/>
  <c r="AJ290" i="1"/>
  <c r="AH290" i="1"/>
  <c r="AG290" i="1"/>
  <c r="AF290" i="1"/>
  <c r="AC290" i="1"/>
  <c r="AB290" i="1"/>
  <c r="Z290" i="1"/>
  <c r="P290" i="1"/>
  <c r="L290" i="1"/>
  <c r="BW288" i="1"/>
  <c r="BJ288" i="1"/>
  <c r="BD288" i="1"/>
  <c r="AP288" i="1"/>
  <c r="AO288" i="1"/>
  <c r="BH288" i="1" s="1"/>
  <c r="AD288" i="1" s="1"/>
  <c r="AK288" i="1"/>
  <c r="AJ288" i="1"/>
  <c r="AH288" i="1"/>
  <c r="AG288" i="1"/>
  <c r="AF288" i="1"/>
  <c r="AC288" i="1"/>
  <c r="AB288" i="1"/>
  <c r="Z288" i="1"/>
  <c r="P288" i="1"/>
  <c r="BF288" i="1" s="1"/>
  <c r="L288" i="1"/>
  <c r="BW286" i="1"/>
  <c r="BJ286" i="1"/>
  <c r="BD286" i="1"/>
  <c r="AP286" i="1"/>
  <c r="AX286" i="1" s="1"/>
  <c r="AO286" i="1"/>
  <c r="BH286" i="1" s="1"/>
  <c r="AD286" i="1" s="1"/>
  <c r="AK286" i="1"/>
  <c r="AJ286" i="1"/>
  <c r="AH286" i="1"/>
  <c r="AG286" i="1"/>
  <c r="AF286" i="1"/>
  <c r="AC286" i="1"/>
  <c r="AB286" i="1"/>
  <c r="Z286" i="1"/>
  <c r="P286" i="1"/>
  <c r="BF286" i="1" s="1"/>
  <c r="L286" i="1"/>
  <c r="K286" i="1"/>
  <c r="BW284" i="1"/>
  <c r="BJ284" i="1"/>
  <c r="BD284" i="1"/>
  <c r="AP284" i="1"/>
  <c r="BI284" i="1" s="1"/>
  <c r="AE284" i="1" s="1"/>
  <c r="AO284" i="1"/>
  <c r="AW284" i="1" s="1"/>
  <c r="AK284" i="1"/>
  <c r="AJ284" i="1"/>
  <c r="AH284" i="1"/>
  <c r="AG284" i="1"/>
  <c r="AF284" i="1"/>
  <c r="AC284" i="1"/>
  <c r="AB284" i="1"/>
  <c r="Z284" i="1"/>
  <c r="P284" i="1"/>
  <c r="BF284" i="1" s="1"/>
  <c r="L284" i="1"/>
  <c r="AL284" i="1" s="1"/>
  <c r="BW282" i="1"/>
  <c r="BJ282" i="1"/>
  <c r="BD282" i="1"/>
  <c r="AP282" i="1"/>
  <c r="BI282" i="1" s="1"/>
  <c r="AE282" i="1" s="1"/>
  <c r="AO282" i="1"/>
  <c r="BH282" i="1" s="1"/>
  <c r="AD282" i="1" s="1"/>
  <c r="AK282" i="1"/>
  <c r="AJ282" i="1"/>
  <c r="AH282" i="1"/>
  <c r="AG282" i="1"/>
  <c r="AF282" i="1"/>
  <c r="AC282" i="1"/>
  <c r="AB282" i="1"/>
  <c r="Z282" i="1"/>
  <c r="P282" i="1"/>
  <c r="BF282" i="1" s="1"/>
  <c r="L282" i="1"/>
  <c r="AL282" i="1" s="1"/>
  <c r="BW281" i="1"/>
  <c r="BJ281" i="1"/>
  <c r="BD281" i="1"/>
  <c r="AP281" i="1"/>
  <c r="AX281" i="1" s="1"/>
  <c r="AO281" i="1"/>
  <c r="AW281" i="1" s="1"/>
  <c r="AK281" i="1"/>
  <c r="AJ281" i="1"/>
  <c r="AH281" i="1"/>
  <c r="AG281" i="1"/>
  <c r="AF281" i="1"/>
  <c r="AC281" i="1"/>
  <c r="AB281" i="1"/>
  <c r="Z281" i="1"/>
  <c r="P281" i="1"/>
  <c r="BF281" i="1" s="1"/>
  <c r="L281" i="1"/>
  <c r="M281" i="1" s="1"/>
  <c r="BW279" i="1"/>
  <c r="BJ279" i="1"/>
  <c r="BD279" i="1"/>
  <c r="AP279" i="1"/>
  <c r="BI279" i="1" s="1"/>
  <c r="AE279" i="1" s="1"/>
  <c r="AO279" i="1"/>
  <c r="BH279" i="1" s="1"/>
  <c r="AD279" i="1" s="1"/>
  <c r="AK279" i="1"/>
  <c r="AJ279" i="1"/>
  <c r="AH279" i="1"/>
  <c r="AG279" i="1"/>
  <c r="AF279" i="1"/>
  <c r="AC279" i="1"/>
  <c r="AB279" i="1"/>
  <c r="Z279" i="1"/>
  <c r="P279" i="1"/>
  <c r="BF279" i="1" s="1"/>
  <c r="L279" i="1"/>
  <c r="BW278" i="1"/>
  <c r="BJ278" i="1"/>
  <c r="BD278" i="1"/>
  <c r="AP278" i="1"/>
  <c r="AO278" i="1"/>
  <c r="BH278" i="1" s="1"/>
  <c r="AF278" i="1" s="1"/>
  <c r="AK278" i="1"/>
  <c r="AJ278" i="1"/>
  <c r="AH278" i="1"/>
  <c r="AE278" i="1"/>
  <c r="AD278" i="1"/>
  <c r="AC278" i="1"/>
  <c r="AB278" i="1"/>
  <c r="Z278" i="1"/>
  <c r="P278" i="1"/>
  <c r="BF278" i="1" s="1"/>
  <c r="L278" i="1"/>
  <c r="M278" i="1" s="1"/>
  <c r="BW276" i="1"/>
  <c r="BJ276" i="1"/>
  <c r="BD276" i="1"/>
  <c r="AP276" i="1"/>
  <c r="AO276" i="1"/>
  <c r="AW276" i="1" s="1"/>
  <c r="AK276" i="1"/>
  <c r="AJ276" i="1"/>
  <c r="AH276" i="1"/>
  <c r="AG276" i="1"/>
  <c r="AF276" i="1"/>
  <c r="AC276" i="1"/>
  <c r="AB276" i="1"/>
  <c r="Z276" i="1"/>
  <c r="P276" i="1"/>
  <c r="BF276" i="1" s="1"/>
  <c r="L276" i="1"/>
  <c r="M276" i="1" s="1"/>
  <c r="BW274" i="1"/>
  <c r="BJ274" i="1"/>
  <c r="BD274" i="1"/>
  <c r="AP274" i="1"/>
  <c r="BI274" i="1" s="1"/>
  <c r="AE274" i="1" s="1"/>
  <c r="AO274" i="1"/>
  <c r="BH274" i="1" s="1"/>
  <c r="AD274" i="1" s="1"/>
  <c r="AK274" i="1"/>
  <c r="AJ274" i="1"/>
  <c r="AH274" i="1"/>
  <c r="AG274" i="1"/>
  <c r="AF274" i="1"/>
  <c r="AC274" i="1"/>
  <c r="AB274" i="1"/>
  <c r="Z274" i="1"/>
  <c r="P274" i="1"/>
  <c r="BF274" i="1" s="1"/>
  <c r="L274" i="1"/>
  <c r="BW271" i="1"/>
  <c r="BJ271" i="1"/>
  <c r="BD271" i="1"/>
  <c r="AP271" i="1"/>
  <c r="BI271" i="1" s="1"/>
  <c r="AE271" i="1" s="1"/>
  <c r="AO271" i="1"/>
  <c r="BH271" i="1" s="1"/>
  <c r="AD271" i="1" s="1"/>
  <c r="AK271" i="1"/>
  <c r="AJ271" i="1"/>
  <c r="AH271" i="1"/>
  <c r="AG271" i="1"/>
  <c r="AF271" i="1"/>
  <c r="AC271" i="1"/>
  <c r="AB271" i="1"/>
  <c r="Z271" i="1"/>
  <c r="P271" i="1"/>
  <c r="BF271" i="1" s="1"/>
  <c r="L271" i="1"/>
  <c r="BW270" i="1"/>
  <c r="BJ270" i="1"/>
  <c r="BD270" i="1"/>
  <c r="AP270" i="1"/>
  <c r="BI270" i="1" s="1"/>
  <c r="AE270" i="1" s="1"/>
  <c r="AO270" i="1"/>
  <c r="AW270" i="1" s="1"/>
  <c r="AK270" i="1"/>
  <c r="AJ270" i="1"/>
  <c r="AH270" i="1"/>
  <c r="AG270" i="1"/>
  <c r="AF270" i="1"/>
  <c r="AC270" i="1"/>
  <c r="AB270" i="1"/>
  <c r="Z270" i="1"/>
  <c r="P270" i="1"/>
  <c r="BF270" i="1" s="1"/>
  <c r="L270" i="1"/>
  <c r="BW269" i="1"/>
  <c r="BJ269" i="1"/>
  <c r="BD269" i="1"/>
  <c r="AP269" i="1"/>
  <c r="BI269" i="1" s="1"/>
  <c r="AE269" i="1" s="1"/>
  <c r="AO269" i="1"/>
  <c r="J269" i="1" s="1"/>
  <c r="AK269" i="1"/>
  <c r="AJ269" i="1"/>
  <c r="AH269" i="1"/>
  <c r="AG269" i="1"/>
  <c r="AF269" i="1"/>
  <c r="AC269" i="1"/>
  <c r="AB269" i="1"/>
  <c r="Z269" i="1"/>
  <c r="P269" i="1"/>
  <c r="BF269" i="1" s="1"/>
  <c r="L269" i="1"/>
  <c r="BW268" i="1"/>
  <c r="BJ268" i="1"/>
  <c r="BD268" i="1"/>
  <c r="AP268" i="1"/>
  <c r="AX268" i="1" s="1"/>
  <c r="AO268" i="1"/>
  <c r="AK268" i="1"/>
  <c r="AJ268" i="1"/>
  <c r="AH268" i="1"/>
  <c r="AG268" i="1"/>
  <c r="AF268" i="1"/>
  <c r="AC268" i="1"/>
  <c r="AB268" i="1"/>
  <c r="Z268" i="1"/>
  <c r="P268" i="1"/>
  <c r="BF268" i="1" s="1"/>
  <c r="L268" i="1"/>
  <c r="AL268" i="1" s="1"/>
  <c r="BW267" i="1"/>
  <c r="BJ267" i="1"/>
  <c r="BF267" i="1"/>
  <c r="BD267" i="1"/>
  <c r="AP267" i="1"/>
  <c r="AO267" i="1"/>
  <c r="BH267" i="1" s="1"/>
  <c r="AD267" i="1" s="1"/>
  <c r="AK267" i="1"/>
  <c r="AJ267" i="1"/>
  <c r="AH267" i="1"/>
  <c r="AG267" i="1"/>
  <c r="AF267" i="1"/>
  <c r="AC267" i="1"/>
  <c r="AB267" i="1"/>
  <c r="Z267" i="1"/>
  <c r="P267" i="1"/>
  <c r="L267" i="1"/>
  <c r="J267" i="1"/>
  <c r="BW265" i="1"/>
  <c r="BJ265" i="1"/>
  <c r="BD265" i="1"/>
  <c r="AP265" i="1"/>
  <c r="BI265" i="1" s="1"/>
  <c r="AE265" i="1" s="1"/>
  <c r="AO265" i="1"/>
  <c r="BH265" i="1" s="1"/>
  <c r="AD265" i="1" s="1"/>
  <c r="AK265" i="1"/>
  <c r="AJ265" i="1"/>
  <c r="AH265" i="1"/>
  <c r="AG265" i="1"/>
  <c r="AF265" i="1"/>
  <c r="AC265" i="1"/>
  <c r="AB265" i="1"/>
  <c r="Z265" i="1"/>
  <c r="P265" i="1"/>
  <c r="BF265" i="1" s="1"/>
  <c r="L265" i="1"/>
  <c r="AL265" i="1" s="1"/>
  <c r="K265" i="1"/>
  <c r="BW264" i="1"/>
  <c r="BJ264" i="1"/>
  <c r="BD264" i="1"/>
  <c r="AP264" i="1"/>
  <c r="AX264" i="1" s="1"/>
  <c r="AO264" i="1"/>
  <c r="AW264" i="1" s="1"/>
  <c r="AK264" i="1"/>
  <c r="AJ264" i="1"/>
  <c r="AH264" i="1"/>
  <c r="AG264" i="1"/>
  <c r="AF264" i="1"/>
  <c r="AC264" i="1"/>
  <c r="AB264" i="1"/>
  <c r="Z264" i="1"/>
  <c r="P264" i="1"/>
  <c r="BF264" i="1" s="1"/>
  <c r="L264" i="1"/>
  <c r="BW263" i="1"/>
  <c r="BJ263" i="1"/>
  <c r="BD263" i="1"/>
  <c r="AP263" i="1"/>
  <c r="BI263" i="1" s="1"/>
  <c r="AE263" i="1" s="1"/>
  <c r="AO263" i="1"/>
  <c r="BH263" i="1" s="1"/>
  <c r="AD263" i="1" s="1"/>
  <c r="AK263" i="1"/>
  <c r="AJ263" i="1"/>
  <c r="AH263" i="1"/>
  <c r="AG263" i="1"/>
  <c r="AF263" i="1"/>
  <c r="AC263" i="1"/>
  <c r="AB263" i="1"/>
  <c r="Z263" i="1"/>
  <c r="P263" i="1"/>
  <c r="BF263" i="1" s="1"/>
  <c r="L263" i="1"/>
  <c r="K263" i="1"/>
  <c r="BW262" i="1"/>
  <c r="BJ262" i="1"/>
  <c r="BD262" i="1"/>
  <c r="AP262" i="1"/>
  <c r="AO262" i="1"/>
  <c r="AK262" i="1"/>
  <c r="AJ262" i="1"/>
  <c r="AH262" i="1"/>
  <c r="AG262" i="1"/>
  <c r="AF262" i="1"/>
  <c r="AC262" i="1"/>
  <c r="AB262" i="1"/>
  <c r="Z262" i="1"/>
  <c r="P262" i="1"/>
  <c r="BF262" i="1" s="1"/>
  <c r="L262" i="1"/>
  <c r="M262" i="1" s="1"/>
  <c r="BW261" i="1"/>
  <c r="BJ261" i="1"/>
  <c r="BD261" i="1"/>
  <c r="AP261" i="1"/>
  <c r="AO261" i="1"/>
  <c r="AW261" i="1" s="1"/>
  <c r="AK261" i="1"/>
  <c r="AJ261" i="1"/>
  <c r="AH261" i="1"/>
  <c r="AG261" i="1"/>
  <c r="AF261" i="1"/>
  <c r="AC261" i="1"/>
  <c r="AB261" i="1"/>
  <c r="Z261" i="1"/>
  <c r="P261" i="1"/>
  <c r="BF261" i="1" s="1"/>
  <c r="L261" i="1"/>
  <c r="BW260" i="1"/>
  <c r="BJ260" i="1"/>
  <c r="BD260" i="1"/>
  <c r="AP260" i="1"/>
  <c r="AO260" i="1"/>
  <c r="BH260" i="1" s="1"/>
  <c r="AD260" i="1" s="1"/>
  <c r="AK260" i="1"/>
  <c r="AJ260" i="1"/>
  <c r="AH260" i="1"/>
  <c r="AG260" i="1"/>
  <c r="AF260" i="1"/>
  <c r="AC260" i="1"/>
  <c r="AB260" i="1"/>
  <c r="Z260" i="1"/>
  <c r="P260" i="1"/>
  <c r="BF260" i="1" s="1"/>
  <c r="L260" i="1"/>
  <c r="BW259" i="1"/>
  <c r="BJ259" i="1"/>
  <c r="BD259" i="1"/>
  <c r="AP259" i="1"/>
  <c r="AO259" i="1"/>
  <c r="BH259" i="1" s="1"/>
  <c r="AD259" i="1" s="1"/>
  <c r="AK259" i="1"/>
  <c r="AJ259" i="1"/>
  <c r="AH259" i="1"/>
  <c r="AG259" i="1"/>
  <c r="AF259" i="1"/>
  <c r="AC259" i="1"/>
  <c r="AB259" i="1"/>
  <c r="Z259" i="1"/>
  <c r="P259" i="1"/>
  <c r="BF259" i="1" s="1"/>
  <c r="L259" i="1"/>
  <c r="AL259" i="1" s="1"/>
  <c r="BW257" i="1"/>
  <c r="BJ257" i="1"/>
  <c r="BD257" i="1"/>
  <c r="AP257" i="1"/>
  <c r="AO257" i="1"/>
  <c r="BH257" i="1" s="1"/>
  <c r="AD257" i="1" s="1"/>
  <c r="AK257" i="1"/>
  <c r="AJ257" i="1"/>
  <c r="AH257" i="1"/>
  <c r="AG257" i="1"/>
  <c r="AF257" i="1"/>
  <c r="AC257" i="1"/>
  <c r="AB257" i="1"/>
  <c r="Z257" i="1"/>
  <c r="P257" i="1"/>
  <c r="BF257" i="1" s="1"/>
  <c r="L257" i="1"/>
  <c r="AL257" i="1" s="1"/>
  <c r="BW255" i="1"/>
  <c r="BJ255" i="1"/>
  <c r="BD255" i="1"/>
  <c r="AP255" i="1"/>
  <c r="BI255" i="1" s="1"/>
  <c r="AE255" i="1" s="1"/>
  <c r="AO255" i="1"/>
  <c r="BH255" i="1" s="1"/>
  <c r="AD255" i="1" s="1"/>
  <c r="AK255" i="1"/>
  <c r="AJ255" i="1"/>
  <c r="AH255" i="1"/>
  <c r="AG255" i="1"/>
  <c r="AF255" i="1"/>
  <c r="AC255" i="1"/>
  <c r="AB255" i="1"/>
  <c r="Z255" i="1"/>
  <c r="P255" i="1"/>
  <c r="BF255" i="1" s="1"/>
  <c r="L255" i="1"/>
  <c r="BW253" i="1"/>
  <c r="BJ253" i="1"/>
  <c r="BD253" i="1"/>
  <c r="AP253" i="1"/>
  <c r="AX253" i="1" s="1"/>
  <c r="AO253" i="1"/>
  <c r="AK253" i="1"/>
  <c r="AJ253" i="1"/>
  <c r="AH253" i="1"/>
  <c r="AG253" i="1"/>
  <c r="AF253" i="1"/>
  <c r="AC253" i="1"/>
  <c r="AB253" i="1"/>
  <c r="Z253" i="1"/>
  <c r="P253" i="1"/>
  <c r="BF253" i="1" s="1"/>
  <c r="L253" i="1"/>
  <c r="AL253" i="1" s="1"/>
  <c r="BW251" i="1"/>
  <c r="BJ251" i="1"/>
  <c r="BD251" i="1"/>
  <c r="AX251" i="1"/>
  <c r="AP251" i="1"/>
  <c r="BI251" i="1" s="1"/>
  <c r="AE251" i="1" s="1"/>
  <c r="AO251" i="1"/>
  <c r="BH251" i="1" s="1"/>
  <c r="AD251" i="1" s="1"/>
  <c r="AK251" i="1"/>
  <c r="AJ251" i="1"/>
  <c r="AH251" i="1"/>
  <c r="AG251" i="1"/>
  <c r="AF251" i="1"/>
  <c r="AC251" i="1"/>
  <c r="AB251" i="1"/>
  <c r="Z251" i="1"/>
  <c r="P251" i="1"/>
  <c r="BF251" i="1" s="1"/>
  <c r="L251" i="1"/>
  <c r="K251" i="1"/>
  <c r="BW249" i="1"/>
  <c r="BJ249" i="1"/>
  <c r="BD249" i="1"/>
  <c r="AP249" i="1"/>
  <c r="BI249" i="1" s="1"/>
  <c r="AE249" i="1" s="1"/>
  <c r="AO249" i="1"/>
  <c r="BH249" i="1" s="1"/>
  <c r="AD249" i="1" s="1"/>
  <c r="AK249" i="1"/>
  <c r="AJ249" i="1"/>
  <c r="AH249" i="1"/>
  <c r="AG249" i="1"/>
  <c r="AF249" i="1"/>
  <c r="AC249" i="1"/>
  <c r="AB249" i="1"/>
  <c r="Z249" i="1"/>
  <c r="P249" i="1"/>
  <c r="BF249" i="1" s="1"/>
  <c r="L249" i="1"/>
  <c r="BW247" i="1"/>
  <c r="BJ247" i="1"/>
  <c r="BD247" i="1"/>
  <c r="AP247" i="1"/>
  <c r="BI247" i="1" s="1"/>
  <c r="AE247" i="1" s="1"/>
  <c r="AO247" i="1"/>
  <c r="AW247" i="1" s="1"/>
  <c r="AK247" i="1"/>
  <c r="AJ247" i="1"/>
  <c r="AH247" i="1"/>
  <c r="AG247" i="1"/>
  <c r="AF247" i="1"/>
  <c r="AC247" i="1"/>
  <c r="AB247" i="1"/>
  <c r="Z247" i="1"/>
  <c r="P247" i="1"/>
  <c r="BF247" i="1" s="1"/>
  <c r="L247" i="1"/>
  <c r="BW246" i="1"/>
  <c r="BJ246" i="1"/>
  <c r="BD246" i="1"/>
  <c r="AP246" i="1"/>
  <c r="AO246" i="1"/>
  <c r="BH246" i="1" s="1"/>
  <c r="AD246" i="1" s="1"/>
  <c r="AK246" i="1"/>
  <c r="AJ246" i="1"/>
  <c r="AH246" i="1"/>
  <c r="AG246" i="1"/>
  <c r="AF246" i="1"/>
  <c r="AC246" i="1"/>
  <c r="AB246" i="1"/>
  <c r="Z246" i="1"/>
  <c r="P246" i="1"/>
  <c r="BF246" i="1" s="1"/>
  <c r="L246" i="1"/>
  <c r="BW244" i="1"/>
  <c r="BJ244" i="1"/>
  <c r="BD244" i="1"/>
  <c r="AP244" i="1"/>
  <c r="AX244" i="1" s="1"/>
  <c r="AO244" i="1"/>
  <c r="BH244" i="1" s="1"/>
  <c r="AD244" i="1" s="1"/>
  <c r="AK244" i="1"/>
  <c r="AJ244" i="1"/>
  <c r="AH244" i="1"/>
  <c r="AG244" i="1"/>
  <c r="AF244" i="1"/>
  <c r="AC244" i="1"/>
  <c r="AB244" i="1"/>
  <c r="Z244" i="1"/>
  <c r="P244" i="1"/>
  <c r="BF244" i="1" s="1"/>
  <c r="L244" i="1"/>
  <c r="AL244" i="1" s="1"/>
  <c r="BW243" i="1"/>
  <c r="BJ243" i="1"/>
  <c r="BD243" i="1"/>
  <c r="AP243" i="1"/>
  <c r="BI243" i="1" s="1"/>
  <c r="AE243" i="1" s="1"/>
  <c r="AO243" i="1"/>
  <c r="AK243" i="1"/>
  <c r="AJ243" i="1"/>
  <c r="AH243" i="1"/>
  <c r="AG243" i="1"/>
  <c r="AF243" i="1"/>
  <c r="AC243" i="1"/>
  <c r="AB243" i="1"/>
  <c r="Z243" i="1"/>
  <c r="P243" i="1"/>
  <c r="BF243" i="1" s="1"/>
  <c r="L243" i="1"/>
  <c r="BW242" i="1"/>
  <c r="BJ242" i="1"/>
  <c r="BD242" i="1"/>
  <c r="AP242" i="1"/>
  <c r="BI242" i="1" s="1"/>
  <c r="AE242" i="1" s="1"/>
  <c r="AO242" i="1"/>
  <c r="BH242" i="1" s="1"/>
  <c r="AD242" i="1" s="1"/>
  <c r="AK242" i="1"/>
  <c r="AJ242" i="1"/>
  <c r="AH242" i="1"/>
  <c r="AG242" i="1"/>
  <c r="AF242" i="1"/>
  <c r="AC242" i="1"/>
  <c r="AB242" i="1"/>
  <c r="Z242" i="1"/>
  <c r="P242" i="1"/>
  <c r="BF242" i="1" s="1"/>
  <c r="L242" i="1"/>
  <c r="AL242" i="1" s="1"/>
  <c r="BW241" i="1"/>
  <c r="BJ241" i="1"/>
  <c r="BF241" i="1"/>
  <c r="BD241" i="1"/>
  <c r="AP241" i="1"/>
  <c r="AX241" i="1" s="1"/>
  <c r="AO241" i="1"/>
  <c r="AW241" i="1" s="1"/>
  <c r="BC241" i="1" s="1"/>
  <c r="AK241" i="1"/>
  <c r="AJ241" i="1"/>
  <c r="AH241" i="1"/>
  <c r="AG241" i="1"/>
  <c r="AF241" i="1"/>
  <c r="AC241" i="1"/>
  <c r="AB241" i="1"/>
  <c r="Z241" i="1"/>
  <c r="P241" i="1"/>
  <c r="L241" i="1"/>
  <c r="BW240" i="1"/>
  <c r="BJ240" i="1"/>
  <c r="BD240" i="1"/>
  <c r="AP240" i="1"/>
  <c r="BI240" i="1" s="1"/>
  <c r="AE240" i="1" s="1"/>
  <c r="AO240" i="1"/>
  <c r="BH240" i="1" s="1"/>
  <c r="AD240" i="1" s="1"/>
  <c r="AK240" i="1"/>
  <c r="AJ240" i="1"/>
  <c r="AH240" i="1"/>
  <c r="AG240" i="1"/>
  <c r="AF240" i="1"/>
  <c r="AC240" i="1"/>
  <c r="AB240" i="1"/>
  <c r="Z240" i="1"/>
  <c r="P240" i="1"/>
  <c r="BF240" i="1" s="1"/>
  <c r="L240" i="1"/>
  <c r="M240" i="1" s="1"/>
  <c r="K240" i="1"/>
  <c r="BW239" i="1"/>
  <c r="BJ239" i="1"/>
  <c r="BD239" i="1"/>
  <c r="AP239" i="1"/>
  <c r="AO239" i="1"/>
  <c r="BH239" i="1" s="1"/>
  <c r="AD239" i="1" s="1"/>
  <c r="AK239" i="1"/>
  <c r="AJ239" i="1"/>
  <c r="AH239" i="1"/>
  <c r="AG239" i="1"/>
  <c r="AF239" i="1"/>
  <c r="AC239" i="1"/>
  <c r="AB239" i="1"/>
  <c r="Z239" i="1"/>
  <c r="P239" i="1"/>
  <c r="BF239" i="1" s="1"/>
  <c r="L239" i="1"/>
  <c r="BW238" i="1"/>
  <c r="BJ238" i="1"/>
  <c r="BD238" i="1"/>
  <c r="AP238" i="1"/>
  <c r="BI238" i="1" s="1"/>
  <c r="AE238" i="1" s="1"/>
  <c r="AO238" i="1"/>
  <c r="AW238" i="1" s="1"/>
  <c r="AK238" i="1"/>
  <c r="AJ238" i="1"/>
  <c r="AH238" i="1"/>
  <c r="AG238" i="1"/>
  <c r="AF238" i="1"/>
  <c r="AC238" i="1"/>
  <c r="AB238" i="1"/>
  <c r="Z238" i="1"/>
  <c r="P238" i="1"/>
  <c r="BF238" i="1" s="1"/>
  <c r="L238" i="1"/>
  <c r="K238" i="1"/>
  <c r="BW237" i="1"/>
  <c r="BJ237" i="1"/>
  <c r="BD237" i="1"/>
  <c r="AP237" i="1"/>
  <c r="BI237" i="1" s="1"/>
  <c r="AE237" i="1" s="1"/>
  <c r="AO237" i="1"/>
  <c r="AK237" i="1"/>
  <c r="AJ237" i="1"/>
  <c r="AH237" i="1"/>
  <c r="AG237" i="1"/>
  <c r="AF237" i="1"/>
  <c r="AC237" i="1"/>
  <c r="AB237" i="1"/>
  <c r="Z237" i="1"/>
  <c r="P237" i="1"/>
  <c r="BF237" i="1" s="1"/>
  <c r="L237" i="1"/>
  <c r="BW236" i="1"/>
  <c r="BJ236" i="1"/>
  <c r="BD236" i="1"/>
  <c r="AP236" i="1"/>
  <c r="AO236" i="1"/>
  <c r="AK236" i="1"/>
  <c r="AJ236" i="1"/>
  <c r="AH236" i="1"/>
  <c r="AG236" i="1"/>
  <c r="AF236" i="1"/>
  <c r="AC236" i="1"/>
  <c r="AB236" i="1"/>
  <c r="Z236" i="1"/>
  <c r="P236" i="1"/>
  <c r="BF236" i="1" s="1"/>
  <c r="L236" i="1"/>
  <c r="AL236" i="1" s="1"/>
  <c r="BW235" i="1"/>
  <c r="BJ235" i="1"/>
  <c r="BD235" i="1"/>
  <c r="AP235" i="1"/>
  <c r="BI235" i="1" s="1"/>
  <c r="AE235" i="1" s="1"/>
  <c r="AO235" i="1"/>
  <c r="AK235" i="1"/>
  <c r="AJ235" i="1"/>
  <c r="AH235" i="1"/>
  <c r="AG235" i="1"/>
  <c r="AF235" i="1"/>
  <c r="AC235" i="1"/>
  <c r="AB235" i="1"/>
  <c r="Z235" i="1"/>
  <c r="P235" i="1"/>
  <c r="BF235" i="1" s="1"/>
  <c r="L235" i="1"/>
  <c r="AL235" i="1" s="1"/>
  <c r="BW234" i="1"/>
  <c r="BJ234" i="1"/>
  <c r="BD234" i="1"/>
  <c r="AP234" i="1"/>
  <c r="AX234" i="1" s="1"/>
  <c r="AO234" i="1"/>
  <c r="BH234" i="1" s="1"/>
  <c r="AD234" i="1" s="1"/>
  <c r="AK234" i="1"/>
  <c r="AJ234" i="1"/>
  <c r="AH234" i="1"/>
  <c r="AG234" i="1"/>
  <c r="AF234" i="1"/>
  <c r="AC234" i="1"/>
  <c r="AB234" i="1"/>
  <c r="Z234" i="1"/>
  <c r="P234" i="1"/>
  <c r="BF234" i="1" s="1"/>
  <c r="L234" i="1"/>
  <c r="AL234" i="1" s="1"/>
  <c r="BW232" i="1"/>
  <c r="BJ232" i="1"/>
  <c r="BF232" i="1"/>
  <c r="BD232" i="1"/>
  <c r="AP232" i="1"/>
  <c r="AO232" i="1"/>
  <c r="AW232" i="1" s="1"/>
  <c r="AK232" i="1"/>
  <c r="AJ232" i="1"/>
  <c r="AH232" i="1"/>
  <c r="AG232" i="1"/>
  <c r="AF232" i="1"/>
  <c r="AC232" i="1"/>
  <c r="AB232" i="1"/>
  <c r="Z232" i="1"/>
  <c r="P232" i="1"/>
  <c r="L232" i="1"/>
  <c r="BW230" i="1"/>
  <c r="BJ230" i="1"/>
  <c r="BD230" i="1"/>
  <c r="AW230" i="1"/>
  <c r="AP230" i="1"/>
  <c r="BI230" i="1" s="1"/>
  <c r="AE230" i="1" s="1"/>
  <c r="AO230" i="1"/>
  <c r="BH230" i="1" s="1"/>
  <c r="AD230" i="1" s="1"/>
  <c r="AK230" i="1"/>
  <c r="AJ230" i="1"/>
  <c r="AH230" i="1"/>
  <c r="AG230" i="1"/>
  <c r="AF230" i="1"/>
  <c r="AC230" i="1"/>
  <c r="AB230" i="1"/>
  <c r="Z230" i="1"/>
  <c r="P230" i="1"/>
  <c r="L230" i="1"/>
  <c r="AL230" i="1" s="1"/>
  <c r="K230" i="1"/>
  <c r="J230" i="1"/>
  <c r="BW229" i="1"/>
  <c r="BJ229" i="1"/>
  <c r="BD229" i="1"/>
  <c r="AP229" i="1"/>
  <c r="BI229" i="1" s="1"/>
  <c r="AE229" i="1" s="1"/>
  <c r="AO229" i="1"/>
  <c r="J229" i="1" s="1"/>
  <c r="AK229" i="1"/>
  <c r="AJ229" i="1"/>
  <c r="AH229" i="1"/>
  <c r="AG229" i="1"/>
  <c r="AF229" i="1"/>
  <c r="AC229" i="1"/>
  <c r="AB229" i="1"/>
  <c r="Z229" i="1"/>
  <c r="P229" i="1"/>
  <c r="BF229" i="1" s="1"/>
  <c r="L229" i="1"/>
  <c r="AL229" i="1" s="1"/>
  <c r="BW227" i="1"/>
  <c r="BJ227" i="1"/>
  <c r="BD227" i="1"/>
  <c r="AP227" i="1"/>
  <c r="BI227" i="1" s="1"/>
  <c r="AE227" i="1" s="1"/>
  <c r="AO227" i="1"/>
  <c r="AW227" i="1" s="1"/>
  <c r="AK227" i="1"/>
  <c r="AJ227" i="1"/>
  <c r="AH227" i="1"/>
  <c r="AG227" i="1"/>
  <c r="AF227" i="1"/>
  <c r="AC227" i="1"/>
  <c r="AB227" i="1"/>
  <c r="Z227" i="1"/>
  <c r="P227" i="1"/>
  <c r="BF227" i="1" s="1"/>
  <c r="L227" i="1"/>
  <c r="BW226" i="1"/>
  <c r="BJ226" i="1"/>
  <c r="BD226" i="1"/>
  <c r="AP226" i="1"/>
  <c r="K226" i="1" s="1"/>
  <c r="AO226" i="1"/>
  <c r="BH226" i="1" s="1"/>
  <c r="AF226" i="1" s="1"/>
  <c r="AK226" i="1"/>
  <c r="AJ226" i="1"/>
  <c r="AH226" i="1"/>
  <c r="AE226" i="1"/>
  <c r="AD226" i="1"/>
  <c r="AC226" i="1"/>
  <c r="AB226" i="1"/>
  <c r="Z226" i="1"/>
  <c r="P226" i="1"/>
  <c r="BF226" i="1" s="1"/>
  <c r="L226" i="1"/>
  <c r="AL226" i="1" s="1"/>
  <c r="BW224" i="1"/>
  <c r="BJ224" i="1"/>
  <c r="BD224" i="1"/>
  <c r="AP224" i="1"/>
  <c r="K224" i="1" s="1"/>
  <c r="AO224" i="1"/>
  <c r="AW224" i="1" s="1"/>
  <c r="AK224" i="1"/>
  <c r="AJ224" i="1"/>
  <c r="AH224" i="1"/>
  <c r="AG224" i="1"/>
  <c r="AF224" i="1"/>
  <c r="AC224" i="1"/>
  <c r="AB224" i="1"/>
  <c r="Z224" i="1"/>
  <c r="P224" i="1"/>
  <c r="BF224" i="1" s="1"/>
  <c r="L224" i="1"/>
  <c r="AL224" i="1" s="1"/>
  <c r="BW222" i="1"/>
  <c r="BJ222" i="1"/>
  <c r="BD222" i="1"/>
  <c r="AP222" i="1"/>
  <c r="AO222" i="1"/>
  <c r="J222" i="1" s="1"/>
  <c r="AK222" i="1"/>
  <c r="AJ222" i="1"/>
  <c r="AH222" i="1"/>
  <c r="AG222" i="1"/>
  <c r="AF222" i="1"/>
  <c r="AC222" i="1"/>
  <c r="AB222" i="1"/>
  <c r="Z222" i="1"/>
  <c r="P222" i="1"/>
  <c r="BF222" i="1" s="1"/>
  <c r="L222" i="1"/>
  <c r="M222" i="1" s="1"/>
  <c r="BW221" i="1"/>
  <c r="BJ221" i="1"/>
  <c r="BD221" i="1"/>
  <c r="AP221" i="1"/>
  <c r="AO221" i="1"/>
  <c r="J221" i="1" s="1"/>
  <c r="AK221" i="1"/>
  <c r="AJ221" i="1"/>
  <c r="AH221" i="1"/>
  <c r="AG221" i="1"/>
  <c r="AF221" i="1"/>
  <c r="AC221" i="1"/>
  <c r="AB221" i="1"/>
  <c r="Z221" i="1"/>
  <c r="P221" i="1"/>
  <c r="BF221" i="1" s="1"/>
  <c r="L221" i="1"/>
  <c r="AL221" i="1" s="1"/>
  <c r="BW220" i="1"/>
  <c r="BJ220" i="1"/>
  <c r="BD220" i="1"/>
  <c r="AP220" i="1"/>
  <c r="AO220" i="1"/>
  <c r="J220" i="1" s="1"/>
  <c r="AK220" i="1"/>
  <c r="AJ220" i="1"/>
  <c r="AH220" i="1"/>
  <c r="AG220" i="1"/>
  <c r="AF220" i="1"/>
  <c r="AC220" i="1"/>
  <c r="AB220" i="1"/>
  <c r="Z220" i="1"/>
  <c r="P220" i="1"/>
  <c r="BF220" i="1" s="1"/>
  <c r="L220" i="1"/>
  <c r="AL220" i="1" s="1"/>
  <c r="BW219" i="1"/>
  <c r="BJ219" i="1"/>
  <c r="BD219" i="1"/>
  <c r="AP219" i="1"/>
  <c r="AX219" i="1" s="1"/>
  <c r="AO219" i="1"/>
  <c r="AK219" i="1"/>
  <c r="AJ219" i="1"/>
  <c r="AH219" i="1"/>
  <c r="AG219" i="1"/>
  <c r="AF219" i="1"/>
  <c r="AC219" i="1"/>
  <c r="AB219" i="1"/>
  <c r="Z219" i="1"/>
  <c r="P219" i="1"/>
  <c r="BF219" i="1" s="1"/>
  <c r="L219" i="1"/>
  <c r="BW218" i="1"/>
  <c r="BJ218" i="1"/>
  <c r="BD218" i="1"/>
  <c r="AP218" i="1"/>
  <c r="AO218" i="1"/>
  <c r="BH218" i="1" s="1"/>
  <c r="AD218" i="1" s="1"/>
  <c r="AK218" i="1"/>
  <c r="AJ218" i="1"/>
  <c r="AH218" i="1"/>
  <c r="AG218" i="1"/>
  <c r="AF218" i="1"/>
  <c r="AC218" i="1"/>
  <c r="AB218" i="1"/>
  <c r="Z218" i="1"/>
  <c r="P218" i="1"/>
  <c r="BF218" i="1" s="1"/>
  <c r="L218" i="1"/>
  <c r="AL218" i="1" s="1"/>
  <c r="BW217" i="1"/>
  <c r="BJ217" i="1"/>
  <c r="BD217" i="1"/>
  <c r="AP217" i="1"/>
  <c r="AX217" i="1" s="1"/>
  <c r="AO217" i="1"/>
  <c r="BH217" i="1" s="1"/>
  <c r="AD217" i="1" s="1"/>
  <c r="AK217" i="1"/>
  <c r="AJ217" i="1"/>
  <c r="AH217" i="1"/>
  <c r="AG217" i="1"/>
  <c r="AF217" i="1"/>
  <c r="AC217" i="1"/>
  <c r="AB217" i="1"/>
  <c r="Z217" i="1"/>
  <c r="P217" i="1"/>
  <c r="BF217" i="1" s="1"/>
  <c r="L217" i="1"/>
  <c r="BW216" i="1"/>
  <c r="BJ216" i="1"/>
  <c r="BD216" i="1"/>
  <c r="AP216" i="1"/>
  <c r="BI216" i="1" s="1"/>
  <c r="AE216" i="1" s="1"/>
  <c r="AO216" i="1"/>
  <c r="AW216" i="1" s="1"/>
  <c r="AK216" i="1"/>
  <c r="AJ216" i="1"/>
  <c r="AH216" i="1"/>
  <c r="AG216" i="1"/>
  <c r="AF216" i="1"/>
  <c r="AC216" i="1"/>
  <c r="AB216" i="1"/>
  <c r="Z216" i="1"/>
  <c r="P216" i="1"/>
  <c r="BF216" i="1" s="1"/>
  <c r="L216" i="1"/>
  <c r="AL216" i="1" s="1"/>
  <c r="BW215" i="1"/>
  <c r="BJ215" i="1"/>
  <c r="BD215" i="1"/>
  <c r="AP215" i="1"/>
  <c r="BI215" i="1" s="1"/>
  <c r="AE215" i="1" s="1"/>
  <c r="AO215" i="1"/>
  <c r="AK215" i="1"/>
  <c r="AJ215" i="1"/>
  <c r="AH215" i="1"/>
  <c r="AG215" i="1"/>
  <c r="AF215" i="1"/>
  <c r="AC215" i="1"/>
  <c r="AB215" i="1"/>
  <c r="Z215" i="1"/>
  <c r="P215" i="1"/>
  <c r="BF215" i="1" s="1"/>
  <c r="L215" i="1"/>
  <c r="AL215" i="1" s="1"/>
  <c r="BW213" i="1"/>
  <c r="BJ213" i="1"/>
  <c r="BD213" i="1"/>
  <c r="AP213" i="1"/>
  <c r="AO213" i="1"/>
  <c r="AW213" i="1" s="1"/>
  <c r="AK213" i="1"/>
  <c r="AJ213" i="1"/>
  <c r="AH213" i="1"/>
  <c r="AG213" i="1"/>
  <c r="AF213" i="1"/>
  <c r="AC213" i="1"/>
  <c r="AB213" i="1"/>
  <c r="Z213" i="1"/>
  <c r="P213" i="1"/>
  <c r="BF213" i="1" s="1"/>
  <c r="L213" i="1"/>
  <c r="AL213" i="1" s="1"/>
  <c r="BW210" i="1"/>
  <c r="BJ210" i="1"/>
  <c r="BD210" i="1"/>
  <c r="AP210" i="1"/>
  <c r="AO210" i="1"/>
  <c r="AW210" i="1" s="1"/>
  <c r="AK210" i="1"/>
  <c r="AJ210" i="1"/>
  <c r="AH210" i="1"/>
  <c r="AG210" i="1"/>
  <c r="AF210" i="1"/>
  <c r="AC210" i="1"/>
  <c r="AB210" i="1"/>
  <c r="Z210" i="1"/>
  <c r="P210" i="1"/>
  <c r="BF210" i="1" s="1"/>
  <c r="L210" i="1"/>
  <c r="AL210" i="1" s="1"/>
  <c r="BW208" i="1"/>
  <c r="BJ208" i="1"/>
  <c r="BD208" i="1"/>
  <c r="AP208" i="1"/>
  <c r="BI208" i="1" s="1"/>
  <c r="AE208" i="1" s="1"/>
  <c r="AO208" i="1"/>
  <c r="AK208" i="1"/>
  <c r="AJ208" i="1"/>
  <c r="AH208" i="1"/>
  <c r="AG208" i="1"/>
  <c r="AF208" i="1"/>
  <c r="AC208" i="1"/>
  <c r="AB208" i="1"/>
  <c r="Z208" i="1"/>
  <c r="P208" i="1"/>
  <c r="BF208" i="1" s="1"/>
  <c r="L208" i="1"/>
  <c r="AL208" i="1" s="1"/>
  <c r="BW207" i="1"/>
  <c r="BJ207" i="1"/>
  <c r="BD207" i="1"/>
  <c r="AP207" i="1"/>
  <c r="BI207" i="1" s="1"/>
  <c r="AE207" i="1" s="1"/>
  <c r="AO207" i="1"/>
  <c r="AW207" i="1" s="1"/>
  <c r="AL207" i="1"/>
  <c r="AK207" i="1"/>
  <c r="AJ207" i="1"/>
  <c r="AH207" i="1"/>
  <c r="AG207" i="1"/>
  <c r="AF207" i="1"/>
  <c r="AC207" i="1"/>
  <c r="AB207" i="1"/>
  <c r="Z207" i="1"/>
  <c r="P207" i="1"/>
  <c r="BF207" i="1" s="1"/>
  <c r="L207" i="1"/>
  <c r="BW205" i="1"/>
  <c r="BJ205" i="1"/>
  <c r="Z205" i="1" s="1"/>
  <c r="BD205" i="1"/>
  <c r="AP205" i="1"/>
  <c r="BI205" i="1" s="1"/>
  <c r="AO205" i="1"/>
  <c r="BH205" i="1" s="1"/>
  <c r="AK205" i="1"/>
  <c r="AJ205" i="1"/>
  <c r="AH205" i="1"/>
  <c r="AG205" i="1"/>
  <c r="AF205" i="1"/>
  <c r="AE205" i="1"/>
  <c r="AD205" i="1"/>
  <c r="AC205" i="1"/>
  <c r="AB205" i="1"/>
  <c r="P205" i="1"/>
  <c r="BF205" i="1" s="1"/>
  <c r="L205" i="1"/>
  <c r="M205" i="1" s="1"/>
  <c r="BW204" i="1"/>
  <c r="BJ204" i="1"/>
  <c r="BD204" i="1"/>
  <c r="AP204" i="1"/>
  <c r="BI204" i="1" s="1"/>
  <c r="AE204" i="1" s="1"/>
  <c r="AO204" i="1"/>
  <c r="BH204" i="1" s="1"/>
  <c r="AD204" i="1" s="1"/>
  <c r="AK204" i="1"/>
  <c r="AJ204" i="1"/>
  <c r="AH204" i="1"/>
  <c r="AG204" i="1"/>
  <c r="AF204" i="1"/>
  <c r="AC204" i="1"/>
  <c r="AB204" i="1"/>
  <c r="Z204" i="1"/>
  <c r="P204" i="1"/>
  <c r="BF204" i="1" s="1"/>
  <c r="L204" i="1"/>
  <c r="BW203" i="1"/>
  <c r="BJ203" i="1"/>
  <c r="BD203" i="1"/>
  <c r="AP203" i="1"/>
  <c r="AX203" i="1" s="1"/>
  <c r="AO203" i="1"/>
  <c r="BH203" i="1" s="1"/>
  <c r="AD203" i="1" s="1"/>
  <c r="AK203" i="1"/>
  <c r="AJ203" i="1"/>
  <c r="AH203" i="1"/>
  <c r="AG203" i="1"/>
  <c r="AF203" i="1"/>
  <c r="AC203" i="1"/>
  <c r="AB203" i="1"/>
  <c r="Z203" i="1"/>
  <c r="P203" i="1"/>
  <c r="BF203" i="1" s="1"/>
  <c r="L203" i="1"/>
  <c r="BW202" i="1"/>
  <c r="BJ202" i="1"/>
  <c r="BD202" i="1"/>
  <c r="AP202" i="1"/>
  <c r="AO202" i="1"/>
  <c r="BH202" i="1" s="1"/>
  <c r="AD202" i="1" s="1"/>
  <c r="AK202" i="1"/>
  <c r="AJ202" i="1"/>
  <c r="AH202" i="1"/>
  <c r="AG202" i="1"/>
  <c r="AF202" i="1"/>
  <c r="AC202" i="1"/>
  <c r="AB202" i="1"/>
  <c r="Z202" i="1"/>
  <c r="P202" i="1"/>
  <c r="BF202" i="1" s="1"/>
  <c r="L202" i="1"/>
  <c r="AL202" i="1" s="1"/>
  <c r="BW201" i="1"/>
  <c r="BJ201" i="1"/>
  <c r="BD201" i="1"/>
  <c r="AP201" i="1"/>
  <c r="AX201" i="1" s="1"/>
  <c r="AO201" i="1"/>
  <c r="AK201" i="1"/>
  <c r="AJ201" i="1"/>
  <c r="AH201" i="1"/>
  <c r="AE201" i="1"/>
  <c r="AD201" i="1"/>
  <c r="AC201" i="1"/>
  <c r="AB201" i="1"/>
  <c r="Z201" i="1"/>
  <c r="P201" i="1"/>
  <c r="BF201" i="1" s="1"/>
  <c r="L201" i="1"/>
  <c r="BW199" i="1"/>
  <c r="BJ199" i="1"/>
  <c r="BD199" i="1"/>
  <c r="AP199" i="1"/>
  <c r="AO199" i="1"/>
  <c r="AW199" i="1" s="1"/>
  <c r="AK199" i="1"/>
  <c r="AJ199" i="1"/>
  <c r="AH199" i="1"/>
  <c r="AG199" i="1"/>
  <c r="AF199" i="1"/>
  <c r="AC199" i="1"/>
  <c r="AB199" i="1"/>
  <c r="Z199" i="1"/>
  <c r="P199" i="1"/>
  <c r="BF199" i="1" s="1"/>
  <c r="L199" i="1"/>
  <c r="AL199" i="1" s="1"/>
  <c r="BW197" i="1"/>
  <c r="BJ197" i="1"/>
  <c r="BD197" i="1"/>
  <c r="AP197" i="1"/>
  <c r="BI197" i="1" s="1"/>
  <c r="AE197" i="1" s="1"/>
  <c r="AO197" i="1"/>
  <c r="AK197" i="1"/>
  <c r="AJ197" i="1"/>
  <c r="AH197" i="1"/>
  <c r="AG197" i="1"/>
  <c r="AF197" i="1"/>
  <c r="AC197" i="1"/>
  <c r="AB197" i="1"/>
  <c r="Z197" i="1"/>
  <c r="P197" i="1"/>
  <c r="BF197" i="1" s="1"/>
  <c r="L197" i="1"/>
  <c r="AL197" i="1" s="1"/>
  <c r="BW195" i="1"/>
  <c r="BJ195" i="1"/>
  <c r="BD195" i="1"/>
  <c r="AP195" i="1"/>
  <c r="BI195" i="1" s="1"/>
  <c r="AE195" i="1" s="1"/>
  <c r="AO195" i="1"/>
  <c r="AW195" i="1" s="1"/>
  <c r="AK195" i="1"/>
  <c r="AJ195" i="1"/>
  <c r="AH195" i="1"/>
  <c r="AG195" i="1"/>
  <c r="AF195" i="1"/>
  <c r="AC195" i="1"/>
  <c r="AB195" i="1"/>
  <c r="Z195" i="1"/>
  <c r="P195" i="1"/>
  <c r="BF195" i="1" s="1"/>
  <c r="L195" i="1"/>
  <c r="AL195" i="1" s="1"/>
  <c r="BW193" i="1"/>
  <c r="BJ193" i="1"/>
  <c r="BD193" i="1"/>
  <c r="AP193" i="1"/>
  <c r="BI193" i="1" s="1"/>
  <c r="AE193" i="1" s="1"/>
  <c r="AO193" i="1"/>
  <c r="AW193" i="1" s="1"/>
  <c r="AK193" i="1"/>
  <c r="AJ193" i="1"/>
  <c r="AH193" i="1"/>
  <c r="AG193" i="1"/>
  <c r="AF193" i="1"/>
  <c r="AC193" i="1"/>
  <c r="AB193" i="1"/>
  <c r="Z193" i="1"/>
  <c r="P193" i="1"/>
  <c r="BF193" i="1" s="1"/>
  <c r="L193" i="1"/>
  <c r="BW191" i="1"/>
  <c r="BJ191" i="1"/>
  <c r="BD191" i="1"/>
  <c r="AP191" i="1"/>
  <c r="BI191" i="1" s="1"/>
  <c r="AE191" i="1" s="1"/>
  <c r="AO191" i="1"/>
  <c r="BH191" i="1" s="1"/>
  <c r="AD191" i="1" s="1"/>
  <c r="AK191" i="1"/>
  <c r="AJ191" i="1"/>
  <c r="AH191" i="1"/>
  <c r="AG191" i="1"/>
  <c r="AF191" i="1"/>
  <c r="AC191" i="1"/>
  <c r="AB191" i="1"/>
  <c r="Z191" i="1"/>
  <c r="P191" i="1"/>
  <c r="BF191" i="1" s="1"/>
  <c r="L191" i="1"/>
  <c r="AL191" i="1" s="1"/>
  <c r="BW189" i="1"/>
  <c r="BJ189" i="1"/>
  <c r="BD189" i="1"/>
  <c r="AP189" i="1"/>
  <c r="AX189" i="1" s="1"/>
  <c r="AO189" i="1"/>
  <c r="BH189" i="1" s="1"/>
  <c r="AD189" i="1" s="1"/>
  <c r="AK189" i="1"/>
  <c r="AJ189" i="1"/>
  <c r="AH189" i="1"/>
  <c r="AG189" i="1"/>
  <c r="AF189" i="1"/>
  <c r="AC189" i="1"/>
  <c r="AB189" i="1"/>
  <c r="Z189" i="1"/>
  <c r="P189" i="1"/>
  <c r="BF189" i="1" s="1"/>
  <c r="L189" i="1"/>
  <c r="BW187" i="1"/>
  <c r="M187" i="1" s="1"/>
  <c r="BJ187" i="1"/>
  <c r="BD187" i="1"/>
  <c r="AP187" i="1"/>
  <c r="BI187" i="1" s="1"/>
  <c r="AE187" i="1" s="1"/>
  <c r="AO187" i="1"/>
  <c r="BH187" i="1" s="1"/>
  <c r="AD187" i="1" s="1"/>
  <c r="AK187" i="1"/>
  <c r="AJ187" i="1"/>
  <c r="AH187" i="1"/>
  <c r="AG187" i="1"/>
  <c r="AF187" i="1"/>
  <c r="AC187" i="1"/>
  <c r="AB187" i="1"/>
  <c r="Z187" i="1"/>
  <c r="P187" i="1"/>
  <c r="BF187" i="1" s="1"/>
  <c r="L187" i="1"/>
  <c r="AL187" i="1" s="1"/>
  <c r="BW185" i="1"/>
  <c r="BJ185" i="1"/>
  <c r="BD185" i="1"/>
  <c r="AP185" i="1"/>
  <c r="AX185" i="1" s="1"/>
  <c r="AO185" i="1"/>
  <c r="AK185" i="1"/>
  <c r="AJ185" i="1"/>
  <c r="AH185" i="1"/>
  <c r="AG185" i="1"/>
  <c r="AF185" i="1"/>
  <c r="AC185" i="1"/>
  <c r="AB185" i="1"/>
  <c r="Z185" i="1"/>
  <c r="P185" i="1"/>
  <c r="BF185" i="1" s="1"/>
  <c r="L185" i="1"/>
  <c r="BW183" i="1"/>
  <c r="BJ183" i="1"/>
  <c r="BD183" i="1"/>
  <c r="AP183" i="1"/>
  <c r="BI183" i="1" s="1"/>
  <c r="AE183" i="1" s="1"/>
  <c r="AO183" i="1"/>
  <c r="AW183" i="1" s="1"/>
  <c r="AK183" i="1"/>
  <c r="AJ183" i="1"/>
  <c r="AH183" i="1"/>
  <c r="AG183" i="1"/>
  <c r="AF183" i="1"/>
  <c r="AC183" i="1"/>
  <c r="AB183" i="1"/>
  <c r="Z183" i="1"/>
  <c r="P183" i="1"/>
  <c r="BF183" i="1" s="1"/>
  <c r="L183" i="1"/>
  <c r="AL183" i="1" s="1"/>
  <c r="BW181" i="1"/>
  <c r="BJ181" i="1"/>
  <c r="BD181" i="1"/>
  <c r="AP181" i="1"/>
  <c r="BI181" i="1" s="1"/>
  <c r="AE181" i="1" s="1"/>
  <c r="AO181" i="1"/>
  <c r="BH181" i="1" s="1"/>
  <c r="AD181" i="1" s="1"/>
  <c r="AK181" i="1"/>
  <c r="AJ181" i="1"/>
  <c r="AH181" i="1"/>
  <c r="AG181" i="1"/>
  <c r="AF181" i="1"/>
  <c r="AC181" i="1"/>
  <c r="AB181" i="1"/>
  <c r="Z181" i="1"/>
  <c r="P181" i="1"/>
  <c r="BF181" i="1" s="1"/>
  <c r="L181" i="1"/>
  <c r="AL181" i="1" s="1"/>
  <c r="BW179" i="1"/>
  <c r="BJ179" i="1"/>
  <c r="BD179" i="1"/>
  <c r="AP179" i="1"/>
  <c r="AO179" i="1"/>
  <c r="AW179" i="1" s="1"/>
  <c r="AK179" i="1"/>
  <c r="AJ179" i="1"/>
  <c r="AH179" i="1"/>
  <c r="AG179" i="1"/>
  <c r="AF179" i="1"/>
  <c r="AC179" i="1"/>
  <c r="AB179" i="1"/>
  <c r="Z179" i="1"/>
  <c r="P179" i="1"/>
  <c r="BF179" i="1" s="1"/>
  <c r="L179" i="1"/>
  <c r="AL179" i="1" s="1"/>
  <c r="BW177" i="1"/>
  <c r="BJ177" i="1"/>
  <c r="BD177" i="1"/>
  <c r="AP177" i="1"/>
  <c r="BI177" i="1" s="1"/>
  <c r="AE177" i="1" s="1"/>
  <c r="AO177" i="1"/>
  <c r="BH177" i="1" s="1"/>
  <c r="AD177" i="1" s="1"/>
  <c r="AK177" i="1"/>
  <c r="AJ177" i="1"/>
  <c r="AH177" i="1"/>
  <c r="AG177" i="1"/>
  <c r="AF177" i="1"/>
  <c r="AC177" i="1"/>
  <c r="AB177" i="1"/>
  <c r="Z177" i="1"/>
  <c r="P177" i="1"/>
  <c r="BF177" i="1" s="1"/>
  <c r="L177" i="1"/>
  <c r="BW175" i="1"/>
  <c r="BJ175" i="1"/>
  <c r="BD175" i="1"/>
  <c r="AP175" i="1"/>
  <c r="AO175" i="1"/>
  <c r="BH175" i="1" s="1"/>
  <c r="AD175" i="1" s="1"/>
  <c r="AK175" i="1"/>
  <c r="AJ175" i="1"/>
  <c r="AH175" i="1"/>
  <c r="AG175" i="1"/>
  <c r="AF175" i="1"/>
  <c r="AC175" i="1"/>
  <c r="AB175" i="1"/>
  <c r="Z175" i="1"/>
  <c r="P175" i="1"/>
  <c r="BF175" i="1" s="1"/>
  <c r="L175" i="1"/>
  <c r="AL175" i="1" s="1"/>
  <c r="BW173" i="1"/>
  <c r="BJ173" i="1"/>
  <c r="BD173" i="1"/>
  <c r="AP173" i="1"/>
  <c r="AX173" i="1" s="1"/>
  <c r="AO173" i="1"/>
  <c r="BH173" i="1" s="1"/>
  <c r="AD173" i="1" s="1"/>
  <c r="AK173" i="1"/>
  <c r="AJ173" i="1"/>
  <c r="AH173" i="1"/>
  <c r="AG173" i="1"/>
  <c r="AF173" i="1"/>
  <c r="AC173" i="1"/>
  <c r="AB173" i="1"/>
  <c r="Z173" i="1"/>
  <c r="P173" i="1"/>
  <c r="BF173" i="1" s="1"/>
  <c r="L173" i="1"/>
  <c r="BW171" i="1"/>
  <c r="BJ171" i="1"/>
  <c r="BD171" i="1"/>
  <c r="AP171" i="1"/>
  <c r="AO171" i="1"/>
  <c r="BH171" i="1" s="1"/>
  <c r="AD171" i="1" s="1"/>
  <c r="AK171" i="1"/>
  <c r="AJ171" i="1"/>
  <c r="AH171" i="1"/>
  <c r="AG171" i="1"/>
  <c r="AF171" i="1"/>
  <c r="AC171" i="1"/>
  <c r="AB171" i="1"/>
  <c r="Z171" i="1"/>
  <c r="P171" i="1"/>
  <c r="BF171" i="1" s="1"/>
  <c r="L171" i="1"/>
  <c r="AL171" i="1" s="1"/>
  <c r="BW169" i="1"/>
  <c r="BJ169" i="1"/>
  <c r="BD169" i="1"/>
  <c r="AP169" i="1"/>
  <c r="AX169" i="1" s="1"/>
  <c r="AO169" i="1"/>
  <c r="BH169" i="1" s="1"/>
  <c r="AD169" i="1" s="1"/>
  <c r="AK169" i="1"/>
  <c r="AJ169" i="1"/>
  <c r="AH169" i="1"/>
  <c r="AG169" i="1"/>
  <c r="AF169" i="1"/>
  <c r="AC169" i="1"/>
  <c r="AB169" i="1"/>
  <c r="Z169" i="1"/>
  <c r="P169" i="1"/>
  <c r="BF169" i="1" s="1"/>
  <c r="L169" i="1"/>
  <c r="BW167" i="1"/>
  <c r="BJ167" i="1"/>
  <c r="BD167" i="1"/>
  <c r="AP167" i="1"/>
  <c r="AO167" i="1"/>
  <c r="AW167" i="1" s="1"/>
  <c r="AK167" i="1"/>
  <c r="AJ167" i="1"/>
  <c r="AH167" i="1"/>
  <c r="AG167" i="1"/>
  <c r="AF167" i="1"/>
  <c r="AC167" i="1"/>
  <c r="AB167" i="1"/>
  <c r="Z167" i="1"/>
  <c r="P167" i="1"/>
  <c r="BF167" i="1" s="1"/>
  <c r="L167" i="1"/>
  <c r="AL167" i="1" s="1"/>
  <c r="BW165" i="1"/>
  <c r="BJ165" i="1"/>
  <c r="BD165" i="1"/>
  <c r="AP165" i="1"/>
  <c r="BI165" i="1" s="1"/>
  <c r="AE165" i="1" s="1"/>
  <c r="AO165" i="1"/>
  <c r="BH165" i="1" s="1"/>
  <c r="AD165" i="1" s="1"/>
  <c r="AK165" i="1"/>
  <c r="AJ165" i="1"/>
  <c r="AH165" i="1"/>
  <c r="AG165" i="1"/>
  <c r="AF165" i="1"/>
  <c r="AC165" i="1"/>
  <c r="AB165" i="1"/>
  <c r="Z165" i="1"/>
  <c r="P165" i="1"/>
  <c r="BF165" i="1" s="1"/>
  <c r="L165" i="1"/>
  <c r="AL165" i="1" s="1"/>
  <c r="BW163" i="1"/>
  <c r="BJ163" i="1"/>
  <c r="BD163" i="1"/>
  <c r="AP163" i="1"/>
  <c r="BI163" i="1" s="1"/>
  <c r="AE163" i="1" s="1"/>
  <c r="AO163" i="1"/>
  <c r="AW163" i="1" s="1"/>
  <c r="AK163" i="1"/>
  <c r="AJ163" i="1"/>
  <c r="AH163" i="1"/>
  <c r="AG163" i="1"/>
  <c r="AF163" i="1"/>
  <c r="AC163" i="1"/>
  <c r="AB163" i="1"/>
  <c r="Z163" i="1"/>
  <c r="P163" i="1"/>
  <c r="BF163" i="1" s="1"/>
  <c r="L163" i="1"/>
  <c r="AL163" i="1" s="1"/>
  <c r="BW162" i="1"/>
  <c r="BJ162" i="1"/>
  <c r="BD162" i="1"/>
  <c r="AP162" i="1"/>
  <c r="BI162" i="1" s="1"/>
  <c r="AE162" i="1" s="1"/>
  <c r="AO162" i="1"/>
  <c r="AK162" i="1"/>
  <c r="AJ162" i="1"/>
  <c r="AH162" i="1"/>
  <c r="AG162" i="1"/>
  <c r="AF162" i="1"/>
  <c r="AC162" i="1"/>
  <c r="AB162" i="1"/>
  <c r="Z162" i="1"/>
  <c r="P162" i="1"/>
  <c r="BF162" i="1" s="1"/>
  <c r="L162" i="1"/>
  <c r="BW161" i="1"/>
  <c r="BJ161" i="1"/>
  <c r="BD161" i="1"/>
  <c r="AP161" i="1"/>
  <c r="AO161" i="1"/>
  <c r="BH161" i="1" s="1"/>
  <c r="AD161" i="1" s="1"/>
  <c r="AK161" i="1"/>
  <c r="AJ161" i="1"/>
  <c r="AH161" i="1"/>
  <c r="AG161" i="1"/>
  <c r="AF161" i="1"/>
  <c r="AC161" i="1"/>
  <c r="AB161" i="1"/>
  <c r="Z161" i="1"/>
  <c r="P161" i="1"/>
  <c r="BF161" i="1" s="1"/>
  <c r="L161" i="1"/>
  <c r="AL161" i="1" s="1"/>
  <c r="BW160" i="1"/>
  <c r="BJ160" i="1"/>
  <c r="BD160" i="1"/>
  <c r="AP160" i="1"/>
  <c r="AX160" i="1" s="1"/>
  <c r="AO160" i="1"/>
  <c r="BH160" i="1" s="1"/>
  <c r="AD160" i="1" s="1"/>
  <c r="AK160" i="1"/>
  <c r="AJ160" i="1"/>
  <c r="AH160" i="1"/>
  <c r="AG160" i="1"/>
  <c r="AF160" i="1"/>
  <c r="AC160" i="1"/>
  <c r="AB160" i="1"/>
  <c r="Z160" i="1"/>
  <c r="P160" i="1"/>
  <c r="BF160" i="1" s="1"/>
  <c r="L160" i="1"/>
  <c r="BW158" i="1"/>
  <c r="BJ158" i="1"/>
  <c r="BD158" i="1"/>
  <c r="AP158" i="1"/>
  <c r="AO158" i="1"/>
  <c r="BH158" i="1" s="1"/>
  <c r="AD158" i="1" s="1"/>
  <c r="AK158" i="1"/>
  <c r="AJ158" i="1"/>
  <c r="AH158" i="1"/>
  <c r="AG158" i="1"/>
  <c r="AF158" i="1"/>
  <c r="AC158" i="1"/>
  <c r="AB158" i="1"/>
  <c r="Z158" i="1"/>
  <c r="P158" i="1"/>
  <c r="BF158" i="1" s="1"/>
  <c r="L158" i="1"/>
  <c r="AL158" i="1" s="1"/>
  <c r="BW156" i="1"/>
  <c r="BJ156" i="1"/>
  <c r="BD156" i="1"/>
  <c r="AP156" i="1"/>
  <c r="AX156" i="1" s="1"/>
  <c r="AO156" i="1"/>
  <c r="BH156" i="1" s="1"/>
  <c r="AD156" i="1" s="1"/>
  <c r="AK156" i="1"/>
  <c r="AJ156" i="1"/>
  <c r="AH156" i="1"/>
  <c r="AG156" i="1"/>
  <c r="AF156" i="1"/>
  <c r="AC156" i="1"/>
  <c r="AB156" i="1"/>
  <c r="Z156" i="1"/>
  <c r="P156" i="1"/>
  <c r="BF156" i="1" s="1"/>
  <c r="L156" i="1"/>
  <c r="BW154" i="1"/>
  <c r="BJ154" i="1"/>
  <c r="BD154" i="1"/>
  <c r="AP154" i="1"/>
  <c r="AO154" i="1"/>
  <c r="AW154" i="1" s="1"/>
  <c r="AK154" i="1"/>
  <c r="AJ154" i="1"/>
  <c r="AH154" i="1"/>
  <c r="AG154" i="1"/>
  <c r="AF154" i="1"/>
  <c r="AC154" i="1"/>
  <c r="AB154" i="1"/>
  <c r="Z154" i="1"/>
  <c r="P154" i="1"/>
  <c r="BF154" i="1" s="1"/>
  <c r="L154" i="1"/>
  <c r="AL154" i="1" s="1"/>
  <c r="BW152" i="1"/>
  <c r="BJ152" i="1"/>
  <c r="BD152" i="1"/>
  <c r="AP152" i="1"/>
  <c r="BI152" i="1" s="1"/>
  <c r="AE152" i="1" s="1"/>
  <c r="AO152" i="1"/>
  <c r="BH152" i="1" s="1"/>
  <c r="AD152" i="1" s="1"/>
  <c r="AK152" i="1"/>
  <c r="AJ152" i="1"/>
  <c r="AH152" i="1"/>
  <c r="AG152" i="1"/>
  <c r="AF152" i="1"/>
  <c r="AC152" i="1"/>
  <c r="AB152" i="1"/>
  <c r="Z152" i="1"/>
  <c r="P152" i="1"/>
  <c r="BF152" i="1" s="1"/>
  <c r="L152" i="1"/>
  <c r="AL152" i="1" s="1"/>
  <c r="BW150" i="1"/>
  <c r="BJ150" i="1"/>
  <c r="BF150" i="1"/>
  <c r="BD150" i="1"/>
  <c r="AP150" i="1"/>
  <c r="BI150" i="1" s="1"/>
  <c r="AE150" i="1" s="1"/>
  <c r="AO150" i="1"/>
  <c r="AW150" i="1" s="1"/>
  <c r="AK150" i="1"/>
  <c r="AJ150" i="1"/>
  <c r="AH150" i="1"/>
  <c r="AG150" i="1"/>
  <c r="AF150" i="1"/>
  <c r="AC150" i="1"/>
  <c r="AB150" i="1"/>
  <c r="Z150" i="1"/>
  <c r="P150" i="1"/>
  <c r="L150" i="1"/>
  <c r="J150" i="1"/>
  <c r="BW148" i="1"/>
  <c r="BJ148" i="1"/>
  <c r="BD148" i="1"/>
  <c r="AP148" i="1"/>
  <c r="BI148" i="1" s="1"/>
  <c r="AE148" i="1" s="1"/>
  <c r="AO148" i="1"/>
  <c r="BH148" i="1" s="1"/>
  <c r="AD148" i="1" s="1"/>
  <c r="AK148" i="1"/>
  <c r="AJ148" i="1"/>
  <c r="AH148" i="1"/>
  <c r="AG148" i="1"/>
  <c r="AF148" i="1"/>
  <c r="AC148" i="1"/>
  <c r="AB148" i="1"/>
  <c r="Z148" i="1"/>
  <c r="P148" i="1"/>
  <c r="BF148" i="1" s="1"/>
  <c r="L148" i="1"/>
  <c r="J148" i="1"/>
  <c r="BW146" i="1"/>
  <c r="BJ146" i="1"/>
  <c r="BD146" i="1"/>
  <c r="AP146" i="1"/>
  <c r="BI146" i="1" s="1"/>
  <c r="AE146" i="1" s="1"/>
  <c r="AO146" i="1"/>
  <c r="BH146" i="1" s="1"/>
  <c r="AD146" i="1" s="1"/>
  <c r="AK146" i="1"/>
  <c r="AJ146" i="1"/>
  <c r="AH146" i="1"/>
  <c r="AG146" i="1"/>
  <c r="AF146" i="1"/>
  <c r="AC146" i="1"/>
  <c r="AB146" i="1"/>
  <c r="Z146" i="1"/>
  <c r="P146" i="1"/>
  <c r="BF146" i="1" s="1"/>
  <c r="L146" i="1"/>
  <c r="AL146" i="1" s="1"/>
  <c r="BW144" i="1"/>
  <c r="BJ144" i="1"/>
  <c r="BD144" i="1"/>
  <c r="AP144" i="1"/>
  <c r="AX144" i="1" s="1"/>
  <c r="AO144" i="1"/>
  <c r="BH144" i="1" s="1"/>
  <c r="AD144" i="1" s="1"/>
  <c r="AK144" i="1"/>
  <c r="AJ144" i="1"/>
  <c r="AH144" i="1"/>
  <c r="AG144" i="1"/>
  <c r="AF144" i="1"/>
  <c r="AC144" i="1"/>
  <c r="AB144" i="1"/>
  <c r="Z144" i="1"/>
  <c r="P144" i="1"/>
  <c r="BF144" i="1" s="1"/>
  <c r="L144" i="1"/>
  <c r="BW142" i="1"/>
  <c r="BJ142" i="1"/>
  <c r="BD142" i="1"/>
  <c r="AP142" i="1"/>
  <c r="BI142" i="1" s="1"/>
  <c r="AE142" i="1" s="1"/>
  <c r="AO142" i="1"/>
  <c r="BH142" i="1" s="1"/>
  <c r="AD142" i="1" s="1"/>
  <c r="AK142" i="1"/>
  <c r="AJ142" i="1"/>
  <c r="AH142" i="1"/>
  <c r="AG142" i="1"/>
  <c r="AF142" i="1"/>
  <c r="AC142" i="1"/>
  <c r="AB142" i="1"/>
  <c r="Z142" i="1"/>
  <c r="P142" i="1"/>
  <c r="BF142" i="1" s="1"/>
  <c r="L142" i="1"/>
  <c r="AL142" i="1" s="1"/>
  <c r="BW140" i="1"/>
  <c r="BJ140" i="1"/>
  <c r="BD140" i="1"/>
  <c r="AP140" i="1"/>
  <c r="AX140" i="1" s="1"/>
  <c r="AO140" i="1"/>
  <c r="AK140" i="1"/>
  <c r="AJ140" i="1"/>
  <c r="AH140" i="1"/>
  <c r="AG140" i="1"/>
  <c r="AF140" i="1"/>
  <c r="AC140" i="1"/>
  <c r="AB140" i="1"/>
  <c r="Z140" i="1"/>
  <c r="P140" i="1"/>
  <c r="BF140" i="1" s="1"/>
  <c r="L140" i="1"/>
  <c r="BW138" i="1"/>
  <c r="BJ138" i="1"/>
  <c r="BD138" i="1"/>
  <c r="AP138" i="1"/>
  <c r="BI138" i="1" s="1"/>
  <c r="AE138" i="1" s="1"/>
  <c r="AO138" i="1"/>
  <c r="AW138" i="1" s="1"/>
  <c r="AK138" i="1"/>
  <c r="AJ138" i="1"/>
  <c r="AH138" i="1"/>
  <c r="AG138" i="1"/>
  <c r="AF138" i="1"/>
  <c r="AC138" i="1"/>
  <c r="AB138" i="1"/>
  <c r="Z138" i="1"/>
  <c r="P138" i="1"/>
  <c r="BF138" i="1" s="1"/>
  <c r="L138" i="1"/>
  <c r="AL138" i="1" s="1"/>
  <c r="BW136" i="1"/>
  <c r="BJ136" i="1"/>
  <c r="BD136" i="1"/>
  <c r="AP136" i="1"/>
  <c r="BI136" i="1" s="1"/>
  <c r="AE136" i="1" s="1"/>
  <c r="AO136" i="1"/>
  <c r="AK136" i="1"/>
  <c r="AJ136" i="1"/>
  <c r="AH136" i="1"/>
  <c r="AG136" i="1"/>
  <c r="AF136" i="1"/>
  <c r="AC136" i="1"/>
  <c r="AB136" i="1"/>
  <c r="Z136" i="1"/>
  <c r="P136" i="1"/>
  <c r="BF136" i="1" s="1"/>
  <c r="L136" i="1"/>
  <c r="AL136" i="1" s="1"/>
  <c r="BW135" i="1"/>
  <c r="BJ135" i="1"/>
  <c r="BD135" i="1"/>
  <c r="AP135" i="1"/>
  <c r="BI135" i="1" s="1"/>
  <c r="AE135" i="1" s="1"/>
  <c r="AO135" i="1"/>
  <c r="AW135" i="1" s="1"/>
  <c r="AL135" i="1"/>
  <c r="AK135" i="1"/>
  <c r="AJ135" i="1"/>
  <c r="AH135" i="1"/>
  <c r="AG135" i="1"/>
  <c r="AF135" i="1"/>
  <c r="AC135" i="1"/>
  <c r="AB135" i="1"/>
  <c r="Z135" i="1"/>
  <c r="P135" i="1"/>
  <c r="BF135" i="1" s="1"/>
  <c r="L135" i="1"/>
  <c r="BW134" i="1"/>
  <c r="BJ134" i="1"/>
  <c r="BD134" i="1"/>
  <c r="AP134" i="1"/>
  <c r="AO134" i="1"/>
  <c r="BH134" i="1" s="1"/>
  <c r="AD134" i="1" s="1"/>
  <c r="AK134" i="1"/>
  <c r="AJ134" i="1"/>
  <c r="AH134" i="1"/>
  <c r="AG134" i="1"/>
  <c r="AF134" i="1"/>
  <c r="AC134" i="1"/>
  <c r="AB134" i="1"/>
  <c r="Z134" i="1"/>
  <c r="P134" i="1"/>
  <c r="BF134" i="1" s="1"/>
  <c r="L134" i="1"/>
  <c r="M134" i="1" s="1"/>
  <c r="BW132" i="1"/>
  <c r="BJ132" i="1"/>
  <c r="BD132" i="1"/>
  <c r="AP132" i="1"/>
  <c r="BI132" i="1" s="1"/>
  <c r="AE132" i="1" s="1"/>
  <c r="AO132" i="1"/>
  <c r="BH132" i="1" s="1"/>
  <c r="AD132" i="1" s="1"/>
  <c r="AK132" i="1"/>
  <c r="AJ132" i="1"/>
  <c r="AH132" i="1"/>
  <c r="AG132" i="1"/>
  <c r="AF132" i="1"/>
  <c r="AC132" i="1"/>
  <c r="AB132" i="1"/>
  <c r="Z132" i="1"/>
  <c r="P132" i="1"/>
  <c r="BF132" i="1" s="1"/>
  <c r="L132" i="1"/>
  <c r="BW131" i="1"/>
  <c r="BJ131" i="1"/>
  <c r="BD131" i="1"/>
  <c r="AP131" i="1"/>
  <c r="AX131" i="1" s="1"/>
  <c r="AO131" i="1"/>
  <c r="BH131" i="1" s="1"/>
  <c r="AD131" i="1" s="1"/>
  <c r="AK131" i="1"/>
  <c r="AJ131" i="1"/>
  <c r="AH131" i="1"/>
  <c r="AG131" i="1"/>
  <c r="AF131" i="1"/>
  <c r="AC131" i="1"/>
  <c r="AB131" i="1"/>
  <c r="Z131" i="1"/>
  <c r="P131" i="1"/>
  <c r="BF131" i="1" s="1"/>
  <c r="L131" i="1"/>
  <c r="AL131" i="1" s="1"/>
  <c r="BW130" i="1"/>
  <c r="BJ130" i="1"/>
  <c r="BD130" i="1"/>
  <c r="AP130" i="1"/>
  <c r="BI130" i="1" s="1"/>
  <c r="AG130" i="1" s="1"/>
  <c r="AO130" i="1"/>
  <c r="BH130" i="1" s="1"/>
  <c r="AF130" i="1" s="1"/>
  <c r="AK130" i="1"/>
  <c r="AJ130" i="1"/>
  <c r="AH130" i="1"/>
  <c r="AE130" i="1"/>
  <c r="AD130" i="1"/>
  <c r="AC130" i="1"/>
  <c r="AB130" i="1"/>
  <c r="Z130" i="1"/>
  <c r="P130" i="1"/>
  <c r="L130" i="1"/>
  <c r="AL130" i="1" s="1"/>
  <c r="BW128" i="1"/>
  <c r="BJ128" i="1"/>
  <c r="BD128" i="1"/>
  <c r="AP128" i="1"/>
  <c r="BI128" i="1" s="1"/>
  <c r="AE128" i="1" s="1"/>
  <c r="AO128" i="1"/>
  <c r="BH128" i="1" s="1"/>
  <c r="AD128" i="1" s="1"/>
  <c r="AK128" i="1"/>
  <c r="AJ128" i="1"/>
  <c r="AH128" i="1"/>
  <c r="AG128" i="1"/>
  <c r="AF128" i="1"/>
  <c r="AC128" i="1"/>
  <c r="AB128" i="1"/>
  <c r="Z128" i="1"/>
  <c r="P128" i="1"/>
  <c r="BF128" i="1" s="1"/>
  <c r="L128" i="1"/>
  <c r="BW126" i="1"/>
  <c r="BJ126" i="1"/>
  <c r="BD126" i="1"/>
  <c r="AP126" i="1"/>
  <c r="AX126" i="1" s="1"/>
  <c r="AO126" i="1"/>
  <c r="BH126" i="1" s="1"/>
  <c r="AD126" i="1" s="1"/>
  <c r="AK126" i="1"/>
  <c r="AJ126" i="1"/>
  <c r="AH126" i="1"/>
  <c r="AG126" i="1"/>
  <c r="AF126" i="1"/>
  <c r="AC126" i="1"/>
  <c r="AB126" i="1"/>
  <c r="Z126" i="1"/>
  <c r="P126" i="1"/>
  <c r="BF126" i="1" s="1"/>
  <c r="L126" i="1"/>
  <c r="BW124" i="1"/>
  <c r="BJ124" i="1"/>
  <c r="BD124" i="1"/>
  <c r="AP124" i="1"/>
  <c r="BI124" i="1" s="1"/>
  <c r="AE124" i="1" s="1"/>
  <c r="AO124" i="1"/>
  <c r="BH124" i="1" s="1"/>
  <c r="AD124" i="1" s="1"/>
  <c r="AK124" i="1"/>
  <c r="AJ124" i="1"/>
  <c r="AH124" i="1"/>
  <c r="AG124" i="1"/>
  <c r="AF124" i="1"/>
  <c r="AC124" i="1"/>
  <c r="AB124" i="1"/>
  <c r="Z124" i="1"/>
  <c r="P124" i="1"/>
  <c r="BF124" i="1" s="1"/>
  <c r="L124" i="1"/>
  <c r="AL124" i="1" s="1"/>
  <c r="BW123" i="1"/>
  <c r="BJ123" i="1"/>
  <c r="Z123" i="1" s="1"/>
  <c r="BD123" i="1"/>
  <c r="AP123" i="1"/>
  <c r="AX123" i="1" s="1"/>
  <c r="AO123" i="1"/>
  <c r="AK123" i="1"/>
  <c r="AJ123" i="1"/>
  <c r="AH123" i="1"/>
  <c r="AG123" i="1"/>
  <c r="AF123" i="1"/>
  <c r="AE123" i="1"/>
  <c r="AD123" i="1"/>
  <c r="AC123" i="1"/>
  <c r="AB123" i="1"/>
  <c r="P123" i="1"/>
  <c r="BF123" i="1" s="1"/>
  <c r="L123" i="1"/>
  <c r="BW121" i="1"/>
  <c r="BJ121" i="1"/>
  <c r="BD121" i="1"/>
  <c r="AP121" i="1"/>
  <c r="BI121" i="1" s="1"/>
  <c r="AE121" i="1" s="1"/>
  <c r="AO121" i="1"/>
  <c r="AW121" i="1" s="1"/>
  <c r="AK121" i="1"/>
  <c r="AJ121" i="1"/>
  <c r="AH121" i="1"/>
  <c r="AG121" i="1"/>
  <c r="AF121" i="1"/>
  <c r="AC121" i="1"/>
  <c r="AB121" i="1"/>
  <c r="Z121" i="1"/>
  <c r="P121" i="1"/>
  <c r="BF121" i="1" s="1"/>
  <c r="L121" i="1"/>
  <c r="AL121" i="1" s="1"/>
  <c r="BW120" i="1"/>
  <c r="BJ120" i="1"/>
  <c r="BD120" i="1"/>
  <c r="AP120" i="1"/>
  <c r="BI120" i="1" s="1"/>
  <c r="AE120" i="1" s="1"/>
  <c r="AO120" i="1"/>
  <c r="BH120" i="1" s="1"/>
  <c r="AD120" i="1" s="1"/>
  <c r="AL120" i="1"/>
  <c r="AK120" i="1"/>
  <c r="AJ120" i="1"/>
  <c r="AH120" i="1"/>
  <c r="AG120" i="1"/>
  <c r="AF120" i="1"/>
  <c r="AC120" i="1"/>
  <c r="AB120" i="1"/>
  <c r="Z120" i="1"/>
  <c r="P120" i="1"/>
  <c r="BF120" i="1" s="1"/>
  <c r="L120" i="1"/>
  <c r="BW119" i="1"/>
  <c r="BJ119" i="1"/>
  <c r="BD119" i="1"/>
  <c r="AP119" i="1"/>
  <c r="AX119" i="1" s="1"/>
  <c r="AO119" i="1"/>
  <c r="AK119" i="1"/>
  <c r="AJ119" i="1"/>
  <c r="AH119" i="1"/>
  <c r="AG119" i="1"/>
  <c r="AF119" i="1"/>
  <c r="AC119" i="1"/>
  <c r="AB119" i="1"/>
  <c r="Z119" i="1"/>
  <c r="P119" i="1"/>
  <c r="BF119" i="1" s="1"/>
  <c r="L119" i="1"/>
  <c r="AL119" i="1" s="1"/>
  <c r="BW118" i="1"/>
  <c r="BJ118" i="1"/>
  <c r="BD118" i="1"/>
  <c r="AP118" i="1"/>
  <c r="K118" i="1" s="1"/>
  <c r="AO118" i="1"/>
  <c r="BH118" i="1" s="1"/>
  <c r="AD118" i="1" s="1"/>
  <c r="AK118" i="1"/>
  <c r="AJ118" i="1"/>
  <c r="AH118" i="1"/>
  <c r="AG118" i="1"/>
  <c r="AF118" i="1"/>
  <c r="AC118" i="1"/>
  <c r="AB118" i="1"/>
  <c r="Z118" i="1"/>
  <c r="P118" i="1"/>
  <c r="BF118" i="1" s="1"/>
  <c r="L118" i="1"/>
  <c r="BW117" i="1"/>
  <c r="BJ117" i="1"/>
  <c r="BD117" i="1"/>
  <c r="AP117" i="1"/>
  <c r="AX117" i="1" s="1"/>
  <c r="AO117" i="1"/>
  <c r="AK117" i="1"/>
  <c r="AJ117" i="1"/>
  <c r="AH117" i="1"/>
  <c r="AG117" i="1"/>
  <c r="AF117" i="1"/>
  <c r="AC117" i="1"/>
  <c r="AB117" i="1"/>
  <c r="Z117" i="1"/>
  <c r="P117" i="1"/>
  <c r="BF117" i="1" s="1"/>
  <c r="L117" i="1"/>
  <c r="AL117" i="1" s="1"/>
  <c r="BW116" i="1"/>
  <c r="BJ116" i="1"/>
  <c r="BD116" i="1"/>
  <c r="AP116" i="1"/>
  <c r="BI116" i="1" s="1"/>
  <c r="AE116" i="1" s="1"/>
  <c r="AO116" i="1"/>
  <c r="AK116" i="1"/>
  <c r="AJ116" i="1"/>
  <c r="AH116" i="1"/>
  <c r="AG116" i="1"/>
  <c r="AF116" i="1"/>
  <c r="AC116" i="1"/>
  <c r="AB116" i="1"/>
  <c r="Z116" i="1"/>
  <c r="P116" i="1"/>
  <c r="BF116" i="1" s="1"/>
  <c r="L116" i="1"/>
  <c r="BW115" i="1"/>
  <c r="BJ115" i="1"/>
  <c r="BD115" i="1"/>
  <c r="AP115" i="1"/>
  <c r="BI115" i="1" s="1"/>
  <c r="AE115" i="1" s="1"/>
  <c r="AO115" i="1"/>
  <c r="BH115" i="1" s="1"/>
  <c r="AD115" i="1" s="1"/>
  <c r="AK115" i="1"/>
  <c r="AJ115" i="1"/>
  <c r="AH115" i="1"/>
  <c r="AG115" i="1"/>
  <c r="AF115" i="1"/>
  <c r="AC115" i="1"/>
  <c r="AB115" i="1"/>
  <c r="Z115" i="1"/>
  <c r="P115" i="1"/>
  <c r="BF115" i="1" s="1"/>
  <c r="L115" i="1"/>
  <c r="AL115" i="1" s="1"/>
  <c r="BW114" i="1"/>
  <c r="BJ114" i="1"/>
  <c r="BD114" i="1"/>
  <c r="AP114" i="1"/>
  <c r="BI114" i="1" s="1"/>
  <c r="AE114" i="1" s="1"/>
  <c r="AO114" i="1"/>
  <c r="AW114" i="1" s="1"/>
  <c r="AK114" i="1"/>
  <c r="AJ114" i="1"/>
  <c r="AH114" i="1"/>
  <c r="AG114" i="1"/>
  <c r="AF114" i="1"/>
  <c r="AC114" i="1"/>
  <c r="AB114" i="1"/>
  <c r="Z114" i="1"/>
  <c r="P114" i="1"/>
  <c r="BF114" i="1" s="1"/>
  <c r="L114" i="1"/>
  <c r="BW113" i="1"/>
  <c r="BJ113" i="1"/>
  <c r="BD113" i="1"/>
  <c r="AP113" i="1"/>
  <c r="AX113" i="1" s="1"/>
  <c r="AO113" i="1"/>
  <c r="AK113" i="1"/>
  <c r="AJ113" i="1"/>
  <c r="AH113" i="1"/>
  <c r="AG113" i="1"/>
  <c r="AF113" i="1"/>
  <c r="AC113" i="1"/>
  <c r="AB113" i="1"/>
  <c r="Z113" i="1"/>
  <c r="P113" i="1"/>
  <c r="BF113" i="1" s="1"/>
  <c r="L113" i="1"/>
  <c r="AL113" i="1" s="1"/>
  <c r="BW111" i="1"/>
  <c r="BJ111" i="1"/>
  <c r="BF111" i="1"/>
  <c r="BD111" i="1"/>
  <c r="AP111" i="1"/>
  <c r="BI111" i="1" s="1"/>
  <c r="AE111" i="1" s="1"/>
  <c r="AO111" i="1"/>
  <c r="BH111" i="1" s="1"/>
  <c r="AD111" i="1" s="1"/>
  <c r="AK111" i="1"/>
  <c r="AJ111" i="1"/>
  <c r="AH111" i="1"/>
  <c r="AG111" i="1"/>
  <c r="AF111" i="1"/>
  <c r="AC111" i="1"/>
  <c r="AB111" i="1"/>
  <c r="Z111" i="1"/>
  <c r="P111" i="1"/>
  <c r="L111" i="1"/>
  <c r="AL111" i="1" s="1"/>
  <c r="BW109" i="1"/>
  <c r="BJ109" i="1"/>
  <c r="BD109" i="1"/>
  <c r="AP109" i="1"/>
  <c r="BI109" i="1" s="1"/>
  <c r="AE109" i="1" s="1"/>
  <c r="AO109" i="1"/>
  <c r="J109" i="1" s="1"/>
  <c r="AK109" i="1"/>
  <c r="AJ109" i="1"/>
  <c r="AH109" i="1"/>
  <c r="AG109" i="1"/>
  <c r="AF109" i="1"/>
  <c r="AC109" i="1"/>
  <c r="AB109" i="1"/>
  <c r="Z109" i="1"/>
  <c r="P109" i="1"/>
  <c r="BF109" i="1" s="1"/>
  <c r="L109" i="1"/>
  <c r="AL109" i="1" s="1"/>
  <c r="BW107" i="1"/>
  <c r="BJ107" i="1"/>
  <c r="BD107" i="1"/>
  <c r="AP107" i="1"/>
  <c r="BI107" i="1" s="1"/>
  <c r="AE107" i="1" s="1"/>
  <c r="AO107" i="1"/>
  <c r="BH107" i="1" s="1"/>
  <c r="AD107" i="1" s="1"/>
  <c r="AK107" i="1"/>
  <c r="AJ107" i="1"/>
  <c r="AH107" i="1"/>
  <c r="AG107" i="1"/>
  <c r="AF107" i="1"/>
  <c r="AC107" i="1"/>
  <c r="AB107" i="1"/>
  <c r="Z107" i="1"/>
  <c r="P107" i="1"/>
  <c r="BF107" i="1" s="1"/>
  <c r="L107" i="1"/>
  <c r="BW105" i="1"/>
  <c r="BJ105" i="1"/>
  <c r="BD105" i="1"/>
  <c r="AP105" i="1"/>
  <c r="AO105" i="1"/>
  <c r="BH105" i="1" s="1"/>
  <c r="AD105" i="1" s="1"/>
  <c r="AK105" i="1"/>
  <c r="AJ105" i="1"/>
  <c r="AH105" i="1"/>
  <c r="AG105" i="1"/>
  <c r="AF105" i="1"/>
  <c r="AC105" i="1"/>
  <c r="AB105" i="1"/>
  <c r="Z105" i="1"/>
  <c r="P105" i="1"/>
  <c r="BF105" i="1" s="1"/>
  <c r="L105" i="1"/>
  <c r="AL105" i="1" s="1"/>
  <c r="BW103" i="1"/>
  <c r="BJ103" i="1"/>
  <c r="BF103" i="1"/>
  <c r="BD103" i="1"/>
  <c r="AP103" i="1"/>
  <c r="BI103" i="1" s="1"/>
  <c r="AE103" i="1" s="1"/>
  <c r="AO103" i="1"/>
  <c r="BH103" i="1" s="1"/>
  <c r="AD103" i="1" s="1"/>
  <c r="AK103" i="1"/>
  <c r="AJ103" i="1"/>
  <c r="AH103" i="1"/>
  <c r="AG103" i="1"/>
  <c r="AF103" i="1"/>
  <c r="AC103" i="1"/>
  <c r="AB103" i="1"/>
  <c r="Z103" i="1"/>
  <c r="P103" i="1"/>
  <c r="L103" i="1"/>
  <c r="AL103" i="1" s="1"/>
  <c r="BW101" i="1"/>
  <c r="BJ101" i="1"/>
  <c r="BD101" i="1"/>
  <c r="AP101" i="1"/>
  <c r="BI101" i="1" s="1"/>
  <c r="AE101" i="1" s="1"/>
  <c r="AO101" i="1"/>
  <c r="AW101" i="1" s="1"/>
  <c r="AK101" i="1"/>
  <c r="AJ101" i="1"/>
  <c r="AH101" i="1"/>
  <c r="AG101" i="1"/>
  <c r="AF101" i="1"/>
  <c r="AC101" i="1"/>
  <c r="AB101" i="1"/>
  <c r="Z101" i="1"/>
  <c r="P101" i="1"/>
  <c r="BF101" i="1" s="1"/>
  <c r="L101" i="1"/>
  <c r="AL101" i="1" s="1"/>
  <c r="J101" i="1"/>
  <c r="BW99" i="1"/>
  <c r="BJ99" i="1"/>
  <c r="BD99" i="1"/>
  <c r="AP99" i="1"/>
  <c r="BI99" i="1" s="1"/>
  <c r="AE99" i="1" s="1"/>
  <c r="AO99" i="1"/>
  <c r="BH99" i="1" s="1"/>
  <c r="AD99" i="1" s="1"/>
  <c r="AK99" i="1"/>
  <c r="AJ99" i="1"/>
  <c r="AH99" i="1"/>
  <c r="AG99" i="1"/>
  <c r="AF99" i="1"/>
  <c r="AC99" i="1"/>
  <c r="AB99" i="1"/>
  <c r="Z99" i="1"/>
  <c r="P99" i="1"/>
  <c r="BF99" i="1" s="1"/>
  <c r="L99" i="1"/>
  <c r="BW97" i="1"/>
  <c r="BJ97" i="1"/>
  <c r="BD97" i="1"/>
  <c r="AP97" i="1"/>
  <c r="BI97" i="1" s="1"/>
  <c r="AE97" i="1" s="1"/>
  <c r="AO97" i="1"/>
  <c r="BH97" i="1" s="1"/>
  <c r="AD97" i="1" s="1"/>
  <c r="AK97" i="1"/>
  <c r="AJ97" i="1"/>
  <c r="AH97" i="1"/>
  <c r="AG97" i="1"/>
  <c r="AF97" i="1"/>
  <c r="AC97" i="1"/>
  <c r="AB97" i="1"/>
  <c r="Z97" i="1"/>
  <c r="P97" i="1"/>
  <c r="BF97" i="1" s="1"/>
  <c r="L97" i="1"/>
  <c r="BW95" i="1"/>
  <c r="BJ95" i="1"/>
  <c r="BD95" i="1"/>
  <c r="AP95" i="1"/>
  <c r="BI95" i="1" s="1"/>
  <c r="AE95" i="1" s="1"/>
  <c r="AO95" i="1"/>
  <c r="BH95" i="1" s="1"/>
  <c r="AD95" i="1" s="1"/>
  <c r="AK95" i="1"/>
  <c r="AJ95" i="1"/>
  <c r="AH95" i="1"/>
  <c r="AG95" i="1"/>
  <c r="AF95" i="1"/>
  <c r="AC95" i="1"/>
  <c r="AB95" i="1"/>
  <c r="Z95" i="1"/>
  <c r="P95" i="1"/>
  <c r="BF95" i="1" s="1"/>
  <c r="L95" i="1"/>
  <c r="AL95" i="1" s="1"/>
  <c r="BW93" i="1"/>
  <c r="BJ93" i="1"/>
  <c r="BD93" i="1"/>
  <c r="AP93" i="1"/>
  <c r="BI93" i="1" s="1"/>
  <c r="AE93" i="1" s="1"/>
  <c r="AO93" i="1"/>
  <c r="AK93" i="1"/>
  <c r="AJ93" i="1"/>
  <c r="AH93" i="1"/>
  <c r="AG93" i="1"/>
  <c r="AF93" i="1"/>
  <c r="AC93" i="1"/>
  <c r="AB93" i="1"/>
  <c r="Z93" i="1"/>
  <c r="P93" i="1"/>
  <c r="L93" i="1"/>
  <c r="AL93" i="1" s="1"/>
  <c r="BW91" i="1"/>
  <c r="BJ91" i="1"/>
  <c r="BD91" i="1"/>
  <c r="AP91" i="1"/>
  <c r="AO91" i="1"/>
  <c r="J91" i="1" s="1"/>
  <c r="AK91" i="1"/>
  <c r="AJ91" i="1"/>
  <c r="AH91" i="1"/>
  <c r="AG91" i="1"/>
  <c r="AF91" i="1"/>
  <c r="AC91" i="1"/>
  <c r="AB91" i="1"/>
  <c r="Z91" i="1"/>
  <c r="P91" i="1"/>
  <c r="BF91" i="1" s="1"/>
  <c r="L91" i="1"/>
  <c r="BW89" i="1"/>
  <c r="BJ89" i="1"/>
  <c r="BD89" i="1"/>
  <c r="AP89" i="1"/>
  <c r="BI89" i="1" s="1"/>
  <c r="AE89" i="1" s="1"/>
  <c r="AO89" i="1"/>
  <c r="AK89" i="1"/>
  <c r="AJ89" i="1"/>
  <c r="AH89" i="1"/>
  <c r="AG89" i="1"/>
  <c r="AF89" i="1"/>
  <c r="AC89" i="1"/>
  <c r="AB89" i="1"/>
  <c r="Z89" i="1"/>
  <c r="P89" i="1"/>
  <c r="BF89" i="1" s="1"/>
  <c r="L89" i="1"/>
  <c r="AL89" i="1" s="1"/>
  <c r="BW87" i="1"/>
  <c r="BJ87" i="1"/>
  <c r="BD87" i="1"/>
  <c r="AP87" i="1"/>
  <c r="K87" i="1" s="1"/>
  <c r="AO87" i="1"/>
  <c r="BH87" i="1" s="1"/>
  <c r="AD87" i="1" s="1"/>
  <c r="AK87" i="1"/>
  <c r="AJ87" i="1"/>
  <c r="AH87" i="1"/>
  <c r="AG87" i="1"/>
  <c r="AF87" i="1"/>
  <c r="AC87" i="1"/>
  <c r="AB87" i="1"/>
  <c r="Z87" i="1"/>
  <c r="P87" i="1"/>
  <c r="BF87" i="1" s="1"/>
  <c r="L87" i="1"/>
  <c r="BW85" i="1"/>
  <c r="BJ85" i="1"/>
  <c r="BD85" i="1"/>
  <c r="AP85" i="1"/>
  <c r="BI85" i="1" s="1"/>
  <c r="AE85" i="1" s="1"/>
  <c r="AO85" i="1"/>
  <c r="BH85" i="1" s="1"/>
  <c r="AD85" i="1" s="1"/>
  <c r="AK85" i="1"/>
  <c r="AJ85" i="1"/>
  <c r="AH85" i="1"/>
  <c r="AG85" i="1"/>
  <c r="AF85" i="1"/>
  <c r="AC85" i="1"/>
  <c r="AB85" i="1"/>
  <c r="Z85" i="1"/>
  <c r="P85" i="1"/>
  <c r="BF85" i="1" s="1"/>
  <c r="L85" i="1"/>
  <c r="AL85" i="1" s="1"/>
  <c r="BW82" i="1"/>
  <c r="BJ82" i="1"/>
  <c r="BD82" i="1"/>
  <c r="AW82" i="1"/>
  <c r="AP82" i="1"/>
  <c r="K82" i="1" s="1"/>
  <c r="K81" i="1" s="1"/>
  <c r="E18" i="2" s="1"/>
  <c r="AO82" i="1"/>
  <c r="BH82" i="1" s="1"/>
  <c r="AD82" i="1" s="1"/>
  <c r="AK82" i="1"/>
  <c r="AT81" i="1" s="1"/>
  <c r="AJ82" i="1"/>
  <c r="AS81" i="1" s="1"/>
  <c r="AH82" i="1"/>
  <c r="AG82" i="1"/>
  <c r="AF82" i="1"/>
  <c r="AC82" i="1"/>
  <c r="AB82" i="1"/>
  <c r="Z82" i="1"/>
  <c r="P82" i="1"/>
  <c r="BF82" i="1" s="1"/>
  <c r="L82" i="1"/>
  <c r="L81" i="1" s="1"/>
  <c r="F18" i="2" s="1"/>
  <c r="I18" i="2" s="1"/>
  <c r="BW79" i="1"/>
  <c r="BJ79" i="1"/>
  <c r="BD79" i="1"/>
  <c r="AP79" i="1"/>
  <c r="BI79" i="1" s="1"/>
  <c r="AC79" i="1" s="1"/>
  <c r="AO79" i="1"/>
  <c r="AW79" i="1" s="1"/>
  <c r="AK79" i="1"/>
  <c r="AJ79" i="1"/>
  <c r="AH79" i="1"/>
  <c r="AG79" i="1"/>
  <c r="AF79" i="1"/>
  <c r="AE79" i="1"/>
  <c r="AD79" i="1"/>
  <c r="Z79" i="1"/>
  <c r="P79" i="1"/>
  <c r="BF79" i="1" s="1"/>
  <c r="L79" i="1"/>
  <c r="BW77" i="1"/>
  <c r="BJ77" i="1"/>
  <c r="BD77" i="1"/>
  <c r="AP77" i="1"/>
  <c r="BI77" i="1" s="1"/>
  <c r="AC77" i="1" s="1"/>
  <c r="AO77" i="1"/>
  <c r="BH77" i="1" s="1"/>
  <c r="AB77" i="1" s="1"/>
  <c r="AK77" i="1"/>
  <c r="AJ77" i="1"/>
  <c r="AH77" i="1"/>
  <c r="AG77" i="1"/>
  <c r="AF77" i="1"/>
  <c r="AE77" i="1"/>
  <c r="AD77" i="1"/>
  <c r="Z77" i="1"/>
  <c r="P77" i="1"/>
  <c r="BF77" i="1" s="1"/>
  <c r="L77" i="1"/>
  <c r="K77" i="1"/>
  <c r="BW76" i="1"/>
  <c r="BJ76" i="1"/>
  <c r="BD76" i="1"/>
  <c r="AP76" i="1"/>
  <c r="K76" i="1" s="1"/>
  <c r="AO76" i="1"/>
  <c r="AK76" i="1"/>
  <c r="AJ76" i="1"/>
  <c r="AH76" i="1"/>
  <c r="AG76" i="1"/>
  <c r="AF76" i="1"/>
  <c r="AE76" i="1"/>
  <c r="AD76" i="1"/>
  <c r="Z76" i="1"/>
  <c r="P76" i="1"/>
  <c r="BF76" i="1" s="1"/>
  <c r="L76" i="1"/>
  <c r="AL76" i="1" s="1"/>
  <c r="BW75" i="1"/>
  <c r="BJ75" i="1"/>
  <c r="BD75" i="1"/>
  <c r="AP75" i="1"/>
  <c r="AX75" i="1" s="1"/>
  <c r="AO75" i="1"/>
  <c r="BH75" i="1" s="1"/>
  <c r="AB75" i="1" s="1"/>
  <c r="AK75" i="1"/>
  <c r="AJ75" i="1"/>
  <c r="AH75" i="1"/>
  <c r="AG75" i="1"/>
  <c r="AF75" i="1"/>
  <c r="AE75" i="1"/>
  <c r="AD75" i="1"/>
  <c r="Z75" i="1"/>
  <c r="P75" i="1"/>
  <c r="BF75" i="1" s="1"/>
  <c r="L75" i="1"/>
  <c r="BW74" i="1"/>
  <c r="BJ74" i="1"/>
  <c r="BD74" i="1"/>
  <c r="AW74" i="1"/>
  <c r="AP74" i="1"/>
  <c r="AO74" i="1"/>
  <c r="BH74" i="1" s="1"/>
  <c r="AB74" i="1" s="1"/>
  <c r="AK74" i="1"/>
  <c r="AJ74" i="1"/>
  <c r="AH74" i="1"/>
  <c r="AG74" i="1"/>
  <c r="AF74" i="1"/>
  <c r="AE74" i="1"/>
  <c r="AD74" i="1"/>
  <c r="Z74" i="1"/>
  <c r="P74" i="1"/>
  <c r="BF74" i="1" s="1"/>
  <c r="L74" i="1"/>
  <c r="AL74" i="1" s="1"/>
  <c r="BW72" i="1"/>
  <c r="BJ72" i="1"/>
  <c r="BD72" i="1"/>
  <c r="AP72" i="1"/>
  <c r="AX72" i="1" s="1"/>
  <c r="AO72" i="1"/>
  <c r="J72" i="1" s="1"/>
  <c r="AK72" i="1"/>
  <c r="AJ72" i="1"/>
  <c r="AH72" i="1"/>
  <c r="AG72" i="1"/>
  <c r="AF72" i="1"/>
  <c r="AE72" i="1"/>
  <c r="AD72" i="1"/>
  <c r="Z72" i="1"/>
  <c r="P72" i="1"/>
  <c r="BF72" i="1" s="1"/>
  <c r="L72" i="1"/>
  <c r="AL72" i="1" s="1"/>
  <c r="BW71" i="1"/>
  <c r="BJ71" i="1"/>
  <c r="BD71" i="1"/>
  <c r="AP71" i="1"/>
  <c r="BI71" i="1" s="1"/>
  <c r="AC71" i="1" s="1"/>
  <c r="AO71" i="1"/>
  <c r="BH71" i="1" s="1"/>
  <c r="AB71" i="1" s="1"/>
  <c r="AK71" i="1"/>
  <c r="AJ71" i="1"/>
  <c r="AH71" i="1"/>
  <c r="AG71" i="1"/>
  <c r="AF71" i="1"/>
  <c r="AE71" i="1"/>
  <c r="AD71" i="1"/>
  <c r="Z71" i="1"/>
  <c r="P71" i="1"/>
  <c r="BF71" i="1" s="1"/>
  <c r="L71" i="1"/>
  <c r="BW69" i="1"/>
  <c r="BJ69" i="1"/>
  <c r="BD69" i="1"/>
  <c r="AP69" i="1"/>
  <c r="BI69" i="1" s="1"/>
  <c r="AC69" i="1" s="1"/>
  <c r="AO69" i="1"/>
  <c r="BH69" i="1" s="1"/>
  <c r="AB69" i="1" s="1"/>
  <c r="AK69" i="1"/>
  <c r="AJ69" i="1"/>
  <c r="AH69" i="1"/>
  <c r="AG69" i="1"/>
  <c r="AF69" i="1"/>
  <c r="AE69" i="1"/>
  <c r="AD69" i="1"/>
  <c r="Z69" i="1"/>
  <c r="P69" i="1"/>
  <c r="L69" i="1"/>
  <c r="BW66" i="1"/>
  <c r="BJ66" i="1"/>
  <c r="BD66" i="1"/>
  <c r="AP66" i="1"/>
  <c r="AO66" i="1"/>
  <c r="J66" i="1" s="1"/>
  <c r="AL66" i="1"/>
  <c r="AK66" i="1"/>
  <c r="AJ66" i="1"/>
  <c r="AH66" i="1"/>
  <c r="AG66" i="1"/>
  <c r="AF66" i="1"/>
  <c r="AE66" i="1"/>
  <c r="AD66" i="1"/>
  <c r="Z66" i="1"/>
  <c r="P66" i="1"/>
  <c r="BF66" i="1" s="1"/>
  <c r="L66" i="1"/>
  <c r="M66" i="1" s="1"/>
  <c r="BW64" i="1"/>
  <c r="BJ64" i="1"/>
  <c r="BD64" i="1"/>
  <c r="AP64" i="1"/>
  <c r="AX64" i="1" s="1"/>
  <c r="AO64" i="1"/>
  <c r="AW64" i="1" s="1"/>
  <c r="AK64" i="1"/>
  <c r="AJ64" i="1"/>
  <c r="AH64" i="1"/>
  <c r="AG64" i="1"/>
  <c r="AF64" i="1"/>
  <c r="AE64" i="1"/>
  <c r="AD64" i="1"/>
  <c r="Z64" i="1"/>
  <c r="P64" i="1"/>
  <c r="BF64" i="1" s="1"/>
  <c r="L64" i="1"/>
  <c r="AL64" i="1" s="1"/>
  <c r="BW62" i="1"/>
  <c r="BJ62" i="1"/>
  <c r="BD62" i="1"/>
  <c r="AP62" i="1"/>
  <c r="AO62" i="1"/>
  <c r="BH62" i="1" s="1"/>
  <c r="AB62" i="1" s="1"/>
  <c r="AK62" i="1"/>
  <c r="AJ62" i="1"/>
  <c r="AH62" i="1"/>
  <c r="AG62" i="1"/>
  <c r="AF62" i="1"/>
  <c r="AE62" i="1"/>
  <c r="AD62" i="1"/>
  <c r="Z62" i="1"/>
  <c r="P62" i="1"/>
  <c r="L62" i="1"/>
  <c r="AL62" i="1" s="1"/>
  <c r="BW60" i="1"/>
  <c r="BJ60" i="1"/>
  <c r="BD60" i="1"/>
  <c r="AP60" i="1"/>
  <c r="BI60" i="1" s="1"/>
  <c r="AC60" i="1" s="1"/>
  <c r="AO60" i="1"/>
  <c r="BH60" i="1" s="1"/>
  <c r="AB60" i="1" s="1"/>
  <c r="AK60" i="1"/>
  <c r="AJ60" i="1"/>
  <c r="AH60" i="1"/>
  <c r="AG60" i="1"/>
  <c r="AF60" i="1"/>
  <c r="AE60" i="1"/>
  <c r="AD60" i="1"/>
  <c r="Z60" i="1"/>
  <c r="P60" i="1"/>
  <c r="BF60" i="1" s="1"/>
  <c r="L60" i="1"/>
  <c r="BW58" i="1"/>
  <c r="BJ58" i="1"/>
  <c r="BD58" i="1"/>
  <c r="AP58" i="1"/>
  <c r="BI58" i="1" s="1"/>
  <c r="AC58" i="1" s="1"/>
  <c r="AO58" i="1"/>
  <c r="AW58" i="1" s="1"/>
  <c r="AK58" i="1"/>
  <c r="AJ58" i="1"/>
  <c r="AH58" i="1"/>
  <c r="AG58" i="1"/>
  <c r="AF58" i="1"/>
  <c r="AE58" i="1"/>
  <c r="AD58" i="1"/>
  <c r="Z58" i="1"/>
  <c r="P58" i="1"/>
  <c r="BF58" i="1" s="1"/>
  <c r="L58" i="1"/>
  <c r="AL58" i="1" s="1"/>
  <c r="J58" i="1"/>
  <c r="BW57" i="1"/>
  <c r="BJ57" i="1"/>
  <c r="BD57" i="1"/>
  <c r="AP57" i="1"/>
  <c r="BI57" i="1" s="1"/>
  <c r="AC57" i="1" s="1"/>
  <c r="AO57" i="1"/>
  <c r="BH57" i="1" s="1"/>
  <c r="AB57" i="1" s="1"/>
  <c r="AK57" i="1"/>
  <c r="AJ57" i="1"/>
  <c r="AH57" i="1"/>
  <c r="AG57" i="1"/>
  <c r="AF57" i="1"/>
  <c r="AE57" i="1"/>
  <c r="AD57" i="1"/>
  <c r="Z57" i="1"/>
  <c r="P57" i="1"/>
  <c r="BF57" i="1" s="1"/>
  <c r="L57" i="1"/>
  <c r="AL57" i="1" s="1"/>
  <c r="BW56" i="1"/>
  <c r="BJ56" i="1"/>
  <c r="BD56" i="1"/>
  <c r="AW56" i="1"/>
  <c r="AP56" i="1"/>
  <c r="AO56" i="1"/>
  <c r="BH56" i="1" s="1"/>
  <c r="AB56" i="1" s="1"/>
  <c r="AK56" i="1"/>
  <c r="AJ56" i="1"/>
  <c r="AH56" i="1"/>
  <c r="AG56" i="1"/>
  <c r="AF56" i="1"/>
  <c r="AE56" i="1"/>
  <c r="AD56" i="1"/>
  <c r="Z56" i="1"/>
  <c r="P56" i="1"/>
  <c r="BF56" i="1" s="1"/>
  <c r="L56" i="1"/>
  <c r="J56" i="1"/>
  <c r="BW54" i="1"/>
  <c r="BJ54" i="1"/>
  <c r="BD54" i="1"/>
  <c r="AP54" i="1"/>
  <c r="BI54" i="1" s="1"/>
  <c r="AC54" i="1" s="1"/>
  <c r="AO54" i="1"/>
  <c r="BH54" i="1" s="1"/>
  <c r="AB54" i="1" s="1"/>
  <c r="AK54" i="1"/>
  <c r="AJ54" i="1"/>
  <c r="AH54" i="1"/>
  <c r="AG54" i="1"/>
  <c r="AF54" i="1"/>
  <c r="AE54" i="1"/>
  <c r="AD54" i="1"/>
  <c r="Z54" i="1"/>
  <c r="P54" i="1"/>
  <c r="BF54" i="1" s="1"/>
  <c r="L54" i="1"/>
  <c r="AL54" i="1" s="1"/>
  <c r="BW52" i="1"/>
  <c r="BJ52" i="1"/>
  <c r="BD52" i="1"/>
  <c r="AP52" i="1"/>
  <c r="K52" i="1" s="1"/>
  <c r="AO52" i="1"/>
  <c r="BH52" i="1" s="1"/>
  <c r="AB52" i="1" s="1"/>
  <c r="AK52" i="1"/>
  <c r="AJ52" i="1"/>
  <c r="AH52" i="1"/>
  <c r="AG52" i="1"/>
  <c r="AF52" i="1"/>
  <c r="AE52" i="1"/>
  <c r="AD52" i="1"/>
  <c r="Z52" i="1"/>
  <c r="P52" i="1"/>
  <c r="BF52" i="1" s="1"/>
  <c r="L52" i="1"/>
  <c r="AL52" i="1" s="1"/>
  <c r="BW50" i="1"/>
  <c r="BJ50" i="1"/>
  <c r="BD50" i="1"/>
  <c r="AP50" i="1"/>
  <c r="AX50" i="1" s="1"/>
  <c r="AO50" i="1"/>
  <c r="AK50" i="1"/>
  <c r="AJ50" i="1"/>
  <c r="AH50" i="1"/>
  <c r="AG50" i="1"/>
  <c r="AF50" i="1"/>
  <c r="AE50" i="1"/>
  <c r="AD50" i="1"/>
  <c r="Z50" i="1"/>
  <c r="P50" i="1"/>
  <c r="L50" i="1"/>
  <c r="BW47" i="1"/>
  <c r="BJ47" i="1"/>
  <c r="BD47" i="1"/>
  <c r="AP47" i="1"/>
  <c r="BI47" i="1" s="1"/>
  <c r="AC47" i="1" s="1"/>
  <c r="AO47" i="1"/>
  <c r="BH47" i="1" s="1"/>
  <c r="AB47" i="1" s="1"/>
  <c r="AK47" i="1"/>
  <c r="AJ47" i="1"/>
  <c r="AH47" i="1"/>
  <c r="AG47" i="1"/>
  <c r="AF47" i="1"/>
  <c r="AE47" i="1"/>
  <c r="AD47" i="1"/>
  <c r="Z47" i="1"/>
  <c r="P47" i="1"/>
  <c r="BF47" i="1" s="1"/>
  <c r="L47" i="1"/>
  <c r="AL47" i="1" s="1"/>
  <c r="J47" i="1"/>
  <c r="BW46" i="1"/>
  <c r="BJ46" i="1"/>
  <c r="BD46" i="1"/>
  <c r="AP46" i="1"/>
  <c r="BI46" i="1" s="1"/>
  <c r="AC46" i="1" s="1"/>
  <c r="AO46" i="1"/>
  <c r="BH46" i="1" s="1"/>
  <c r="AB46" i="1" s="1"/>
  <c r="AK46" i="1"/>
  <c r="AJ46" i="1"/>
  <c r="AH46" i="1"/>
  <c r="AG46" i="1"/>
  <c r="AF46" i="1"/>
  <c r="AE46" i="1"/>
  <c r="AD46" i="1"/>
  <c r="Z46" i="1"/>
  <c r="P46" i="1"/>
  <c r="BF46" i="1" s="1"/>
  <c r="L46" i="1"/>
  <c r="BW45" i="1"/>
  <c r="BJ45" i="1"/>
  <c r="BD45" i="1"/>
  <c r="AP45" i="1"/>
  <c r="AX45" i="1" s="1"/>
  <c r="AO45" i="1"/>
  <c r="BH45" i="1" s="1"/>
  <c r="AB45" i="1" s="1"/>
  <c r="AK45" i="1"/>
  <c r="AJ45" i="1"/>
  <c r="AH45" i="1"/>
  <c r="AG45" i="1"/>
  <c r="AF45" i="1"/>
  <c r="AE45" i="1"/>
  <c r="AD45" i="1"/>
  <c r="Z45" i="1"/>
  <c r="P45" i="1"/>
  <c r="BF45" i="1" s="1"/>
  <c r="L45" i="1"/>
  <c r="BW44" i="1"/>
  <c r="BJ44" i="1"/>
  <c r="BD44" i="1"/>
  <c r="AP44" i="1"/>
  <c r="BI44" i="1" s="1"/>
  <c r="AC44" i="1" s="1"/>
  <c r="AO44" i="1"/>
  <c r="BH44" i="1" s="1"/>
  <c r="AB44" i="1" s="1"/>
  <c r="AK44" i="1"/>
  <c r="AJ44" i="1"/>
  <c r="AH44" i="1"/>
  <c r="AG44" i="1"/>
  <c r="AF44" i="1"/>
  <c r="AE44" i="1"/>
  <c r="AD44" i="1"/>
  <c r="Z44" i="1"/>
  <c r="P44" i="1"/>
  <c r="BF44" i="1" s="1"/>
  <c r="L44" i="1"/>
  <c r="BW42" i="1"/>
  <c r="BJ42" i="1"/>
  <c r="BD42" i="1"/>
  <c r="AP42" i="1"/>
  <c r="BI42" i="1" s="1"/>
  <c r="AC42" i="1" s="1"/>
  <c r="AO42" i="1"/>
  <c r="BH42" i="1" s="1"/>
  <c r="AB42" i="1" s="1"/>
  <c r="AK42" i="1"/>
  <c r="AJ42" i="1"/>
  <c r="AH42" i="1"/>
  <c r="AG42" i="1"/>
  <c r="AF42" i="1"/>
  <c r="AE42" i="1"/>
  <c r="AD42" i="1"/>
  <c r="Z42" i="1"/>
  <c r="P42" i="1"/>
  <c r="BF42" i="1" s="1"/>
  <c r="L42" i="1"/>
  <c r="AL42" i="1" s="1"/>
  <c r="K42" i="1"/>
  <c r="BW40" i="1"/>
  <c r="BJ40" i="1"/>
  <c r="BD40" i="1"/>
  <c r="AP40" i="1"/>
  <c r="AX40" i="1" s="1"/>
  <c r="BC40" i="1" s="1"/>
  <c r="AO40" i="1"/>
  <c r="AW40" i="1" s="1"/>
  <c r="AK40" i="1"/>
  <c r="AJ40" i="1"/>
  <c r="AH40" i="1"/>
  <c r="AG40" i="1"/>
  <c r="AF40" i="1"/>
  <c r="AE40" i="1"/>
  <c r="AD40" i="1"/>
  <c r="Z40" i="1"/>
  <c r="P40" i="1"/>
  <c r="BF40" i="1" s="1"/>
  <c r="L40" i="1"/>
  <c r="J40" i="1"/>
  <c r="BW37" i="1"/>
  <c r="BJ37" i="1"/>
  <c r="BD37" i="1"/>
  <c r="AP37" i="1"/>
  <c r="BI37" i="1" s="1"/>
  <c r="AC37" i="1" s="1"/>
  <c r="AO37" i="1"/>
  <c r="BH37" i="1" s="1"/>
  <c r="AB37" i="1" s="1"/>
  <c r="AK37" i="1"/>
  <c r="AJ37" i="1"/>
  <c r="AH37" i="1"/>
  <c r="AG37" i="1"/>
  <c r="AF37" i="1"/>
  <c r="AE37" i="1"/>
  <c r="AD37" i="1"/>
  <c r="Z37" i="1"/>
  <c r="P37" i="1"/>
  <c r="BF37" i="1" s="1"/>
  <c r="L37" i="1"/>
  <c r="AL37" i="1" s="1"/>
  <c r="BW36" i="1"/>
  <c r="BJ36" i="1"/>
  <c r="BD36" i="1"/>
  <c r="AP36" i="1"/>
  <c r="BI36" i="1" s="1"/>
  <c r="AC36" i="1" s="1"/>
  <c r="AO36" i="1"/>
  <c r="AK36" i="1"/>
  <c r="AJ36" i="1"/>
  <c r="AH36" i="1"/>
  <c r="AG36" i="1"/>
  <c r="AF36" i="1"/>
  <c r="AE36" i="1"/>
  <c r="AD36" i="1"/>
  <c r="Z36" i="1"/>
  <c r="P36" i="1"/>
  <c r="BF36" i="1" s="1"/>
  <c r="L36" i="1"/>
  <c r="AL36" i="1" s="1"/>
  <c r="K36" i="1"/>
  <c r="BW35" i="1"/>
  <c r="BJ35" i="1"/>
  <c r="BD35" i="1"/>
  <c r="AP35" i="1"/>
  <c r="AX35" i="1" s="1"/>
  <c r="AO35" i="1"/>
  <c r="BH35" i="1" s="1"/>
  <c r="AB35" i="1" s="1"/>
  <c r="AK35" i="1"/>
  <c r="AJ35" i="1"/>
  <c r="AH35" i="1"/>
  <c r="AG35" i="1"/>
  <c r="AF35" i="1"/>
  <c r="AE35" i="1"/>
  <c r="AD35" i="1"/>
  <c r="Z35" i="1"/>
  <c r="P35" i="1"/>
  <c r="BF35" i="1" s="1"/>
  <c r="L35" i="1"/>
  <c r="BW33" i="1"/>
  <c r="BJ33" i="1"/>
  <c r="BD33" i="1"/>
  <c r="AP33" i="1"/>
  <c r="BI33" i="1" s="1"/>
  <c r="AC33" i="1" s="1"/>
  <c r="AO33" i="1"/>
  <c r="BH33" i="1" s="1"/>
  <c r="AB33" i="1" s="1"/>
  <c r="AK33" i="1"/>
  <c r="AJ33" i="1"/>
  <c r="AH33" i="1"/>
  <c r="AG33" i="1"/>
  <c r="AF33" i="1"/>
  <c r="AE33" i="1"/>
  <c r="AD33" i="1"/>
  <c r="Z33" i="1"/>
  <c r="P33" i="1"/>
  <c r="BF33" i="1" s="1"/>
  <c r="L33" i="1"/>
  <c r="AL33" i="1" s="1"/>
  <c r="BW32" i="1"/>
  <c r="BJ32" i="1"/>
  <c r="BD32" i="1"/>
  <c r="AP32" i="1"/>
  <c r="BI32" i="1" s="1"/>
  <c r="AC32" i="1" s="1"/>
  <c r="AO32" i="1"/>
  <c r="BH32" i="1" s="1"/>
  <c r="AB32" i="1" s="1"/>
  <c r="AK32" i="1"/>
  <c r="AJ32" i="1"/>
  <c r="AH32" i="1"/>
  <c r="AG32" i="1"/>
  <c r="AF32" i="1"/>
  <c r="AE32" i="1"/>
  <c r="AD32" i="1"/>
  <c r="Z32" i="1"/>
  <c r="P32" i="1"/>
  <c r="BF32" i="1" s="1"/>
  <c r="L32" i="1"/>
  <c r="BW30" i="1"/>
  <c r="BJ30" i="1"/>
  <c r="BD30" i="1"/>
  <c r="AP30" i="1"/>
  <c r="BI30" i="1" s="1"/>
  <c r="AC30" i="1" s="1"/>
  <c r="AO30" i="1"/>
  <c r="AW30" i="1" s="1"/>
  <c r="AK30" i="1"/>
  <c r="AJ30" i="1"/>
  <c r="AH30" i="1"/>
  <c r="AG30" i="1"/>
  <c r="AF30" i="1"/>
  <c r="AE30" i="1"/>
  <c r="AD30" i="1"/>
  <c r="Z30" i="1"/>
  <c r="P30" i="1"/>
  <c r="BF30" i="1" s="1"/>
  <c r="L30" i="1"/>
  <c r="M30" i="1" s="1"/>
  <c r="BW29" i="1"/>
  <c r="BJ29" i="1"/>
  <c r="BD29" i="1"/>
  <c r="AP29" i="1"/>
  <c r="BI29" i="1" s="1"/>
  <c r="AC29" i="1" s="1"/>
  <c r="AO29" i="1"/>
  <c r="BH29" i="1" s="1"/>
  <c r="AB29" i="1" s="1"/>
  <c r="AK29" i="1"/>
  <c r="AJ29" i="1"/>
  <c r="AH29" i="1"/>
  <c r="AG29" i="1"/>
  <c r="AF29" i="1"/>
  <c r="AE29" i="1"/>
  <c r="AD29" i="1"/>
  <c r="Z29" i="1"/>
  <c r="P29" i="1"/>
  <c r="BF29" i="1" s="1"/>
  <c r="L29" i="1"/>
  <c r="BW27" i="1"/>
  <c r="BJ27" i="1"/>
  <c r="BD27" i="1"/>
  <c r="AP27" i="1"/>
  <c r="BI27" i="1" s="1"/>
  <c r="AC27" i="1" s="1"/>
  <c r="AO27" i="1"/>
  <c r="AK27" i="1"/>
  <c r="AJ27" i="1"/>
  <c r="AH27" i="1"/>
  <c r="AG27" i="1"/>
  <c r="AF27" i="1"/>
  <c r="AE27" i="1"/>
  <c r="AD27" i="1"/>
  <c r="Z27" i="1"/>
  <c r="P27" i="1"/>
  <c r="BF27" i="1" s="1"/>
  <c r="L27" i="1"/>
  <c r="K27" i="1"/>
  <c r="BW24" i="1"/>
  <c r="BJ24" i="1"/>
  <c r="BD24" i="1"/>
  <c r="AP24" i="1"/>
  <c r="BI24" i="1" s="1"/>
  <c r="AC24" i="1" s="1"/>
  <c r="AO24" i="1"/>
  <c r="AW24" i="1" s="1"/>
  <c r="AK24" i="1"/>
  <c r="AJ24" i="1"/>
  <c r="AH24" i="1"/>
  <c r="AG24" i="1"/>
  <c r="AF24" i="1"/>
  <c r="AE24" i="1"/>
  <c r="AD24" i="1"/>
  <c r="Z24" i="1"/>
  <c r="P24" i="1"/>
  <c r="L24" i="1"/>
  <c r="BW22" i="1"/>
  <c r="BJ22" i="1"/>
  <c r="BD22" i="1"/>
  <c r="AP22" i="1"/>
  <c r="BI22" i="1" s="1"/>
  <c r="AC22" i="1" s="1"/>
  <c r="AO22" i="1"/>
  <c r="BH22" i="1" s="1"/>
  <c r="AB22" i="1" s="1"/>
  <c r="AK22" i="1"/>
  <c r="AJ22" i="1"/>
  <c r="AH22" i="1"/>
  <c r="AG22" i="1"/>
  <c r="AF22" i="1"/>
  <c r="AE22" i="1"/>
  <c r="AD22" i="1"/>
  <c r="Z22" i="1"/>
  <c r="P22" i="1"/>
  <c r="BF22" i="1" s="1"/>
  <c r="L22" i="1"/>
  <c r="BW20" i="1"/>
  <c r="BJ20" i="1"/>
  <c r="BD20" i="1"/>
  <c r="AP20" i="1"/>
  <c r="AX20" i="1" s="1"/>
  <c r="AO20" i="1"/>
  <c r="BH20" i="1" s="1"/>
  <c r="AB20" i="1" s="1"/>
  <c r="AK20" i="1"/>
  <c r="AJ20" i="1"/>
  <c r="AH20" i="1"/>
  <c r="AG20" i="1"/>
  <c r="AF20" i="1"/>
  <c r="AE20" i="1"/>
  <c r="AD20" i="1"/>
  <c r="Z20" i="1"/>
  <c r="P20" i="1"/>
  <c r="BF20" i="1" s="1"/>
  <c r="L20" i="1"/>
  <c r="BW18" i="1"/>
  <c r="BJ18" i="1"/>
  <c r="BF18" i="1"/>
  <c r="BD18" i="1"/>
  <c r="AP18" i="1"/>
  <c r="BI18" i="1" s="1"/>
  <c r="AC18" i="1" s="1"/>
  <c r="AO18" i="1"/>
  <c r="BH18" i="1" s="1"/>
  <c r="AB18" i="1" s="1"/>
  <c r="AK18" i="1"/>
  <c r="AJ18" i="1"/>
  <c r="AH18" i="1"/>
  <c r="AG18" i="1"/>
  <c r="AF18" i="1"/>
  <c r="AE18" i="1"/>
  <c r="AD18" i="1"/>
  <c r="Z18" i="1"/>
  <c r="P18" i="1"/>
  <c r="L18" i="1"/>
  <c r="M18" i="1" s="1"/>
  <c r="K18" i="1"/>
  <c r="BW17" i="1"/>
  <c r="BJ17" i="1"/>
  <c r="BD17" i="1"/>
  <c r="AP17" i="1"/>
  <c r="BI17" i="1" s="1"/>
  <c r="AC17" i="1" s="1"/>
  <c r="AO17" i="1"/>
  <c r="BH17" i="1" s="1"/>
  <c r="AB17" i="1" s="1"/>
  <c r="AK17" i="1"/>
  <c r="AJ17" i="1"/>
  <c r="AH17" i="1"/>
  <c r="AG17" i="1"/>
  <c r="AF17" i="1"/>
  <c r="AE17" i="1"/>
  <c r="AD17" i="1"/>
  <c r="Z17" i="1"/>
  <c r="P17" i="1"/>
  <c r="BF17" i="1" s="1"/>
  <c r="L17" i="1"/>
  <c r="AL17" i="1" s="1"/>
  <c r="BW15" i="1"/>
  <c r="BJ15" i="1"/>
  <c r="Z15" i="1" s="1"/>
  <c r="BD15" i="1"/>
  <c r="AP15" i="1"/>
  <c r="BI15" i="1" s="1"/>
  <c r="AO15" i="1"/>
  <c r="BH15" i="1" s="1"/>
  <c r="AK15" i="1"/>
  <c r="AJ15" i="1"/>
  <c r="AH15" i="1"/>
  <c r="AG15" i="1"/>
  <c r="AF15" i="1"/>
  <c r="AE15" i="1"/>
  <c r="AD15" i="1"/>
  <c r="AC15" i="1"/>
  <c r="AB15" i="1"/>
  <c r="P15" i="1"/>
  <c r="BF15" i="1" s="1"/>
  <c r="L15" i="1"/>
  <c r="M15" i="1" s="1"/>
  <c r="BW14" i="1"/>
  <c r="BJ14" i="1"/>
  <c r="Z14" i="1" s="1"/>
  <c r="BD14" i="1"/>
  <c r="AP14" i="1"/>
  <c r="BI14" i="1" s="1"/>
  <c r="AO14" i="1"/>
  <c r="BH14" i="1" s="1"/>
  <c r="AK14" i="1"/>
  <c r="AJ14" i="1"/>
  <c r="AH14" i="1"/>
  <c r="AG14" i="1"/>
  <c r="AF14" i="1"/>
  <c r="AE14" i="1"/>
  <c r="AD14" i="1"/>
  <c r="AC14" i="1"/>
  <c r="AB14" i="1"/>
  <c r="P14" i="1"/>
  <c r="BF14" i="1" s="1"/>
  <c r="L14" i="1"/>
  <c r="AL14" i="1" s="1"/>
  <c r="J14" i="1"/>
  <c r="BW13" i="1"/>
  <c r="BJ13" i="1"/>
  <c r="Z13" i="1" s="1"/>
  <c r="BD13" i="1"/>
  <c r="AP13" i="1"/>
  <c r="BI13" i="1" s="1"/>
  <c r="AO13" i="1"/>
  <c r="BH13" i="1" s="1"/>
  <c r="AK13" i="1"/>
  <c r="AJ13" i="1"/>
  <c r="AH13" i="1"/>
  <c r="AG13" i="1"/>
  <c r="AF13" i="1"/>
  <c r="AE13" i="1"/>
  <c r="AD13" i="1"/>
  <c r="AC13" i="1"/>
  <c r="AB13" i="1"/>
  <c r="P13" i="1"/>
  <c r="BF13" i="1" s="1"/>
  <c r="L13" i="1"/>
  <c r="AL13" i="1" s="1"/>
  <c r="K13" i="1"/>
  <c r="AU1" i="1"/>
  <c r="AT1" i="1"/>
  <c r="AS1" i="1"/>
  <c r="AL630" i="1" l="1"/>
  <c r="J588" i="1"/>
  <c r="K577" i="1"/>
  <c r="M575" i="1"/>
  <c r="BC560" i="1"/>
  <c r="M554" i="1"/>
  <c r="K548" i="1"/>
  <c r="J545" i="1"/>
  <c r="AW515" i="1"/>
  <c r="AW512" i="1"/>
  <c r="J512" i="1"/>
  <c r="AT475" i="1"/>
  <c r="AX477" i="1"/>
  <c r="BI476" i="1"/>
  <c r="AE476" i="1" s="1"/>
  <c r="AS466" i="1"/>
  <c r="M442" i="1"/>
  <c r="M438" i="1"/>
  <c r="M424" i="1"/>
  <c r="AL422" i="1"/>
  <c r="M415" i="1"/>
  <c r="BH412" i="1"/>
  <c r="AD412" i="1" s="1"/>
  <c r="AL374" i="1"/>
  <c r="BI362" i="1"/>
  <c r="AE362" i="1" s="1"/>
  <c r="M349" i="1"/>
  <c r="AX347" i="1"/>
  <c r="AX343" i="1"/>
  <c r="AX338" i="1"/>
  <c r="AW324" i="1"/>
  <c r="BH317" i="1"/>
  <c r="AD317" i="1" s="1"/>
  <c r="BI309" i="1"/>
  <c r="AE309" i="1" s="1"/>
  <c r="AX307" i="1"/>
  <c r="M303" i="1"/>
  <c r="AX282" i="1"/>
  <c r="AL276" i="1"/>
  <c r="AW274" i="1"/>
  <c r="BC274" i="1" s="1"/>
  <c r="AW271" i="1"/>
  <c r="AW251" i="1"/>
  <c r="AX243" i="1"/>
  <c r="AX242" i="1"/>
  <c r="AX240" i="1"/>
  <c r="AX230" i="1"/>
  <c r="AV230" i="1" s="1"/>
  <c r="M213" i="1"/>
  <c r="AX207" i="1"/>
  <c r="M199" i="1"/>
  <c r="M183" i="1"/>
  <c r="M165" i="1"/>
  <c r="AX162" i="1"/>
  <c r="AW148" i="1"/>
  <c r="M138" i="1"/>
  <c r="AX135" i="1"/>
  <c r="M121" i="1"/>
  <c r="AX115" i="1"/>
  <c r="AW109" i="1"/>
  <c r="AW107" i="1"/>
  <c r="BH101" i="1"/>
  <c r="AD101" i="1" s="1"/>
  <c r="AX93" i="1"/>
  <c r="AX89" i="1"/>
  <c r="AX85" i="1"/>
  <c r="K85" i="1"/>
  <c r="AW77" i="1"/>
  <c r="J77" i="1"/>
  <c r="K75" i="1"/>
  <c r="AX71" i="1"/>
  <c r="BH58" i="1"/>
  <c r="AB58" i="1" s="1"/>
  <c r="AX57" i="1"/>
  <c r="BI50" i="1"/>
  <c r="AC50" i="1" s="1"/>
  <c r="AW46" i="1"/>
  <c r="AX42" i="1"/>
  <c r="AW33" i="1"/>
  <c r="K24" i="1"/>
  <c r="K17" i="1"/>
  <c r="M45" i="1"/>
  <c r="M36" i="1"/>
  <c r="AW60" i="1"/>
  <c r="BH114" i="1"/>
  <c r="AD114" i="1" s="1"/>
  <c r="AW134" i="1"/>
  <c r="M227" i="1"/>
  <c r="M261" i="1"/>
  <c r="M265" i="1"/>
  <c r="M267" i="1"/>
  <c r="K268" i="1"/>
  <c r="AW278" i="1"/>
  <c r="BC281" i="1"/>
  <c r="BH302" i="1"/>
  <c r="AD302" i="1" s="1"/>
  <c r="AX318" i="1"/>
  <c r="AX324" i="1"/>
  <c r="AX334" i="1"/>
  <c r="M337" i="1"/>
  <c r="AT361" i="1"/>
  <c r="M368" i="1"/>
  <c r="AW392" i="1"/>
  <c r="AX414" i="1"/>
  <c r="AL435" i="1"/>
  <c r="AW467" i="1"/>
  <c r="J519" i="1"/>
  <c r="M521" i="1"/>
  <c r="J527" i="1"/>
  <c r="AL538" i="1"/>
  <c r="M541" i="1"/>
  <c r="M540" i="1" s="1"/>
  <c r="M24" i="1"/>
  <c r="AT39" i="1"/>
  <c r="M50" i="1"/>
  <c r="M75" i="1"/>
  <c r="K93" i="1"/>
  <c r="K97" i="1"/>
  <c r="M173" i="1"/>
  <c r="AL240" i="1"/>
  <c r="K243" i="1"/>
  <c r="AW279" i="1"/>
  <c r="AW328" i="1"/>
  <c r="AX351" i="1"/>
  <c r="AX392" i="1"/>
  <c r="BC392" i="1" s="1"/>
  <c r="AW402" i="1"/>
  <c r="AW434" i="1"/>
  <c r="J473" i="1"/>
  <c r="M498" i="1"/>
  <c r="J582" i="1"/>
  <c r="J583" i="1"/>
  <c r="M585" i="1"/>
  <c r="M33" i="1"/>
  <c r="AX187" i="1"/>
  <c r="M20" i="1"/>
  <c r="M62" i="1"/>
  <c r="M91" i="1"/>
  <c r="M103" i="1"/>
  <c r="M105" i="1"/>
  <c r="J114" i="1"/>
  <c r="K187" i="1"/>
  <c r="K216" i="1"/>
  <c r="BI217" i="1"/>
  <c r="AE217" i="1" s="1"/>
  <c r="M232" i="1"/>
  <c r="M243" i="1"/>
  <c r="K244" i="1"/>
  <c r="M268" i="1"/>
  <c r="K270" i="1"/>
  <c r="J274" i="1"/>
  <c r="K304" i="1"/>
  <c r="K318" i="1"/>
  <c r="BI326" i="1"/>
  <c r="AE326" i="1" s="1"/>
  <c r="M347" i="1"/>
  <c r="K349" i="1"/>
  <c r="AW355" i="1"/>
  <c r="AW372" i="1"/>
  <c r="BC372" i="1" s="1"/>
  <c r="AX375" i="1"/>
  <c r="AX404" i="1"/>
  <c r="K414" i="1"/>
  <c r="AX566" i="1"/>
  <c r="AV566" i="1" s="1"/>
  <c r="M581" i="1"/>
  <c r="J60" i="1"/>
  <c r="M114" i="1"/>
  <c r="K115" i="1"/>
  <c r="K124" i="1"/>
  <c r="J126" i="1"/>
  <c r="J131" i="1"/>
  <c r="M132" i="1"/>
  <c r="J134" i="1"/>
  <c r="M136" i="1"/>
  <c r="M152" i="1"/>
  <c r="M181" i="1"/>
  <c r="J189" i="1"/>
  <c r="K217" i="1"/>
  <c r="AX238" i="1"/>
  <c r="J246" i="1"/>
  <c r="M247" i="1"/>
  <c r="K255" i="1"/>
  <c r="AX263" i="1"/>
  <c r="M270" i="1"/>
  <c r="AX284" i="1"/>
  <c r="J351" i="1"/>
  <c r="K384" i="1"/>
  <c r="J401" i="1"/>
  <c r="J402" i="1"/>
  <c r="BH415" i="1"/>
  <c r="AD415" i="1" s="1"/>
  <c r="M428" i="1"/>
  <c r="AX435" i="1"/>
  <c r="AV435" i="1" s="1"/>
  <c r="AX438" i="1"/>
  <c r="J464" i="1"/>
  <c r="BI506" i="1"/>
  <c r="AC506" i="1" s="1"/>
  <c r="AV584" i="1"/>
  <c r="AX617" i="1"/>
  <c r="AW626" i="1"/>
  <c r="M643" i="1"/>
  <c r="AS59" i="1"/>
  <c r="M189" i="1"/>
  <c r="M191" i="1"/>
  <c r="M216" i="1"/>
  <c r="J279" i="1"/>
  <c r="K282" i="1"/>
  <c r="AW288" i="1"/>
  <c r="K351" i="1"/>
  <c r="J389" i="1"/>
  <c r="J415" i="1"/>
  <c r="M432" i="1"/>
  <c r="J434" i="1"/>
  <c r="J459" i="1"/>
  <c r="BC491" i="1"/>
  <c r="BI513" i="1"/>
  <c r="AC513" i="1" s="1"/>
  <c r="AX530" i="1"/>
  <c r="AW571" i="1"/>
  <c r="K617" i="1"/>
  <c r="M632" i="1"/>
  <c r="AX17" i="1"/>
  <c r="AW317" i="1"/>
  <c r="K336" i="1"/>
  <c r="M351" i="1"/>
  <c r="J355" i="1"/>
  <c r="J362" i="1"/>
  <c r="BH362" i="1"/>
  <c r="AD362" i="1" s="1"/>
  <c r="AX363" i="1"/>
  <c r="K435" i="1"/>
  <c r="AX476" i="1"/>
  <c r="BH493" i="1"/>
  <c r="AB493" i="1" s="1"/>
  <c r="AW496" i="1"/>
  <c r="AW527" i="1"/>
  <c r="K537" i="1"/>
  <c r="K538" i="1"/>
  <c r="J562" i="1"/>
  <c r="K551" i="1"/>
  <c r="J556" i="1"/>
  <c r="J564" i="1"/>
  <c r="J568" i="1"/>
  <c r="BH235" i="1"/>
  <c r="AD235" i="1" s="1"/>
  <c r="J235" i="1"/>
  <c r="AX302" i="1"/>
  <c r="BC302" i="1" s="1"/>
  <c r="BI302" i="1"/>
  <c r="AE302" i="1" s="1"/>
  <c r="K302" i="1"/>
  <c r="BH414" i="1"/>
  <c r="AD414" i="1" s="1"/>
  <c r="J414" i="1"/>
  <c r="AW414" i="1"/>
  <c r="M17" i="1"/>
  <c r="J18" i="1"/>
  <c r="AX24" i="1"/>
  <c r="AX30" i="1"/>
  <c r="M35" i="1"/>
  <c r="M47" i="1"/>
  <c r="BH76" i="1"/>
  <c r="AB76" i="1" s="1"/>
  <c r="AW76" i="1"/>
  <c r="AW103" i="1"/>
  <c r="K105" i="1"/>
  <c r="BI105" i="1"/>
  <c r="AE105" i="1" s="1"/>
  <c r="AX105" i="1"/>
  <c r="AW119" i="1"/>
  <c r="BC119" i="1" s="1"/>
  <c r="BH119" i="1"/>
  <c r="AD119" i="1" s="1"/>
  <c r="M203" i="1"/>
  <c r="BH262" i="1"/>
  <c r="AD262" i="1" s="1"/>
  <c r="AW262" i="1"/>
  <c r="AL294" i="1"/>
  <c r="M294" i="1"/>
  <c r="K300" i="1"/>
  <c r="BI300" i="1"/>
  <c r="AE300" i="1" s="1"/>
  <c r="AW394" i="1"/>
  <c r="BC394" i="1" s="1"/>
  <c r="J394" i="1"/>
  <c r="BH394" i="1"/>
  <c r="AD394" i="1" s="1"/>
  <c r="BH458" i="1"/>
  <c r="AD458" i="1" s="1"/>
  <c r="J458" i="1"/>
  <c r="AW458" i="1"/>
  <c r="BI134" i="1"/>
  <c r="AE134" i="1" s="1"/>
  <c r="AX134" i="1"/>
  <c r="J24" i="1"/>
  <c r="L49" i="1"/>
  <c r="F15" i="2" s="1"/>
  <c r="I15" i="2" s="1"/>
  <c r="AW57" i="1"/>
  <c r="AV57" i="1" s="1"/>
  <c r="AX66" i="1"/>
  <c r="K66" i="1"/>
  <c r="BI74" i="1"/>
  <c r="AC74" i="1" s="1"/>
  <c r="AX74" i="1"/>
  <c r="BC74" i="1" s="1"/>
  <c r="M93" i="1"/>
  <c r="BI119" i="1"/>
  <c r="AE119" i="1" s="1"/>
  <c r="K119" i="1"/>
  <c r="BI158" i="1"/>
  <c r="AE158" i="1" s="1"/>
  <c r="K158" i="1"/>
  <c r="AX158" i="1"/>
  <c r="BH215" i="1"/>
  <c r="AD215" i="1" s="1"/>
  <c r="AW215" i="1"/>
  <c r="AW235" i="1"/>
  <c r="BH243" i="1"/>
  <c r="AD243" i="1" s="1"/>
  <c r="J243" i="1"/>
  <c r="BI261" i="1"/>
  <c r="AE261" i="1" s="1"/>
  <c r="AX261" i="1"/>
  <c r="AV261" i="1" s="1"/>
  <c r="BI276" i="1"/>
  <c r="AE276" i="1" s="1"/>
  <c r="K276" i="1"/>
  <c r="AX276" i="1"/>
  <c r="BH284" i="1"/>
  <c r="AD284" i="1" s="1"/>
  <c r="J284" i="1"/>
  <c r="BI330" i="1"/>
  <c r="AE330" i="1" s="1"/>
  <c r="K330" i="1"/>
  <c r="BI380" i="1"/>
  <c r="AE380" i="1" s="1"/>
  <c r="AX380" i="1"/>
  <c r="AL548" i="1"/>
  <c r="M548" i="1"/>
  <c r="BH136" i="1"/>
  <c r="AD136" i="1" s="1"/>
  <c r="J136" i="1"/>
  <c r="AW136" i="1"/>
  <c r="BH208" i="1"/>
  <c r="AD208" i="1" s="1"/>
  <c r="J208" i="1"/>
  <c r="BI267" i="1"/>
  <c r="AE267" i="1" s="1"/>
  <c r="K267" i="1"/>
  <c r="AL363" i="1"/>
  <c r="M363" i="1"/>
  <c r="BI457" i="1"/>
  <c r="AE457" i="1" s="1"/>
  <c r="K457" i="1"/>
  <c r="AX457" i="1"/>
  <c r="AL528" i="1"/>
  <c r="M528" i="1"/>
  <c r="J57" i="1"/>
  <c r="J64" i="1"/>
  <c r="AX150" i="1"/>
  <c r="BI154" i="1"/>
  <c r="AE154" i="1" s="1"/>
  <c r="AX154" i="1"/>
  <c r="BC154" i="1" s="1"/>
  <c r="BI171" i="1"/>
  <c r="AE171" i="1" s="1"/>
  <c r="K171" i="1"/>
  <c r="AX171" i="1"/>
  <c r="BI210" i="1"/>
  <c r="AE210" i="1" s="1"/>
  <c r="AX210" i="1"/>
  <c r="BC210" i="1" s="1"/>
  <c r="BI213" i="1"/>
  <c r="AE213" i="1" s="1"/>
  <c r="K213" i="1"/>
  <c r="AX213" i="1"/>
  <c r="AV213" i="1" s="1"/>
  <c r="AX259" i="1"/>
  <c r="K259" i="1"/>
  <c r="AX267" i="1"/>
  <c r="BH338" i="1"/>
  <c r="AD338" i="1" s="1"/>
  <c r="J338" i="1"/>
  <c r="BH543" i="1"/>
  <c r="AB543" i="1" s="1"/>
  <c r="J543" i="1"/>
  <c r="AW543" i="1"/>
  <c r="AW257" i="1"/>
  <c r="BH307" i="1"/>
  <c r="AD307" i="1" s="1"/>
  <c r="AW307" i="1"/>
  <c r="BI337" i="1"/>
  <c r="AE337" i="1" s="1"/>
  <c r="K337" i="1"/>
  <c r="AW85" i="1"/>
  <c r="BC85" i="1" s="1"/>
  <c r="BI202" i="1"/>
  <c r="AE202" i="1" s="1"/>
  <c r="K202" i="1"/>
  <c r="AX202" i="1"/>
  <c r="AX13" i="1"/>
  <c r="AS12" i="1"/>
  <c r="L16" i="1"/>
  <c r="F12" i="2" s="1"/>
  <c r="I12" i="2" s="1"/>
  <c r="AW22" i="1"/>
  <c r="AL24" i="1"/>
  <c r="M27" i="1"/>
  <c r="J33" i="1"/>
  <c r="AX36" i="1"/>
  <c r="M42" i="1"/>
  <c r="J44" i="1"/>
  <c r="AW47" i="1"/>
  <c r="M57" i="1"/>
  <c r="AX58" i="1"/>
  <c r="AV58" i="1" s="1"/>
  <c r="J69" i="1"/>
  <c r="K71" i="1"/>
  <c r="AX91" i="1"/>
  <c r="K91" i="1"/>
  <c r="AX99" i="1"/>
  <c r="M107" i="1"/>
  <c r="M109" i="1"/>
  <c r="M146" i="1"/>
  <c r="BH162" i="1"/>
  <c r="AD162" i="1" s="1"/>
  <c r="J162" i="1"/>
  <c r="BI167" i="1"/>
  <c r="AE167" i="1" s="1"/>
  <c r="AX167" i="1"/>
  <c r="BH197" i="1"/>
  <c r="AD197" i="1" s="1"/>
  <c r="AW197" i="1"/>
  <c r="M241" i="1"/>
  <c r="AL241" i="1"/>
  <c r="J262" i="1"/>
  <c r="BH269" i="1"/>
  <c r="AD269" i="1" s="1"/>
  <c r="AW269" i="1"/>
  <c r="AL383" i="1"/>
  <c r="M383" i="1"/>
  <c r="AL401" i="1"/>
  <c r="M401" i="1"/>
  <c r="M462" i="1"/>
  <c r="AL462" i="1"/>
  <c r="AU461" i="1" s="1"/>
  <c r="AL97" i="1"/>
  <c r="M97" i="1"/>
  <c r="BH219" i="1"/>
  <c r="AD219" i="1" s="1"/>
  <c r="J219" i="1"/>
  <c r="AW219" i="1"/>
  <c r="BI296" i="1"/>
  <c r="AE296" i="1" s="1"/>
  <c r="K296" i="1"/>
  <c r="AX296" i="1"/>
  <c r="J29" i="1"/>
  <c r="BH93" i="1"/>
  <c r="AD93" i="1" s="1"/>
  <c r="J93" i="1"/>
  <c r="AW93" i="1"/>
  <c r="K44" i="1"/>
  <c r="AW52" i="1"/>
  <c r="M69" i="1"/>
  <c r="K72" i="1"/>
  <c r="AX87" i="1"/>
  <c r="BI87" i="1"/>
  <c r="AE87" i="1" s="1"/>
  <c r="BH193" i="1"/>
  <c r="AD193" i="1" s="1"/>
  <c r="J193" i="1"/>
  <c r="BI199" i="1"/>
  <c r="AE199" i="1" s="1"/>
  <c r="K199" i="1"/>
  <c r="AX199" i="1"/>
  <c r="K207" i="1"/>
  <c r="AL279" i="1"/>
  <c r="M279" i="1"/>
  <c r="BH399" i="1"/>
  <c r="AD399" i="1" s="1"/>
  <c r="J399" i="1"/>
  <c r="AW399" i="1"/>
  <c r="BH116" i="1"/>
  <c r="AD116" i="1" s="1"/>
  <c r="J116" i="1"/>
  <c r="J35" i="1"/>
  <c r="BI62" i="1"/>
  <c r="AC62" i="1" s="1"/>
  <c r="AX62" i="1"/>
  <c r="BI64" i="1"/>
  <c r="AC64" i="1" s="1"/>
  <c r="K64" i="1"/>
  <c r="AL150" i="1"/>
  <c r="M150" i="1"/>
  <c r="BI179" i="1"/>
  <c r="AE179" i="1" s="1"/>
  <c r="K179" i="1"/>
  <c r="AX179" i="1"/>
  <c r="BC179" i="1" s="1"/>
  <c r="AL204" i="1"/>
  <c r="M204" i="1"/>
  <c r="M124" i="1"/>
  <c r="M148" i="1"/>
  <c r="AV199" i="1"/>
  <c r="J241" i="1"/>
  <c r="M244" i="1"/>
  <c r="M264" i="1"/>
  <c r="M290" i="1"/>
  <c r="AW300" i="1"/>
  <c r="M304" i="1"/>
  <c r="K309" i="1"/>
  <c r="K326" i="1"/>
  <c r="AL334" i="1"/>
  <c r="M355" i="1"/>
  <c r="J356" i="1"/>
  <c r="J359" i="1"/>
  <c r="J366" i="1"/>
  <c r="K371" i="1"/>
  <c r="AL382" i="1"/>
  <c r="J392" i="1"/>
  <c r="AW420" i="1"/>
  <c r="K432" i="1"/>
  <c r="L448" i="1"/>
  <c r="F29" i="2" s="1"/>
  <c r="I29" i="2" s="1"/>
  <c r="J451" i="1"/>
  <c r="AS461" i="1"/>
  <c r="AX496" i="1"/>
  <c r="M510" i="1"/>
  <c r="AX512" i="1"/>
  <c r="AV512" i="1" s="1"/>
  <c r="BI520" i="1"/>
  <c r="AC520" i="1" s="1"/>
  <c r="AW522" i="1"/>
  <c r="AX525" i="1"/>
  <c r="AV525" i="1" s="1"/>
  <c r="K566" i="1"/>
  <c r="AL576" i="1"/>
  <c r="J596" i="1"/>
  <c r="AW604" i="1"/>
  <c r="AW611" i="1"/>
  <c r="BC611" i="1" s="1"/>
  <c r="AW615" i="1"/>
  <c r="M634" i="1"/>
  <c r="J637" i="1"/>
  <c r="AW637" i="1"/>
  <c r="M359" i="1"/>
  <c r="J368" i="1"/>
  <c r="K451" i="1"/>
  <c r="J467" i="1"/>
  <c r="BI491" i="1"/>
  <c r="AC491" i="1" s="1"/>
  <c r="K532" i="1"/>
  <c r="M532" i="1"/>
  <c r="AW575" i="1"/>
  <c r="M71" i="1"/>
  <c r="M101" i="1"/>
  <c r="M115" i="1"/>
  <c r="M126" i="1"/>
  <c r="AW144" i="1"/>
  <c r="AV144" i="1" s="1"/>
  <c r="BH150" i="1"/>
  <c r="AD150" i="1" s="1"/>
  <c r="AW173" i="1"/>
  <c r="BC173" i="1" s="1"/>
  <c r="AW203" i="1"/>
  <c r="BC203" i="1" s="1"/>
  <c r="M207" i="1"/>
  <c r="M221" i="1"/>
  <c r="AW260" i="1"/>
  <c r="AL270" i="1"/>
  <c r="M282" i="1"/>
  <c r="AL290" i="1"/>
  <c r="J296" i="1"/>
  <c r="M312" i="1"/>
  <c r="J313" i="1"/>
  <c r="K375" i="1"/>
  <c r="K486" i="1"/>
  <c r="K508" i="1"/>
  <c r="BH535" i="1"/>
  <c r="AB535" i="1" s="1"/>
  <c r="J575" i="1"/>
  <c r="K592" i="1"/>
  <c r="K602" i="1"/>
  <c r="K620" i="1"/>
  <c r="K622" i="1"/>
  <c r="M195" i="1"/>
  <c r="M197" i="1"/>
  <c r="J226" i="1"/>
  <c r="M230" i="1"/>
  <c r="K242" i="1"/>
  <c r="J300" i="1"/>
  <c r="J332" i="1"/>
  <c r="AX382" i="1"/>
  <c r="J420" i="1"/>
  <c r="AX442" i="1"/>
  <c r="AX459" i="1"/>
  <c r="M496" i="1"/>
  <c r="M500" i="1"/>
  <c r="AX515" i="1"/>
  <c r="J522" i="1"/>
  <c r="J535" i="1"/>
  <c r="AX537" i="1"/>
  <c r="M573" i="1"/>
  <c r="K595" i="1"/>
  <c r="AW595" i="1"/>
  <c r="AL596" i="1"/>
  <c r="J604" i="1"/>
  <c r="J609" i="1"/>
  <c r="J611" i="1"/>
  <c r="J615" i="1"/>
  <c r="AW632" i="1"/>
  <c r="AT639" i="1"/>
  <c r="M135" i="1"/>
  <c r="M414" i="1"/>
  <c r="AW464" i="1"/>
  <c r="AL477" i="1"/>
  <c r="K493" i="1"/>
  <c r="AX528" i="1"/>
  <c r="AV528" i="1" s="1"/>
  <c r="AW530" i="1"/>
  <c r="AV530" i="1" s="1"/>
  <c r="AL574" i="1"/>
  <c r="AX595" i="1"/>
  <c r="M606" i="1"/>
  <c r="J617" i="1"/>
  <c r="AW617" i="1"/>
  <c r="J632" i="1"/>
  <c r="AX632" i="1"/>
  <c r="J642" i="1"/>
  <c r="AW642" i="1"/>
  <c r="AL71" i="1"/>
  <c r="AX77" i="1"/>
  <c r="AW99" i="1"/>
  <c r="AV99" i="1" s="1"/>
  <c r="M120" i="1"/>
  <c r="AX124" i="1"/>
  <c r="M142" i="1"/>
  <c r="M162" i="1"/>
  <c r="M193" i="1"/>
  <c r="AX205" i="1"/>
  <c r="AX216" i="1"/>
  <c r="AL222" i="1"/>
  <c r="M226" i="1"/>
  <c r="J227" i="1"/>
  <c r="M238" i="1"/>
  <c r="J239" i="1"/>
  <c r="M242" i="1"/>
  <c r="AX247" i="1"/>
  <c r="AV247" i="1" s="1"/>
  <c r="AW249" i="1"/>
  <c r="AX265" i="1"/>
  <c r="AX270" i="1"/>
  <c r="AV270" i="1" s="1"/>
  <c r="AX279" i="1"/>
  <c r="AV279" i="1" s="1"/>
  <c r="M301" i="1"/>
  <c r="K324" i="1"/>
  <c r="K334" i="1"/>
  <c r="M338" i="1"/>
  <c r="M341" i="1"/>
  <c r="K343" i="1"/>
  <c r="AW359" i="1"/>
  <c r="AX366" i="1"/>
  <c r="AW371" i="1"/>
  <c r="K382" i="1"/>
  <c r="AW389" i="1"/>
  <c r="BC389" i="1" s="1"/>
  <c r="M394" i="1"/>
  <c r="BH401" i="1"/>
  <c r="AD401" i="1" s="1"/>
  <c r="K430" i="1"/>
  <c r="K442" i="1"/>
  <c r="BH473" i="1"/>
  <c r="AD473" i="1" s="1"/>
  <c r="M493" i="1"/>
  <c r="J536" i="1"/>
  <c r="J560" i="1"/>
  <c r="J576" i="1"/>
  <c r="K585" i="1"/>
  <c r="BH588" i="1"/>
  <c r="AB588" i="1" s="1"/>
  <c r="M595" i="1"/>
  <c r="K632" i="1"/>
  <c r="K642" i="1"/>
  <c r="AX642" i="1"/>
  <c r="M302" i="1"/>
  <c r="BC347" i="1"/>
  <c r="M515" i="1"/>
  <c r="BH303" i="1"/>
  <c r="AD303" i="1" s="1"/>
  <c r="J303" i="1"/>
  <c r="AW303" i="1"/>
  <c r="AL446" i="1"/>
  <c r="M446" i="1"/>
  <c r="M13" i="1"/>
  <c r="K15" i="1"/>
  <c r="AS16" i="1"/>
  <c r="J30" i="1"/>
  <c r="K33" i="1"/>
  <c r="AX33" i="1"/>
  <c r="AL35" i="1"/>
  <c r="AW37" i="1"/>
  <c r="K40" i="1"/>
  <c r="BH40" i="1"/>
  <c r="AB40" i="1" s="1"/>
  <c r="K45" i="1"/>
  <c r="K50" i="1"/>
  <c r="AW54" i="1"/>
  <c r="M64" i="1"/>
  <c r="J71" i="1"/>
  <c r="M72" i="1"/>
  <c r="M77" i="1"/>
  <c r="M85" i="1"/>
  <c r="K89" i="1"/>
  <c r="AW95" i="1"/>
  <c r="J99" i="1"/>
  <c r="J103" i="1"/>
  <c r="J107" i="1"/>
  <c r="BH109" i="1"/>
  <c r="AD109" i="1" s="1"/>
  <c r="AW111" i="1"/>
  <c r="AL114" i="1"/>
  <c r="BI117" i="1"/>
  <c r="AE117" i="1" s="1"/>
  <c r="AW118" i="1"/>
  <c r="M119" i="1"/>
  <c r="AW120" i="1"/>
  <c r="BI123" i="1"/>
  <c r="AW130" i="1"/>
  <c r="AX138" i="1"/>
  <c r="BC138" i="1" s="1"/>
  <c r="J144" i="1"/>
  <c r="K150" i="1"/>
  <c r="M158" i="1"/>
  <c r="AX163" i="1"/>
  <c r="M171" i="1"/>
  <c r="AW177" i="1"/>
  <c r="M179" i="1"/>
  <c r="AW181" i="1"/>
  <c r="K185" i="1"/>
  <c r="BI185" i="1"/>
  <c r="AE185" i="1" s="1"/>
  <c r="AX193" i="1"/>
  <c r="BC193" i="1" s="1"/>
  <c r="J197" i="1"/>
  <c r="M202" i="1"/>
  <c r="M208" i="1"/>
  <c r="P212" i="1"/>
  <c r="G21" i="2" s="1"/>
  <c r="BI224" i="1"/>
  <c r="AE224" i="1" s="1"/>
  <c r="AX224" i="1"/>
  <c r="AV307" i="1"/>
  <c r="BC307" i="1"/>
  <c r="M389" i="1"/>
  <c r="AL389" i="1"/>
  <c r="M411" i="1"/>
  <c r="AL411" i="1"/>
  <c r="BH444" i="1"/>
  <c r="AD444" i="1" s="1"/>
  <c r="AW444" i="1"/>
  <c r="J444" i="1"/>
  <c r="M218" i="1"/>
  <c r="K20" i="1"/>
  <c r="J22" i="1"/>
  <c r="K30" i="1"/>
  <c r="AW32" i="1"/>
  <c r="J37" i="1"/>
  <c r="AX37" i="1"/>
  <c r="M40" i="1"/>
  <c r="AS49" i="1"/>
  <c r="J54" i="1"/>
  <c r="AX54" i="1"/>
  <c r="BC54" i="1" s="1"/>
  <c r="AW62" i="1"/>
  <c r="K74" i="1"/>
  <c r="AS84" i="1"/>
  <c r="K99" i="1"/>
  <c r="K107" i="1"/>
  <c r="J115" i="1"/>
  <c r="AW115" i="1"/>
  <c r="K117" i="1"/>
  <c r="AX118" i="1"/>
  <c r="AW124" i="1"/>
  <c r="AL126" i="1"/>
  <c r="K130" i="1"/>
  <c r="AX130" i="1"/>
  <c r="AV130" i="1" s="1"/>
  <c r="M144" i="1"/>
  <c r="K154" i="1"/>
  <c r="M160" i="1"/>
  <c r="K163" i="1"/>
  <c r="K167" i="1"/>
  <c r="J173" i="1"/>
  <c r="AX177" i="1"/>
  <c r="AW187" i="1"/>
  <c r="AL189" i="1"/>
  <c r="J203" i="1"/>
  <c r="J207" i="1"/>
  <c r="K210" i="1"/>
  <c r="J215" i="1"/>
  <c r="M215" i="1"/>
  <c r="M219" i="1"/>
  <c r="AL300" i="1"/>
  <c r="M300" i="1"/>
  <c r="M316" i="1"/>
  <c r="AL316" i="1"/>
  <c r="M356" i="1"/>
  <c r="AL356" i="1"/>
  <c r="L319" i="1"/>
  <c r="F25" i="2" s="1"/>
  <c r="I25" i="2" s="1"/>
  <c r="BI545" i="1"/>
  <c r="AC545" i="1" s="1"/>
  <c r="K545" i="1"/>
  <c r="AX545" i="1"/>
  <c r="P49" i="1"/>
  <c r="G15" i="2" s="1"/>
  <c r="J120" i="1"/>
  <c r="K138" i="1"/>
  <c r="J181" i="1"/>
  <c r="BC199" i="1"/>
  <c r="M239" i="1"/>
  <c r="AL239" i="1"/>
  <c r="AL255" i="1"/>
  <c r="M255" i="1"/>
  <c r="AW312" i="1"/>
  <c r="J312" i="1"/>
  <c r="BI355" i="1"/>
  <c r="AE355" i="1" s="1"/>
  <c r="AX355" i="1"/>
  <c r="BH357" i="1"/>
  <c r="AD357" i="1" s="1"/>
  <c r="AW357" i="1"/>
  <c r="J357" i="1"/>
  <c r="AW370" i="1"/>
  <c r="BC370" i="1" s="1"/>
  <c r="BH370" i="1"/>
  <c r="AD370" i="1" s="1"/>
  <c r="BH387" i="1"/>
  <c r="AD387" i="1" s="1"/>
  <c r="AW387" i="1"/>
  <c r="AL512" i="1"/>
  <c r="M512" i="1"/>
  <c r="K37" i="1"/>
  <c r="AT49" i="1"/>
  <c r="K54" i="1"/>
  <c r="AW87" i="1"/>
  <c r="K14" i="1"/>
  <c r="AW14" i="1"/>
  <c r="AW29" i="1"/>
  <c r="J32" i="1"/>
  <c r="AL40" i="1"/>
  <c r="K47" i="1"/>
  <c r="AX47" i="1"/>
  <c r="M54" i="1"/>
  <c r="K58" i="1"/>
  <c r="J62" i="1"/>
  <c r="AW69" i="1"/>
  <c r="M74" i="1"/>
  <c r="BI75" i="1"/>
  <c r="AC75" i="1" s="1"/>
  <c r="AL77" i="1"/>
  <c r="J79" i="1"/>
  <c r="J87" i="1"/>
  <c r="BI91" i="1"/>
  <c r="AE91" i="1" s="1"/>
  <c r="J95" i="1"/>
  <c r="AX101" i="1"/>
  <c r="BC101" i="1" s="1"/>
  <c r="AT84" i="1"/>
  <c r="J111" i="1"/>
  <c r="AX114" i="1"/>
  <c r="AW116" i="1"/>
  <c r="J118" i="1"/>
  <c r="BI118" i="1"/>
  <c r="AE118" i="1" s="1"/>
  <c r="AX121" i="1"/>
  <c r="BC121" i="1" s="1"/>
  <c r="AW131" i="1"/>
  <c r="BC131" i="1" s="1"/>
  <c r="K135" i="1"/>
  <c r="AW142" i="1"/>
  <c r="AL144" i="1"/>
  <c r="AX148" i="1"/>
  <c r="BC148" i="1" s="1"/>
  <c r="M154" i="1"/>
  <c r="K156" i="1"/>
  <c r="BI156" i="1"/>
  <c r="AE156" i="1" s="1"/>
  <c r="M163" i="1"/>
  <c r="M167" i="1"/>
  <c r="BI169" i="1"/>
  <c r="AE169" i="1" s="1"/>
  <c r="J177" i="1"/>
  <c r="AX183" i="1"/>
  <c r="BC183" i="1" s="1"/>
  <c r="AX195" i="1"/>
  <c r="M210" i="1"/>
  <c r="BI218" i="1"/>
  <c r="AE218" i="1" s="1"/>
  <c r="K218" i="1"/>
  <c r="AX218" i="1"/>
  <c r="AL219" i="1"/>
  <c r="BI226" i="1"/>
  <c r="AG226" i="1" s="1"/>
  <c r="AX226" i="1"/>
  <c r="BI234" i="1"/>
  <c r="AE234" i="1" s="1"/>
  <c r="K234" i="1"/>
  <c r="BH237" i="1"/>
  <c r="AD237" i="1" s="1"/>
  <c r="J237" i="1"/>
  <c r="AW237" i="1"/>
  <c r="AV251" i="1"/>
  <c r="AW253" i="1"/>
  <c r="BC253" i="1" s="1"/>
  <c r="J253" i="1"/>
  <c r="BI294" i="1"/>
  <c r="AE294" i="1" s="1"/>
  <c r="AX294" i="1"/>
  <c r="BC294" i="1" s="1"/>
  <c r="K294" i="1"/>
  <c r="BH374" i="1"/>
  <c r="AD374" i="1" s="1"/>
  <c r="J374" i="1"/>
  <c r="AW374" i="1"/>
  <c r="M486" i="1"/>
  <c r="AL486" i="1"/>
  <c r="AS26" i="1"/>
  <c r="AT59" i="1"/>
  <c r="AS68" i="1"/>
  <c r="L12" i="1"/>
  <c r="F11" i="2" s="1"/>
  <c r="I11" i="2" s="1"/>
  <c r="M14" i="1"/>
  <c r="AW18" i="1"/>
  <c r="AL30" i="1"/>
  <c r="M32" i="1"/>
  <c r="AW44" i="1"/>
  <c r="M58" i="1"/>
  <c r="AX69" i="1"/>
  <c r="BC69" i="1" s="1"/>
  <c r="P81" i="1"/>
  <c r="G18" i="2" s="1"/>
  <c r="K109" i="1"/>
  <c r="M111" i="1"/>
  <c r="AW126" i="1"/>
  <c r="M130" i="1"/>
  <c r="AX142" i="1"/>
  <c r="AW152" i="1"/>
  <c r="AW158" i="1"/>
  <c r="AV158" i="1" s="1"/>
  <c r="AW162" i="1"/>
  <c r="AV162" i="1" s="1"/>
  <c r="AW165" i="1"/>
  <c r="AW171" i="1"/>
  <c r="AL173" i="1"/>
  <c r="M177" i="1"/>
  <c r="AW189" i="1"/>
  <c r="BC189" i="1" s="1"/>
  <c r="K195" i="1"/>
  <c r="AW202" i="1"/>
  <c r="AV202" i="1" s="1"/>
  <c r="AL203" i="1"/>
  <c r="AW205" i="1"/>
  <c r="BH207" i="1"/>
  <c r="AD207" i="1" s="1"/>
  <c r="AW208" i="1"/>
  <c r="J213" i="1"/>
  <c r="AS212" i="1"/>
  <c r="AW218" i="1"/>
  <c r="BH229" i="1"/>
  <c r="AD229" i="1" s="1"/>
  <c r="AW229" i="1"/>
  <c r="AL286" i="1"/>
  <c r="M286" i="1"/>
  <c r="AX299" i="1"/>
  <c r="BI299" i="1"/>
  <c r="AE299" i="1" s="1"/>
  <c r="K299" i="1"/>
  <c r="BH315" i="1"/>
  <c r="AD315" i="1" s="1"/>
  <c r="J315" i="1"/>
  <c r="AW315" i="1"/>
  <c r="BI369" i="1"/>
  <c r="AE369" i="1" s="1"/>
  <c r="K369" i="1"/>
  <c r="AX369" i="1"/>
  <c r="AL251" i="1"/>
  <c r="M251" i="1"/>
  <c r="P12" i="1"/>
  <c r="G11" i="2" s="1"/>
  <c r="K35" i="1"/>
  <c r="AV85" i="1"/>
  <c r="K101" i="1"/>
  <c r="AX109" i="1"/>
  <c r="AV109" i="1" s="1"/>
  <c r="K114" i="1"/>
  <c r="K121" i="1"/>
  <c r="K142" i="1"/>
  <c r="J152" i="1"/>
  <c r="J165" i="1"/>
  <c r="K183" i="1"/>
  <c r="J205" i="1"/>
  <c r="AV210" i="1"/>
  <c r="AX236" i="1"/>
  <c r="K236" i="1"/>
  <c r="BI257" i="1"/>
  <c r="AE257" i="1" s="1"/>
  <c r="K257" i="1"/>
  <c r="AX257" i="1"/>
  <c r="AL263" i="1"/>
  <c r="M263" i="1"/>
  <c r="BH301" i="1"/>
  <c r="AD301" i="1" s="1"/>
  <c r="J301" i="1"/>
  <c r="AW301" i="1"/>
  <c r="BH341" i="1"/>
  <c r="AD341" i="1" s="1"/>
  <c r="J341" i="1"/>
  <c r="AW341" i="1"/>
  <c r="BF362" i="1"/>
  <c r="P361" i="1"/>
  <c r="G26" i="2" s="1"/>
  <c r="AL579" i="1"/>
  <c r="M579" i="1"/>
  <c r="L68" i="1"/>
  <c r="F17" i="2" s="1"/>
  <c r="I17" i="2" s="1"/>
  <c r="AV74" i="1"/>
  <c r="AT68" i="1"/>
  <c r="AV77" i="1"/>
  <c r="BC93" i="1"/>
  <c r="M131" i="1"/>
  <c r="BH221" i="1"/>
  <c r="AD221" i="1" s="1"/>
  <c r="AW221" i="1"/>
  <c r="AT228" i="1"/>
  <c r="AV284" i="1"/>
  <c r="BC284" i="1"/>
  <c r="AX320" i="1"/>
  <c r="BC320" i="1" s="1"/>
  <c r="K320" i="1"/>
  <c r="AL459" i="1"/>
  <c r="M459" i="1"/>
  <c r="BI573" i="1"/>
  <c r="AC573" i="1" s="1"/>
  <c r="K573" i="1"/>
  <c r="AX573" i="1"/>
  <c r="AV573" i="1" s="1"/>
  <c r="M371" i="1"/>
  <c r="BC399" i="1"/>
  <c r="BC407" i="1"/>
  <c r="AV407" i="1"/>
  <c r="BH409" i="1"/>
  <c r="AD409" i="1" s="1"/>
  <c r="J409" i="1"/>
  <c r="AW409" i="1"/>
  <c r="M412" i="1"/>
  <c r="AL412" i="1"/>
  <c r="M426" i="1"/>
  <c r="AL426" i="1"/>
  <c r="BI444" i="1"/>
  <c r="AE444" i="1" s="1"/>
  <c r="K444" i="1"/>
  <c r="BH495" i="1"/>
  <c r="AB495" i="1" s="1"/>
  <c r="AW495" i="1"/>
  <c r="J495" i="1"/>
  <c r="M508" i="1"/>
  <c r="AL508" i="1"/>
  <c r="AT518" i="1"/>
  <c r="BH550" i="1"/>
  <c r="AF550" i="1" s="1"/>
  <c r="J550" i="1"/>
  <c r="AW550" i="1"/>
  <c r="BC550" i="1" s="1"/>
  <c r="BH553" i="1"/>
  <c r="AB553" i="1" s="1"/>
  <c r="J553" i="1"/>
  <c r="AW553" i="1"/>
  <c r="BH558" i="1"/>
  <c r="AF558" i="1" s="1"/>
  <c r="AW558" i="1"/>
  <c r="BH590" i="1"/>
  <c r="AF590" i="1" s="1"/>
  <c r="J590" i="1"/>
  <c r="AW590" i="1"/>
  <c r="AX641" i="1"/>
  <c r="BI641" i="1"/>
  <c r="K641" i="1"/>
  <c r="AW647" i="1"/>
  <c r="BH647" i="1"/>
  <c r="AV216" i="1"/>
  <c r="AW226" i="1"/>
  <c r="J232" i="1"/>
  <c r="K247" i="1"/>
  <c r="J257" i="1"/>
  <c r="M259" i="1"/>
  <c r="J260" i="1"/>
  <c r="K284" i="1"/>
  <c r="AX290" i="1"/>
  <c r="AV290" i="1" s="1"/>
  <c r="AW294" i="1"/>
  <c r="K305" i="1"/>
  <c r="J307" i="1"/>
  <c r="M311" i="1"/>
  <c r="AX312" i="1"/>
  <c r="M313" i="1"/>
  <c r="M317" i="1"/>
  <c r="J320" i="1"/>
  <c r="M332" i="1"/>
  <c r="M336" i="1"/>
  <c r="BH336" i="1"/>
  <c r="AD336" i="1" s="1"/>
  <c r="K348" i="1"/>
  <c r="BH348" i="1"/>
  <c r="AD348" i="1" s="1"/>
  <c r="K363" i="1"/>
  <c r="BH363" i="1"/>
  <c r="AD363" i="1" s="1"/>
  <c r="J372" i="1"/>
  <c r="M375" i="1"/>
  <c r="M384" i="1"/>
  <c r="K385" i="1"/>
  <c r="M392" i="1"/>
  <c r="BI405" i="1"/>
  <c r="AE405" i="1" s="1"/>
  <c r="K405" i="1"/>
  <c r="AX405" i="1"/>
  <c r="AV405" i="1" s="1"/>
  <c r="BH423" i="1"/>
  <c r="AD423" i="1" s="1"/>
  <c r="AW423" i="1"/>
  <c r="K438" i="1"/>
  <c r="AX444" i="1"/>
  <c r="AV444" i="1" s="1"/>
  <c r="AS448" i="1"/>
  <c r="BH477" i="1"/>
  <c r="AD477" i="1" s="1"/>
  <c r="AW477" i="1"/>
  <c r="J477" i="1"/>
  <c r="BH484" i="1"/>
  <c r="AB484" i="1" s="1"/>
  <c r="AW484" i="1"/>
  <c r="BH506" i="1"/>
  <c r="AB506" i="1" s="1"/>
  <c r="AW506" i="1"/>
  <c r="BH510" i="1"/>
  <c r="AB510" i="1" s="1"/>
  <c r="J510" i="1"/>
  <c r="AW510" i="1"/>
  <c r="BH538" i="1"/>
  <c r="AB538" i="1" s="1"/>
  <c r="J538" i="1"/>
  <c r="AW538" i="1"/>
  <c r="BI550" i="1"/>
  <c r="AG550" i="1" s="1"/>
  <c r="K550" i="1"/>
  <c r="AX550" i="1"/>
  <c r="BI558" i="1"/>
  <c r="AG558" i="1" s="1"/>
  <c r="AX558" i="1"/>
  <c r="K558" i="1"/>
  <c r="M562" i="1"/>
  <c r="AL562" i="1"/>
  <c r="AL577" i="1"/>
  <c r="M577" i="1"/>
  <c r="M602" i="1"/>
  <c r="BH634" i="1"/>
  <c r="AF634" i="1" s="1"/>
  <c r="J634" i="1"/>
  <c r="AW634" i="1"/>
  <c r="AX647" i="1"/>
  <c r="BC647" i="1" s="1"/>
  <c r="K647" i="1"/>
  <c r="BC219" i="1"/>
  <c r="J240" i="1"/>
  <c r="AL243" i="1"/>
  <c r="J249" i="1"/>
  <c r="K261" i="1"/>
  <c r="J264" i="1"/>
  <c r="AL267" i="1"/>
  <c r="J271" i="1"/>
  <c r="J278" i="1"/>
  <c r="J281" i="1"/>
  <c r="M284" i="1"/>
  <c r="J288" i="1"/>
  <c r="AW292" i="1"/>
  <c r="AL296" i="1"/>
  <c r="J299" i="1"/>
  <c r="BH299" i="1"/>
  <c r="AD299" i="1" s="1"/>
  <c r="AX301" i="1"/>
  <c r="BC301" i="1" s="1"/>
  <c r="AL302" i="1"/>
  <c r="AL304" i="1"/>
  <c r="K307" i="1"/>
  <c r="AX315" i="1"/>
  <c r="AW318" i="1"/>
  <c r="J328" i="1"/>
  <c r="AX330" i="1"/>
  <c r="J334" i="1"/>
  <c r="AW334" i="1"/>
  <c r="AW337" i="1"/>
  <c r="AL338" i="1"/>
  <c r="AX341" i="1"/>
  <c r="AL343" i="1"/>
  <c r="J345" i="1"/>
  <c r="M348" i="1"/>
  <c r="AW349" i="1"/>
  <c r="AL351" i="1"/>
  <c r="K357" i="1"/>
  <c r="AX357" i="1"/>
  <c r="BC357" i="1" s="1"/>
  <c r="AW364" i="1"/>
  <c r="K367" i="1"/>
  <c r="AX367" i="1"/>
  <c r="AV367" i="1" s="1"/>
  <c r="M372" i="1"/>
  <c r="AX374" i="1"/>
  <c r="BC374" i="1" s="1"/>
  <c r="AW380" i="1"/>
  <c r="AV380" i="1" s="1"/>
  <c r="AW383" i="1"/>
  <c r="AX387" i="1"/>
  <c r="M399" i="1"/>
  <c r="AS396" i="1"/>
  <c r="BI402" i="1"/>
  <c r="AE402" i="1" s="1"/>
  <c r="AX402" i="1"/>
  <c r="AV402" i="1" s="1"/>
  <c r="AL403" i="1"/>
  <c r="M403" i="1"/>
  <c r="BI422" i="1"/>
  <c r="AE422" i="1" s="1"/>
  <c r="K422" i="1"/>
  <c r="AX422" i="1"/>
  <c r="BH424" i="1"/>
  <c r="AD424" i="1" s="1"/>
  <c r="AW424" i="1"/>
  <c r="J424" i="1"/>
  <c r="AW426" i="1"/>
  <c r="J426" i="1"/>
  <c r="M436" i="1"/>
  <c r="AL436" i="1"/>
  <c r="BF476" i="1"/>
  <c r="AX483" i="1"/>
  <c r="BI483" i="1"/>
  <c r="AC483" i="1" s="1"/>
  <c r="BI575" i="1"/>
  <c r="AG575" i="1" s="1"/>
  <c r="AX575" i="1"/>
  <c r="AV575" i="1" s="1"/>
  <c r="BH578" i="1"/>
  <c r="AF578" i="1" s="1"/>
  <c r="AW578" i="1"/>
  <c r="J578" i="1"/>
  <c r="BI581" i="1"/>
  <c r="AC581" i="1" s="1"/>
  <c r="K581" i="1"/>
  <c r="M584" i="1"/>
  <c r="AL584" i="1"/>
  <c r="AX594" i="1"/>
  <c r="K594" i="1"/>
  <c r="BI600" i="1"/>
  <c r="AG600" i="1" s="1"/>
  <c r="K600" i="1"/>
  <c r="AX600" i="1"/>
  <c r="AV600" i="1" s="1"/>
  <c r="M622" i="1"/>
  <c r="AL622" i="1"/>
  <c r="AW240" i="1"/>
  <c r="AV240" i="1" s="1"/>
  <c r="K290" i="1"/>
  <c r="K301" i="1"/>
  <c r="AX303" i="1"/>
  <c r="K312" i="1"/>
  <c r="K315" i="1"/>
  <c r="J318" i="1"/>
  <c r="J330" i="1"/>
  <c r="K387" i="1"/>
  <c r="AL419" i="1"/>
  <c r="M419" i="1"/>
  <c r="M440" i="1"/>
  <c r="AL440" i="1"/>
  <c r="BI449" i="1"/>
  <c r="AE449" i="1" s="1"/>
  <c r="K449" i="1"/>
  <c r="AX449" i="1"/>
  <c r="AL473" i="1"/>
  <c r="M473" i="1"/>
  <c r="BI480" i="1"/>
  <c r="AC480" i="1" s="1"/>
  <c r="K480" i="1"/>
  <c r="K479" i="1" s="1"/>
  <c r="E33" i="2" s="1"/>
  <c r="AX480" i="1"/>
  <c r="AW498" i="1"/>
  <c r="BC498" i="1" s="1"/>
  <c r="BH498" i="1"/>
  <c r="AB498" i="1" s="1"/>
  <c r="BH502" i="1"/>
  <c r="AB502" i="1" s="1"/>
  <c r="AW502" i="1"/>
  <c r="J502" i="1"/>
  <c r="BI561" i="1"/>
  <c r="AG561" i="1" s="1"/>
  <c r="K561" i="1"/>
  <c r="AX561" i="1"/>
  <c r="BI578" i="1"/>
  <c r="AG578" i="1" s="1"/>
  <c r="AX578" i="1"/>
  <c r="BC578" i="1" s="1"/>
  <c r="K578" i="1"/>
  <c r="BH624" i="1"/>
  <c r="AF624" i="1" s="1"/>
  <c r="AW624" i="1"/>
  <c r="J624" i="1"/>
  <c r="M234" i="1"/>
  <c r="M236" i="1"/>
  <c r="AV241" i="1"/>
  <c r="M253" i="1"/>
  <c r="AX255" i="1"/>
  <c r="K303" i="1"/>
  <c r="BH309" i="1"/>
  <c r="AD309" i="1" s="1"/>
  <c r="K322" i="1"/>
  <c r="BC324" i="1"/>
  <c r="AV347" i="1"/>
  <c r="AX356" i="1"/>
  <c r="M357" i="1"/>
  <c r="J364" i="1"/>
  <c r="M367" i="1"/>
  <c r="M369" i="1"/>
  <c r="BI370" i="1"/>
  <c r="AE370" i="1" s="1"/>
  <c r="J380" i="1"/>
  <c r="J383" i="1"/>
  <c r="AV389" i="1"/>
  <c r="AX394" i="1"/>
  <c r="AL399" i="1"/>
  <c r="AX401" i="1"/>
  <c r="BC401" i="1" s="1"/>
  <c r="AX415" i="1"/>
  <c r="AV415" i="1" s="1"/>
  <c r="K415" i="1"/>
  <c r="BH418" i="1"/>
  <c r="AD418" i="1" s="1"/>
  <c r="AW418" i="1"/>
  <c r="AX424" i="1"/>
  <c r="BH436" i="1"/>
  <c r="AD436" i="1" s="1"/>
  <c r="J436" i="1"/>
  <c r="AW436" i="1"/>
  <c r="BH470" i="1"/>
  <c r="AD470" i="1" s="1"/>
  <c r="J470" i="1"/>
  <c r="AW470" i="1"/>
  <c r="M476" i="1"/>
  <c r="M475" i="1" s="1"/>
  <c r="L475" i="1"/>
  <c r="F32" i="2" s="1"/>
  <c r="I32" i="2" s="1"/>
  <c r="AL476" i="1"/>
  <c r="AU475" i="1" s="1"/>
  <c r="M495" i="1"/>
  <c r="BI502" i="1"/>
  <c r="AC502" i="1" s="1"/>
  <c r="AX502" i="1"/>
  <c r="K502" i="1"/>
  <c r="AX563" i="1"/>
  <c r="K563" i="1"/>
  <c r="K575" i="1"/>
  <c r="M587" i="1"/>
  <c r="BI624" i="1"/>
  <c r="AG624" i="1" s="1"/>
  <c r="AX624" i="1"/>
  <c r="K624" i="1"/>
  <c r="M646" i="1"/>
  <c r="M224" i="1"/>
  <c r="AX235" i="1"/>
  <c r="AV235" i="1" s="1"/>
  <c r="AW239" i="1"/>
  <c r="AW243" i="1"/>
  <c r="AW246" i="1"/>
  <c r="J251" i="1"/>
  <c r="J263" i="1"/>
  <c r="AW263" i="1"/>
  <c r="AV263" i="1" s="1"/>
  <c r="AL264" i="1"/>
  <c r="AW267" i="1"/>
  <c r="AV267" i="1" s="1"/>
  <c r="K279" i="1"/>
  <c r="AL281" i="1"/>
  <c r="J292" i="1"/>
  <c r="AW296" i="1"/>
  <c r="BC296" i="1" s="1"/>
  <c r="AX300" i="1"/>
  <c r="AW311" i="1"/>
  <c r="M315" i="1"/>
  <c r="M318" i="1"/>
  <c r="AL320" i="1"/>
  <c r="M330" i="1"/>
  <c r="AW338" i="1"/>
  <c r="AW351" i="1"/>
  <c r="AW366" i="1"/>
  <c r="AW368" i="1"/>
  <c r="AX371" i="1"/>
  <c r="M380" i="1"/>
  <c r="AX384" i="1"/>
  <c r="AV384" i="1" s="1"/>
  <c r="M387" i="1"/>
  <c r="K394" i="1"/>
  <c r="K401" i="1"/>
  <c r="M402" i="1"/>
  <c r="BI418" i="1"/>
  <c r="AE418" i="1" s="1"/>
  <c r="K418" i="1"/>
  <c r="BH430" i="1"/>
  <c r="AD430" i="1" s="1"/>
  <c r="J430" i="1"/>
  <c r="BH438" i="1"/>
  <c r="AD438" i="1" s="1"/>
  <c r="AW438" i="1"/>
  <c r="BC438" i="1" s="1"/>
  <c r="J438" i="1"/>
  <c r="AW440" i="1"/>
  <c r="BC440" i="1" s="1"/>
  <c r="J440" i="1"/>
  <c r="BH472" i="1"/>
  <c r="AD472" i="1" s="1"/>
  <c r="AW472" i="1"/>
  <c r="BC512" i="1"/>
  <c r="BC525" i="1"/>
  <c r="BI535" i="1"/>
  <c r="AC535" i="1" s="1"/>
  <c r="K535" i="1"/>
  <c r="AW541" i="1"/>
  <c r="BC541" i="1" s="1"/>
  <c r="J541" i="1"/>
  <c r="J540" i="1" s="1"/>
  <c r="D37" i="2" s="1"/>
  <c r="J558" i="1"/>
  <c r="BI583" i="1"/>
  <c r="AC583" i="1" s="1"/>
  <c r="AX583" i="1"/>
  <c r="K583" i="1"/>
  <c r="BH586" i="1"/>
  <c r="AB586" i="1" s="1"/>
  <c r="J586" i="1"/>
  <c r="AW586" i="1"/>
  <c r="BI606" i="1"/>
  <c r="AG606" i="1" s="1"/>
  <c r="K606" i="1"/>
  <c r="AX606" i="1"/>
  <c r="BC606" i="1" s="1"/>
  <c r="BI609" i="1"/>
  <c r="AG609" i="1" s="1"/>
  <c r="AX609" i="1"/>
  <c r="K609" i="1"/>
  <c r="BC628" i="1"/>
  <c r="K235" i="1"/>
  <c r="BC251" i="1"/>
  <c r="J302" i="1"/>
  <c r="K316" i="1"/>
  <c r="M324" i="1"/>
  <c r="AS361" i="1"/>
  <c r="AL407" i="1"/>
  <c r="M407" i="1"/>
  <c r="AX453" i="1"/>
  <c r="K453" i="1"/>
  <c r="BI468" i="1"/>
  <c r="AE468" i="1" s="1"/>
  <c r="K468" i="1"/>
  <c r="AX468" i="1"/>
  <c r="AV468" i="1" s="1"/>
  <c r="BI472" i="1"/>
  <c r="AE472" i="1" s="1"/>
  <c r="AX472" i="1"/>
  <c r="K472" i="1"/>
  <c r="AL551" i="1"/>
  <c r="M551" i="1"/>
  <c r="M560" i="1"/>
  <c r="AL560" i="1"/>
  <c r="BI586" i="1"/>
  <c r="AC586" i="1" s="1"/>
  <c r="K586" i="1"/>
  <c r="AX586" i="1"/>
  <c r="BI615" i="1"/>
  <c r="AG615" i="1" s="1"/>
  <c r="AX615" i="1"/>
  <c r="K615" i="1"/>
  <c r="BI628" i="1"/>
  <c r="AG628" i="1" s="1"/>
  <c r="K628" i="1"/>
  <c r="BI637" i="1"/>
  <c r="AX637" i="1"/>
  <c r="BC637" i="1" s="1"/>
  <c r="BH644" i="1"/>
  <c r="J644" i="1"/>
  <c r="AW644" i="1"/>
  <c r="BH407" i="1"/>
  <c r="AD407" i="1" s="1"/>
  <c r="K522" i="1"/>
  <c r="AV547" i="1"/>
  <c r="J580" i="1"/>
  <c r="AW583" i="1"/>
  <c r="M592" i="1"/>
  <c r="AS589" i="1"/>
  <c r="J594" i="1"/>
  <c r="J600" i="1"/>
  <c r="AW609" i="1"/>
  <c r="L488" i="1"/>
  <c r="F35" i="2" s="1"/>
  <c r="I35" i="2" s="1"/>
  <c r="AT589" i="1"/>
  <c r="AX430" i="1"/>
  <c r="AV430" i="1" s="1"/>
  <c r="AX462" i="1"/>
  <c r="M472" i="1"/>
  <c r="AX484" i="1"/>
  <c r="AW521" i="1"/>
  <c r="AV521" i="1" s="1"/>
  <c r="M522" i="1"/>
  <c r="M527" i="1"/>
  <c r="M530" i="1"/>
  <c r="AW536" i="1"/>
  <c r="M537" i="1"/>
  <c r="BC547" i="1"/>
  <c r="AX554" i="1"/>
  <c r="AV554" i="1" s="1"/>
  <c r="M558" i="1"/>
  <c r="AW564" i="1"/>
  <c r="AL568" i="1"/>
  <c r="M583" i="1"/>
  <c r="M604" i="1"/>
  <c r="AX608" i="1"/>
  <c r="J643" i="1"/>
  <c r="AW455" i="1"/>
  <c r="AW476" i="1"/>
  <c r="AX500" i="1"/>
  <c r="AW519" i="1"/>
  <c r="AX521" i="1"/>
  <c r="AX526" i="1"/>
  <c r="J532" i="1"/>
  <c r="AW532" i="1"/>
  <c r="M545" i="1"/>
  <c r="M563" i="1"/>
  <c r="M600" i="1"/>
  <c r="AW622" i="1"/>
  <c r="BC622" i="1" s="1"/>
  <c r="M624" i="1"/>
  <c r="AW640" i="1"/>
  <c r="AV640" i="1" s="1"/>
  <c r="K643" i="1"/>
  <c r="AX411" i="1"/>
  <c r="AV411" i="1" s="1"/>
  <c r="M430" i="1"/>
  <c r="M449" i="1"/>
  <c r="AW451" i="1"/>
  <c r="AL458" i="1"/>
  <c r="K462" i="1"/>
  <c r="AT466" i="1"/>
  <c r="J476" i="1"/>
  <c r="AS475" i="1"/>
  <c r="M480" i="1"/>
  <c r="M479" i="1" s="1"/>
  <c r="AS482" i="1"/>
  <c r="AX486" i="1"/>
  <c r="AX493" i="1"/>
  <c r="AX519" i="1"/>
  <c r="K521" i="1"/>
  <c r="J528" i="1"/>
  <c r="K547" i="1"/>
  <c r="K554" i="1"/>
  <c r="M561" i="1"/>
  <c r="AW562" i="1"/>
  <c r="J574" i="1"/>
  <c r="AL581" i="1"/>
  <c r="M582" i="1"/>
  <c r="AX592" i="1"/>
  <c r="AL594" i="1"/>
  <c r="K596" i="1"/>
  <c r="J602" i="1"/>
  <c r="K608" i="1"/>
  <c r="M609" i="1"/>
  <c r="BI613" i="1"/>
  <c r="AG613" i="1" s="1"/>
  <c r="J622" i="1"/>
  <c r="AX622" i="1"/>
  <c r="AT619" i="1"/>
  <c r="K630" i="1"/>
  <c r="AL637" i="1"/>
  <c r="J640" i="1"/>
  <c r="AW643" i="1"/>
  <c r="J646" i="1"/>
  <c r="AX646" i="1"/>
  <c r="BC646" i="1" s="1"/>
  <c r="AX428" i="1"/>
  <c r="AX451" i="1"/>
  <c r="M453" i="1"/>
  <c r="K459" i="1"/>
  <c r="AW459" i="1"/>
  <c r="AV459" i="1" s="1"/>
  <c r="AL468" i="1"/>
  <c r="AT482" i="1"/>
  <c r="AV491" i="1"/>
  <c r="AL498" i="1"/>
  <c r="M502" i="1"/>
  <c r="AX508" i="1"/>
  <c r="BC508" i="1" s="1"/>
  <c r="M526" i="1"/>
  <c r="M536" i="1"/>
  <c r="AL541" i="1"/>
  <c r="AU540" i="1" s="1"/>
  <c r="M547" i="1"/>
  <c r="AX548" i="1"/>
  <c r="M550" i="1"/>
  <c r="AX551" i="1"/>
  <c r="AX562" i="1"/>
  <c r="AV562" i="1" s="1"/>
  <c r="AL573" i="1"/>
  <c r="K579" i="1"/>
  <c r="AW580" i="1"/>
  <c r="J584" i="1"/>
  <c r="M608" i="1"/>
  <c r="M640" i="1"/>
  <c r="AX643" i="1"/>
  <c r="AL647" i="1"/>
  <c r="AS129" i="1"/>
  <c r="AW160" i="1"/>
  <c r="J160" i="1"/>
  <c r="AL160" i="1"/>
  <c r="BF62" i="1"/>
  <c r="P59" i="1"/>
  <c r="G16" i="2" s="1"/>
  <c r="AW15" i="1"/>
  <c r="J15" i="1"/>
  <c r="AT16" i="1"/>
  <c r="K22" i="1"/>
  <c r="AX22" i="1"/>
  <c r="BC22" i="1" s="1"/>
  <c r="AT26" i="1"/>
  <c r="AL29" i="1"/>
  <c r="M29" i="1"/>
  <c r="AV30" i="1"/>
  <c r="BC30" i="1"/>
  <c r="AV40" i="1"/>
  <c r="AX56" i="1"/>
  <c r="AV56" i="1" s="1"/>
  <c r="K56" i="1"/>
  <c r="BC58" i="1"/>
  <c r="M99" i="1"/>
  <c r="AL99" i="1"/>
  <c r="AV114" i="1"/>
  <c r="BC114" i="1"/>
  <c r="BC115" i="1"/>
  <c r="AV115" i="1"/>
  <c r="AW50" i="1"/>
  <c r="J50" i="1"/>
  <c r="AW27" i="1"/>
  <c r="J27" i="1"/>
  <c r="C21" i="3"/>
  <c r="AT12" i="1"/>
  <c r="AL32" i="1"/>
  <c r="AL46" i="1"/>
  <c r="L39" i="1"/>
  <c r="F14" i="2" s="1"/>
  <c r="I14" i="2" s="1"/>
  <c r="M46" i="1"/>
  <c r="BH50" i="1"/>
  <c r="AB50" i="1" s="1"/>
  <c r="M60" i="1"/>
  <c r="M59" i="1" s="1"/>
  <c r="L59" i="1"/>
  <c r="F16" i="2" s="1"/>
  <c r="I16" i="2" s="1"/>
  <c r="AL60" i="1"/>
  <c r="AU59" i="1" s="1"/>
  <c r="M79" i="1"/>
  <c r="AL79" i="1"/>
  <c r="AW91" i="1"/>
  <c r="BH91" i="1"/>
  <c r="AD91" i="1" s="1"/>
  <c r="AL169" i="1"/>
  <c r="M169" i="1"/>
  <c r="M37" i="1"/>
  <c r="BC62" i="1"/>
  <c r="AV62" i="1"/>
  <c r="AL128" i="1"/>
  <c r="M128" i="1"/>
  <c r="AV167" i="1"/>
  <c r="BC167" i="1"/>
  <c r="J36" i="1"/>
  <c r="AW36" i="1"/>
  <c r="L26" i="1"/>
  <c r="F13" i="2" s="1"/>
  <c r="I13" i="2" s="1"/>
  <c r="J13" i="1"/>
  <c r="AW13" i="1"/>
  <c r="J17" i="1"/>
  <c r="AW17" i="1"/>
  <c r="AL22" i="1"/>
  <c r="M22" i="1"/>
  <c r="AV24" i="1"/>
  <c r="BC24" i="1"/>
  <c r="BH27" i="1"/>
  <c r="AB27" i="1" s="1"/>
  <c r="K29" i="1"/>
  <c r="AX29" i="1"/>
  <c r="AX32" i="1"/>
  <c r="AV32" i="1" s="1"/>
  <c r="K32" i="1"/>
  <c r="J42" i="1"/>
  <c r="AW42" i="1"/>
  <c r="AW45" i="1"/>
  <c r="J45" i="1"/>
  <c r="BI56" i="1"/>
  <c r="AC56" i="1" s="1"/>
  <c r="BF69" i="1"/>
  <c r="P68" i="1"/>
  <c r="G17" i="2" s="1"/>
  <c r="AW75" i="1"/>
  <c r="J75" i="1"/>
  <c r="AW20" i="1"/>
  <c r="J20" i="1"/>
  <c r="AS39" i="1"/>
  <c r="AV47" i="1"/>
  <c r="M56" i="1"/>
  <c r="AL56" i="1"/>
  <c r="AX60" i="1"/>
  <c r="AV60" i="1" s="1"/>
  <c r="K60" i="1"/>
  <c r="AV64" i="1"/>
  <c r="BC64" i="1"/>
  <c r="AX79" i="1"/>
  <c r="BC79" i="1" s="1"/>
  <c r="K79" i="1"/>
  <c r="BF93" i="1"/>
  <c r="P84" i="1"/>
  <c r="G19" i="2" s="1"/>
  <c r="BF130" i="1"/>
  <c r="P129" i="1"/>
  <c r="G20" i="2" s="1"/>
  <c r="K175" i="1"/>
  <c r="AX175" i="1"/>
  <c r="BI175" i="1"/>
  <c r="AE175" i="1" s="1"/>
  <c r="BF24" i="1"/>
  <c r="P16" i="1"/>
  <c r="G12" i="2" s="1"/>
  <c r="J140" i="1"/>
  <c r="AW140" i="1"/>
  <c r="BH140" i="1"/>
  <c r="AD140" i="1" s="1"/>
  <c r="BH36" i="1"/>
  <c r="AB36" i="1" s="1"/>
  <c r="M44" i="1"/>
  <c r="K46" i="1"/>
  <c r="AX46" i="1"/>
  <c r="AV46" i="1" s="1"/>
  <c r="AL87" i="1"/>
  <c r="M87" i="1"/>
  <c r="L84" i="1"/>
  <c r="F19" i="2" s="1"/>
  <c r="I19" i="2" s="1"/>
  <c r="AW113" i="1"/>
  <c r="J113" i="1"/>
  <c r="BH113" i="1"/>
  <c r="AD113" i="1" s="1"/>
  <c r="AL116" i="1"/>
  <c r="M116" i="1"/>
  <c r="BI52" i="1"/>
  <c r="AC52" i="1" s="1"/>
  <c r="BH66" i="1"/>
  <c r="AB66" i="1" s="1"/>
  <c r="BH72" i="1"/>
  <c r="AB72" i="1" s="1"/>
  <c r="BI76" i="1"/>
  <c r="AC76" i="1" s="1"/>
  <c r="BI82" i="1"/>
  <c r="AE82" i="1" s="1"/>
  <c r="J89" i="1"/>
  <c r="AW89" i="1"/>
  <c r="J117" i="1"/>
  <c r="AW117" i="1"/>
  <c r="AL156" i="1"/>
  <c r="M156" i="1"/>
  <c r="K161" i="1"/>
  <c r="AX161" i="1"/>
  <c r="BC163" i="1"/>
  <c r="AV163" i="1"/>
  <c r="J185" i="1"/>
  <c r="AW185" i="1"/>
  <c r="J201" i="1"/>
  <c r="AW201" i="1"/>
  <c r="AL217" i="1"/>
  <c r="M217" i="1"/>
  <c r="AX220" i="1"/>
  <c r="K220" i="1"/>
  <c r="BI220" i="1"/>
  <c r="AE220" i="1" s="1"/>
  <c r="BI222" i="1"/>
  <c r="AE222" i="1" s="1"/>
  <c r="AX222" i="1"/>
  <c r="K222" i="1"/>
  <c r="BC263" i="1"/>
  <c r="AV264" i="1"/>
  <c r="BC264" i="1"/>
  <c r="AX14" i="1"/>
  <c r="AL15" i="1"/>
  <c r="AX18" i="1"/>
  <c r="AL20" i="1"/>
  <c r="AL27" i="1"/>
  <c r="AX44" i="1"/>
  <c r="AV44" i="1" s="1"/>
  <c r="AL45" i="1"/>
  <c r="BC47" i="1"/>
  <c r="AL50" i="1"/>
  <c r="BF50" i="1"/>
  <c r="M52" i="1"/>
  <c r="BI66" i="1"/>
  <c r="AC66" i="1" s="1"/>
  <c r="BI72" i="1"/>
  <c r="AC72" i="1" s="1"/>
  <c r="AL75" i="1"/>
  <c r="M76" i="1"/>
  <c r="BC77" i="1"/>
  <c r="BH79" i="1"/>
  <c r="AB79" i="1" s="1"/>
  <c r="M82" i="1"/>
  <c r="M81" i="1" s="1"/>
  <c r="AL91" i="1"/>
  <c r="M95" i="1"/>
  <c r="AX97" i="1"/>
  <c r="AX107" i="1"/>
  <c r="BI113" i="1"/>
  <c r="AE113" i="1" s="1"/>
  <c r="AX116" i="1"/>
  <c r="AV116" i="1" s="1"/>
  <c r="K116" i="1"/>
  <c r="M118" i="1"/>
  <c r="AL118" i="1"/>
  <c r="BH135" i="1"/>
  <c r="AD135" i="1" s="1"/>
  <c r="AV142" i="1"/>
  <c r="BC142" i="1"/>
  <c r="AV148" i="1"/>
  <c r="J163" i="1"/>
  <c r="K169" i="1"/>
  <c r="BH195" i="1"/>
  <c r="AD195" i="1" s="1"/>
  <c r="AV205" i="1"/>
  <c r="BC224" i="1"/>
  <c r="AV224" i="1"/>
  <c r="AX232" i="1"/>
  <c r="BC232" i="1" s="1"/>
  <c r="K232" i="1"/>
  <c r="BI232" i="1"/>
  <c r="AE232" i="1" s="1"/>
  <c r="AX262" i="1"/>
  <c r="K262" i="1"/>
  <c r="BI262" i="1"/>
  <c r="AE262" i="1" s="1"/>
  <c r="BF230" i="1"/>
  <c r="P228" i="1"/>
  <c r="G22" i="2" s="1"/>
  <c r="BH64" i="1"/>
  <c r="AB64" i="1" s="1"/>
  <c r="AW66" i="1"/>
  <c r="K111" i="1"/>
  <c r="AX111" i="1"/>
  <c r="J123" i="1"/>
  <c r="AW123" i="1"/>
  <c r="BI161" i="1"/>
  <c r="AE161" i="1" s="1"/>
  <c r="C20" i="3"/>
  <c r="AL18" i="1"/>
  <c r="BH24" i="1"/>
  <c r="AB24" i="1" s="1"/>
  <c r="BH30" i="1"/>
  <c r="AB30" i="1" s="1"/>
  <c r="BI35" i="1"/>
  <c r="AC35" i="1" s="1"/>
  <c r="BI40" i="1"/>
  <c r="AC40" i="1" s="1"/>
  <c r="AL44" i="1"/>
  <c r="J74" i="1"/>
  <c r="J85" i="1"/>
  <c r="M89" i="1"/>
  <c r="J105" i="1"/>
  <c r="AW105" i="1"/>
  <c r="BC109" i="1"/>
  <c r="K113" i="1"/>
  <c r="M117" i="1"/>
  <c r="BH117" i="1"/>
  <c r="AD117" i="1" s="1"/>
  <c r="K132" i="1"/>
  <c r="AX132" i="1"/>
  <c r="BC135" i="1"/>
  <c r="AV135" i="1"/>
  <c r="BC144" i="1"/>
  <c r="J156" i="1"/>
  <c r="AW156" i="1"/>
  <c r="M161" i="1"/>
  <c r="AL185" i="1"/>
  <c r="M185" i="1"/>
  <c r="BH185" i="1"/>
  <c r="AD185" i="1" s="1"/>
  <c r="K191" i="1"/>
  <c r="AX191" i="1"/>
  <c r="BC195" i="1"/>
  <c r="AV195" i="1"/>
  <c r="BH201" i="1"/>
  <c r="AF201" i="1" s="1"/>
  <c r="K204" i="1"/>
  <c r="AX204" i="1"/>
  <c r="BH213" i="1"/>
  <c r="AD213" i="1" s="1"/>
  <c r="J217" i="1"/>
  <c r="AW217" i="1"/>
  <c r="M220" i="1"/>
  <c r="K246" i="1"/>
  <c r="AX246" i="1"/>
  <c r="BI246" i="1"/>
  <c r="AE246" i="1" s="1"/>
  <c r="BF290" i="1"/>
  <c r="P273" i="1"/>
  <c r="G23" i="2" s="1"/>
  <c r="BI45" i="1"/>
  <c r="AC45" i="1" s="1"/>
  <c r="AX52" i="1"/>
  <c r="BC52" i="1" s="1"/>
  <c r="K221" i="1"/>
  <c r="BI221" i="1"/>
  <c r="AE221" i="1" s="1"/>
  <c r="AX221" i="1"/>
  <c r="AW236" i="1"/>
  <c r="J236" i="1"/>
  <c r="BH236" i="1"/>
  <c r="AD236" i="1" s="1"/>
  <c r="C27" i="3"/>
  <c r="P26" i="1"/>
  <c r="G13" i="2" s="1"/>
  <c r="AL69" i="1"/>
  <c r="AX103" i="1"/>
  <c r="K103" i="1"/>
  <c r="AL107" i="1"/>
  <c r="BC126" i="1"/>
  <c r="J135" i="1"/>
  <c r="K140" i="1"/>
  <c r="BH163" i="1"/>
  <c r="AD163" i="1" s="1"/>
  <c r="AV171" i="1"/>
  <c r="BC171" i="1"/>
  <c r="J195" i="1"/>
  <c r="K201" i="1"/>
  <c r="BI201" i="1"/>
  <c r="AG201" i="1" s="1"/>
  <c r="AT212" i="1"/>
  <c r="K288" i="1"/>
  <c r="AX288" i="1"/>
  <c r="AV288" i="1" s="1"/>
  <c r="BI288" i="1"/>
  <c r="AE288" i="1" s="1"/>
  <c r="M292" i="1"/>
  <c r="AL292" i="1"/>
  <c r="AX278" i="1"/>
  <c r="BC278" i="1" s="1"/>
  <c r="K278" i="1"/>
  <c r="BI278" i="1"/>
  <c r="AG278" i="1" s="1"/>
  <c r="BI20" i="1"/>
  <c r="AC20" i="1" s="1"/>
  <c r="AX76" i="1"/>
  <c r="AX82" i="1"/>
  <c r="BC82" i="1" s="1"/>
  <c r="AT129" i="1"/>
  <c r="J179" i="1"/>
  <c r="BC216" i="1"/>
  <c r="AS273" i="1"/>
  <c r="AW316" i="1"/>
  <c r="BH316" i="1"/>
  <c r="AD316" i="1" s="1"/>
  <c r="J316" i="1"/>
  <c r="C28" i="3"/>
  <c r="F28" i="3" s="1"/>
  <c r="AX15" i="1"/>
  <c r="AX27" i="1"/>
  <c r="AW35" i="1"/>
  <c r="P39" i="1"/>
  <c r="G14" i="2" s="1"/>
  <c r="J46" i="1"/>
  <c r="J52" i="1"/>
  <c r="K57" i="1"/>
  <c r="K62" i="1"/>
  <c r="K69" i="1"/>
  <c r="AW71" i="1"/>
  <c r="J76" i="1"/>
  <c r="J82" i="1"/>
  <c r="J81" i="1" s="1"/>
  <c r="D18" i="2" s="1"/>
  <c r="AL82" i="1"/>
  <c r="AU81" i="1" s="1"/>
  <c r="BH89" i="1"/>
  <c r="AD89" i="1" s="1"/>
  <c r="AW97" i="1"/>
  <c r="J97" i="1"/>
  <c r="M113" i="1"/>
  <c r="J119" i="1"/>
  <c r="K123" i="1"/>
  <c r="AL140" i="1"/>
  <c r="M140" i="1"/>
  <c r="K146" i="1"/>
  <c r="AX146" i="1"/>
  <c r="BC150" i="1"/>
  <c r="AV150" i="1"/>
  <c r="BC160" i="1"/>
  <c r="J169" i="1"/>
  <c r="AW169" i="1"/>
  <c r="M175" i="1"/>
  <c r="AL201" i="1"/>
  <c r="M201" i="1"/>
  <c r="BC207" i="1"/>
  <c r="AV207" i="1"/>
  <c r="AV219" i="1"/>
  <c r="M271" i="1"/>
  <c r="AL271" i="1"/>
  <c r="BC288" i="1"/>
  <c r="AL237" i="1"/>
  <c r="M237" i="1"/>
  <c r="AW72" i="1"/>
  <c r="M249" i="1"/>
  <c r="AL249" i="1"/>
  <c r="AV93" i="1"/>
  <c r="K95" i="1"/>
  <c r="AX95" i="1"/>
  <c r="AL123" i="1"/>
  <c r="M123" i="1"/>
  <c r="BH123" i="1"/>
  <c r="K128" i="1"/>
  <c r="AX128" i="1"/>
  <c r="AL132" i="1"/>
  <c r="L129" i="1"/>
  <c r="F20" i="2" s="1"/>
  <c r="I20" i="2" s="1"/>
  <c r="AV134" i="1"/>
  <c r="BI140" i="1"/>
  <c r="AE140" i="1" s="1"/>
  <c r="BH179" i="1"/>
  <c r="AD179" i="1" s="1"/>
  <c r="AV187" i="1"/>
  <c r="BC187" i="1"/>
  <c r="L212" i="1"/>
  <c r="F21" i="2" s="1"/>
  <c r="I21" i="2" s="1"/>
  <c r="AW222" i="1"/>
  <c r="BH222" i="1"/>
  <c r="AD222" i="1" s="1"/>
  <c r="M309" i="1"/>
  <c r="AL309" i="1"/>
  <c r="AX120" i="1"/>
  <c r="AV120" i="1" s="1"/>
  <c r="J121" i="1"/>
  <c r="K126" i="1"/>
  <c r="AW128" i="1"/>
  <c r="K131" i="1"/>
  <c r="AW132" i="1"/>
  <c r="AX136" i="1"/>
  <c r="J138" i="1"/>
  <c r="K144" i="1"/>
  <c r="AW146" i="1"/>
  <c r="AX152" i="1"/>
  <c r="AV152" i="1" s="1"/>
  <c r="J154" i="1"/>
  <c r="K160" i="1"/>
  <c r="AW161" i="1"/>
  <c r="AX165" i="1"/>
  <c r="J167" i="1"/>
  <c r="K173" i="1"/>
  <c r="AW175" i="1"/>
  <c r="AX181" i="1"/>
  <c r="J183" i="1"/>
  <c r="K189" i="1"/>
  <c r="AW191" i="1"/>
  <c r="AX197" i="1"/>
  <c r="J199" i="1"/>
  <c r="K203" i="1"/>
  <c r="AW204" i="1"/>
  <c r="AX208" i="1"/>
  <c r="AV208" i="1" s="1"/>
  <c r="J210" i="1"/>
  <c r="AX215" i="1"/>
  <c r="AV215" i="1" s="1"/>
  <c r="J216" i="1"/>
  <c r="K219" i="1"/>
  <c r="AW220" i="1"/>
  <c r="J224" i="1"/>
  <c r="BH224" i="1"/>
  <c r="AD224" i="1" s="1"/>
  <c r="AL227" i="1"/>
  <c r="AU212" i="1" s="1"/>
  <c r="AX239" i="1"/>
  <c r="AV239" i="1" s="1"/>
  <c r="K239" i="1"/>
  <c r="J255" i="1"/>
  <c r="AW255" i="1"/>
  <c r="AW268" i="1"/>
  <c r="J268" i="1"/>
  <c r="AL269" i="1"/>
  <c r="M269" i="1"/>
  <c r="AV281" i="1"/>
  <c r="AX313" i="1"/>
  <c r="BC313" i="1" s="1"/>
  <c r="BI313" i="1"/>
  <c r="AE313" i="1" s="1"/>
  <c r="J322" i="1"/>
  <c r="BH322" i="1"/>
  <c r="AD322" i="1" s="1"/>
  <c r="AW322" i="1"/>
  <c r="BH121" i="1"/>
  <c r="AD121" i="1" s="1"/>
  <c r="BI126" i="1"/>
  <c r="AE126" i="1" s="1"/>
  <c r="BI131" i="1"/>
  <c r="AE131" i="1" s="1"/>
  <c r="AL134" i="1"/>
  <c r="BH138" i="1"/>
  <c r="AD138" i="1" s="1"/>
  <c r="BI144" i="1"/>
  <c r="AE144" i="1" s="1"/>
  <c r="AL148" i="1"/>
  <c r="BH154" i="1"/>
  <c r="AD154" i="1" s="1"/>
  <c r="BI160" i="1"/>
  <c r="AE160" i="1" s="1"/>
  <c r="AL162" i="1"/>
  <c r="BH167" i="1"/>
  <c r="AD167" i="1" s="1"/>
  <c r="BI173" i="1"/>
  <c r="AE173" i="1" s="1"/>
  <c r="AL177" i="1"/>
  <c r="BH183" i="1"/>
  <c r="AD183" i="1" s="1"/>
  <c r="BI189" i="1"/>
  <c r="AE189" i="1" s="1"/>
  <c r="AL193" i="1"/>
  <c r="BH199" i="1"/>
  <c r="AD199" i="1" s="1"/>
  <c r="BI203" i="1"/>
  <c r="AE203" i="1" s="1"/>
  <c r="AL205" i="1"/>
  <c r="BH210" i="1"/>
  <c r="AD210" i="1" s="1"/>
  <c r="BH216" i="1"/>
  <c r="AD216" i="1" s="1"/>
  <c r="BI219" i="1"/>
  <c r="AE219" i="1" s="1"/>
  <c r="AW244" i="1"/>
  <c r="J244" i="1"/>
  <c r="AL246" i="1"/>
  <c r="M246" i="1"/>
  <c r="K260" i="1"/>
  <c r="AX260" i="1"/>
  <c r="BC260" i="1" s="1"/>
  <c r="AW286" i="1"/>
  <c r="J286" i="1"/>
  <c r="AL288" i="1"/>
  <c r="M288" i="1"/>
  <c r="AL305" i="1"/>
  <c r="L298" i="1"/>
  <c r="F24" i="2" s="1"/>
  <c r="I24" i="2" s="1"/>
  <c r="M305" i="1"/>
  <c r="J124" i="1"/>
  <c r="AV126" i="1"/>
  <c r="J130" i="1"/>
  <c r="K134" i="1"/>
  <c r="J142" i="1"/>
  <c r="K148" i="1"/>
  <c r="J158" i="1"/>
  <c r="AV160" i="1"/>
  <c r="K162" i="1"/>
  <c r="J171" i="1"/>
  <c r="AV173" i="1"/>
  <c r="K177" i="1"/>
  <c r="J187" i="1"/>
  <c r="AV189" i="1"/>
  <c r="K193" i="1"/>
  <c r="J202" i="1"/>
  <c r="AV203" i="1"/>
  <c r="K205" i="1"/>
  <c r="J218" i="1"/>
  <c r="AX227" i="1"/>
  <c r="BC227" i="1" s="1"/>
  <c r="K227" i="1"/>
  <c r="AS228" i="1"/>
  <c r="J234" i="1"/>
  <c r="AW234" i="1"/>
  <c r="M257" i="1"/>
  <c r="BC261" i="1"/>
  <c r="K274" i="1"/>
  <c r="AX274" i="1"/>
  <c r="AT273" i="1"/>
  <c r="J442" i="1"/>
  <c r="AW442" i="1"/>
  <c r="BH442" i="1"/>
  <c r="AD442" i="1" s="1"/>
  <c r="BH220" i="1"/>
  <c r="AD220" i="1" s="1"/>
  <c r="AX229" i="1"/>
  <c r="K229" i="1"/>
  <c r="K237" i="1"/>
  <c r="AX237" i="1"/>
  <c r="AX249" i="1"/>
  <c r="BC249" i="1" s="1"/>
  <c r="K249" i="1"/>
  <c r="J265" i="1"/>
  <c r="AW265" i="1"/>
  <c r="AX271" i="1"/>
  <c r="BC271" i="1" s="1"/>
  <c r="K271" i="1"/>
  <c r="AX317" i="1"/>
  <c r="BC317" i="1" s="1"/>
  <c r="BI317" i="1"/>
  <c r="AE317" i="1" s="1"/>
  <c r="K120" i="1"/>
  <c r="J128" i="1"/>
  <c r="J132" i="1"/>
  <c r="K136" i="1"/>
  <c r="J146" i="1"/>
  <c r="K152" i="1"/>
  <c r="J161" i="1"/>
  <c r="K165" i="1"/>
  <c r="J175" i="1"/>
  <c r="K181" i="1"/>
  <c r="J191" i="1"/>
  <c r="K197" i="1"/>
  <c r="J204" i="1"/>
  <c r="K208" i="1"/>
  <c r="K215" i="1"/>
  <c r="AL232" i="1"/>
  <c r="M235" i="1"/>
  <c r="AV238" i="1"/>
  <c r="BC238" i="1"/>
  <c r="BI239" i="1"/>
  <c r="AE239" i="1" s="1"/>
  <c r="AV253" i="1"/>
  <c r="AW259" i="1"/>
  <c r="J259" i="1"/>
  <c r="AL260" i="1"/>
  <c r="M260" i="1"/>
  <c r="BI260" i="1"/>
  <c r="AE260" i="1" s="1"/>
  <c r="AL262" i="1"/>
  <c r="BH268" i="1"/>
  <c r="AD268" i="1" s="1"/>
  <c r="AV276" i="1"/>
  <c r="BC276" i="1"/>
  <c r="J282" i="1"/>
  <c r="AW282" i="1"/>
  <c r="AX292" i="1"/>
  <c r="BC292" i="1" s="1"/>
  <c r="K292" i="1"/>
  <c r="J305" i="1"/>
  <c r="BH305" i="1"/>
  <c r="AD305" i="1" s="1"/>
  <c r="AW305" i="1"/>
  <c r="AT319" i="1"/>
  <c r="AX353" i="1"/>
  <c r="BI353" i="1"/>
  <c r="AE353" i="1" s="1"/>
  <c r="K353" i="1"/>
  <c r="M229" i="1"/>
  <c r="L228" i="1"/>
  <c r="F22" i="2" s="1"/>
  <c r="I22" i="2" s="1"/>
  <c r="AV232" i="1"/>
  <c r="J242" i="1"/>
  <c r="AW242" i="1"/>
  <c r="K269" i="1"/>
  <c r="AX269" i="1"/>
  <c r="BC269" i="1" s="1"/>
  <c r="L273" i="1"/>
  <c r="F23" i="2" s="1"/>
  <c r="I23" i="2" s="1"/>
  <c r="AL274" i="1"/>
  <c r="M274" i="1"/>
  <c r="AL278" i="1"/>
  <c r="BF300" i="1"/>
  <c r="P298" i="1"/>
  <c r="G24" i="2" s="1"/>
  <c r="K317" i="1"/>
  <c r="AL322" i="1"/>
  <c r="M322" i="1"/>
  <c r="AL339" i="1"/>
  <c r="M339" i="1"/>
  <c r="AV304" i="1"/>
  <c r="AV320" i="1"/>
  <c r="AV324" i="1"/>
  <c r="AL326" i="1"/>
  <c r="M326" i="1"/>
  <c r="BH326" i="1"/>
  <c r="AD326" i="1" s="1"/>
  <c r="BI339" i="1"/>
  <c r="AE339" i="1" s="1"/>
  <c r="K345" i="1"/>
  <c r="AX345" i="1"/>
  <c r="J353" i="1"/>
  <c r="AW353" i="1"/>
  <c r="BC356" i="1"/>
  <c r="AV356" i="1"/>
  <c r="AV362" i="1"/>
  <c r="BC362" i="1"/>
  <c r="AL368" i="1"/>
  <c r="L361" i="1"/>
  <c r="F26" i="2" s="1"/>
  <c r="I26" i="2" s="1"/>
  <c r="AW375" i="1"/>
  <c r="BH375" i="1"/>
  <c r="AD375" i="1" s="1"/>
  <c r="AW432" i="1"/>
  <c r="J432" i="1"/>
  <c r="BH432" i="1"/>
  <c r="AD432" i="1" s="1"/>
  <c r="BH227" i="1"/>
  <c r="AD227" i="1" s="1"/>
  <c r="BH232" i="1"/>
  <c r="AD232" i="1" s="1"/>
  <c r="BI236" i="1"/>
  <c r="AE236" i="1" s="1"/>
  <c r="J238" i="1"/>
  <c r="AL238" i="1"/>
  <c r="K241" i="1"/>
  <c r="BH241" i="1"/>
  <c r="AD241" i="1" s="1"/>
  <c r="BI244" i="1"/>
  <c r="AE244" i="1" s="1"/>
  <c r="J247" i="1"/>
  <c r="AL247" i="1"/>
  <c r="K253" i="1"/>
  <c r="BH253" i="1"/>
  <c r="AD253" i="1" s="1"/>
  <c r="BI259" i="1"/>
  <c r="AE259" i="1" s="1"/>
  <c r="J261" i="1"/>
  <c r="AL261" i="1"/>
  <c r="K264" i="1"/>
  <c r="BH264" i="1"/>
  <c r="AD264" i="1" s="1"/>
  <c r="BI268" i="1"/>
  <c r="AE268" i="1" s="1"/>
  <c r="J270" i="1"/>
  <c r="J276" i="1"/>
  <c r="AV278" i="1"/>
  <c r="K281" i="1"/>
  <c r="BH281" i="1"/>
  <c r="AD281" i="1" s="1"/>
  <c r="BI286" i="1"/>
  <c r="AE286" i="1" s="1"/>
  <c r="J290" i="1"/>
  <c r="J304" i="1"/>
  <c r="BC304" i="1"/>
  <c r="J365" i="1"/>
  <c r="AW365" i="1"/>
  <c r="BH365" i="1"/>
  <c r="AD365" i="1" s="1"/>
  <c r="AL385" i="1"/>
  <c r="M385" i="1"/>
  <c r="BH238" i="1"/>
  <c r="AD238" i="1" s="1"/>
  <c r="BI241" i="1"/>
  <c r="AE241" i="1" s="1"/>
  <c r="BH247" i="1"/>
  <c r="AD247" i="1" s="1"/>
  <c r="BI253" i="1"/>
  <c r="AE253" i="1" s="1"/>
  <c r="BH261" i="1"/>
  <c r="AD261" i="1" s="1"/>
  <c r="BI264" i="1"/>
  <c r="AE264" i="1" s="1"/>
  <c r="BH270" i="1"/>
  <c r="AD270" i="1" s="1"/>
  <c r="BH276" i="1"/>
  <c r="AD276" i="1" s="1"/>
  <c r="BI281" i="1"/>
  <c r="AE281" i="1" s="1"/>
  <c r="BH290" i="1"/>
  <c r="AD290" i="1" s="1"/>
  <c r="AT298" i="1"/>
  <c r="K332" i="1"/>
  <c r="AX332" i="1"/>
  <c r="J339" i="1"/>
  <c r="AW339" i="1"/>
  <c r="BC343" i="1"/>
  <c r="AV343" i="1"/>
  <c r="BC348" i="1"/>
  <c r="AV348" i="1"/>
  <c r="BI365" i="1"/>
  <c r="AE365" i="1" s="1"/>
  <c r="AX365" i="1"/>
  <c r="K365" i="1"/>
  <c r="AL299" i="1"/>
  <c r="AV302" i="1"/>
  <c r="BC309" i="1"/>
  <c r="AV309" i="1"/>
  <c r="P319" i="1"/>
  <c r="G25" i="2" s="1"/>
  <c r="BF324" i="1"/>
  <c r="BC326" i="1"/>
  <c r="AV326" i="1"/>
  <c r="AX328" i="1"/>
  <c r="AV328" i="1" s="1"/>
  <c r="BC334" i="1"/>
  <c r="M345" i="1"/>
  <c r="BI345" i="1"/>
  <c r="AE345" i="1" s="1"/>
  <c r="AL353" i="1"/>
  <c r="M353" i="1"/>
  <c r="BH353" i="1"/>
  <c r="AD353" i="1" s="1"/>
  <c r="K391" i="1"/>
  <c r="AX391" i="1"/>
  <c r="BI391" i="1"/>
  <c r="AE391" i="1" s="1"/>
  <c r="BC299" i="1"/>
  <c r="AV299" i="1"/>
  <c r="BH304" i="1"/>
  <c r="AD304" i="1" s="1"/>
  <c r="BI305" i="1"/>
  <c r="AE305" i="1" s="1"/>
  <c r="J309" i="1"/>
  <c r="BH313" i="1"/>
  <c r="AD313" i="1" s="1"/>
  <c r="AS319" i="1"/>
  <c r="BH320" i="1"/>
  <c r="AD320" i="1" s="1"/>
  <c r="BI322" i="1"/>
  <c r="AE322" i="1" s="1"/>
  <c r="M328" i="1"/>
  <c r="AL328" i="1"/>
  <c r="J348" i="1"/>
  <c r="AW382" i="1"/>
  <c r="BH382" i="1"/>
  <c r="AD382" i="1" s="1"/>
  <c r="K397" i="1"/>
  <c r="AX397" i="1"/>
  <c r="BI397" i="1"/>
  <c r="AE397" i="1" s="1"/>
  <c r="K467" i="1"/>
  <c r="AX467" i="1"/>
  <c r="BI467" i="1"/>
  <c r="AE467" i="1" s="1"/>
  <c r="M470" i="1"/>
  <c r="AL470" i="1"/>
  <c r="BC300" i="1"/>
  <c r="AS298" i="1"/>
  <c r="AX311" i="1"/>
  <c r="AV311" i="1" s="1"/>
  <c r="J326" i="1"/>
  <c r="BI328" i="1"/>
  <c r="AE328" i="1" s="1"/>
  <c r="BC330" i="1"/>
  <c r="AV330" i="1"/>
  <c r="BC336" i="1"/>
  <c r="AV336" i="1"/>
  <c r="K339" i="1"/>
  <c r="BI304" i="1"/>
  <c r="AE304" i="1" s="1"/>
  <c r="AL307" i="1"/>
  <c r="BH312" i="1"/>
  <c r="AD312" i="1" s="1"/>
  <c r="BI316" i="1"/>
  <c r="AE316" i="1" s="1"/>
  <c r="BI320" i="1"/>
  <c r="AE320" i="1" s="1"/>
  <c r="BH330" i="1"/>
  <c r="AD330" i="1" s="1"/>
  <c r="AW332" i="1"/>
  <c r="BI336" i="1"/>
  <c r="AE336" i="1" s="1"/>
  <c r="AX337" i="1"/>
  <c r="AV337" i="1" s="1"/>
  <c r="BH343" i="1"/>
  <c r="AD343" i="1" s="1"/>
  <c r="AW345" i="1"/>
  <c r="BI348" i="1"/>
  <c r="AE348" i="1" s="1"/>
  <c r="AX349" i="1"/>
  <c r="AV349" i="1" s="1"/>
  <c r="BH356" i="1"/>
  <c r="AD356" i="1" s="1"/>
  <c r="AX364" i="1"/>
  <c r="K364" i="1"/>
  <c r="M366" i="1"/>
  <c r="AV371" i="1"/>
  <c r="BC371" i="1"/>
  <c r="L377" i="1"/>
  <c r="F27" i="2" s="1"/>
  <c r="I27" i="2" s="1"/>
  <c r="AL378" i="1"/>
  <c r="BI385" i="1"/>
  <c r="AE385" i="1" s="1"/>
  <c r="AV412" i="1"/>
  <c r="M423" i="1"/>
  <c r="AL423" i="1"/>
  <c r="P466" i="1"/>
  <c r="G31" i="2" s="1"/>
  <c r="BC566" i="1"/>
  <c r="AV576" i="1"/>
  <c r="BC576" i="1"/>
  <c r="AL359" i="1"/>
  <c r="M373" i="1"/>
  <c r="AW403" i="1"/>
  <c r="BH403" i="1"/>
  <c r="AD403" i="1" s="1"/>
  <c r="AW422" i="1"/>
  <c r="J422" i="1"/>
  <c r="BH422" i="1"/>
  <c r="AD422" i="1" s="1"/>
  <c r="AX464" i="1"/>
  <c r="BC464" i="1" s="1"/>
  <c r="K464" i="1"/>
  <c r="BI464" i="1"/>
  <c r="AE464" i="1" s="1"/>
  <c r="AX556" i="1"/>
  <c r="K556" i="1"/>
  <c r="BI556" i="1"/>
  <c r="AG556" i="1" s="1"/>
  <c r="AL341" i="1"/>
  <c r="AL355" i="1"/>
  <c r="M362" i="1"/>
  <c r="M364" i="1"/>
  <c r="M365" i="1"/>
  <c r="BH367" i="1"/>
  <c r="AD367" i="1" s="1"/>
  <c r="AW369" i="1"/>
  <c r="J369" i="1"/>
  <c r="J370" i="1"/>
  <c r="BC387" i="1"/>
  <c r="L396" i="1"/>
  <c r="F28" i="2" s="1"/>
  <c r="I28" i="2" s="1"/>
  <c r="AL397" i="1"/>
  <c r="AX403" i="1"/>
  <c r="BI403" i="1"/>
  <c r="AE403" i="1" s="1"/>
  <c r="J404" i="1"/>
  <c r="AW404" i="1"/>
  <c r="BI416" i="1"/>
  <c r="AE416" i="1" s="1"/>
  <c r="AX416" i="1"/>
  <c r="BC472" i="1"/>
  <c r="AV472" i="1"/>
  <c r="AV484" i="1"/>
  <c r="BC484" i="1"/>
  <c r="J337" i="1"/>
  <c r="K341" i="1"/>
  <c r="J349" i="1"/>
  <c r="K355" i="1"/>
  <c r="AX359" i="1"/>
  <c r="K359" i="1"/>
  <c r="AW363" i="1"/>
  <c r="K370" i="1"/>
  <c r="AT377" i="1"/>
  <c r="J385" i="1"/>
  <c r="AW385" i="1"/>
  <c r="M391" i="1"/>
  <c r="AV392" i="1"/>
  <c r="M397" i="1"/>
  <c r="AV399" i="1"/>
  <c r="AX458" i="1"/>
  <c r="BC458" i="1" s="1"/>
  <c r="K458" i="1"/>
  <c r="BI458" i="1"/>
  <c r="AE458" i="1" s="1"/>
  <c r="AW486" i="1"/>
  <c r="BH486" i="1"/>
  <c r="AB486" i="1" s="1"/>
  <c r="J486" i="1"/>
  <c r="K368" i="1"/>
  <c r="AX368" i="1"/>
  <c r="AL370" i="1"/>
  <c r="M370" i="1"/>
  <c r="AS377" i="1"/>
  <c r="AL409" i="1"/>
  <c r="M409" i="1"/>
  <c r="AV426" i="1"/>
  <c r="BC426" i="1"/>
  <c r="J367" i="1"/>
  <c r="K373" i="1"/>
  <c r="AX373" i="1"/>
  <c r="K378" i="1"/>
  <c r="AX378" i="1"/>
  <c r="AT396" i="1"/>
  <c r="AL416" i="1"/>
  <c r="M416" i="1"/>
  <c r="AL434" i="1"/>
  <c r="M434" i="1"/>
  <c r="K372" i="1"/>
  <c r="AW373" i="1"/>
  <c r="P377" i="1"/>
  <c r="G27" i="2" s="1"/>
  <c r="AW378" i="1"/>
  <c r="AX383" i="1"/>
  <c r="BC383" i="1" s="1"/>
  <c r="J384" i="1"/>
  <c r="K389" i="1"/>
  <c r="AW391" i="1"/>
  <c r="P396" i="1"/>
  <c r="G28" i="2" s="1"/>
  <c r="AW397" i="1"/>
  <c r="BH405" i="1"/>
  <c r="AD405" i="1" s="1"/>
  <c r="AX409" i="1"/>
  <c r="K412" i="1"/>
  <c r="BI412" i="1"/>
  <c r="AE412" i="1" s="1"/>
  <c r="AW416" i="1"/>
  <c r="M444" i="1"/>
  <c r="J449" i="1"/>
  <c r="AW449" i="1"/>
  <c r="AS488" i="1"/>
  <c r="AV496" i="1"/>
  <c r="BC496" i="1"/>
  <c r="J548" i="1"/>
  <c r="AW548" i="1"/>
  <c r="BH548" i="1"/>
  <c r="AF548" i="1" s="1"/>
  <c r="BI372" i="1"/>
  <c r="AE372" i="1" s="1"/>
  <c r="BH384" i="1"/>
  <c r="AD384" i="1" s="1"/>
  <c r="BI389" i="1"/>
  <c r="AE389" i="1" s="1"/>
  <c r="AX436" i="1"/>
  <c r="K436" i="1"/>
  <c r="K455" i="1"/>
  <c r="AX455" i="1"/>
  <c r="BC455" i="1" s="1"/>
  <c r="P461" i="1"/>
  <c r="G30" i="2" s="1"/>
  <c r="BF462" i="1"/>
  <c r="L466" i="1"/>
  <c r="F31" i="2" s="1"/>
  <c r="I31" i="2" s="1"/>
  <c r="AL467" i="1"/>
  <c r="M467" i="1"/>
  <c r="AL483" i="1"/>
  <c r="L482" i="1"/>
  <c r="F34" i="2" s="1"/>
  <c r="I34" i="2" s="1"/>
  <c r="M483" i="1"/>
  <c r="AW526" i="1"/>
  <c r="BH526" i="1"/>
  <c r="AB526" i="1" s="1"/>
  <c r="J526" i="1"/>
  <c r="K366" i="1"/>
  <c r="J371" i="1"/>
  <c r="K374" i="1"/>
  <c r="K380" i="1"/>
  <c r="J387" i="1"/>
  <c r="K392" i="1"/>
  <c r="K399" i="1"/>
  <c r="M404" i="1"/>
  <c r="J405" i="1"/>
  <c r="M418" i="1"/>
  <c r="K420" i="1"/>
  <c r="AX420" i="1"/>
  <c r="J428" i="1"/>
  <c r="AW428" i="1"/>
  <c r="AW446" i="1"/>
  <c r="J446" i="1"/>
  <c r="M451" i="1"/>
  <c r="L461" i="1"/>
  <c r="F30" i="2" s="1"/>
  <c r="I30" i="2" s="1"/>
  <c r="M464" i="1"/>
  <c r="AW480" i="1"/>
  <c r="BH480" i="1"/>
  <c r="AB480" i="1" s="1"/>
  <c r="J480" i="1"/>
  <c r="J479" i="1" s="1"/>
  <c r="D33" i="2" s="1"/>
  <c r="J489" i="1"/>
  <c r="AW489" i="1"/>
  <c r="BH489" i="1"/>
  <c r="AB489" i="1" s="1"/>
  <c r="BI407" i="1"/>
  <c r="AE407" i="1" s="1"/>
  <c r="BI409" i="1"/>
  <c r="AE409" i="1" s="1"/>
  <c r="BH411" i="1"/>
  <c r="AD411" i="1" s="1"/>
  <c r="BC412" i="1"/>
  <c r="BI415" i="1"/>
  <c r="AE415" i="1" s="1"/>
  <c r="K434" i="1"/>
  <c r="AX434" i="1"/>
  <c r="BC434" i="1" s="1"/>
  <c r="AT448" i="1"/>
  <c r="AV457" i="1"/>
  <c r="BC457" i="1"/>
  <c r="AV462" i="1"/>
  <c r="BC462" i="1"/>
  <c r="AX473" i="1"/>
  <c r="BI473" i="1"/>
  <c r="AE473" i="1" s="1"/>
  <c r="J500" i="1"/>
  <c r="AW500" i="1"/>
  <c r="AX504" i="1"/>
  <c r="BI504" i="1"/>
  <c r="AC504" i="1" s="1"/>
  <c r="K504" i="1"/>
  <c r="AL524" i="1"/>
  <c r="M524" i="1"/>
  <c r="J529" i="1"/>
  <c r="AW529" i="1"/>
  <c r="BH529" i="1"/>
  <c r="AB529" i="1" s="1"/>
  <c r="AL533" i="1"/>
  <c r="M533" i="1"/>
  <c r="J373" i="1"/>
  <c r="J378" i="1"/>
  <c r="K383" i="1"/>
  <c r="J391" i="1"/>
  <c r="J397" i="1"/>
  <c r="M405" i="1"/>
  <c r="K407" i="1"/>
  <c r="BH416" i="1"/>
  <c r="AD416" i="1" s="1"/>
  <c r="AW419" i="1"/>
  <c r="J419" i="1"/>
  <c r="AX423" i="1"/>
  <c r="BC423" i="1" s="1"/>
  <c r="K423" i="1"/>
  <c r="BC430" i="1"/>
  <c r="AV434" i="1"/>
  <c r="AW453" i="1"/>
  <c r="J453" i="1"/>
  <c r="AL455" i="1"/>
  <c r="M455" i="1"/>
  <c r="BI455" i="1"/>
  <c r="AE455" i="1" s="1"/>
  <c r="AX470" i="1"/>
  <c r="BC470" i="1" s="1"/>
  <c r="K470" i="1"/>
  <c r="K473" i="1"/>
  <c r="AL420" i="1"/>
  <c r="M420" i="1"/>
  <c r="BI436" i="1"/>
  <c r="AE436" i="1" s="1"/>
  <c r="AL480" i="1"/>
  <c r="AU479" i="1" s="1"/>
  <c r="AT488" i="1"/>
  <c r="BI498" i="1"/>
  <c r="AC498" i="1" s="1"/>
  <c r="J504" i="1"/>
  <c r="AW504" i="1"/>
  <c r="M506" i="1"/>
  <c r="AL506" i="1"/>
  <c r="BH508" i="1"/>
  <c r="AB508" i="1" s="1"/>
  <c r="BC535" i="1"/>
  <c r="AV535" i="1"/>
  <c r="BI419" i="1"/>
  <c r="AE419" i="1" s="1"/>
  <c r="K426" i="1"/>
  <c r="BH426" i="1"/>
  <c r="AD426" i="1" s="1"/>
  <c r="BI432" i="1"/>
  <c r="AE432" i="1" s="1"/>
  <c r="J435" i="1"/>
  <c r="K440" i="1"/>
  <c r="BH440" i="1"/>
  <c r="AD440" i="1" s="1"/>
  <c r="BI446" i="1"/>
  <c r="AE446" i="1" s="1"/>
  <c r="P448" i="1"/>
  <c r="G29" i="2" s="1"/>
  <c r="BI453" i="1"/>
  <c r="AE453" i="1" s="1"/>
  <c r="J457" i="1"/>
  <c r="AV458" i="1"/>
  <c r="J462" i="1"/>
  <c r="J461" i="1" s="1"/>
  <c r="D30" i="2" s="1"/>
  <c r="J468" i="1"/>
  <c r="M491" i="1"/>
  <c r="AL491" i="1"/>
  <c r="AV498" i="1"/>
  <c r="AL513" i="1"/>
  <c r="M513" i="1"/>
  <c r="BC522" i="1"/>
  <c r="BF545" i="1"/>
  <c r="P542" i="1"/>
  <c r="G38" i="2" s="1"/>
  <c r="BI426" i="1"/>
  <c r="AE426" i="1" s="1"/>
  <c r="BH435" i="1"/>
  <c r="AD435" i="1" s="1"/>
  <c r="BI440" i="1"/>
  <c r="AE440" i="1" s="1"/>
  <c r="BH457" i="1"/>
  <c r="AD457" i="1" s="1"/>
  <c r="BH462" i="1"/>
  <c r="AD462" i="1" s="1"/>
  <c r="BH468" i="1"/>
  <c r="AD468" i="1" s="1"/>
  <c r="J483" i="1"/>
  <c r="AW483" i="1"/>
  <c r="AV515" i="1"/>
  <c r="BC515" i="1"/>
  <c r="AL520" i="1"/>
  <c r="M520" i="1"/>
  <c r="K524" i="1"/>
  <c r="AX524" i="1"/>
  <c r="M484" i="1"/>
  <c r="AL484" i="1"/>
  <c r="K489" i="1"/>
  <c r="BF491" i="1"/>
  <c r="P488" i="1"/>
  <c r="G35" i="2" s="1"/>
  <c r="J498" i="1"/>
  <c r="BH504" i="1"/>
  <c r="AB504" i="1" s="1"/>
  <c r="J508" i="1"/>
  <c r="J513" i="1"/>
  <c r="AW513" i="1"/>
  <c r="L518" i="1"/>
  <c r="F36" i="2" s="1"/>
  <c r="I36" i="2" s="1"/>
  <c r="K529" i="1"/>
  <c r="BI529" i="1"/>
  <c r="AC529" i="1" s="1"/>
  <c r="BC532" i="1"/>
  <c r="M543" i="1"/>
  <c r="L542" i="1"/>
  <c r="F38" i="2" s="1"/>
  <c r="I38" i="2" s="1"/>
  <c r="AL543" i="1"/>
  <c r="BC562" i="1"/>
  <c r="M588" i="1"/>
  <c r="AL588" i="1"/>
  <c r="BF480" i="1"/>
  <c r="BI484" i="1"/>
  <c r="AC484" i="1" s="1"/>
  <c r="BC493" i="1"/>
  <c r="AV493" i="1"/>
  <c r="K495" i="1"/>
  <c r="AX495" i="1"/>
  <c r="BC495" i="1" s="1"/>
  <c r="K498" i="1"/>
  <c r="M504" i="1"/>
  <c r="J520" i="1"/>
  <c r="AW520" i="1"/>
  <c r="AL529" i="1"/>
  <c r="M529" i="1"/>
  <c r="BF573" i="1"/>
  <c r="P570" i="1"/>
  <c r="G39" i="2" s="1"/>
  <c r="AW587" i="1"/>
  <c r="J587" i="1"/>
  <c r="BH587" i="1"/>
  <c r="AB587" i="1" s="1"/>
  <c r="L479" i="1"/>
  <c r="F33" i="2" s="1"/>
  <c r="I33" i="2" s="1"/>
  <c r="K483" i="1"/>
  <c r="K482" i="1" s="1"/>
  <c r="E34" i="2" s="1"/>
  <c r="BF484" i="1"/>
  <c r="P482" i="1"/>
  <c r="G34" i="2" s="1"/>
  <c r="M489" i="1"/>
  <c r="J493" i="1"/>
  <c r="BC502" i="1"/>
  <c r="AX506" i="1"/>
  <c r="BC506" i="1" s="1"/>
  <c r="P518" i="1"/>
  <c r="G36" i="2" s="1"/>
  <c r="AS518" i="1"/>
  <c r="BI524" i="1"/>
  <c r="AC524" i="1" s="1"/>
  <c r="BC530" i="1"/>
  <c r="K533" i="1"/>
  <c r="AX533" i="1"/>
  <c r="K571" i="1"/>
  <c r="AX571" i="1"/>
  <c r="BI571" i="1"/>
  <c r="AG571" i="1" s="1"/>
  <c r="AX510" i="1"/>
  <c r="AV510" i="1" s="1"/>
  <c r="BF519" i="1"/>
  <c r="AW524" i="1"/>
  <c r="AX527" i="1"/>
  <c r="AW533" i="1"/>
  <c r="AS542" i="1"/>
  <c r="AT570" i="1"/>
  <c r="AX582" i="1"/>
  <c r="BC582" i="1" s="1"/>
  <c r="K582" i="1"/>
  <c r="AW608" i="1"/>
  <c r="BH608" i="1"/>
  <c r="AF608" i="1" s="1"/>
  <c r="J608" i="1"/>
  <c r="K477" i="1"/>
  <c r="K475" i="1" s="1"/>
  <c r="E32" i="2" s="1"/>
  <c r="J484" i="1"/>
  <c r="J491" i="1"/>
  <c r="K496" i="1"/>
  <c r="J506" i="1"/>
  <c r="K512" i="1"/>
  <c r="K519" i="1"/>
  <c r="BI522" i="1"/>
  <c r="AC522" i="1" s="1"/>
  <c r="J525" i="1"/>
  <c r="AL525" i="1"/>
  <c r="K528" i="1"/>
  <c r="BH528" i="1"/>
  <c r="AB528" i="1" s="1"/>
  <c r="BI532" i="1"/>
  <c r="AC532" i="1" s="1"/>
  <c r="AX536" i="1"/>
  <c r="BC536" i="1" s="1"/>
  <c r="K536" i="1"/>
  <c r="K553" i="1"/>
  <c r="AX553" i="1"/>
  <c r="BC553" i="1" s="1"/>
  <c r="AV560" i="1"/>
  <c r="AW563" i="1"/>
  <c r="J563" i="1"/>
  <c r="AL564" i="1"/>
  <c r="M564" i="1"/>
  <c r="AX568" i="1"/>
  <c r="BC568" i="1" s="1"/>
  <c r="K568" i="1"/>
  <c r="K580" i="1"/>
  <c r="AX580" i="1"/>
  <c r="AV592" i="1"/>
  <c r="BC592" i="1"/>
  <c r="J613" i="1"/>
  <c r="AW613" i="1"/>
  <c r="BH613" i="1"/>
  <c r="AF613" i="1" s="1"/>
  <c r="AL626" i="1"/>
  <c r="M626" i="1"/>
  <c r="J515" i="1"/>
  <c r="J521" i="1"/>
  <c r="AV522" i="1"/>
  <c r="K525" i="1"/>
  <c r="J530" i="1"/>
  <c r="AV532" i="1"/>
  <c r="AT542" i="1"/>
  <c r="L570" i="1"/>
  <c r="F39" i="2" s="1"/>
  <c r="I39" i="2" s="1"/>
  <c r="AL571" i="1"/>
  <c r="M571" i="1"/>
  <c r="J577" i="1"/>
  <c r="AW577" i="1"/>
  <c r="BC584" i="1"/>
  <c r="BC602" i="1"/>
  <c r="AV602" i="1"/>
  <c r="J636" i="1"/>
  <c r="AW636" i="1"/>
  <c r="BH636" i="1"/>
  <c r="P639" i="1"/>
  <c r="G42" i="2" s="1"/>
  <c r="BF642" i="1"/>
  <c r="AX543" i="1"/>
  <c r="AV543" i="1" s="1"/>
  <c r="K543" i="1"/>
  <c r="M578" i="1"/>
  <c r="J585" i="1"/>
  <c r="AW585" i="1"/>
  <c r="K510" i="1"/>
  <c r="J524" i="1"/>
  <c r="K527" i="1"/>
  <c r="J533" i="1"/>
  <c r="M535" i="1"/>
  <c r="AW551" i="1"/>
  <c r="J551" i="1"/>
  <c r="BI553" i="1"/>
  <c r="AC553" i="1" s="1"/>
  <c r="AL556" i="1"/>
  <c r="BI568" i="1"/>
  <c r="AG568" i="1" s="1"/>
  <c r="AS570" i="1"/>
  <c r="BI580" i="1"/>
  <c r="AC580" i="1" s="1"/>
  <c r="AV581" i="1"/>
  <c r="BC581" i="1"/>
  <c r="M586" i="1"/>
  <c r="BC586" i="1"/>
  <c r="J537" i="1"/>
  <c r="AW537" i="1"/>
  <c r="AL553" i="1"/>
  <c r="M553" i="1"/>
  <c r="BC556" i="1"/>
  <c r="AV556" i="1"/>
  <c r="J561" i="1"/>
  <c r="AW561" i="1"/>
  <c r="K564" i="1"/>
  <c r="AX564" i="1"/>
  <c r="AX574" i="1"/>
  <c r="BC574" i="1" s="1"/>
  <c r="K574" i="1"/>
  <c r="BC575" i="1"/>
  <c r="AW579" i="1"/>
  <c r="J579" i="1"/>
  <c r="AL580" i="1"/>
  <c r="M580" i="1"/>
  <c r="AX538" i="1"/>
  <c r="BC538" i="1" s="1"/>
  <c r="AW545" i="1"/>
  <c r="BH556" i="1"/>
  <c r="AF556" i="1" s="1"/>
  <c r="BH568" i="1"/>
  <c r="AF568" i="1" s="1"/>
  <c r="BH574" i="1"/>
  <c r="AF574" i="1" s="1"/>
  <c r="BI577" i="1"/>
  <c r="AG577" i="1" s="1"/>
  <c r="BH582" i="1"/>
  <c r="AB582" i="1" s="1"/>
  <c r="BI585" i="1"/>
  <c r="AC585" i="1" s="1"/>
  <c r="L589" i="1"/>
  <c r="F40" i="2" s="1"/>
  <c r="I40" i="2" s="1"/>
  <c r="AL590" i="1"/>
  <c r="M615" i="1"/>
  <c r="AL620" i="1"/>
  <c r="M620" i="1"/>
  <c r="AL641" i="1"/>
  <c r="M641" i="1"/>
  <c r="K644" i="1"/>
  <c r="AX644" i="1"/>
  <c r="I27" i="4"/>
  <c r="L540" i="1"/>
  <c r="F37" i="2" s="1"/>
  <c r="I37" i="2" s="1"/>
  <c r="K541" i="1"/>
  <c r="K540" i="1" s="1"/>
  <c r="E37" i="2" s="1"/>
  <c r="BH541" i="1"/>
  <c r="BH547" i="1"/>
  <c r="AF547" i="1" s="1"/>
  <c r="J554" i="1"/>
  <c r="K560" i="1"/>
  <c r="BH560" i="1"/>
  <c r="BI563" i="1"/>
  <c r="AG563" i="1" s="1"/>
  <c r="J566" i="1"/>
  <c r="AL566" i="1"/>
  <c r="J573" i="1"/>
  <c r="K576" i="1"/>
  <c r="BH576" i="1"/>
  <c r="AF576" i="1" s="1"/>
  <c r="BI579" i="1"/>
  <c r="AG579" i="1" s="1"/>
  <c r="J581" i="1"/>
  <c r="K584" i="1"/>
  <c r="BH584" i="1"/>
  <c r="AF584" i="1" s="1"/>
  <c r="BI587" i="1"/>
  <c r="AC587" i="1" s="1"/>
  <c r="AV596" i="1"/>
  <c r="AL598" i="1"/>
  <c r="M598" i="1"/>
  <c r="J620" i="1"/>
  <c r="AW620" i="1"/>
  <c r="BC630" i="1"/>
  <c r="AV630" i="1"/>
  <c r="AV637" i="1"/>
  <c r="BI541" i="1"/>
  <c r="BI547" i="1"/>
  <c r="AG547" i="1" s="1"/>
  <c r="BH554" i="1"/>
  <c r="AF554" i="1" s="1"/>
  <c r="BI560" i="1"/>
  <c r="BH566" i="1"/>
  <c r="AF566" i="1" s="1"/>
  <c r="BH573" i="1"/>
  <c r="AB573" i="1" s="1"/>
  <c r="BI576" i="1"/>
  <c r="AG576" i="1" s="1"/>
  <c r="BH581" i="1"/>
  <c r="AB581" i="1" s="1"/>
  <c r="BI584" i="1"/>
  <c r="AG584" i="1" s="1"/>
  <c r="K604" i="1"/>
  <c r="AX604" i="1"/>
  <c r="BC588" i="1"/>
  <c r="AV588" i="1"/>
  <c r="BC596" i="1"/>
  <c r="J598" i="1"/>
  <c r="AW598" i="1"/>
  <c r="K613" i="1"/>
  <c r="K626" i="1"/>
  <c r="AX626" i="1"/>
  <c r="AS619" i="1"/>
  <c r="K636" i="1"/>
  <c r="J641" i="1"/>
  <c r="AW641" i="1"/>
  <c r="M644" i="1"/>
  <c r="BI644" i="1"/>
  <c r="J647" i="1"/>
  <c r="AV606" i="1"/>
  <c r="AL613" i="1"/>
  <c r="M613" i="1"/>
  <c r="L619" i="1"/>
  <c r="F41" i="2" s="1"/>
  <c r="I41" i="2" s="1"/>
  <c r="BH620" i="1"/>
  <c r="AF620" i="1" s="1"/>
  <c r="J630" i="1"/>
  <c r="AL636" i="1"/>
  <c r="M636" i="1"/>
  <c r="BI636" i="1"/>
  <c r="AS639" i="1"/>
  <c r="M642" i="1"/>
  <c r="AV642" i="1"/>
  <c r="BC642" i="1"/>
  <c r="AV646" i="1"/>
  <c r="K588" i="1"/>
  <c r="P589" i="1"/>
  <c r="G40" i="2" s="1"/>
  <c r="K590" i="1"/>
  <c r="AX590" i="1"/>
  <c r="BC594" i="1"/>
  <c r="AV594" i="1"/>
  <c r="BI620" i="1"/>
  <c r="AG620" i="1" s="1"/>
  <c r="AV628" i="1"/>
  <c r="BH630" i="1"/>
  <c r="AF630" i="1" s="1"/>
  <c r="I22" i="3"/>
  <c r="F29" i="4"/>
  <c r="BI594" i="1"/>
  <c r="AC594" i="1" s="1"/>
  <c r="BH602" i="1"/>
  <c r="AF602" i="1" s="1"/>
  <c r="AL611" i="1"/>
  <c r="BI630" i="1"/>
  <c r="AG630" i="1" s="1"/>
  <c r="AL634" i="1"/>
  <c r="AL640" i="1"/>
  <c r="BI647" i="1"/>
  <c r="AL592" i="1"/>
  <c r="BH596" i="1"/>
  <c r="AF596" i="1" s="1"/>
  <c r="BI602" i="1"/>
  <c r="AG602" i="1" s="1"/>
  <c r="J606" i="1"/>
  <c r="AL606" i="1"/>
  <c r="K611" i="1"/>
  <c r="P619" i="1"/>
  <c r="G41" i="2" s="1"/>
  <c r="J628" i="1"/>
  <c r="AL628" i="1"/>
  <c r="K634" i="1"/>
  <c r="L639" i="1"/>
  <c r="F42" i="2" s="1"/>
  <c r="I42" i="2" s="1"/>
  <c r="K640" i="1"/>
  <c r="AL646" i="1"/>
  <c r="BH592" i="1"/>
  <c r="AF592" i="1" s="1"/>
  <c r="BI596" i="1"/>
  <c r="AG596" i="1" s="1"/>
  <c r="BH606" i="1"/>
  <c r="AF606" i="1" s="1"/>
  <c r="BI611" i="1"/>
  <c r="AG611" i="1" s="1"/>
  <c r="BH628" i="1"/>
  <c r="AF628" i="1" s="1"/>
  <c r="BI634" i="1"/>
  <c r="AG634" i="1" s="1"/>
  <c r="BI640" i="1"/>
  <c r="BH646" i="1"/>
  <c r="J12" i="1" l="1"/>
  <c r="D11" i="2" s="1"/>
  <c r="AV622" i="1"/>
  <c r="BC617" i="1"/>
  <c r="AV604" i="1"/>
  <c r="BC595" i="1"/>
  <c r="AV571" i="1"/>
  <c r="BC554" i="1"/>
  <c r="AV541" i="1"/>
  <c r="BC528" i="1"/>
  <c r="M518" i="1"/>
  <c r="BC521" i="1"/>
  <c r="AV476" i="1"/>
  <c r="AV467" i="1"/>
  <c r="BC444" i="1"/>
  <c r="AV424" i="1"/>
  <c r="BC411" i="1"/>
  <c r="AV401" i="1"/>
  <c r="AV394" i="1"/>
  <c r="AV387" i="1"/>
  <c r="BC384" i="1"/>
  <c r="AV370" i="1"/>
  <c r="BC368" i="1"/>
  <c r="BC359" i="1"/>
  <c r="AV357" i="1"/>
  <c r="AV355" i="1"/>
  <c r="AV313" i="1"/>
  <c r="AV300" i="1"/>
  <c r="AV294" i="1"/>
  <c r="AV274" i="1"/>
  <c r="BC267" i="1"/>
  <c r="AV257" i="1"/>
  <c r="BC240" i="1"/>
  <c r="BC239" i="1"/>
  <c r="BC235" i="1"/>
  <c r="BC230" i="1"/>
  <c r="AV226" i="1"/>
  <c r="AV218" i="1"/>
  <c r="AV197" i="1"/>
  <c r="BC162" i="1"/>
  <c r="AV119" i="1"/>
  <c r="AV118" i="1"/>
  <c r="BC107" i="1"/>
  <c r="AV101" i="1"/>
  <c r="BC99" i="1"/>
  <c r="J59" i="1"/>
  <c r="D16" i="2" s="1"/>
  <c r="M49" i="1"/>
  <c r="BC33" i="1"/>
  <c r="AV22" i="1"/>
  <c r="BC18" i="1"/>
  <c r="K16" i="1"/>
  <c r="E12" i="2" s="1"/>
  <c r="AV271" i="1"/>
  <c r="M16" i="1"/>
  <c r="K12" i="1"/>
  <c r="E11" i="2" s="1"/>
  <c r="AV296" i="1"/>
  <c r="M26" i="1"/>
  <c r="BC543" i="1"/>
  <c r="AV455" i="1"/>
  <c r="AV179" i="1"/>
  <c r="BC197" i="1"/>
  <c r="AV111" i="1"/>
  <c r="AV262" i="1"/>
  <c r="AV558" i="1"/>
  <c r="BC632" i="1"/>
  <c r="BC615" i="1"/>
  <c r="M461" i="1"/>
  <c r="BC580" i="1"/>
  <c r="BC571" i="1"/>
  <c r="AV372" i="1"/>
  <c r="BC435" i="1"/>
  <c r="BC468" i="1"/>
  <c r="BC247" i="1"/>
  <c r="AV138" i="1"/>
  <c r="AV54" i="1"/>
  <c r="AV124" i="1"/>
  <c r="BC134" i="1"/>
  <c r="AV334" i="1"/>
  <c r="AV359" i="1"/>
  <c r="AV527" i="1"/>
  <c r="K461" i="1"/>
  <c r="E30" i="2" s="1"/>
  <c r="AV181" i="1"/>
  <c r="BC103" i="1"/>
  <c r="BC56" i="1"/>
  <c r="AV436" i="1"/>
  <c r="BC402" i="1"/>
  <c r="AV595" i="1"/>
  <c r="BC205" i="1"/>
  <c r="AV183" i="1"/>
  <c r="M39" i="1"/>
  <c r="BC257" i="1"/>
  <c r="BC229" i="1"/>
  <c r="AV69" i="1"/>
  <c r="BC29" i="1"/>
  <c r="AV414" i="1"/>
  <c r="BC414" i="1"/>
  <c r="BC76" i="1"/>
  <c r="AV368" i="1"/>
  <c r="BC311" i="1"/>
  <c r="M319" i="1"/>
  <c r="K212" i="1"/>
  <c r="E21" i="2" s="1"/>
  <c r="BC213" i="1"/>
  <c r="BC158" i="1"/>
  <c r="BC14" i="1"/>
  <c r="BC57" i="1"/>
  <c r="AV18" i="1"/>
  <c r="BC279" i="1"/>
  <c r="AV617" i="1"/>
  <c r="AV364" i="1"/>
  <c r="AV341" i="1"/>
  <c r="AV315" i="1"/>
  <c r="AV292" i="1"/>
  <c r="AV33" i="1"/>
  <c r="AV154" i="1"/>
  <c r="AV647" i="1"/>
  <c r="AV615" i="1"/>
  <c r="BC600" i="1"/>
  <c r="BC573" i="1"/>
  <c r="BC476" i="1"/>
  <c r="AV409" i="1"/>
  <c r="BC290" i="1"/>
  <c r="BC424" i="1"/>
  <c r="AV502" i="1"/>
  <c r="BC415" i="1"/>
  <c r="AV508" i="1"/>
  <c r="AV420" i="1"/>
  <c r="BC355" i="1"/>
  <c r="AV136" i="1"/>
  <c r="BC202" i="1"/>
  <c r="K39" i="1"/>
  <c r="E14" i="2" s="1"/>
  <c r="AV121" i="1"/>
  <c r="BC32" i="1"/>
  <c r="BC130" i="1"/>
  <c r="AV37" i="1"/>
  <c r="AV611" i="1"/>
  <c r="K49" i="1"/>
  <c r="E15" i="2" s="1"/>
  <c r="J639" i="1"/>
  <c r="D42" i="2" s="1"/>
  <c r="AV229" i="1"/>
  <c r="BC270" i="1"/>
  <c r="BC262" i="1"/>
  <c r="BC246" i="1"/>
  <c r="J68" i="1"/>
  <c r="D17" i="2" s="1"/>
  <c r="BC124" i="1"/>
  <c r="AV632" i="1"/>
  <c r="BC367" i="1"/>
  <c r="BC564" i="1"/>
  <c r="M639" i="1"/>
  <c r="J589" i="1"/>
  <c r="D40" i="2" s="1"/>
  <c r="M466" i="1"/>
  <c r="BC436" i="1"/>
  <c r="AV131" i="1"/>
  <c r="AV193" i="1"/>
  <c r="K84" i="1"/>
  <c r="E19" i="2" s="1"/>
  <c r="AV29" i="1"/>
  <c r="AV366" i="1"/>
  <c r="M448" i="1"/>
  <c r="AV590" i="1"/>
  <c r="AV438" i="1"/>
  <c r="AU448" i="1"/>
  <c r="BC165" i="1"/>
  <c r="AV634" i="1"/>
  <c r="BC634" i="1"/>
  <c r="K589" i="1"/>
  <c r="E40" i="2" s="1"/>
  <c r="AV574" i="1"/>
  <c r="K448" i="1"/>
  <c r="E29" i="2" s="1"/>
  <c r="J542" i="1"/>
  <c r="D38" i="2" s="1"/>
  <c r="J228" i="1"/>
  <c r="D22" i="2" s="1"/>
  <c r="AV317" i="1"/>
  <c r="M298" i="1"/>
  <c r="BC215" i="1"/>
  <c r="BC208" i="1"/>
  <c r="BC120" i="1"/>
  <c r="AV246" i="1"/>
  <c r="AU16" i="1"/>
  <c r="C15" i="3"/>
  <c r="J16" i="1"/>
  <c r="D12" i="2" s="1"/>
  <c r="BC37" i="1"/>
  <c r="AV451" i="1"/>
  <c r="BC451" i="1"/>
  <c r="AV351" i="1"/>
  <c r="BC351" i="1"/>
  <c r="BC380" i="1"/>
  <c r="AV578" i="1"/>
  <c r="BC477" i="1"/>
  <c r="AV477" i="1"/>
  <c r="BC315" i="1"/>
  <c r="BC118" i="1"/>
  <c r="AV177" i="1"/>
  <c r="BC177" i="1"/>
  <c r="BC519" i="1"/>
  <c r="AV519" i="1"/>
  <c r="BC583" i="1"/>
  <c r="AV583" i="1"/>
  <c r="BC604" i="1"/>
  <c r="M589" i="1"/>
  <c r="AV568" i="1"/>
  <c r="AU542" i="1"/>
  <c r="K361" i="1"/>
  <c r="E26" i="2" s="1"/>
  <c r="BC467" i="1"/>
  <c r="AU228" i="1"/>
  <c r="K26" i="1"/>
  <c r="E13" i="2" s="1"/>
  <c r="AV338" i="1"/>
  <c r="BC338" i="1"/>
  <c r="BC459" i="1"/>
  <c r="BC558" i="1"/>
  <c r="AV301" i="1"/>
  <c r="BC303" i="1"/>
  <c r="AV303" i="1"/>
  <c r="K619" i="1"/>
  <c r="E41" i="2" s="1"/>
  <c r="J361" i="1"/>
  <c r="D26" i="2" s="1"/>
  <c r="K319" i="1"/>
  <c r="E25" i="2" s="1"/>
  <c r="BC341" i="1"/>
  <c r="K68" i="1"/>
  <c r="E17" i="2" s="1"/>
  <c r="C14" i="3"/>
  <c r="C29" i="3"/>
  <c r="F29" i="3" s="1"/>
  <c r="M84" i="1"/>
  <c r="BC609" i="1"/>
  <c r="AV609" i="1"/>
  <c r="K542" i="1"/>
  <c r="E38" i="2" s="1"/>
  <c r="AU488" i="1"/>
  <c r="AU466" i="1"/>
  <c r="J319" i="1"/>
  <c r="D25" i="2" s="1"/>
  <c r="K466" i="1"/>
  <c r="E31" i="2" s="1"/>
  <c r="AV249" i="1"/>
  <c r="AV260" i="1"/>
  <c r="AV165" i="1"/>
  <c r="C19" i="3"/>
  <c r="BC136" i="1"/>
  <c r="AU49" i="1"/>
  <c r="AU84" i="1"/>
  <c r="AV14" i="1"/>
  <c r="AV243" i="1"/>
  <c r="BC243" i="1"/>
  <c r="BC624" i="1"/>
  <c r="AV624" i="1"/>
  <c r="BC87" i="1"/>
  <c r="AV87" i="1"/>
  <c r="AV553" i="1"/>
  <c r="J518" i="1"/>
  <c r="D36" i="2" s="1"/>
  <c r="AV440" i="1"/>
  <c r="BC364" i="1"/>
  <c r="BC405" i="1"/>
  <c r="BC366" i="1"/>
  <c r="K298" i="1"/>
  <c r="E24" i="2" s="1"/>
  <c r="J212" i="1"/>
  <c r="D21" i="2" s="1"/>
  <c r="BC218" i="1"/>
  <c r="M68" i="1"/>
  <c r="AV107" i="1"/>
  <c r="J39" i="1"/>
  <c r="D14" i="2" s="1"/>
  <c r="J475" i="1"/>
  <c r="D32" i="2" s="1"/>
  <c r="BC640" i="1"/>
  <c r="BC226" i="1"/>
  <c r="AU361" i="1"/>
  <c r="J466" i="1"/>
  <c r="D31" i="2" s="1"/>
  <c r="AU129" i="1"/>
  <c r="M129" i="1"/>
  <c r="C16" i="3"/>
  <c r="C18" i="3"/>
  <c r="BC643" i="1"/>
  <c r="AV643" i="1"/>
  <c r="M361" i="1"/>
  <c r="BC237" i="1"/>
  <c r="AU39" i="1"/>
  <c r="M212" i="1"/>
  <c r="AV103" i="1"/>
  <c r="AV586" i="1"/>
  <c r="AV418" i="1"/>
  <c r="BC418" i="1"/>
  <c r="AV318" i="1"/>
  <c r="BC318" i="1"/>
  <c r="AV550" i="1"/>
  <c r="AV374" i="1"/>
  <c r="AV312" i="1"/>
  <c r="BC312" i="1"/>
  <c r="M12" i="1"/>
  <c r="C17" i="3"/>
  <c r="K129" i="1"/>
  <c r="E20" i="2" s="1"/>
  <c r="L649" i="1"/>
  <c r="AU12" i="1"/>
  <c r="J619" i="1"/>
  <c r="D41" i="2" s="1"/>
  <c r="BC644" i="1"/>
  <c r="AV644" i="1"/>
  <c r="BC590" i="1"/>
  <c r="BC524" i="1"/>
  <c r="AV524" i="1"/>
  <c r="M488" i="1"/>
  <c r="BC587" i="1"/>
  <c r="AV587" i="1"/>
  <c r="BC513" i="1"/>
  <c r="AV513" i="1"/>
  <c r="K488" i="1"/>
  <c r="E35" i="2" s="1"/>
  <c r="AU518" i="1"/>
  <c r="AV470" i="1"/>
  <c r="AV423" i="1"/>
  <c r="J488" i="1"/>
  <c r="D35" i="2" s="1"/>
  <c r="AU482" i="1"/>
  <c r="BC449" i="1"/>
  <c r="AV449" i="1"/>
  <c r="BC404" i="1"/>
  <c r="AV404" i="1"/>
  <c r="AV383" i="1"/>
  <c r="BC286" i="1"/>
  <c r="AV286" i="1"/>
  <c r="AV227" i="1"/>
  <c r="AV95" i="1"/>
  <c r="BC95" i="1"/>
  <c r="BC72" i="1"/>
  <c r="AV72" i="1"/>
  <c r="BC181" i="1"/>
  <c r="BC66" i="1"/>
  <c r="AV66" i="1"/>
  <c r="BC113" i="1"/>
  <c r="AV113" i="1"/>
  <c r="AV52" i="1"/>
  <c r="BC116" i="1"/>
  <c r="BC111" i="1"/>
  <c r="BC234" i="1"/>
  <c r="AV234" i="1"/>
  <c r="BC626" i="1"/>
  <c r="AV626" i="1"/>
  <c r="AU589" i="1"/>
  <c r="BC545" i="1"/>
  <c r="AV545" i="1"/>
  <c r="AV536" i="1"/>
  <c r="BC510" i="1"/>
  <c r="M542" i="1"/>
  <c r="BC527" i="1"/>
  <c r="BC500" i="1"/>
  <c r="AV500" i="1"/>
  <c r="J448" i="1"/>
  <c r="D29" i="2" s="1"/>
  <c r="BC397" i="1"/>
  <c r="AV397" i="1"/>
  <c r="BC373" i="1"/>
  <c r="AV373" i="1"/>
  <c r="K377" i="1"/>
  <c r="E27" i="2" s="1"/>
  <c r="BC345" i="1"/>
  <c r="AV345" i="1"/>
  <c r="BC328" i="1"/>
  <c r="J298" i="1"/>
  <c r="D24" i="2" s="1"/>
  <c r="K228" i="1"/>
  <c r="E22" i="2" s="1"/>
  <c r="K273" i="1"/>
  <c r="E23" i="2" s="1"/>
  <c r="BC191" i="1"/>
  <c r="AV191" i="1"/>
  <c r="BC161" i="1"/>
  <c r="AV161" i="1"/>
  <c r="BC132" i="1"/>
  <c r="AV132" i="1"/>
  <c r="BC152" i="1"/>
  <c r="AV97" i="1"/>
  <c r="BC97" i="1"/>
  <c r="J84" i="1"/>
  <c r="D19" i="2" s="1"/>
  <c r="BC185" i="1"/>
  <c r="AV185" i="1"/>
  <c r="BC117" i="1"/>
  <c r="AV117" i="1"/>
  <c r="BC620" i="1"/>
  <c r="AV620" i="1"/>
  <c r="BC579" i="1"/>
  <c r="AV579" i="1"/>
  <c r="BC409" i="1"/>
  <c r="BC322" i="1"/>
  <c r="AV322" i="1"/>
  <c r="BC27" i="1"/>
  <c r="AV27" i="1"/>
  <c r="AU639" i="1"/>
  <c r="M570" i="1"/>
  <c r="K518" i="1"/>
  <c r="E36" i="2" s="1"/>
  <c r="AV506" i="1"/>
  <c r="AV464" i="1"/>
  <c r="J396" i="1"/>
  <c r="D28" i="2" s="1"/>
  <c r="BC529" i="1"/>
  <c r="AV529" i="1"/>
  <c r="BC446" i="1"/>
  <c r="AV446" i="1"/>
  <c r="M396" i="1"/>
  <c r="BC363" i="1"/>
  <c r="AV363" i="1"/>
  <c r="AV369" i="1"/>
  <c r="BC369" i="1"/>
  <c r="J273" i="1"/>
  <c r="D23" i="2" s="1"/>
  <c r="BC242" i="1"/>
  <c r="AV242" i="1"/>
  <c r="BC236" i="1"/>
  <c r="AV236" i="1"/>
  <c r="BC156" i="1"/>
  <c r="AV156" i="1"/>
  <c r="BC20" i="1"/>
  <c r="AV20" i="1"/>
  <c r="AV79" i="1"/>
  <c r="BC17" i="1"/>
  <c r="AV17" i="1"/>
  <c r="J49" i="1"/>
  <c r="D15" i="2" s="1"/>
  <c r="BC220" i="1"/>
  <c r="AV220" i="1"/>
  <c r="AU570" i="1"/>
  <c r="BC613" i="1"/>
  <c r="AV613" i="1"/>
  <c r="AV582" i="1"/>
  <c r="BC480" i="1"/>
  <c r="AV480" i="1"/>
  <c r="BC391" i="1"/>
  <c r="AV391" i="1"/>
  <c r="AV422" i="1"/>
  <c r="BC422" i="1"/>
  <c r="BC337" i="1"/>
  <c r="AU298" i="1"/>
  <c r="BC365" i="1"/>
  <c r="AV365" i="1"/>
  <c r="BC282" i="1"/>
  <c r="AV282" i="1"/>
  <c r="BC265" i="1"/>
  <c r="AV265" i="1"/>
  <c r="BC128" i="1"/>
  <c r="AV128" i="1"/>
  <c r="AV269" i="1"/>
  <c r="BC169" i="1"/>
  <c r="AV169" i="1"/>
  <c r="BC221" i="1"/>
  <c r="AV221" i="1"/>
  <c r="BC45" i="1"/>
  <c r="AV45" i="1"/>
  <c r="BC50" i="1"/>
  <c r="AV50" i="1"/>
  <c r="AV76" i="1"/>
  <c r="BC378" i="1"/>
  <c r="AV378" i="1"/>
  <c r="BC201" i="1"/>
  <c r="AV201" i="1"/>
  <c r="BC46" i="1"/>
  <c r="J570" i="1"/>
  <c r="D39" i="2" s="1"/>
  <c r="K639" i="1"/>
  <c r="E42" i="2" s="1"/>
  <c r="M619" i="1"/>
  <c r="AV538" i="1"/>
  <c r="BC551" i="1"/>
  <c r="AV551" i="1"/>
  <c r="BC585" i="1"/>
  <c r="AV585" i="1"/>
  <c r="AV580" i="1"/>
  <c r="BC453" i="1"/>
  <c r="AV453" i="1"/>
  <c r="BC420" i="1"/>
  <c r="BC473" i="1"/>
  <c r="AV473" i="1"/>
  <c r="AV495" i="1"/>
  <c r="BC416" i="1"/>
  <c r="AV416" i="1"/>
  <c r="AU396" i="1"/>
  <c r="K396" i="1"/>
  <c r="E28" i="2" s="1"/>
  <c r="BC432" i="1"/>
  <c r="AV432" i="1"/>
  <c r="M273" i="1"/>
  <c r="AV237" i="1"/>
  <c r="AV316" i="1"/>
  <c r="BC316" i="1"/>
  <c r="BC217" i="1"/>
  <c r="AV217" i="1"/>
  <c r="BC123" i="1"/>
  <c r="AV123" i="1"/>
  <c r="AU26" i="1"/>
  <c r="BC89" i="1"/>
  <c r="AV89" i="1"/>
  <c r="BC60" i="1"/>
  <c r="BC44" i="1"/>
  <c r="BC13" i="1"/>
  <c r="AV13" i="1"/>
  <c r="BC36" i="1"/>
  <c r="AV36" i="1"/>
  <c r="AV91" i="1"/>
  <c r="BC91" i="1"/>
  <c r="BC353" i="1"/>
  <c r="AV353" i="1"/>
  <c r="BC255" i="1"/>
  <c r="AV255" i="1"/>
  <c r="BC641" i="1"/>
  <c r="AV641" i="1"/>
  <c r="AU619" i="1"/>
  <c r="BC561" i="1"/>
  <c r="AV561" i="1"/>
  <c r="BC537" i="1"/>
  <c r="AV537" i="1"/>
  <c r="BC608" i="1"/>
  <c r="AV608" i="1"/>
  <c r="K570" i="1"/>
  <c r="E39" i="2" s="1"/>
  <c r="BC483" i="1"/>
  <c r="AV483" i="1"/>
  <c r="AV564" i="1"/>
  <c r="J377" i="1"/>
  <c r="D27" i="2" s="1"/>
  <c r="BC428" i="1"/>
  <c r="AV428" i="1"/>
  <c r="BC526" i="1"/>
  <c r="AV526" i="1"/>
  <c r="BC486" i="1"/>
  <c r="AV486" i="1"/>
  <c r="BC385" i="1"/>
  <c r="AV385" i="1"/>
  <c r="BC403" i="1"/>
  <c r="AV403" i="1"/>
  <c r="BC332" i="1"/>
  <c r="AV332" i="1"/>
  <c r="BC339" i="1"/>
  <c r="AV339" i="1"/>
  <c r="BC349" i="1"/>
  <c r="AU273" i="1"/>
  <c r="BC305" i="1"/>
  <c r="AV305" i="1"/>
  <c r="BC442" i="1"/>
  <c r="AV442" i="1"/>
  <c r="BC204" i="1"/>
  <c r="AV204" i="1"/>
  <c r="BC175" i="1"/>
  <c r="AV175" i="1"/>
  <c r="BC146" i="1"/>
  <c r="AV146" i="1"/>
  <c r="AV35" i="1"/>
  <c r="BC35" i="1"/>
  <c r="AU68" i="1"/>
  <c r="BC75" i="1"/>
  <c r="AV75" i="1"/>
  <c r="BC42" i="1"/>
  <c r="AV42" i="1"/>
  <c r="AV82" i="1"/>
  <c r="BC489" i="1"/>
  <c r="AV489" i="1"/>
  <c r="BC598" i="1"/>
  <c r="AV598" i="1"/>
  <c r="BC636" i="1"/>
  <c r="AV636" i="1"/>
  <c r="BC577" i="1"/>
  <c r="AV577" i="1"/>
  <c r="BC563" i="1"/>
  <c r="AV563" i="1"/>
  <c r="BC533" i="1"/>
  <c r="AV533" i="1"/>
  <c r="BC520" i="1"/>
  <c r="AV520" i="1"/>
  <c r="J482" i="1"/>
  <c r="D34" i="2" s="1"/>
  <c r="BC504" i="1"/>
  <c r="AV504" i="1"/>
  <c r="BC419" i="1"/>
  <c r="AV419" i="1"/>
  <c r="M482" i="1"/>
  <c r="BC548" i="1"/>
  <c r="AV548" i="1"/>
  <c r="AU377" i="1"/>
  <c r="BC382" i="1"/>
  <c r="AV382" i="1"/>
  <c r="M377" i="1"/>
  <c r="BC375" i="1"/>
  <c r="AV375" i="1"/>
  <c r="AU319" i="1"/>
  <c r="M228" i="1"/>
  <c r="BC259" i="1"/>
  <c r="AV259" i="1"/>
  <c r="J129" i="1"/>
  <c r="D20" i="2" s="1"/>
  <c r="BC244" i="1"/>
  <c r="AV244" i="1"/>
  <c r="BC268" i="1"/>
  <c r="AV268" i="1"/>
  <c r="AV222" i="1"/>
  <c r="BC222" i="1"/>
  <c r="AV71" i="1"/>
  <c r="BC71" i="1"/>
  <c r="AV105" i="1"/>
  <c r="BC105" i="1"/>
  <c r="BC140" i="1"/>
  <c r="AV140" i="1"/>
  <c r="K59" i="1"/>
  <c r="E16" i="2" s="1"/>
  <c r="F43" i="2"/>
  <c r="J26" i="1"/>
  <c r="D13" i="2" s="1"/>
  <c r="BC15" i="1"/>
  <c r="AV15" i="1"/>
  <c r="I28" i="3" l="1"/>
  <c r="I29" i="3" s="1"/>
  <c r="M649" i="1"/>
  <c r="C22" i="3"/>
  <c r="N646" i="1"/>
  <c r="N628" i="1"/>
  <c r="N606" i="1"/>
  <c r="N592" i="1"/>
  <c r="N640" i="1"/>
  <c r="N634" i="1"/>
  <c r="N611" i="1"/>
  <c r="N596" i="1"/>
  <c r="N643" i="1"/>
  <c r="N639" i="1"/>
  <c r="N624" i="1"/>
  <c r="N617" i="1"/>
  <c r="N602" i="1"/>
  <c r="N647" i="1"/>
  <c r="N630" i="1"/>
  <c r="N608" i="1"/>
  <c r="N594" i="1"/>
  <c r="N641" i="1"/>
  <c r="N636" i="1"/>
  <c r="N620" i="1"/>
  <c r="N613" i="1"/>
  <c r="N598" i="1"/>
  <c r="N644" i="1"/>
  <c r="N626" i="1"/>
  <c r="N619" i="1"/>
  <c r="N604" i="1"/>
  <c r="N642" i="1"/>
  <c r="N600" i="1"/>
  <c r="N581" i="1"/>
  <c r="N573" i="1"/>
  <c r="N566" i="1"/>
  <c r="N554" i="1"/>
  <c r="N632" i="1"/>
  <c r="N609" i="1"/>
  <c r="N589" i="1"/>
  <c r="N584" i="1"/>
  <c r="N576" i="1"/>
  <c r="N560" i="1"/>
  <c r="N547" i="1"/>
  <c r="N541" i="1"/>
  <c r="N622" i="1"/>
  <c r="N587" i="1"/>
  <c r="N579" i="1"/>
  <c r="N563" i="1"/>
  <c r="N551" i="1"/>
  <c r="N540" i="1"/>
  <c r="N637" i="1"/>
  <c r="N582" i="1"/>
  <c r="N574" i="1"/>
  <c r="N568" i="1"/>
  <c r="N556" i="1"/>
  <c r="N543" i="1"/>
  <c r="N590" i="1"/>
  <c r="N585" i="1"/>
  <c r="N577" i="1"/>
  <c r="N561" i="1"/>
  <c r="N548" i="1"/>
  <c r="N542" i="1"/>
  <c r="N537" i="1"/>
  <c r="N588" i="1"/>
  <c r="N583" i="1"/>
  <c r="N575" i="1"/>
  <c r="N570" i="1"/>
  <c r="N558" i="1"/>
  <c r="N545" i="1"/>
  <c r="N586" i="1"/>
  <c r="N535" i="1"/>
  <c r="N525" i="1"/>
  <c r="N578" i="1"/>
  <c r="N536" i="1"/>
  <c r="N528" i="1"/>
  <c r="N519" i="1"/>
  <c r="N512" i="1"/>
  <c r="N496" i="1"/>
  <c r="N477" i="1"/>
  <c r="N571" i="1"/>
  <c r="N532" i="1"/>
  <c r="N522" i="1"/>
  <c r="N518" i="1"/>
  <c r="N615" i="1"/>
  <c r="N564" i="1"/>
  <c r="N550" i="1"/>
  <c r="N526" i="1"/>
  <c r="N508" i="1"/>
  <c r="N493" i="1"/>
  <c r="N486" i="1"/>
  <c r="N480" i="1"/>
  <c r="N529" i="1"/>
  <c r="N520" i="1"/>
  <c r="N513" i="1"/>
  <c r="N498" i="1"/>
  <c r="N479" i="1"/>
  <c r="N473" i="1"/>
  <c r="N562" i="1"/>
  <c r="N538" i="1"/>
  <c r="N533" i="1"/>
  <c r="N524" i="1"/>
  <c r="N504" i="1"/>
  <c r="N489" i="1"/>
  <c r="N483" i="1"/>
  <c r="N515" i="1"/>
  <c r="N510" i="1"/>
  <c r="N500" i="1"/>
  <c r="N468" i="1"/>
  <c r="N462" i="1"/>
  <c r="N457" i="1"/>
  <c r="N435" i="1"/>
  <c r="N422" i="1"/>
  <c r="N411" i="1"/>
  <c r="N502" i="1"/>
  <c r="N484" i="1"/>
  <c r="N461" i="1"/>
  <c r="N440" i="1"/>
  <c r="N426" i="1"/>
  <c r="N415" i="1"/>
  <c r="N403" i="1"/>
  <c r="N595" i="1"/>
  <c r="N580" i="1"/>
  <c r="N527" i="1"/>
  <c r="N482" i="1"/>
  <c r="N453" i="1"/>
  <c r="N446" i="1"/>
  <c r="N432" i="1"/>
  <c r="N419" i="1"/>
  <c r="N553" i="1"/>
  <c r="N491" i="1"/>
  <c r="N470" i="1"/>
  <c r="N464" i="1"/>
  <c r="N458" i="1"/>
  <c r="N436" i="1"/>
  <c r="N488" i="1"/>
  <c r="N449" i="1"/>
  <c r="N442" i="1"/>
  <c r="N428" i="1"/>
  <c r="N495" i="1"/>
  <c r="N472" i="1"/>
  <c r="N466" i="1"/>
  <c r="N459" i="1"/>
  <c r="N438" i="1"/>
  <c r="N424" i="1"/>
  <c r="N455" i="1"/>
  <c r="N430" i="1"/>
  <c r="N405" i="1"/>
  <c r="N399" i="1"/>
  <c r="N392" i="1"/>
  <c r="N380" i="1"/>
  <c r="N374" i="1"/>
  <c r="N521" i="1"/>
  <c r="N384" i="1"/>
  <c r="N369" i="1"/>
  <c r="N530" i="1"/>
  <c r="N451" i="1"/>
  <c r="N418" i="1"/>
  <c r="N412" i="1"/>
  <c r="N404" i="1"/>
  <c r="N389" i="1"/>
  <c r="N372" i="1"/>
  <c r="N475" i="1"/>
  <c r="N467" i="1"/>
  <c r="N448" i="1"/>
  <c r="N401" i="1"/>
  <c r="N394" i="1"/>
  <c r="N382" i="1"/>
  <c r="N375" i="1"/>
  <c r="N367" i="1"/>
  <c r="N444" i="1"/>
  <c r="N416" i="1"/>
  <c r="N409" i="1"/>
  <c r="N385" i="1"/>
  <c r="N506" i="1"/>
  <c r="N476" i="1"/>
  <c r="N397" i="1"/>
  <c r="N391" i="1"/>
  <c r="N378" i="1"/>
  <c r="N373" i="1"/>
  <c r="N365" i="1"/>
  <c r="N361" i="1"/>
  <c r="N387" i="1"/>
  <c r="N370" i="1"/>
  <c r="N363" i="1"/>
  <c r="N347" i="1"/>
  <c r="N334" i="1"/>
  <c r="N402" i="1"/>
  <c r="N371" i="1"/>
  <c r="N351" i="1"/>
  <c r="N338" i="1"/>
  <c r="N420" i="1"/>
  <c r="N364" i="1"/>
  <c r="N362" i="1"/>
  <c r="N356" i="1"/>
  <c r="N343" i="1"/>
  <c r="N330" i="1"/>
  <c r="N312" i="1"/>
  <c r="N301" i="1"/>
  <c r="N414" i="1"/>
  <c r="N348" i="1"/>
  <c r="N336" i="1"/>
  <c r="N320" i="1"/>
  <c r="N316" i="1"/>
  <c r="N304" i="1"/>
  <c r="N423" i="1"/>
  <c r="N396" i="1"/>
  <c r="N383" i="1"/>
  <c r="N366" i="1"/>
  <c r="N353" i="1"/>
  <c r="N339" i="1"/>
  <c r="N326" i="1"/>
  <c r="N319" i="1"/>
  <c r="N309" i="1"/>
  <c r="N299" i="1"/>
  <c r="N407" i="1"/>
  <c r="N368" i="1"/>
  <c r="N357" i="1"/>
  <c r="N345" i="1"/>
  <c r="N332" i="1"/>
  <c r="N313" i="1"/>
  <c r="N302" i="1"/>
  <c r="N298" i="1"/>
  <c r="N328" i="1"/>
  <c r="N290" i="1"/>
  <c r="N276" i="1"/>
  <c r="N270" i="1"/>
  <c r="N261" i="1"/>
  <c r="N247" i="1"/>
  <c r="N238" i="1"/>
  <c r="N222" i="1"/>
  <c r="N349" i="1"/>
  <c r="N341" i="1"/>
  <c r="N315" i="1"/>
  <c r="N296" i="1"/>
  <c r="N281" i="1"/>
  <c r="N264" i="1"/>
  <c r="N253" i="1"/>
  <c r="N241" i="1"/>
  <c r="N232" i="1"/>
  <c r="N227" i="1"/>
  <c r="N286" i="1"/>
  <c r="N268" i="1"/>
  <c r="N259" i="1"/>
  <c r="N244" i="1"/>
  <c r="N236" i="1"/>
  <c r="N324" i="1"/>
  <c r="N322" i="1"/>
  <c r="N307" i="1"/>
  <c r="N305" i="1"/>
  <c r="N292" i="1"/>
  <c r="N278" i="1"/>
  <c r="N271" i="1"/>
  <c r="N262" i="1"/>
  <c r="N249" i="1"/>
  <c r="N239" i="1"/>
  <c r="N355" i="1"/>
  <c r="N318" i="1"/>
  <c r="N317" i="1"/>
  <c r="N282" i="1"/>
  <c r="N265" i="1"/>
  <c r="N255" i="1"/>
  <c r="N242" i="1"/>
  <c r="N234" i="1"/>
  <c r="N228" i="1"/>
  <c r="N434" i="1"/>
  <c r="N377" i="1"/>
  <c r="N337" i="1"/>
  <c r="N300" i="1"/>
  <c r="N294" i="1"/>
  <c r="N279" i="1"/>
  <c r="N273" i="1"/>
  <c r="N263" i="1"/>
  <c r="N251" i="1"/>
  <c r="N240" i="1"/>
  <c r="N230" i="1"/>
  <c r="N260" i="1"/>
  <c r="N235" i="1"/>
  <c r="N205" i="1"/>
  <c r="N193" i="1"/>
  <c r="N177" i="1"/>
  <c r="N162" i="1"/>
  <c r="N148" i="1"/>
  <c r="N134" i="1"/>
  <c r="N129" i="1"/>
  <c r="N224" i="1"/>
  <c r="N216" i="1"/>
  <c r="N210" i="1"/>
  <c r="N199" i="1"/>
  <c r="N183" i="1"/>
  <c r="N167" i="1"/>
  <c r="N154" i="1"/>
  <c r="N138" i="1"/>
  <c r="N121" i="1"/>
  <c r="N113" i="1"/>
  <c r="N97" i="1"/>
  <c r="N311" i="1"/>
  <c r="N303" i="1"/>
  <c r="N257" i="1"/>
  <c r="N219" i="1"/>
  <c r="N203" i="1"/>
  <c r="N189" i="1"/>
  <c r="N173" i="1"/>
  <c r="N160" i="1"/>
  <c r="N144" i="1"/>
  <c r="N131" i="1"/>
  <c r="N126" i="1"/>
  <c r="N288" i="1"/>
  <c r="N246" i="1"/>
  <c r="N221" i="1"/>
  <c r="N213" i="1"/>
  <c r="N207" i="1"/>
  <c r="N195" i="1"/>
  <c r="N179" i="1"/>
  <c r="N163" i="1"/>
  <c r="N150" i="1"/>
  <c r="N135" i="1"/>
  <c r="N119" i="1"/>
  <c r="N269" i="1"/>
  <c r="N217" i="1"/>
  <c r="N212" i="1"/>
  <c r="N201" i="1"/>
  <c r="N185" i="1"/>
  <c r="N169" i="1"/>
  <c r="N156" i="1"/>
  <c r="N140" i="1"/>
  <c r="N123" i="1"/>
  <c r="N243" i="1"/>
  <c r="N226" i="1"/>
  <c r="N220" i="1"/>
  <c r="N204" i="1"/>
  <c r="N191" i="1"/>
  <c r="N175" i="1"/>
  <c r="N161" i="1"/>
  <c r="N146" i="1"/>
  <c r="N132" i="1"/>
  <c r="N128" i="1"/>
  <c r="N117" i="1"/>
  <c r="N105" i="1"/>
  <c r="N89" i="1"/>
  <c r="N197" i="1"/>
  <c r="N136" i="1"/>
  <c r="N114" i="1"/>
  <c r="N101" i="1"/>
  <c r="N84" i="1"/>
  <c r="N77" i="1"/>
  <c r="N54" i="1"/>
  <c r="N47" i="1"/>
  <c r="N30" i="1"/>
  <c r="N24" i="1"/>
  <c r="N267" i="1"/>
  <c r="N237" i="1"/>
  <c r="N165" i="1"/>
  <c r="N187" i="1"/>
  <c r="N218" i="1"/>
  <c r="N158" i="1"/>
  <c r="N111" i="1"/>
  <c r="N71" i="1"/>
  <c r="N64" i="1"/>
  <c r="N58" i="1"/>
  <c r="N40" i="1"/>
  <c r="N35" i="1"/>
  <c r="N99" i="1"/>
  <c r="N36" i="1"/>
  <c r="N274" i="1"/>
  <c r="N215" i="1"/>
  <c r="N202" i="1"/>
  <c r="N359" i="1"/>
  <c r="N181" i="1"/>
  <c r="N124" i="1"/>
  <c r="N109" i="1"/>
  <c r="N91" i="1"/>
  <c r="N75" i="1"/>
  <c r="N50" i="1"/>
  <c r="N45" i="1"/>
  <c r="N39" i="1"/>
  <c r="N27" i="1"/>
  <c r="N20" i="1"/>
  <c r="N15" i="1"/>
  <c r="N115" i="1"/>
  <c r="N72" i="1"/>
  <c r="N66" i="1"/>
  <c r="N229" i="1"/>
  <c r="N142" i="1"/>
  <c r="N116" i="1"/>
  <c r="N87" i="1"/>
  <c r="N79" i="1"/>
  <c r="N60" i="1"/>
  <c r="N56" i="1"/>
  <c r="N49" i="1"/>
  <c r="N32" i="1"/>
  <c r="N26" i="1"/>
  <c r="N59" i="1"/>
  <c r="N42" i="1"/>
  <c r="N17" i="1"/>
  <c r="N13" i="1"/>
  <c r="N208" i="1"/>
  <c r="N152" i="1"/>
  <c r="N130" i="1"/>
  <c r="N107" i="1"/>
  <c r="N93" i="1"/>
  <c r="N81" i="1"/>
  <c r="N69" i="1"/>
  <c r="N62" i="1"/>
  <c r="N57" i="1"/>
  <c r="N33" i="1"/>
  <c r="N284" i="1"/>
  <c r="N171" i="1"/>
  <c r="N120" i="1"/>
  <c r="N103" i="1"/>
  <c r="N85" i="1"/>
  <c r="N74" i="1"/>
  <c r="N68" i="1"/>
  <c r="N118" i="1"/>
  <c r="N82" i="1"/>
  <c r="N22" i="1"/>
  <c r="N12" i="1"/>
  <c r="N14" i="1"/>
  <c r="N76" i="1"/>
  <c r="N37" i="1"/>
  <c r="N52" i="1"/>
  <c r="N46" i="1"/>
  <c r="N29" i="1"/>
  <c r="N44" i="1"/>
  <c r="N18" i="1"/>
  <c r="N95" i="1"/>
  <c r="N16" i="1"/>
</calcChain>
</file>

<file path=xl/sharedStrings.xml><?xml version="1.0" encoding="utf-8"?>
<sst xmlns="http://schemas.openxmlformats.org/spreadsheetml/2006/main" count="5962" uniqueCount="1477">
  <si>
    <t>Stavební rozpočet</t>
  </si>
  <si>
    <t>Název stavby:</t>
  </si>
  <si>
    <t>Stavební úpravy areálu TS Stochov</t>
  </si>
  <si>
    <t xml:space="preserve"> </t>
  </si>
  <si>
    <t>Objednatel:</t>
  </si>
  <si>
    <t>Město Stochov</t>
  </si>
  <si>
    <t>Druh stavby:</t>
  </si>
  <si>
    <t>Stavební úpravy šatnového a sociálního zázemí areálu TS Stochov</t>
  </si>
  <si>
    <t>Začátek výstavby:</t>
  </si>
  <si>
    <t>Projektant:</t>
  </si>
  <si>
    <t>ARIPROS s.r.o.</t>
  </si>
  <si>
    <t>Lokalita:</t>
  </si>
  <si>
    <t>Honické náměstí 163, 272 03 Stochov</t>
  </si>
  <si>
    <t>Konec výstavby:</t>
  </si>
  <si>
    <t>Zhotovitel:</t>
  </si>
  <si>
    <t>Dle výběrového řízení</t>
  </si>
  <si>
    <t>JKSO:</t>
  </si>
  <si>
    <t>80129</t>
  </si>
  <si>
    <t>Zpracováno dne:</t>
  </si>
  <si>
    <t>Zpracoval:</t>
  </si>
  <si>
    <t>Č</t>
  </si>
  <si>
    <t>Objekt</t>
  </si>
  <si>
    <t>Kód</t>
  </si>
  <si>
    <t>Zkrácený popis / Varianta</t>
  </si>
  <si>
    <t>MJ</t>
  </si>
  <si>
    <t>Množství</t>
  </si>
  <si>
    <t>Cena/MJ</t>
  </si>
  <si>
    <t>Sazba DPH</t>
  </si>
  <si>
    <t>Náklady (Kč)</t>
  </si>
  <si>
    <t>%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</si>
  <si>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</si>
  <si>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</si>
  <si>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</si>
  <si>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</si>
  <si>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</si>
  <si>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</si>
  <si>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</si>
  <si>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</si>
  <si>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</si>
  <si>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</si>
  <si>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</si>
  <si>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</si>
  <si>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</si>
  <si>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</si>
  <si>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</si>
  <si>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</si>
  <si>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</si>
  <si>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</si>
  <si>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</si>
  <si>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</si>
  <si>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</si>
  <si>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</si>
  <si>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</si>
  <si>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</si>
  <si>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</si>
  <si>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</si>
  <si>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</si>
  <si>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</si>
  <si>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</si>
  <si>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1111199VD</t>
  </si>
  <si>
    <t>Zpracování aktualizace DPS/realizační PD (3x paré tisk + 1x CD-pdf)</t>
  </si>
  <si>
    <t>kpl</t>
  </si>
  <si>
    <t>5</t>
  </si>
  <si>
    <t>11_</t>
  </si>
  <si>
    <t>1_</t>
  </si>
  <si>
    <t>_</t>
  </si>
  <si>
    <t>P</t>
  </si>
  <si>
    <t>2</t>
  </si>
  <si>
    <t>Zpracování PD skutečného provedení (3x paré tisk + 1x CD-PDF)</t>
  </si>
  <si>
    <t>3</t>
  </si>
  <si>
    <t>Vytýčení stávajících rozvodů TZB vč. ověřovacích sond</t>
  </si>
  <si>
    <t>34</t>
  </si>
  <si>
    <t>Stěny a příčky</t>
  </si>
  <si>
    <t>4</t>
  </si>
  <si>
    <t>342255024R00</t>
  </si>
  <si>
    <t>Příčky z desek pórobetonových tl. 10 cm</t>
  </si>
  <si>
    <t>m2</t>
  </si>
  <si>
    <t>RTS I / 2025</t>
  </si>
  <si>
    <t>34_</t>
  </si>
  <si>
    <t>3_</t>
  </si>
  <si>
    <t>311230012RA0</t>
  </si>
  <si>
    <t>Zdivo z cihel keram. tvarovek na MC - dozdívky</t>
  </si>
  <si>
    <t>m3</t>
  </si>
  <si>
    <t>Varianta:</t>
  </si>
  <si>
    <t>Cp a MC</t>
  </si>
  <si>
    <t>6</t>
  </si>
  <si>
    <t>317120033RAB</t>
  </si>
  <si>
    <t>Překlad nenosný pórobet.</t>
  </si>
  <si>
    <t>kus</t>
  </si>
  <si>
    <t>překlad 100/249/1250 mm</t>
  </si>
  <si>
    <t>7</t>
  </si>
  <si>
    <t>317941111RA0</t>
  </si>
  <si>
    <t>Překlad z nosníků I č. 140, otvor dl. do 1,2 m, zdivo 300 mm</t>
  </si>
  <si>
    <t>otvor</t>
  </si>
  <si>
    <t>2xI140 na 1 otvor, uložení I min. 200 mm</t>
  </si>
  <si>
    <t>8</t>
  </si>
  <si>
    <t>317941313RA0</t>
  </si>
  <si>
    <t>Překlad z nosníků I č. 180, otvor dl. do 2,5 m, zdivo 300 mm</t>
  </si>
  <si>
    <t>2xI180 na 1 otvor, uložení I min. 200 mm</t>
  </si>
  <si>
    <t>41</t>
  </si>
  <si>
    <t>Stropy a stropní konstrukce (pro pozemní stavby)</t>
  </si>
  <si>
    <t>9</t>
  </si>
  <si>
    <t>411322626R00</t>
  </si>
  <si>
    <t>Stropy ze železobetonu C 35/45</t>
  </si>
  <si>
    <t>41_</t>
  </si>
  <si>
    <t>4_</t>
  </si>
  <si>
    <t>doplnění vodorov. kce po odstranění komínu</t>
  </si>
  <si>
    <t>10</t>
  </si>
  <si>
    <t>411361821R00</t>
  </si>
  <si>
    <t>Výztuž stropů z betonářské oceli (10 505)</t>
  </si>
  <si>
    <t>t</t>
  </si>
  <si>
    <t>411351101RT6</t>
  </si>
  <si>
    <t>Bednění stropů deskových, bednění vlastní - zřízení</t>
  </si>
  <si>
    <t>systémové, včetně podepření, tl. stropu do 36 cm</t>
  </si>
  <si>
    <t>12</t>
  </si>
  <si>
    <t>411351102R00</t>
  </si>
  <si>
    <t>Bednění stropů deskových, vlastní - odstranění</t>
  </si>
  <si>
    <t>13</t>
  </si>
  <si>
    <t>416021223R00</t>
  </si>
  <si>
    <t>Podhled sádrokartonový, ocelová závěsná konstrukce CD, izolace, 1x opláštěná, RBI tl. 12,5 mm</t>
  </si>
  <si>
    <t>desky impregnované RBI (H2) tl. 12,5mm</t>
  </si>
  <si>
    <t>14</t>
  </si>
  <si>
    <t>767587211R00</t>
  </si>
  <si>
    <t>Podhled minerální kazetový, ocelová závěsná konstrukce viditelná, izolace, rastr 600x600mm, b. bílá</t>
  </si>
  <si>
    <t>15</t>
  </si>
  <si>
    <t>713111221R00</t>
  </si>
  <si>
    <t>Montáž parozábrany, zavěšené podhl., přelep. spojů</t>
  </si>
  <si>
    <t>16</t>
  </si>
  <si>
    <t>713111111RV4</t>
  </si>
  <si>
    <t>Montáž tepelné izolace stropů vrchem kladené, volně</t>
  </si>
  <si>
    <t>1 vrstva - včetně dodávky miner. tep. zolace tl. 200 mm</t>
  </si>
  <si>
    <t>59</t>
  </si>
  <si>
    <t>Kryty pozemních komunikací a ploch dlážděných</t>
  </si>
  <si>
    <t>17</t>
  </si>
  <si>
    <t>916561111RT2</t>
  </si>
  <si>
    <t>Osazení záhon.obrubníků do lože z C 12/15 s opěrou</t>
  </si>
  <si>
    <t>m</t>
  </si>
  <si>
    <t>59_</t>
  </si>
  <si>
    <t>5_</t>
  </si>
  <si>
    <t>včetně obrubníku 50/5/20 cm</t>
  </si>
  <si>
    <t>18</t>
  </si>
  <si>
    <t>596215020R00</t>
  </si>
  <si>
    <t>Kladení zámkové dlažby tl. 6 cm do drtě tl. 4 cm</t>
  </si>
  <si>
    <t>dlažba v rámci pergoly</t>
  </si>
  <si>
    <t>19</t>
  </si>
  <si>
    <t>59245308</t>
  </si>
  <si>
    <t>Dlažba betonová zámková/skladebná, tvar cihla, 20x10x6cm, barva přírodní</t>
  </si>
  <si>
    <t>M</t>
  </si>
  <si>
    <t>20</t>
  </si>
  <si>
    <t>564851111R00</t>
  </si>
  <si>
    <t>Podklad ze štěrkodrti po zhutnění tloušťky 15 cm</t>
  </si>
  <si>
    <t>21</t>
  </si>
  <si>
    <t>571902111R00</t>
  </si>
  <si>
    <t>Posyp krytu kamenivem drceným do 10 kg/m2</t>
  </si>
  <si>
    <t>22</t>
  </si>
  <si>
    <t>180400020RA0</t>
  </si>
  <si>
    <t>Revitalizace trávníku parkového v rovině s dodáním osiva a zeminy</t>
  </si>
  <si>
    <t>rekultivace po provedení stavby - okolí pergoly</t>
  </si>
  <si>
    <t>61</t>
  </si>
  <si>
    <t>Úprava povrchů vnitřní</t>
  </si>
  <si>
    <t>23</t>
  </si>
  <si>
    <t>602015112RT3</t>
  </si>
  <si>
    <t>Omítka stěn jádrová  ručně</t>
  </si>
  <si>
    <t>61_</t>
  </si>
  <si>
    <t>6_</t>
  </si>
  <si>
    <t>tloušťka vrstvy 15 mm, ze suché směsi</t>
  </si>
  <si>
    <t>24</t>
  </si>
  <si>
    <t>612481211RT8</t>
  </si>
  <si>
    <t>Montáž výztužné sítě (perlinky) do stěrky - vnit. stěny, spoje omítek</t>
  </si>
  <si>
    <t>včetně výztužné sítě a stěrkového tmelu</t>
  </si>
  <si>
    <t>25</t>
  </si>
  <si>
    <t>612474510RT3</t>
  </si>
  <si>
    <t>Omítka stěn vnitřní jednovrstvá vápenocement. filcovaná</t>
  </si>
  <si>
    <t>na pórobeton, ruční provedení</t>
  </si>
  <si>
    <t>26</t>
  </si>
  <si>
    <t>784011121R00</t>
  </si>
  <si>
    <t>Broušení štuků a omítek</t>
  </si>
  <si>
    <t>27</t>
  </si>
  <si>
    <t>612409991R00</t>
  </si>
  <si>
    <t>Začištění omítek kolem oken, dveří apod.</t>
  </si>
  <si>
    <t>28</t>
  </si>
  <si>
    <t>610991111R00</t>
  </si>
  <si>
    <t>Zakrývání výplní vnitřních otvorů</t>
  </si>
  <si>
    <t>62</t>
  </si>
  <si>
    <t>Úprava povrchů vnější</t>
  </si>
  <si>
    <t>29</t>
  </si>
  <si>
    <t>622311335RT3</t>
  </si>
  <si>
    <t>Zateplovací systém, fasáda, EPS F s grafitem, tl. 160 mm - kompletní systém</t>
  </si>
  <si>
    <t>62_</t>
  </si>
  <si>
    <t>s omítkou silikon top, součinitel tep. vodivosti izolantu 0,031 W/mK</t>
  </si>
  <si>
    <t>30</t>
  </si>
  <si>
    <t>622311520RU1</t>
  </si>
  <si>
    <t>Zateplovací systém, sokl, XPS, tl. 60 mm - kompletní systém</t>
  </si>
  <si>
    <t>s mozaikovou omítkou 5,5 kg/m2, souč. tep. vodivosti izol. 0,036 W/mK</t>
  </si>
  <si>
    <t>31</t>
  </si>
  <si>
    <t>622311130RV1</t>
  </si>
  <si>
    <t>Zateplovací systém, fasáda, EPS F, tl. 50 mm</t>
  </si>
  <si>
    <t>zakončený stěrkou s výztužnou tkaninou, souč. tep. vodivosti izol. 0,039 W/mK</t>
  </si>
  <si>
    <t>32</t>
  </si>
  <si>
    <t>602011231RT3</t>
  </si>
  <si>
    <t>Omítka na stěnách jednovrstvá</t>
  </si>
  <si>
    <t>tloušťka vrstvy 5 mm, omítka zatepl. systému vnitřní stěny m.č. 1.06</t>
  </si>
  <si>
    <t>63</t>
  </si>
  <si>
    <t>Podlahy a podlahové konstrukce</t>
  </si>
  <si>
    <t>33</t>
  </si>
  <si>
    <t>899623141R00</t>
  </si>
  <si>
    <t>Obetonování potrubí nebo zdiva betonem C12/15</t>
  </si>
  <si>
    <t>63_</t>
  </si>
  <si>
    <t>doplnění podlah v místě úprav kanalizace</t>
  </si>
  <si>
    <t>631310032RA0</t>
  </si>
  <si>
    <t>Mazanina z betonu C 20/25, tloušťka do 10 cm</t>
  </si>
  <si>
    <t>35</t>
  </si>
  <si>
    <t>711212012RT3</t>
  </si>
  <si>
    <t>Hydroizolační povlak vyztužený tkaninou</t>
  </si>
  <si>
    <t>pružná silikátová hydroizolace, tl. 2 mm</t>
  </si>
  <si>
    <t>36</t>
  </si>
  <si>
    <t>713121111R00</t>
  </si>
  <si>
    <t>Montáž tepelné nebo kročejové izolace podlah na sucho, jednovrstvé</t>
  </si>
  <si>
    <t>37</t>
  </si>
  <si>
    <t>283763204</t>
  </si>
  <si>
    <t>Deska izolační podlahová XPS, tl. 60 mm</t>
  </si>
  <si>
    <t>38</t>
  </si>
  <si>
    <t>713120080RA0</t>
  </si>
  <si>
    <t>Separační fólie PE</t>
  </si>
  <si>
    <t>39</t>
  </si>
  <si>
    <t>631312621RT2</t>
  </si>
  <si>
    <t>Mazanina betonová tl. 5 - 8 cm C 20/25</t>
  </si>
  <si>
    <t>vyztužená ocelovými vlákny 20 kg / m3</t>
  </si>
  <si>
    <t>40</t>
  </si>
  <si>
    <t>777531022R00</t>
  </si>
  <si>
    <t>Vyrovnání podlahy, samonivelační hmota tl. 2 mm</t>
  </si>
  <si>
    <t>včetně penetrace podkladu</t>
  </si>
  <si>
    <t>712</t>
  </si>
  <si>
    <t>Izolace střech (živičné krytiny)</t>
  </si>
  <si>
    <t>712341559RZ6</t>
  </si>
  <si>
    <t>Provedení povlakové krytiny střech do 10°, asfaltovými pásy, přitavení celoplošně</t>
  </si>
  <si>
    <t>712_</t>
  </si>
  <si>
    <t>71_</t>
  </si>
  <si>
    <t>2 vrstvy - včetně dodávky např. Sklobit G</t>
  </si>
  <si>
    <t>721</t>
  </si>
  <si>
    <t>Vnitřní kanalizace</t>
  </si>
  <si>
    <t>42</t>
  </si>
  <si>
    <t>721223427RT1</t>
  </si>
  <si>
    <t>Vpusť podlahová se zápachovou uzávěrkou HL 510N</t>
  </si>
  <si>
    <t>721_</t>
  </si>
  <si>
    <t>72_</t>
  </si>
  <si>
    <t>mřížka nerez 115 x 115 mm D 40/50 mm</t>
  </si>
  <si>
    <t>43</t>
  </si>
  <si>
    <t>721176222R00</t>
  </si>
  <si>
    <t>Potrubí KG svodné (ležaté) v zemi, D 110 x 3,2 mm</t>
  </si>
  <si>
    <t>montáž a dodávka splaškové kanalizace v zemi, PVC SN4</t>
  </si>
  <si>
    <t>44</t>
  </si>
  <si>
    <t>721176223R00</t>
  </si>
  <si>
    <t>Potrubí KG svodné (ležaté) v zemi, D 125 x 3,2 mm</t>
  </si>
  <si>
    <t>45</t>
  </si>
  <si>
    <t>721176224R00</t>
  </si>
  <si>
    <t>Potrubí KG svodné (ležaté) v zemi, D 160 x 4,0 mm</t>
  </si>
  <si>
    <t>46</t>
  </si>
  <si>
    <t>721173303R00</t>
  </si>
  <si>
    <t>Koleno KG D 110-45°</t>
  </si>
  <si>
    <t>montáž a dodávka tvarovek pro splaškovou kanalizaci v zemi, PVC SN4</t>
  </si>
  <si>
    <t>47</t>
  </si>
  <si>
    <t>721173303R01</t>
  </si>
  <si>
    <t>Koleno KG D 125-45°</t>
  </si>
  <si>
    <t>48</t>
  </si>
  <si>
    <t>721173303R02</t>
  </si>
  <si>
    <t>Koleno KG D 160-30°</t>
  </si>
  <si>
    <t>49</t>
  </si>
  <si>
    <t>721173303R08</t>
  </si>
  <si>
    <t>Odbočka KG 110/110-45°</t>
  </si>
  <si>
    <t>50</t>
  </si>
  <si>
    <t>721173303R09</t>
  </si>
  <si>
    <t>Odbočka KG 125/110-45°</t>
  </si>
  <si>
    <t>51</t>
  </si>
  <si>
    <t>721173303R10</t>
  </si>
  <si>
    <t>Odbočka KG 160/110-45°</t>
  </si>
  <si>
    <t>52</t>
  </si>
  <si>
    <t>721173303R16</t>
  </si>
  <si>
    <t>Odbočka KG 160/125-45°</t>
  </si>
  <si>
    <t>53</t>
  </si>
  <si>
    <t>721173303R22</t>
  </si>
  <si>
    <t>Redukce KG 160/125</t>
  </si>
  <si>
    <t>54</t>
  </si>
  <si>
    <t>721176113R00</t>
  </si>
  <si>
    <t>Potrubí HT odpadní, D 50 x 1,8 mm</t>
  </si>
  <si>
    <t>vč. montáže</t>
  </si>
  <si>
    <t>55</t>
  </si>
  <si>
    <t>721176115R00</t>
  </si>
  <si>
    <t>Potrubí HT odpadní, D 110 x 2,7 mm</t>
  </si>
  <si>
    <t>56</t>
  </si>
  <si>
    <t>727212112R01</t>
  </si>
  <si>
    <t>Koleno 50/87° PVC HT</t>
  </si>
  <si>
    <t>57</t>
  </si>
  <si>
    <t>727212112R07</t>
  </si>
  <si>
    <t>Koleno 110/87° PVC HT</t>
  </si>
  <si>
    <t>58</t>
  </si>
  <si>
    <t>727212132R00</t>
  </si>
  <si>
    <t>Odbočka 50/50-87° PVC HT</t>
  </si>
  <si>
    <t>727212132R03</t>
  </si>
  <si>
    <t>Odbočka 110/50-87° PVC HT</t>
  </si>
  <si>
    <t>60</t>
  </si>
  <si>
    <t>727212132R07</t>
  </si>
  <si>
    <t>Odbočka 110/110-87° PVC HT</t>
  </si>
  <si>
    <t>727212135RR1</t>
  </si>
  <si>
    <t>Redukce PVC HT 110/50</t>
  </si>
  <si>
    <t>727212135RR2</t>
  </si>
  <si>
    <t>Redukce PVC HT 125/110</t>
  </si>
  <si>
    <t>721152218R00</t>
  </si>
  <si>
    <t>Čisticí kus, pro odpadní svislé, ČK 110, HT</t>
  </si>
  <si>
    <t>64</t>
  </si>
  <si>
    <t>721273200RT3</t>
  </si>
  <si>
    <t>Souprava ventilační střešní, D 110 mm</t>
  </si>
  <si>
    <t>dodávka a montáž soupravy větrací hlavice HT pro rovné střechy</t>
  </si>
  <si>
    <t>65</t>
  </si>
  <si>
    <t>738119522R04</t>
  </si>
  <si>
    <t>Drobný montážní materiál a nespecifikované tvarovky vč. montáže</t>
  </si>
  <si>
    <t>soubor</t>
  </si>
  <si>
    <t>66</t>
  </si>
  <si>
    <t>721999VD</t>
  </si>
  <si>
    <t>HZS - přípomocné práce vč. materiálu</t>
  </si>
  <si>
    <t>pro vnitřní kanalizaci</t>
  </si>
  <si>
    <t>67</t>
  </si>
  <si>
    <t>Demontáž původních rozvodů kanalizace</t>
  </si>
  <si>
    <t>demontáž, odvoz odpadu a likvidace</t>
  </si>
  <si>
    <t>68</t>
  </si>
  <si>
    <t>721190909R00</t>
  </si>
  <si>
    <t>Zkouška tlaková a těsnosti vnitřní kanalizace</t>
  </si>
  <si>
    <t>722</t>
  </si>
  <si>
    <t>Vnitřní vodovod</t>
  </si>
  <si>
    <t>69</t>
  </si>
  <si>
    <t>222613131R00</t>
  </si>
  <si>
    <t>Montáž zapojení vodoměru</t>
  </si>
  <si>
    <t>722_</t>
  </si>
  <si>
    <t>70</t>
  </si>
  <si>
    <t>38821459.A</t>
  </si>
  <si>
    <t>Vodoměr SV Q=2,5 m3/h, l=80 mm (jm. průtok 2,5 m3/hod</t>
  </si>
  <si>
    <t>71</t>
  </si>
  <si>
    <t>722172313R00</t>
  </si>
  <si>
    <t>Potrubí plastové PP-RCT, vč. zednických výpomocí, D 32 x 3,0 mm, návin</t>
  </si>
  <si>
    <t>potrubí a tvarovky venkovního rozvodu</t>
  </si>
  <si>
    <t>72</t>
  </si>
  <si>
    <t>722202233R01</t>
  </si>
  <si>
    <t>Přechod na závit 32x1“vnější, mosaz</t>
  </si>
  <si>
    <t>73</t>
  </si>
  <si>
    <t>722202233R02</t>
  </si>
  <si>
    <t>Spojka 32x32, plast</t>
  </si>
  <si>
    <t>74</t>
  </si>
  <si>
    <t>722172411R00</t>
  </si>
  <si>
    <t>Potrubí plastové PP-RCT, vč. zednických výpomocí, D 20x2,3 mm, rozvod studené vody</t>
  </si>
  <si>
    <t>dodávka a montáž vč. tvarovek</t>
  </si>
  <si>
    <t>75</t>
  </si>
  <si>
    <t>722172412R00</t>
  </si>
  <si>
    <t>Potrubí plastové PP-RCT, vč. zednických výpomocí, D 25x2,8 mm, rozvod studené vody</t>
  </si>
  <si>
    <t>76</t>
  </si>
  <si>
    <t>722172413R00</t>
  </si>
  <si>
    <t>Potrubí plastové PP-RCT, vč. zednických výpomocí, D 32x3,6 mm, rozvod studené vody</t>
  </si>
  <si>
    <t>77</t>
  </si>
  <si>
    <t>Potrubí plastové PP-RCT, vč. zednických výpomocí, D 20x2,3 mm, rozvod teplé vody</t>
  </si>
  <si>
    <t>78</t>
  </si>
  <si>
    <t>Potrubí plastové PP-RCT, vč. zednických výpomocí, D 25x2,8 mm, rozvod teplé vody</t>
  </si>
  <si>
    <t>79</t>
  </si>
  <si>
    <t>Potrubí plastové PP-RCT, vč. zednických výpomocí, D 32x3,6 mm, rozvod teplé vody</t>
  </si>
  <si>
    <t>80</t>
  </si>
  <si>
    <t>722181212RZ6</t>
  </si>
  <si>
    <t>Izolace návleková PE tl. stěny 10 mm, vnitřní průměr 20 mm</t>
  </si>
  <si>
    <t>dodávka a montáž vč. spojovacích spon a lepící PVC pásky</t>
  </si>
  <si>
    <t>81</t>
  </si>
  <si>
    <t>722181212RT8</t>
  </si>
  <si>
    <t>Izolace návleková PE tl. stěny 10 mm, vnitřní průměr 25 mm</t>
  </si>
  <si>
    <t>82</t>
  </si>
  <si>
    <t>722181212RU1</t>
  </si>
  <si>
    <t>Izolace návleková PE tl. stěny 10 mm, vnitřní průměr 32 mm</t>
  </si>
  <si>
    <t>83</t>
  </si>
  <si>
    <t>722181234RT7</t>
  </si>
  <si>
    <t>Izolace návleková kaučuková tl. stěny 13 mm, vnitřní průměr 22 mm</t>
  </si>
  <si>
    <t>dodávka a montáž vč. samolepící kaučukové izol. pásky a lepidla</t>
  </si>
  <si>
    <t>84</t>
  </si>
  <si>
    <t>722181233RT9</t>
  </si>
  <si>
    <t>Izolace návleková kaučuková tl. stěny 13 mm, vnitřní průměr 28 mm</t>
  </si>
  <si>
    <t>85</t>
  </si>
  <si>
    <t>722181233RU2</t>
  </si>
  <si>
    <t>Izolace návleková kaučuková tl. stěny 13 mm, vnitřní průměr 35 mm</t>
  </si>
  <si>
    <t>86</t>
  </si>
  <si>
    <t>767883112RT3</t>
  </si>
  <si>
    <t>Objímka jednošroubová pro PPR 20, kombivrut+hmoždinka, pro potrubí průměru 20 - 23 mm</t>
  </si>
  <si>
    <t>87</t>
  </si>
  <si>
    <t>767883112RT4</t>
  </si>
  <si>
    <t>Objímka jednošroubová pro PPR 25, kombivrut+hmoždinka, pro potrubí průměru 25 - 30 mm</t>
  </si>
  <si>
    <t>88</t>
  </si>
  <si>
    <t>Objímka jednošroubová pro PPR 32, kombivrut+hmoždinka, pro potrubí průměru 31 - 38 mm</t>
  </si>
  <si>
    <t>89</t>
  </si>
  <si>
    <t>722225111R01</t>
  </si>
  <si>
    <t>Zástřik s vnějším závitem, 32-1", PPR</t>
  </si>
  <si>
    <t>sada napojení zásobníku TV DN25</t>
  </si>
  <si>
    <t>90</t>
  </si>
  <si>
    <t>722235113R00</t>
  </si>
  <si>
    <t>Kohout vodovodní kulový R910, páčka, DN 25 mm</t>
  </si>
  <si>
    <t>91</t>
  </si>
  <si>
    <t>722172613R00</t>
  </si>
  <si>
    <t>Potrubí plastové PP-RCT, D 32</t>
  </si>
  <si>
    <t>92</t>
  </si>
  <si>
    <t>734261223R03</t>
  </si>
  <si>
    <t>Rohové šroubení závitové, DN25, ploché těsnění</t>
  </si>
  <si>
    <t>93</t>
  </si>
  <si>
    <t>sada napojení zásobníku SV DN25</t>
  </si>
  <si>
    <t>94</t>
  </si>
  <si>
    <t>95</t>
  </si>
  <si>
    <t>734261223R11</t>
  </si>
  <si>
    <t>Dvojnipl 1", mosaz</t>
  </si>
  <si>
    <t>96</t>
  </si>
  <si>
    <t>734261223R25</t>
  </si>
  <si>
    <t>Redukce 1"x1/2", mosaz</t>
  </si>
  <si>
    <t>97</t>
  </si>
  <si>
    <t>734261223R19</t>
  </si>
  <si>
    <t>T-kus 1", mosaz</t>
  </si>
  <si>
    <t>98</t>
  </si>
  <si>
    <t>722222182R00</t>
  </si>
  <si>
    <t>Kohout vodovodní vypouštěcí R608D, DN 15 mm</t>
  </si>
  <si>
    <t>99</t>
  </si>
  <si>
    <t>734261223R12</t>
  </si>
  <si>
    <t>Dvojnipl redukovaný 1"x1/2", mosaz</t>
  </si>
  <si>
    <t>100</t>
  </si>
  <si>
    <t>722238613R00</t>
  </si>
  <si>
    <t>Ventil vodovodní, zpětný, DN 25 mm, R60</t>
  </si>
  <si>
    <t>101</t>
  </si>
  <si>
    <t>734253115R00</t>
  </si>
  <si>
    <t>Ventil pojistný DUCO, 6 bar, 1/2"x3/4", KB15</t>
  </si>
  <si>
    <t>102</t>
  </si>
  <si>
    <t>734261223R15</t>
  </si>
  <si>
    <t>Dvojnipl redukovaný 1"x3/4", mosaz</t>
  </si>
  <si>
    <t>var. EN2 v potrubí (do 2,5m3/hod)</t>
  </si>
  <si>
    <t>103</t>
  </si>
  <si>
    <t>734261223R20</t>
  </si>
  <si>
    <t>T-kus 3/4", mosaz - součástí EN2</t>
  </si>
  <si>
    <t>104</t>
  </si>
  <si>
    <t>105</t>
  </si>
  <si>
    <t>106</t>
  </si>
  <si>
    <t>107</t>
  </si>
  <si>
    <t>724301105RT2</t>
  </si>
  <si>
    <t>Montáž expanzní nádoby pro vodárenské systémy, Refix DD 25/10 s armaturou flowjet G 3/4"</t>
  </si>
  <si>
    <t>dodávka a montáž exp. nádoby, průtočné armatury flowjet, konzoly s páskem, ukotvení</t>
  </si>
  <si>
    <t>108</t>
  </si>
  <si>
    <t>722230132R00</t>
  </si>
  <si>
    <t>Manometr radiální 63mm, 0-10 bar, MR63010BB</t>
  </si>
  <si>
    <t>109</t>
  </si>
  <si>
    <t>722235641R00</t>
  </si>
  <si>
    <t>Zpětná klapka pro manometry, 1/4"Fx1/2“M, ACVR00002</t>
  </si>
  <si>
    <t>110</t>
  </si>
  <si>
    <t>111</t>
  </si>
  <si>
    <t>722290234R00</t>
  </si>
  <si>
    <t>Proplach a dezinfekce vodovod.potrubí do DN 80</t>
  </si>
  <si>
    <t>112</t>
  </si>
  <si>
    <t>722999VD</t>
  </si>
  <si>
    <t>Drobný pomocný a montážní materiál</t>
  </si>
  <si>
    <t>dodávka a montáž</t>
  </si>
  <si>
    <t>113</t>
  </si>
  <si>
    <t>722290226R00</t>
  </si>
  <si>
    <t>Tlaková zkouška vodovodního potrubí</t>
  </si>
  <si>
    <t>114</t>
  </si>
  <si>
    <t>pro vnitřní vodovod</t>
  </si>
  <si>
    <t>115</t>
  </si>
  <si>
    <t>Demontáž původních rozvodů vodovodu</t>
  </si>
  <si>
    <t>723</t>
  </si>
  <si>
    <t>Vnitřní plynovod</t>
  </si>
  <si>
    <t>116</t>
  </si>
  <si>
    <t>723178114R00</t>
  </si>
  <si>
    <t>Potrubí pro plynovody, plastové vícevrstvé, spojované lisováním, Potrubí PEX-Al-PE, návin, d 26 x 3,0 mm, návin</t>
  </si>
  <si>
    <t>723_</t>
  </si>
  <si>
    <t>dodávka potrubí a tvarovek včetně montáže</t>
  </si>
  <si>
    <t>117</t>
  </si>
  <si>
    <t>723239102R02</t>
  </si>
  <si>
    <t>Korugovaná ochranná trubka, rozměr 26, GAS</t>
  </si>
  <si>
    <t>118</t>
  </si>
  <si>
    <t>723239102R01</t>
  </si>
  <si>
    <t>Přímý přechod vnější závit press gas, DN1“ Mx26, GAS</t>
  </si>
  <si>
    <t>ks</t>
  </si>
  <si>
    <t>119</t>
  </si>
  <si>
    <t>723239102R00</t>
  </si>
  <si>
    <t>Koleno vnitřní závit press gas, 3/4“Fx26, GAS</t>
  </si>
  <si>
    <t>120</t>
  </si>
  <si>
    <t>723235523R00</t>
  </si>
  <si>
    <t>Uzávěr rohový protipožární s hadicí 750mm – sada 1/2"MM, GAS</t>
  </si>
  <si>
    <t>121</t>
  </si>
  <si>
    <t>723237215R00</t>
  </si>
  <si>
    <t>Kohout kulový na plyn, DN 25 mm</t>
  </si>
  <si>
    <t>122</t>
  </si>
  <si>
    <t>723160205R01</t>
  </si>
  <si>
    <t>Plynoměr G4, rozteč 100 mm</t>
  </si>
  <si>
    <t>123</t>
  </si>
  <si>
    <t>723160334R01</t>
  </si>
  <si>
    <t>Rozpěrka plynoměru, 100 mm</t>
  </si>
  <si>
    <t>124</t>
  </si>
  <si>
    <t>723164105R1</t>
  </si>
  <si>
    <t>125</t>
  </si>
  <si>
    <t>723999VD</t>
  </si>
  <si>
    <t>pro vnitřní plynovod</t>
  </si>
  <si>
    <t>126</t>
  </si>
  <si>
    <t>723516811R00</t>
  </si>
  <si>
    <t>Revize vnitřního plynovodu</t>
  </si>
  <si>
    <t>127</t>
  </si>
  <si>
    <t>723190909R00</t>
  </si>
  <si>
    <t>Zkouška tlaková plynového potrubí</t>
  </si>
  <si>
    <t>725</t>
  </si>
  <si>
    <t>Zařizovací předměty</t>
  </si>
  <si>
    <t>128</t>
  </si>
  <si>
    <t>726212321R00</t>
  </si>
  <si>
    <t>Modul pro závěsné WC podomítkový</t>
  </si>
  <si>
    <t>725_</t>
  </si>
  <si>
    <t>129</t>
  </si>
  <si>
    <t>725014131RU1</t>
  </si>
  <si>
    <t>Klozet závěsný, zkrácený (490 mm), bílý</t>
  </si>
  <si>
    <t>bez dodávky sedátka</t>
  </si>
  <si>
    <t>130</t>
  </si>
  <si>
    <t>551674021</t>
  </si>
  <si>
    <t>Sedátko klozetové duroplastové, ocelové úchyty</t>
  </si>
  <si>
    <t>antibakteriální úprava</t>
  </si>
  <si>
    <t>131</t>
  </si>
  <si>
    <t>725292041R01</t>
  </si>
  <si>
    <t>WC ovládací deska, dvojčinné splachování, bílá</t>
  </si>
  <si>
    <t>132</t>
  </si>
  <si>
    <t>725017331R00</t>
  </si>
  <si>
    <t>Umývátko na šrouby, š. 450 mm, bílé</t>
  </si>
  <si>
    <t>133</t>
  </si>
  <si>
    <t>725113914R01</t>
  </si>
  <si>
    <t>Instalační sada pro umyvadla</t>
  </si>
  <si>
    <t>sada</t>
  </si>
  <si>
    <t>134</t>
  </si>
  <si>
    <t>725860254R00</t>
  </si>
  <si>
    <t>Sifon umyvadlový oválný chromovaný ABS, 175-270 mm</t>
  </si>
  <si>
    <t>135</t>
  </si>
  <si>
    <t>725017162R00</t>
  </si>
  <si>
    <t>Umyvadlo na šrouby, š. 550-600 mm, bílé</t>
  </si>
  <si>
    <t>136</t>
  </si>
  <si>
    <t>725017129R00</t>
  </si>
  <si>
    <t>Kryt sifonu umyvadel s instalační sadou, bílý</t>
  </si>
  <si>
    <t>137</t>
  </si>
  <si>
    <t>138</t>
  </si>
  <si>
    <t>Sifon umyvadlový oválný chromovaný ABS, 5/4"-32mm</t>
  </si>
  <si>
    <t>139</t>
  </si>
  <si>
    <t>725224138R01</t>
  </si>
  <si>
    <t>Vanička sprchová čtvercová 900x900 mm, samonosná, bílá</t>
  </si>
  <si>
    <t>140</t>
  </si>
  <si>
    <t>725224138R03</t>
  </si>
  <si>
    <t>Sada upevnění ke zdi pro sprch. vaničku</t>
  </si>
  <si>
    <t>141</t>
  </si>
  <si>
    <t>725860222RT1</t>
  </si>
  <si>
    <t>Sifon pro sprchové vaničky, D 40/50 mm</t>
  </si>
  <si>
    <t>samočisticí, stavitelný odpad, krytka nerez</t>
  </si>
  <si>
    <t>142</t>
  </si>
  <si>
    <t>725224138R02</t>
  </si>
  <si>
    <t>Nohy k vestavným vaničkám</t>
  </si>
  <si>
    <t>143</t>
  </si>
  <si>
    <t>725224138R04</t>
  </si>
  <si>
    <t>Zástěna sprchového koutu, bezp. sklo, nerez, 900 mm</t>
  </si>
  <si>
    <t>144</t>
  </si>
  <si>
    <t>721213041RT3</t>
  </si>
  <si>
    <t>Sprchový odtokový žlab se sifonem, mřížka nerez, s betonáží prostoru sprchového koutu</t>
  </si>
  <si>
    <t>145</t>
  </si>
  <si>
    <t>725224138R05</t>
  </si>
  <si>
    <t>Zástěna sprchového koutu, 1900x1850 mm</t>
  </si>
  <si>
    <t>tabulka výplní otvorů pol. 08</t>
  </si>
  <si>
    <t>146</t>
  </si>
  <si>
    <t>725100019RA0</t>
  </si>
  <si>
    <t>Set výlevky stojící s plastovou mřížkou a vodovodní baterie - dodávka a montáž</t>
  </si>
  <si>
    <t>výlevka s mřížkou - bílá, baterie chrom. s prodlouž. ramínkem, sifon, napojení odpadu</t>
  </si>
  <si>
    <t>147</t>
  </si>
  <si>
    <t>725016105R00</t>
  </si>
  <si>
    <t>Pisoár ovládání automatické, keramika, bílý</t>
  </si>
  <si>
    <t>součástí položky i napájecí zdroj 24V pro max. 3 urinály</t>
  </si>
  <si>
    <t>148</t>
  </si>
  <si>
    <t>725100002RA0</t>
  </si>
  <si>
    <t>Dřez kuchyňský nerezový, baterie s otočným výtokem bez sprchy, zápachová uzávěrka</t>
  </si>
  <si>
    <t>149</t>
  </si>
  <si>
    <t>725860202R00</t>
  </si>
  <si>
    <t>Sifon dřezový HL100G, D 40/50 mm, 6/4"</t>
  </si>
  <si>
    <t>150</t>
  </si>
  <si>
    <t>725200010RA0</t>
  </si>
  <si>
    <t>Montáž zařizovacích předmětů - klozet</t>
  </si>
  <si>
    <t>151</t>
  </si>
  <si>
    <t>725200030RA0</t>
  </si>
  <si>
    <t>Montáž zařizovacích předmětů - umyvadlo+dřez</t>
  </si>
  <si>
    <t>152</t>
  </si>
  <si>
    <t>725200050RA0</t>
  </si>
  <si>
    <t>Montáž zařizovacích předmětů - sprchový kout/místo</t>
  </si>
  <si>
    <t>153</t>
  </si>
  <si>
    <t>725860171R00</t>
  </si>
  <si>
    <t>Montáž pračkových vývodů</t>
  </si>
  <si>
    <t>154</t>
  </si>
  <si>
    <t>725829301R00</t>
  </si>
  <si>
    <t>Montáž baterie umyvadlové a dřezové stojánkové</t>
  </si>
  <si>
    <t>155</t>
  </si>
  <si>
    <t>725823111RT1</t>
  </si>
  <si>
    <t>Baterie umyvadlová stojánková, ruční, se zvedákem</t>
  </si>
  <si>
    <t>standardní</t>
  </si>
  <si>
    <t>156</t>
  </si>
  <si>
    <t>725810402R00</t>
  </si>
  <si>
    <t>Ventil rohový 3/8"-1/2", chromový (sada 2 ks)</t>
  </si>
  <si>
    <t>157</t>
  </si>
  <si>
    <t>725849205R00</t>
  </si>
  <si>
    <t>Montáž baterie sprchové vč. sprchového setu</t>
  </si>
  <si>
    <t>158</t>
  </si>
  <si>
    <t>551450380</t>
  </si>
  <si>
    <t>Baterie sprchová nástěnná</t>
  </si>
  <si>
    <t>159</t>
  </si>
  <si>
    <t>55145352</t>
  </si>
  <si>
    <t>Set sprchový - hadice, držák, sprch. hlavice</t>
  </si>
  <si>
    <t>160</t>
  </si>
  <si>
    <t>725164105R1</t>
  </si>
  <si>
    <t>728</t>
  </si>
  <si>
    <t>Vzduchotechnika</t>
  </si>
  <si>
    <t>161</t>
  </si>
  <si>
    <t>429148016R1</t>
  </si>
  <si>
    <t>Ventilátor stropní odtahový d 100 mm, 230V, s časovým doběhem, IP24, výkon max. 98 m3/h</t>
  </si>
  <si>
    <t>728_</t>
  </si>
  <si>
    <t>charakteristický výrobek Vents 100 MAVTL</t>
  </si>
  <si>
    <t>162</t>
  </si>
  <si>
    <t>429148016R2</t>
  </si>
  <si>
    <t>Ventilátor stropní odtahový d 148 mm, 230V, s časovým doběhem + vlhkostním čidlem, krytí X4, výkon max. 482 m3/h</t>
  </si>
  <si>
    <t>charakteristický výrobek Vents HBF 250 Square TH</t>
  </si>
  <si>
    <t>163</t>
  </si>
  <si>
    <t>210290751R00</t>
  </si>
  <si>
    <t>Montáž ventilátoru</t>
  </si>
  <si>
    <t>164</t>
  </si>
  <si>
    <t>5534301660R1</t>
  </si>
  <si>
    <t>Větrací mřížka protidešťová se zpětnou klapkou (vnější kapuce), nerez 150x150</t>
  </si>
  <si>
    <t>charakteristický výrobek VENTS MVM 152 bVs N</t>
  </si>
  <si>
    <t>165</t>
  </si>
  <si>
    <t>728415112R00</t>
  </si>
  <si>
    <t>Montáž mřížky větrací nebo ventilační</t>
  </si>
  <si>
    <t>166</t>
  </si>
  <si>
    <t>728115411RV2</t>
  </si>
  <si>
    <t>Montáž potrubí ohebného izolovaného z AL do d 100 mm</t>
  </si>
  <si>
    <t>vč. dodávky potrubí TERMOFLEX MI hliníkové s izolací tl. 25 mm, d 102</t>
  </si>
  <si>
    <t>167</t>
  </si>
  <si>
    <t>728115412RT3</t>
  </si>
  <si>
    <t>Montáž potrubí ohebného izolovaného z AL do d 200 mm</t>
  </si>
  <si>
    <t>vč. dodávky potrubí SONOFLEX MI hliníkové s izolací tl. 25 mm, d 152</t>
  </si>
  <si>
    <t>168</t>
  </si>
  <si>
    <t>728112111RU2</t>
  </si>
  <si>
    <t>Montáž potrubí plechového kruhového do d 100 mm</t>
  </si>
  <si>
    <t>vč. dodávky potrubí pozinkovaného SPIRO d 100 mm, ukotvení do stropu, objímek</t>
  </si>
  <si>
    <t>169</t>
  </si>
  <si>
    <t>728112112RT3</t>
  </si>
  <si>
    <t>Montáž potrubí plechového kruhového do d 200 mm</t>
  </si>
  <si>
    <t>vč. dodávky potrubí pozinkovaného SPIRO d 150 mm, ukotvení do stropu, objímek</t>
  </si>
  <si>
    <t>170</t>
  </si>
  <si>
    <t>722181245RY9</t>
  </si>
  <si>
    <t>Izolace návleková pro potrubí d 100 mm, hliník s miner. vlnou, tl. stěny 25 mm</t>
  </si>
  <si>
    <t>dodávka a montáž vč. spon a lepící pásky</t>
  </si>
  <si>
    <t>171</t>
  </si>
  <si>
    <t>722181245RZ4</t>
  </si>
  <si>
    <t>Izolace návleková pro potrubí d 150 mm, hliník s miner. vlnou, tl. stěny 25 mm</t>
  </si>
  <si>
    <t>172</t>
  </si>
  <si>
    <t>728164105R1</t>
  </si>
  <si>
    <t>Drobný montážní a pomocný materiál</t>
  </si>
  <si>
    <t>173</t>
  </si>
  <si>
    <t>728999VD</t>
  </si>
  <si>
    <t>pro vzduchotechniku</t>
  </si>
  <si>
    <t>731</t>
  </si>
  <si>
    <t>Kotelny</t>
  </si>
  <si>
    <t>174</t>
  </si>
  <si>
    <t>4841875615</t>
  </si>
  <si>
    <t>Kotel kondenzační nástěnný GB172-14, 7716010434</t>
  </si>
  <si>
    <t>731_</t>
  </si>
  <si>
    <t>73_</t>
  </si>
  <si>
    <t>175</t>
  </si>
  <si>
    <t>405413611R1</t>
  </si>
  <si>
    <t>Regulační přístroj Logamatic RC310, 7738112369</t>
  </si>
  <si>
    <t>176</t>
  </si>
  <si>
    <t>405413611R2</t>
  </si>
  <si>
    <t>Základní regulační přístroj Logamatic RC100, 7738110079</t>
  </si>
  <si>
    <t>177</t>
  </si>
  <si>
    <t>4843470232</t>
  </si>
  <si>
    <t>Ohřívač zásobníkový Logalux SU500.5-C, objem 500 litrů, 7736502251</t>
  </si>
  <si>
    <t>178</t>
  </si>
  <si>
    <t>731999VD</t>
  </si>
  <si>
    <t>Sada odtoku kondenzátu, 7719000763</t>
  </si>
  <si>
    <t>179</t>
  </si>
  <si>
    <t>Stavební sada odkouření DN80/125, C33x, černá, 7738112660</t>
  </si>
  <si>
    <t>180</t>
  </si>
  <si>
    <t>Příruba pro střechu se sklonem do 15°</t>
  </si>
  <si>
    <t>odkouření</t>
  </si>
  <si>
    <t>181</t>
  </si>
  <si>
    <t>Trubka DN 80/125 mm, délka 1,0 m</t>
  </si>
  <si>
    <t>182</t>
  </si>
  <si>
    <t>Trubka DN 80/125 mm, délka 2,0 m</t>
  </si>
  <si>
    <t>183</t>
  </si>
  <si>
    <t>731249322R00</t>
  </si>
  <si>
    <t>Montáž závěsných kotlů turbo s odkouřením</t>
  </si>
  <si>
    <t>184</t>
  </si>
  <si>
    <t>731311134R00</t>
  </si>
  <si>
    <t>Montáž ohřívače vody, objem do 500 litrů</t>
  </si>
  <si>
    <t>185</t>
  </si>
  <si>
    <t>731100816R00</t>
  </si>
  <si>
    <t>Demontáž stávajícího kotle litinového</t>
  </si>
  <si>
    <t>186</t>
  </si>
  <si>
    <t>722234233R00</t>
  </si>
  <si>
    <t>Úpravna vody soustavy UT Reflex, Fillsoft, 9125660 (bez náplně)</t>
  </si>
  <si>
    <t>187</t>
  </si>
  <si>
    <t>722234233R01</t>
  </si>
  <si>
    <t>Náplň pro Fillsoft demineralizaci 3000 x odH (Al-xx vým.), 9125662</t>
  </si>
  <si>
    <t>188</t>
  </si>
  <si>
    <t>722234233R02</t>
  </si>
  <si>
    <t>Fillguard Mini – měření vodivosti, 9125762</t>
  </si>
  <si>
    <t>189</t>
  </si>
  <si>
    <t>738119313R00</t>
  </si>
  <si>
    <t>Odlučovač nečistot, DN 20, XStream Clean G3/4"F</t>
  </si>
  <si>
    <t>733</t>
  </si>
  <si>
    <t>Rozvod potrubí</t>
  </si>
  <si>
    <t>190</t>
  </si>
  <si>
    <t>733163102R00</t>
  </si>
  <si>
    <t>Potrubí z měděných trubek vytápění D 15 x 1,0 mm</t>
  </si>
  <si>
    <t>733_</t>
  </si>
  <si>
    <t>položka zahrnuje náklady na dodávku potrubí a tvarovek vč. montáže</t>
  </si>
  <si>
    <t>191</t>
  </si>
  <si>
    <t>733163103R00</t>
  </si>
  <si>
    <t>Potrubí z měděných trubek vytápění D 18 x 1,0 mm</t>
  </si>
  <si>
    <t>192</t>
  </si>
  <si>
    <t>733163104R00</t>
  </si>
  <si>
    <t>Potrubí z měděných trubek vytápění D 22 x 1,0 mm</t>
  </si>
  <si>
    <t>193</t>
  </si>
  <si>
    <t>722181233RT5</t>
  </si>
  <si>
    <t>Izolace návleková PE, TUBEX, tl. stěny 15 mm, vnitřní průměr 15 mm</t>
  </si>
  <si>
    <t>dodávka a montáž vč. izolační trubice, spon a lepicí pásky</t>
  </si>
  <si>
    <t>194</t>
  </si>
  <si>
    <t>722181233RT6</t>
  </si>
  <si>
    <t>Izolace návleková PE, TUBEX, tl. stěny 15 mm, vnitřní průměr 18 mm</t>
  </si>
  <si>
    <t>195</t>
  </si>
  <si>
    <t>722181233RT7</t>
  </si>
  <si>
    <t>Izolace návleková PE, TUBEX, tl. stěny 15 mm, vnitřní průměr 22 mm</t>
  </si>
  <si>
    <t>196</t>
  </si>
  <si>
    <t>767883111RT1</t>
  </si>
  <si>
    <t>Objímka kovová jednošroubová, rozměr 20-23, kombivrut + hmoždinka</t>
  </si>
  <si>
    <t>pro potrubí 22x1</t>
  </si>
  <si>
    <t>197</t>
  </si>
  <si>
    <t>733999VD</t>
  </si>
  <si>
    <t>Ostatní a drobný montážní materiál vč. montáže</t>
  </si>
  <si>
    <t>rozvod potrubí</t>
  </si>
  <si>
    <t>198</t>
  </si>
  <si>
    <t>734263313R00</t>
  </si>
  <si>
    <t>Šroubení topenářské, přímé, SP603, DN 20</t>
  </si>
  <si>
    <t>199</t>
  </si>
  <si>
    <t>734263314R00</t>
  </si>
  <si>
    <t>Šroubení topenářské, přímé, SP603, DN 25</t>
  </si>
  <si>
    <t>200</t>
  </si>
  <si>
    <t>733171225R00</t>
  </si>
  <si>
    <t>Potrubí pro vytápění, vícevrstvé, předizolované, PEX s izolací PUR, 2x32x2,9, JR 32+32/111, DUO SDR 11</t>
  </si>
  <si>
    <t>201</t>
  </si>
  <si>
    <t>Smršťovací návlek, DUO 20-50/111-150, 209966001</t>
  </si>
  <si>
    <t>příslušenství k předizol. potrubí PEX s izolací PUR</t>
  </si>
  <si>
    <t>202</t>
  </si>
  <si>
    <t>Přechod s vnějším závitem, 32x4,4-R1, 313 058 001</t>
  </si>
  <si>
    <t>203</t>
  </si>
  <si>
    <t>Násuvná objímka, 32x4,4, 137 166 001</t>
  </si>
  <si>
    <t>204</t>
  </si>
  <si>
    <t>Mosazná zátka 1" s vnějším závitem</t>
  </si>
  <si>
    <t>205</t>
  </si>
  <si>
    <t>722235112R00</t>
  </si>
  <si>
    <t>Kohout kulový R910, páčka, DN 20 mm</t>
  </si>
  <si>
    <t>206</t>
  </si>
  <si>
    <t>Vypouštěcí kohout s kovovou páčkou R608D, DN 15 mm</t>
  </si>
  <si>
    <t>207</t>
  </si>
  <si>
    <t>Napouštěcí automatický ventil bez man, DN 15 mm, R150M</t>
  </si>
  <si>
    <t>208</t>
  </si>
  <si>
    <t>722181245R00</t>
  </si>
  <si>
    <t>Minerální vlna s hliníkovou fólií, vnitřní průměr 22 mm, tl. stěny 20 mm, vinuté pouzdro</t>
  </si>
  <si>
    <t>položka obsahuje i lepicí Al pásku</t>
  </si>
  <si>
    <t>209</t>
  </si>
  <si>
    <t>Demontáž původních rozvodů ÚT</t>
  </si>
  <si>
    <t>210</t>
  </si>
  <si>
    <t>Tlaková zkouška - otopná soustava</t>
  </si>
  <si>
    <t>211</t>
  </si>
  <si>
    <t>Topná zkouška - otopná soustava</t>
  </si>
  <si>
    <t>212</t>
  </si>
  <si>
    <t>213</t>
  </si>
  <si>
    <t>pro rozvod potrubí, otopná tělesa a kotelnu</t>
  </si>
  <si>
    <t>735</t>
  </si>
  <si>
    <t>Otopná tělesa</t>
  </si>
  <si>
    <t>214</t>
  </si>
  <si>
    <t>735157269R00</t>
  </si>
  <si>
    <t>Otopné těleso panelové 11 VKM8/600, 11-060040-S0, výkon 392 W</t>
  </si>
  <si>
    <t>735_</t>
  </si>
  <si>
    <t>215</t>
  </si>
  <si>
    <t>735157271R00</t>
  </si>
  <si>
    <t>Otopné těleso panelové 11 VKM8/600, 11-060050-S0, výkon 490 W</t>
  </si>
  <si>
    <t>216</t>
  </si>
  <si>
    <t>735157687R00</t>
  </si>
  <si>
    <t>Otopné těleso panelové 21 VKM8/900, 21-090060-S0, výkon 1081 W</t>
  </si>
  <si>
    <t>217</t>
  </si>
  <si>
    <t>735157692R00</t>
  </si>
  <si>
    <t>Otopné těleso panelové 21 VKM8/900, 21-090140-S0, výkon 2523 W</t>
  </si>
  <si>
    <t>218</t>
  </si>
  <si>
    <t>735157669R00</t>
  </si>
  <si>
    <t>Otopné těleso panelové 22 VKM8/600, 22-060050-S0, výkon 840 W</t>
  </si>
  <si>
    <t>219</t>
  </si>
  <si>
    <t>735157689R00</t>
  </si>
  <si>
    <t>Otopné těleso panelové 22 VKM8/900, 22-090060-S0, výkon 1401 W</t>
  </si>
  <si>
    <t>220</t>
  </si>
  <si>
    <t>Otopné těleso panelové 22 VKM8/900, 22-090110-S0, výkon 2569 W</t>
  </si>
  <si>
    <t>221</t>
  </si>
  <si>
    <t>735156667R0</t>
  </si>
  <si>
    <t>Montáž otopných těles</t>
  </si>
  <si>
    <t>222</t>
  </si>
  <si>
    <t>734221672RT0</t>
  </si>
  <si>
    <t>Hlavice ovládání ventilů termostatická B, M30x1,5</t>
  </si>
  <si>
    <t>223</t>
  </si>
  <si>
    <t>734221672RT1</t>
  </si>
  <si>
    <t>Hlavice ruční s rýhovanou maticí, M30x1,5, 2001-00.325</t>
  </si>
  <si>
    <t>224</t>
  </si>
  <si>
    <t>734266422R00</t>
  </si>
  <si>
    <t>Šroubení uz. dvoutr. s vyp. přímé, Vekolux, Rp1/2</t>
  </si>
  <si>
    <t>225</t>
  </si>
  <si>
    <t>735999VD</t>
  </si>
  <si>
    <t>Svěrné šroubení G3/4, 3831-15.351</t>
  </si>
  <si>
    <t>226</t>
  </si>
  <si>
    <t>735291114R01</t>
  </si>
  <si>
    <t>Vypouštěcí přípravek G 3/4, 0311-00.102</t>
  </si>
  <si>
    <t>227</t>
  </si>
  <si>
    <t>764</t>
  </si>
  <si>
    <t>Konstrukce klempířské</t>
  </si>
  <si>
    <t>228</t>
  </si>
  <si>
    <t>764817158R00</t>
  </si>
  <si>
    <t>Oplechování zdí (atik) z lak.Pz plechu, rš 770 mm (KL03)</t>
  </si>
  <si>
    <t>764_</t>
  </si>
  <si>
    <t>76_</t>
  </si>
  <si>
    <t>229</t>
  </si>
  <si>
    <t>764817140R00</t>
  </si>
  <si>
    <t>Oplechování zdí (atik) z lak. Pz plechu, rš 500 mm (KL06)</t>
  </si>
  <si>
    <t>230</t>
  </si>
  <si>
    <t>764816420R01</t>
  </si>
  <si>
    <t>Okapnice z lakovaného Pz plechu, rš 430 mm (KL04)</t>
  </si>
  <si>
    <t>231</t>
  </si>
  <si>
    <t>764811201R00</t>
  </si>
  <si>
    <t>Krytina hladká z lak. Pz tabulí, do 30°</t>
  </si>
  <si>
    <t>232</t>
  </si>
  <si>
    <t>764421930R00</t>
  </si>
  <si>
    <t>Oplechování boční krytiny hladké, lak. Pz plech, rš 200 mm</t>
  </si>
  <si>
    <t>233</t>
  </si>
  <si>
    <t>764410010RAB</t>
  </si>
  <si>
    <t>Oplechování parapetů z lak. Pz plechu, rš 340 mm</t>
  </si>
  <si>
    <t>dodávka a montáž vnějších parapetů</t>
  </si>
  <si>
    <t>234</t>
  </si>
  <si>
    <t>764718104R00</t>
  </si>
  <si>
    <t>Žlab podokapní půlkruh. z lakovaného Pz plechu lak., rš 330 mm</t>
  </si>
  <si>
    <t>235</t>
  </si>
  <si>
    <t>764551603R00</t>
  </si>
  <si>
    <t>Svod z lak. Pz plechu, kruhový, D 100 mm</t>
  </si>
  <si>
    <t>vč. upev. objímek, spodního kolena, napojení</t>
  </si>
  <si>
    <t>236</t>
  </si>
  <si>
    <t>764257701R00</t>
  </si>
  <si>
    <t>Oprava žlabů - napojení stávajícího a nového žlabu hlavní střechy</t>
  </si>
  <si>
    <t>237</t>
  </si>
  <si>
    <t>764391151R01</t>
  </si>
  <si>
    <t>Oplechování prostupu potrubí či komínu, lak. Pz plech</t>
  </si>
  <si>
    <t>238</t>
  </si>
  <si>
    <t>764999VD</t>
  </si>
  <si>
    <t>Drobné klempířské konstrukce a práce</t>
  </si>
  <si>
    <t>766</t>
  </si>
  <si>
    <t>Konstrukce truhlářské a vybavení</t>
  </si>
  <si>
    <t>239</t>
  </si>
  <si>
    <t>766416141R00</t>
  </si>
  <si>
    <t>Obložení stěn aglomer. deskami LDTD tl. 19 mm, , design šedá krupice</t>
  </si>
  <si>
    <t>766_</t>
  </si>
  <si>
    <t>vč. podklad. roštu</t>
  </si>
  <si>
    <t>240</t>
  </si>
  <si>
    <t>766660211RA0</t>
  </si>
  <si>
    <t>Dveře interiérové jednokřídlové, CPL, bez zárubní a stěn. pouzder</t>
  </si>
  <si>
    <t>specifikace  viz. tabulka výplní otvorů pol.č. 01-07</t>
  </si>
  <si>
    <t>241</t>
  </si>
  <si>
    <t>787706911R01</t>
  </si>
  <si>
    <t>Přípl. za konstr. ve voděodolném provedení - dveře</t>
  </si>
  <si>
    <t>242</t>
  </si>
  <si>
    <t>553308401</t>
  </si>
  <si>
    <t>Zárubeň ocelová HR, 80/197, hranatý profil, 2-rámová (obložková), nátěr zk. barvou</t>
  </si>
  <si>
    <t>243</t>
  </si>
  <si>
    <t>Zárubeň ocelová HR, 70/197, hranatý profil, 2-rámová (obložková), nátěr zk. barvou</t>
  </si>
  <si>
    <t>244</t>
  </si>
  <si>
    <t>642942211R00</t>
  </si>
  <si>
    <t>Osazení zárubně ocelové obložkové</t>
  </si>
  <si>
    <t>245</t>
  </si>
  <si>
    <t>642941111R00</t>
  </si>
  <si>
    <t>Pouzdro pro posuvné dveře jednostranné 80/197, do zdiva</t>
  </si>
  <si>
    <t>kovové pouzdro pro posuvné dveře 1-kř.</t>
  </si>
  <si>
    <t>246</t>
  </si>
  <si>
    <t>642941110R00</t>
  </si>
  <si>
    <t>Osazení pouzdra pro posuv. dveře jednostr.,do zdiva</t>
  </si>
  <si>
    <t>kovové pouzdro pro posuvné dveře 1-kř</t>
  </si>
  <si>
    <t>247</t>
  </si>
  <si>
    <t>775981112RU1</t>
  </si>
  <si>
    <t>Lišta hliníková přechodová, výška rektif. do 10 mm</t>
  </si>
  <si>
    <t>spec. viz. TZ</t>
  </si>
  <si>
    <t>248</t>
  </si>
  <si>
    <t>766670021R00</t>
  </si>
  <si>
    <t>Montáž dveřních kování</t>
  </si>
  <si>
    <t>249</t>
  </si>
  <si>
    <t>54914621R02</t>
  </si>
  <si>
    <t>Dveřní kování, klika-klika, mat. nerez</t>
  </si>
  <si>
    <t>kování pro standardní dveře</t>
  </si>
  <si>
    <t>250</t>
  </si>
  <si>
    <t>54914621R01</t>
  </si>
  <si>
    <t>Dveřní kování pro posuvné dveře s uzamykáním, mat. nerez</t>
  </si>
  <si>
    <t>251</t>
  </si>
  <si>
    <t>54914621R03</t>
  </si>
  <si>
    <t>Dveřní kování, wc zámek, mat. nerez, bezp. otevření z obou stran</t>
  </si>
  <si>
    <t>252</t>
  </si>
  <si>
    <t>767649191R01</t>
  </si>
  <si>
    <t>Montáž a dodávka doplňků dveří, samozavírač hydraulický s aretací</t>
  </si>
  <si>
    <t>2x šatny, 1x vstup</t>
  </si>
  <si>
    <t>253</t>
  </si>
  <si>
    <t>42972865R1</t>
  </si>
  <si>
    <t>Mřížka čtyřhranná Al, 100x400 mm, set do dveří</t>
  </si>
  <si>
    <t>254</t>
  </si>
  <si>
    <t>Montáž mřížky větrací nebo ventilační do 0,10 m2</t>
  </si>
  <si>
    <t>255</t>
  </si>
  <si>
    <t>766810010R01</t>
  </si>
  <si>
    <t>Zrcadlo lepené na stěnu - 120x50 cm</t>
  </si>
  <si>
    <t>zabroušené hryny, dodávka a montáž</t>
  </si>
  <si>
    <t>256</t>
  </si>
  <si>
    <t>55149023</t>
  </si>
  <si>
    <t>Dávkovač tekutého mýdla 400 ml, nerez</t>
  </si>
  <si>
    <t>257</t>
  </si>
  <si>
    <t>55149001</t>
  </si>
  <si>
    <t>Zásobník toaletního papíru maxi,nerez</t>
  </si>
  <si>
    <t>258</t>
  </si>
  <si>
    <t>55149050</t>
  </si>
  <si>
    <t>WC souprava na čištění toalet (kartáč + nádoba + držák)</t>
  </si>
  <si>
    <t>259</t>
  </si>
  <si>
    <t>55149050R02</t>
  </si>
  <si>
    <t>Šatní věšák na dveře/zeď - dvojháček, nerez</t>
  </si>
  <si>
    <t>wc dveře v kabinách, sprchy</t>
  </si>
  <si>
    <t>260</t>
  </si>
  <si>
    <t>766810010RAC</t>
  </si>
  <si>
    <t>Kuchyňské linky dodávka</t>
  </si>
  <si>
    <t>linka délky 185 cm, 2x vrchní skříňka výklopná, 1x dřezová spodní skříňka s dvířky, 1x šuplíková skříňka (vrchní pořadač na příbory)</t>
  </si>
  <si>
    <t>261</t>
  </si>
  <si>
    <t>766810010R04</t>
  </si>
  <si>
    <t>El. sporák, 2x varná plotna (1x 1000W, 1x 2000W), zabudovatelná</t>
  </si>
  <si>
    <t>char. výrobek např. Appetito Domino elektrická varná deska</t>
  </si>
  <si>
    <t>262</t>
  </si>
  <si>
    <t>766810010R03</t>
  </si>
  <si>
    <t>Mikrovln. trouba. nerez, varný prostor 20 l, 5 úrovní výkonu</t>
  </si>
  <si>
    <t>char. výrobek např. MORA MT 121 S</t>
  </si>
  <si>
    <t>263</t>
  </si>
  <si>
    <t>766812114R00</t>
  </si>
  <si>
    <t>Montáž kuchyňských linek dřevěných linek š.do 2,1m</t>
  </si>
  <si>
    <t>264</t>
  </si>
  <si>
    <t>Chladnička s mrazákem, 1kř., výška 140 cm, objem chladničky 230 l / mrazničky 21 l</t>
  </si>
  <si>
    <t>265</t>
  </si>
  <si>
    <t>766810010R02</t>
  </si>
  <si>
    <t>Šatní skříňka s lavičkou, 2-dveřová, šedé dveře, cylindrický zámek, 1875 x 600 x 500/800 mm</t>
  </si>
  <si>
    <t>konstr. svařovaná, dveře plechové, větrání</t>
  </si>
  <si>
    <t>266</t>
  </si>
  <si>
    <t>7660999VD</t>
  </si>
  <si>
    <t>Nástěnný vysoušeč obuvi na 4 páry bot, 32x117x30 cm, 300W, 230V</t>
  </si>
  <si>
    <t>dodávka a montáž vč. upevňovacího materiálu</t>
  </si>
  <si>
    <t>267</t>
  </si>
  <si>
    <t>766670029RA0</t>
  </si>
  <si>
    <t>Okno plastové, ext.b. zelená, int.b. bílá, TI 3-sklo,  komor. rám, Uw=0,9 W/m2K, nerez kování</t>
  </si>
  <si>
    <t>specifikace vč. druhu skla (conex+mléčné provedení) viz. výkres D.1.1.b.6. - Tabulka výplní otvorů</t>
  </si>
  <si>
    <t>268</t>
  </si>
  <si>
    <t>611655032R1</t>
  </si>
  <si>
    <t>Dveře plastové, ext.b. zelená, int.b. bílá, TI sklo conex, Uw=1,2 W/m2K, nerez panikové kování (el. zámek)</t>
  </si>
  <si>
    <t>specifikace vč. druhu skla viz. výkres D.1.1.b.6. - Tabulka výplní otvorů</t>
  </si>
  <si>
    <t>269</t>
  </si>
  <si>
    <t>766711021RT1</t>
  </si>
  <si>
    <t>Montáž vstupních dveří s vypěněním</t>
  </si>
  <si>
    <t>na turbošrouby</t>
  </si>
  <si>
    <t>270</t>
  </si>
  <si>
    <t>073111242RA0</t>
  </si>
  <si>
    <t>Vnitřní parapet, laminátová parapetní deska - dodávka a montáž</t>
  </si>
  <si>
    <t>vnitřní parapet včetně krytek, vyrovnání podkladu, hloubka ostění do 300 mm</t>
  </si>
  <si>
    <t>771</t>
  </si>
  <si>
    <t>Podlahy z dlaždic</t>
  </si>
  <si>
    <t>271</t>
  </si>
  <si>
    <t>711212002RW4</t>
  </si>
  <si>
    <t>Stěrka hydroizolační, dvousložková, flexibilní, 2x</t>
  </si>
  <si>
    <t>771_</t>
  </si>
  <si>
    <t>77_</t>
  </si>
  <si>
    <t>včetně dodávky materiálu</t>
  </si>
  <si>
    <t>272</t>
  </si>
  <si>
    <t>771101121R00</t>
  </si>
  <si>
    <t>Provedení penetrace podkladu pod dlažby</t>
  </si>
  <si>
    <t>vč. dodávky penetrace</t>
  </si>
  <si>
    <t>273</t>
  </si>
  <si>
    <t>771212117R00</t>
  </si>
  <si>
    <t>Kladení dlažby keramické do TM, vel. do 600x600 mm</t>
  </si>
  <si>
    <t>vč. spárování (b. tm. šedá) a tmelení</t>
  </si>
  <si>
    <t>274</t>
  </si>
  <si>
    <t>59764220</t>
  </si>
  <si>
    <t>Dlažba slinutá hladká protiskluzná 300x300x7-9 mm, b. tm. šedá</t>
  </si>
  <si>
    <t>slinuté neglaz. obkladové prvky pro vysoké až extrem. mechan. namáhání, obrusu a znečištění</t>
  </si>
  <si>
    <t>275</t>
  </si>
  <si>
    <t>771445014R00</t>
  </si>
  <si>
    <t>Obklad soklíků hutných, rovných, tmel, v. do 100 mm</t>
  </si>
  <si>
    <t>276</t>
  </si>
  <si>
    <t>771479001R00</t>
  </si>
  <si>
    <t>Řezání dlaždic keramických pro soklíky</t>
  </si>
  <si>
    <t>277</t>
  </si>
  <si>
    <t>pro výrobu (nařezání) soklíků</t>
  </si>
  <si>
    <t>776</t>
  </si>
  <si>
    <t>Podlahy povlakové</t>
  </si>
  <si>
    <t>278</t>
  </si>
  <si>
    <t>776521200RV2</t>
  </si>
  <si>
    <t>Lepení povlakových podlah z dílců PVC a CV (vinyl)</t>
  </si>
  <si>
    <t>776_</t>
  </si>
  <si>
    <t>včetně vinylové podlahoviny do tl. 2,5 mm, nášlapná vrstva 0,55 mm, tř. zátěže +42</t>
  </si>
  <si>
    <t>279</t>
  </si>
  <si>
    <t>776421100RU1</t>
  </si>
  <si>
    <t>Lepení podlahových soklíků z PVC a vinylu</t>
  </si>
  <si>
    <t>včetně dodávky soklíku PVC</t>
  </si>
  <si>
    <t>781</t>
  </si>
  <si>
    <t>Obklady (keramické)</t>
  </si>
  <si>
    <t>280</t>
  </si>
  <si>
    <t>781101142R00</t>
  </si>
  <si>
    <t>Hydroizolační stěrka dvouvrstvá pod obklady</t>
  </si>
  <si>
    <t>781_</t>
  </si>
  <si>
    <t>78_</t>
  </si>
  <si>
    <t>281</t>
  </si>
  <si>
    <t>781475120R00</t>
  </si>
  <si>
    <t>Obklad vnitřní stěn keramický, do tmele, do 30x60 cm</t>
  </si>
  <si>
    <t>vč. spárovací hmoty b. sv. šedá</t>
  </si>
  <si>
    <t>282</t>
  </si>
  <si>
    <t>597813710</t>
  </si>
  <si>
    <t>Obkládačka keram., 30x60 cm, povrch mat, b. šedá+modrá+oranž.</t>
  </si>
  <si>
    <t>keramické obkladové prvky</t>
  </si>
  <si>
    <t>283</t>
  </si>
  <si>
    <t>781419705RT3</t>
  </si>
  <si>
    <t>Příplatek za spárovací hmotu - plošně, pórovin.obklad</t>
  </si>
  <si>
    <t>284</t>
  </si>
  <si>
    <t>775981112RS1</t>
  </si>
  <si>
    <t>Lišta hliníková pro keram. obklad</t>
  </si>
  <si>
    <t>obklad tl. 8-9 mm, vč. montáže</t>
  </si>
  <si>
    <t>784</t>
  </si>
  <si>
    <t>Malby</t>
  </si>
  <si>
    <t>285</t>
  </si>
  <si>
    <t>784191101R00</t>
  </si>
  <si>
    <t>Penetrace podkladu univerzální 1x</t>
  </si>
  <si>
    <t>784_</t>
  </si>
  <si>
    <t>286</t>
  </si>
  <si>
    <t>784195212R00</t>
  </si>
  <si>
    <t>Malba stěn a stropů, bílá, bez penetrace, 2x</t>
  </si>
  <si>
    <t>např. Primalex Plus</t>
  </si>
  <si>
    <t>Hodinové zúčtovací sazby (HZS)</t>
  </si>
  <si>
    <t>287</t>
  </si>
  <si>
    <t>900      R01</t>
  </si>
  <si>
    <t>HZS - práce kompletační a jinde neuvedené</t>
  </si>
  <si>
    <t>h</t>
  </si>
  <si>
    <t>90_</t>
  </si>
  <si>
    <t>9_</t>
  </si>
  <si>
    <t>stavební dělník v tarifní třídě 4</t>
  </si>
  <si>
    <t>Lešení a stavební výtahy</t>
  </si>
  <si>
    <t>288</t>
  </si>
  <si>
    <t>941955002R00</t>
  </si>
  <si>
    <t>Lešení lehké pomocné, výška podlahy do 1,9 m</t>
  </si>
  <si>
    <t>94_</t>
  </si>
  <si>
    <t>289</t>
  </si>
  <si>
    <t>941940031RAB</t>
  </si>
  <si>
    <t>Lešení lehké fasádní, š. 1 m, výška do 10 m</t>
  </si>
  <si>
    <t>montáž, demontáž, doprava, pronájem 2 měsíce</t>
  </si>
  <si>
    <t>290</t>
  </si>
  <si>
    <t>944946111RT2</t>
  </si>
  <si>
    <t>Textílie ochranná na kci lešení - montáž a demontáž</t>
  </si>
  <si>
    <t>včetně dodávky textílie</t>
  </si>
  <si>
    <t>Různé dokončovací konstrukce a práce na pozemních stavbách</t>
  </si>
  <si>
    <t>291</t>
  </si>
  <si>
    <t>952901111R00</t>
  </si>
  <si>
    <t>Vyčištění budov o výšce podlaží do 4 m</t>
  </si>
  <si>
    <t>95_</t>
  </si>
  <si>
    <t>stavební úklid</t>
  </si>
  <si>
    <t>292</t>
  </si>
  <si>
    <t>275316131R00</t>
  </si>
  <si>
    <t>Základ. patky z betonu prostého vodostaveb. C 25/30</t>
  </si>
  <si>
    <t>přístřešek</t>
  </si>
  <si>
    <t>293</t>
  </si>
  <si>
    <t>69742500</t>
  </si>
  <si>
    <t>Rohož - čisticí zóna vnější u vstupu, 100x60 cm</t>
  </si>
  <si>
    <t xml:space="preserve">Kovová Pz rohož vč. rámu, vaničky, roštu </t>
  </si>
  <si>
    <t>294</t>
  </si>
  <si>
    <t>953941321R00</t>
  </si>
  <si>
    <t>Osazení železných rohoží s rámy o ploše do 1 m2</t>
  </si>
  <si>
    <t>295</t>
  </si>
  <si>
    <t>762330014RA0</t>
  </si>
  <si>
    <t>Konstrukce vázaná krovu z řeziva plochy do 288 cm2</t>
  </si>
  <si>
    <t>296</t>
  </si>
  <si>
    <t>762341230RT2</t>
  </si>
  <si>
    <t>Montáž bednění střech rovných, palubky pero-drážka</t>
  </si>
  <si>
    <t>včetně dodávky palubek tl. 19 mm</t>
  </si>
  <si>
    <t>297</t>
  </si>
  <si>
    <t>765799312RN2</t>
  </si>
  <si>
    <t>Montáž fólie na bednění přibitím</t>
  </si>
  <si>
    <t>vč. dodávky pojistné hydroizolace</t>
  </si>
  <si>
    <t>298</t>
  </si>
  <si>
    <t>299</t>
  </si>
  <si>
    <t>44984114</t>
  </si>
  <si>
    <t>Přístroj hasicí práškový Pg6</t>
  </si>
  <si>
    <t>hasicí schopnost 21A, 6 hasicích jednotek</t>
  </si>
  <si>
    <t>300</t>
  </si>
  <si>
    <t>953941312R00</t>
  </si>
  <si>
    <t>Osazení požárního hasicího přístroje na stěnu</t>
  </si>
  <si>
    <t>Položka neobsahue dodávku držáku hasicího přístroje (držák je součástí hasicího přístroje)</t>
  </si>
  <si>
    <t>301</t>
  </si>
  <si>
    <t>722212440R00</t>
  </si>
  <si>
    <t>Štítky orientační na zeď a konstr.</t>
  </si>
  <si>
    <t>rozsah viz. PBŘ</t>
  </si>
  <si>
    <t>302</t>
  </si>
  <si>
    <t>9500999VD</t>
  </si>
  <si>
    <t>Vchodová stříška, bezp. skla + nerez. rám, 2,50x0,80x0,17m</t>
  </si>
  <si>
    <t>303</t>
  </si>
  <si>
    <t>210220460R00</t>
  </si>
  <si>
    <t>Montáž pevného žebříku na střechu do 7 m výšky</t>
  </si>
  <si>
    <t>304</t>
  </si>
  <si>
    <t>553539012</t>
  </si>
  <si>
    <t>Žebřík revizní s přímým výstupem, výška 5,9 m, pozink</t>
  </si>
  <si>
    <t>kompletní sestava s protiskluz. úpravou příček</t>
  </si>
  <si>
    <t>305</t>
  </si>
  <si>
    <t>894431424RAA</t>
  </si>
  <si>
    <t>Revizní šachta 60x60 cm, dl. šach. roury max. 2,00 m</t>
  </si>
  <si>
    <t>nutno posoudit při realizaci díla ze strany investora a TDI</t>
  </si>
  <si>
    <t>Bourání konstrukcí</t>
  </si>
  <si>
    <t>306</t>
  </si>
  <si>
    <t>766421812R00</t>
  </si>
  <si>
    <t>Demontáž obložení stropu vč. omítky a dřev. konstrukce</t>
  </si>
  <si>
    <t>96_</t>
  </si>
  <si>
    <t>307</t>
  </si>
  <si>
    <t>962031143R00</t>
  </si>
  <si>
    <t>Bourání příček z tvárnic tl. 100 mm</t>
  </si>
  <si>
    <t>308</t>
  </si>
  <si>
    <t>962031145R00</t>
  </si>
  <si>
    <t>Bourání příček z tvárnic tl. 150 mm</t>
  </si>
  <si>
    <t>309</t>
  </si>
  <si>
    <t>971100021RAA</t>
  </si>
  <si>
    <t>Vybourání otvorů ve zdivu cihelném</t>
  </si>
  <si>
    <t>tloušťka 30 cm, překlad oceně samostatně</t>
  </si>
  <si>
    <t>310</t>
  </si>
  <si>
    <t>968061125R00</t>
  </si>
  <si>
    <t>Vyvěšení dřevěných dveřních křídel pl. do 2 m2</t>
  </si>
  <si>
    <t>311</t>
  </si>
  <si>
    <t>968072455R00</t>
  </si>
  <si>
    <t>Vybourání kovových dveřních zárubní pl. do 2 m2</t>
  </si>
  <si>
    <t>312</t>
  </si>
  <si>
    <t>968061126R00</t>
  </si>
  <si>
    <t>Vyvěšení dřevěných dveřních křídel pl. nad 2 m2</t>
  </si>
  <si>
    <t>313</t>
  </si>
  <si>
    <t>968072456R00</t>
  </si>
  <si>
    <t>Vybourání kovových dveřních zárubní pl. nad 2 m2</t>
  </si>
  <si>
    <t>314</t>
  </si>
  <si>
    <t>965081713R00</t>
  </si>
  <si>
    <t>Bourání dlažeb keramických tl.10 mm, nad 1 m2</t>
  </si>
  <si>
    <t>315</t>
  </si>
  <si>
    <t>978059531R00</t>
  </si>
  <si>
    <t>Odsekání vnitřních obkladů stěn nad 2 m2</t>
  </si>
  <si>
    <t>316</t>
  </si>
  <si>
    <t>630900020RAA</t>
  </si>
  <si>
    <t>Vybourání betonové mazaniny podlah</t>
  </si>
  <si>
    <t>tloušťka 7-10 cm</t>
  </si>
  <si>
    <t>317</t>
  </si>
  <si>
    <t>632441491R01</t>
  </si>
  <si>
    <t>Broušení stáv. beton. povrchů podlah</t>
  </si>
  <si>
    <t>318</t>
  </si>
  <si>
    <t>460080101RT1</t>
  </si>
  <si>
    <t>Rozbourání betonového základu</t>
  </si>
  <si>
    <t>vybourání soklu pod kotlem</t>
  </si>
  <si>
    <t>319</t>
  </si>
  <si>
    <t>962300012RA0</t>
  </si>
  <si>
    <t>Bourání komínů z cihel se dvěma průduchy</t>
  </si>
  <si>
    <t>320</t>
  </si>
  <si>
    <t>968019561R00</t>
  </si>
  <si>
    <t>Vybourání okenních výplní plochy do 4m2</t>
  </si>
  <si>
    <t>321</t>
  </si>
  <si>
    <t>968083012R00</t>
  </si>
  <si>
    <t>Vybourání vstupních dveří pl.nad 2 m2</t>
  </si>
  <si>
    <t>322</t>
  </si>
  <si>
    <t>HZS - bourání interiérového vybavení, zařizovacích předmětů apod.</t>
  </si>
  <si>
    <t>H01</t>
  </si>
  <si>
    <t>Budovy občanské výstavby</t>
  </si>
  <si>
    <t>323</t>
  </si>
  <si>
    <t>998011001R00</t>
  </si>
  <si>
    <t>Přesun hmot pro budovy zděné výšky do 6 m</t>
  </si>
  <si>
    <t>H01_</t>
  </si>
  <si>
    <t>M21</t>
  </si>
  <si>
    <t>Elektromontáže</t>
  </si>
  <si>
    <t>324</t>
  </si>
  <si>
    <t>2100999VD</t>
  </si>
  <si>
    <t>Stavební přípomoce pro skupiny M21, M21-1 až M21-4</t>
  </si>
  <si>
    <t>M21_</t>
  </si>
  <si>
    <t>průrazy do betonu, řezání drážek, výplň drážek, vykružování krabic atd.</t>
  </si>
  <si>
    <t>325</t>
  </si>
  <si>
    <t>Demontáž původních el. zařízení, rozvodů a svítidel</t>
  </si>
  <si>
    <t>326</t>
  </si>
  <si>
    <t>650516813R02</t>
  </si>
  <si>
    <t>Revize elektro</t>
  </si>
  <si>
    <t>327</t>
  </si>
  <si>
    <t>210201511R01</t>
  </si>
  <si>
    <t>Svítidlo vestavné LED panel 600x600 mm, 6400 lm, 50W, 230V, 4000K, mikroprizmatický kryt</t>
  </si>
  <si>
    <t>charakteristický výrobek MODUS Q LED panel QN3A600/1050ND</t>
  </si>
  <si>
    <t>328</t>
  </si>
  <si>
    <t>Svítidlo vestavné LED panel 600x600 mm s nouzovým modulem (1 hod), 6400 lm, 50W, 230V, 4000K, mikroprizmatický kryt</t>
  </si>
  <si>
    <t>329</t>
  </si>
  <si>
    <t>210201511R03</t>
  </si>
  <si>
    <t>Svítidlo LED kruhové přisazené svítidlo, kryt opál PMMA, IP44, prům. 285mm, 18W, 230V, 4000K</t>
  </si>
  <si>
    <t>charakteristický výrobek MODUS BRSB</t>
  </si>
  <si>
    <t>330</t>
  </si>
  <si>
    <t>34814160</t>
  </si>
  <si>
    <t>Svítidlo podhledové interiérové LED, 220x220 mm, 2300 lm, 24W, 230V, 4000K, IP44</t>
  </si>
  <si>
    <t>331</t>
  </si>
  <si>
    <t>210201511R04</t>
  </si>
  <si>
    <t>Svítidlo venkovní LED nástěnné 210x100x165 mm, 2000 lm, IP54, 3000/4000K, 230V</t>
  </si>
  <si>
    <t>charakteristický výrobek MODUS PL 5000</t>
  </si>
  <si>
    <t>332</t>
  </si>
  <si>
    <t>Svítidlo koupelnové LED nad zrcadlo, 400x120x40 mm, 640 lm, 45W, 230V, 4000K, IP44</t>
  </si>
  <si>
    <t>charakteristický výrobek LED koupelnové nástěnné svítidlo TREMOLO</t>
  </si>
  <si>
    <t>333</t>
  </si>
  <si>
    <t>Svítidlo nástěnné LED (kuchyňská linka), 900x70x22 mm, 2400 lm, 30W, 230V, 4000K, IP20</t>
  </si>
  <si>
    <t>charakteristický výrobek Rabalux Batten Light 1452</t>
  </si>
  <si>
    <t>334</t>
  </si>
  <si>
    <t>Poplatek za likvidaci EO (svítidla)</t>
  </si>
  <si>
    <t>335</t>
  </si>
  <si>
    <t>650101511R00</t>
  </si>
  <si>
    <t>Montáž LED svítidla stropního vestavného</t>
  </si>
  <si>
    <t>336</t>
  </si>
  <si>
    <t>650101571R00</t>
  </si>
  <si>
    <t>Montáž LED svítidla nástěnného přisazeného</t>
  </si>
  <si>
    <t>337</t>
  </si>
  <si>
    <t>650101631R00</t>
  </si>
  <si>
    <t>Montáž LED svítidla podlinkového</t>
  </si>
  <si>
    <t>338</t>
  </si>
  <si>
    <t>Drobný montážní materiál vč. montáže</t>
  </si>
  <si>
    <t>svítidla</t>
  </si>
  <si>
    <t>339</t>
  </si>
  <si>
    <t>210010004RU3</t>
  </si>
  <si>
    <t>Trubka ohebná pod omítku, vnější průměr 32 mm</t>
  </si>
  <si>
    <t>včetně dodávky Super Monoflex 1232 - příprava SLB</t>
  </si>
  <si>
    <t>340</t>
  </si>
  <si>
    <t>210010003RU3</t>
  </si>
  <si>
    <t>Trubka ohebná pod omítku, vnější průměr 25 mm</t>
  </si>
  <si>
    <t>včetně dodávky Super Monoflex 1225 - příprava SLB</t>
  </si>
  <si>
    <t>M21-1</t>
  </si>
  <si>
    <t>Elektromontáže (podružná rozvodnice RP)</t>
  </si>
  <si>
    <t>341</t>
  </si>
  <si>
    <t>220110568R01</t>
  </si>
  <si>
    <t>Montáž a dodávka zapuštěné oceloplech. rozvodnicové skříně, 72 modulů, plech. dvířka vč. krytů, nulových a ochr. svorkovnic</t>
  </si>
  <si>
    <t>M21-1_</t>
  </si>
  <si>
    <t>rozměr 600x600x150 mm, IP40</t>
  </si>
  <si>
    <t>342</t>
  </si>
  <si>
    <t>Vypínač MSN 80/3</t>
  </si>
  <si>
    <t>343</t>
  </si>
  <si>
    <t>650062611R00</t>
  </si>
  <si>
    <t>Montáž a dodávka jističe 1P do 25 A - B16/1 6kA</t>
  </si>
  <si>
    <t>344</t>
  </si>
  <si>
    <t>Montáž a dodávka jističe 1P do 25 A - C16/1 6kA</t>
  </si>
  <si>
    <t>345</t>
  </si>
  <si>
    <t>Montáž a dodávka jističe 1P do 25 A - B10/1 6kA</t>
  </si>
  <si>
    <t>346</t>
  </si>
  <si>
    <t>Montáž a dodávka jističe 1P do 25 A - B6/1 6kA</t>
  </si>
  <si>
    <t>347</t>
  </si>
  <si>
    <t>650062641R00</t>
  </si>
  <si>
    <t>Montáž a dodávka jističe 3P do 25 A - B25/3 6kA</t>
  </si>
  <si>
    <t>348</t>
  </si>
  <si>
    <t>Montáž a dodávka jističe 3P do 25 A - B16/3 6kA</t>
  </si>
  <si>
    <t>349</t>
  </si>
  <si>
    <t>Jistič s proudovým chráničem B10/2/003-A  10kA</t>
  </si>
  <si>
    <t>350</t>
  </si>
  <si>
    <t>Proudový chránič  40-4-003/AC</t>
  </si>
  <si>
    <t>351</t>
  </si>
  <si>
    <t>Nulová svorkovnice 15 svorek</t>
  </si>
  <si>
    <t>352</t>
  </si>
  <si>
    <t>Propojovací lišta 3f - 63A / 16mm2 - 54 vývodů</t>
  </si>
  <si>
    <t>353</t>
  </si>
  <si>
    <t>222301421R00</t>
  </si>
  <si>
    <t>Svodič přepětí B+C/3 TN-C</t>
  </si>
  <si>
    <t>354</t>
  </si>
  <si>
    <t>Vodiče na propojení, odbočení, svorky, apod.</t>
  </si>
  <si>
    <t>355</t>
  </si>
  <si>
    <t>356</t>
  </si>
  <si>
    <t>Připojení přívodního kabelu z HR do RP po nový jistič</t>
  </si>
  <si>
    <t>357</t>
  </si>
  <si>
    <t>Připojení, zprovoznění, dokumentace (RP)</t>
  </si>
  <si>
    <t>M21-2</t>
  </si>
  <si>
    <t>Elektromontáže (instalační materiál)</t>
  </si>
  <si>
    <t>358</t>
  </si>
  <si>
    <t>210110001RT2</t>
  </si>
  <si>
    <t>Spínač jednopól.- řaz. 1, bílý</t>
  </si>
  <si>
    <t>M21-2_</t>
  </si>
  <si>
    <t>včetně dodávky spínače</t>
  </si>
  <si>
    <t>359</t>
  </si>
  <si>
    <t>210110004RT1</t>
  </si>
  <si>
    <t>Spínač střídavý - řaz. 6, bílý</t>
  </si>
  <si>
    <t>360</t>
  </si>
  <si>
    <t>371661030</t>
  </si>
  <si>
    <t>Čidlo pohybu PIR 360°, bílý, nástěnný</t>
  </si>
  <si>
    <t>361</t>
  </si>
  <si>
    <t>650072611R00</t>
  </si>
  <si>
    <t>Montáž čidla pohybu nástěnného a stropního přisazeného</t>
  </si>
  <si>
    <t>362</t>
  </si>
  <si>
    <t>210111011RT2</t>
  </si>
  <si>
    <t>Zásuvka zapuštěná, 230V/16A, bílá</t>
  </si>
  <si>
    <t>včetně dodávky zásuvky</t>
  </si>
  <si>
    <t>363</t>
  </si>
  <si>
    <t>210111135R01</t>
  </si>
  <si>
    <t>Zásuvka zapuštěná 230V/16A, IP44, bílá</t>
  </si>
  <si>
    <t>364</t>
  </si>
  <si>
    <t>210111011RT7</t>
  </si>
  <si>
    <t>Zásuvka dvojnásobná zapuštěná, 230V/16A, bílá</t>
  </si>
  <si>
    <t>365</t>
  </si>
  <si>
    <t>650012141R00</t>
  </si>
  <si>
    <t>Krabice instalační A11 OBO se zapojením</t>
  </si>
  <si>
    <t>dodávka a montáž krabice</t>
  </si>
  <si>
    <t>366</t>
  </si>
  <si>
    <t>210010326RT2</t>
  </si>
  <si>
    <t>Krabice rozvodná s víčkem a svorkami, kruhová, KU 68-1903</t>
  </si>
  <si>
    <t>367</t>
  </si>
  <si>
    <t>210010344RT1</t>
  </si>
  <si>
    <t>Krabice přístrojová KU 68, kruhová</t>
  </si>
  <si>
    <t>368</t>
  </si>
  <si>
    <t>650041121R00</t>
  </si>
  <si>
    <t>Montáž a dodávka ekvipotenciální svorkovnice EPS 2</t>
  </si>
  <si>
    <t>369</t>
  </si>
  <si>
    <t>210010315RT3</t>
  </si>
  <si>
    <t>Krabice odbočná KT 250/1 se zapojením</t>
  </si>
  <si>
    <t>370</t>
  </si>
  <si>
    <t>650010162R00</t>
  </si>
  <si>
    <t>Montáž elektroinstal. mřížového žlabu 100x50 mm</t>
  </si>
  <si>
    <t>dodávka a montáž el. kanálů včetně příslušenství (rohy, odbočky, spojky, zakončení atd.)</t>
  </si>
  <si>
    <t>371</t>
  </si>
  <si>
    <t>650010162R01</t>
  </si>
  <si>
    <t>Nástěnný/stropní držák 100 mm</t>
  </si>
  <si>
    <t>dodávka a montáž atd.)</t>
  </si>
  <si>
    <t>372</t>
  </si>
  <si>
    <t>210220321RT1</t>
  </si>
  <si>
    <t>Uzemňovací svorka na potrubí</t>
  </si>
  <si>
    <t>včetně dodávky svorky + Cu pásku</t>
  </si>
  <si>
    <t>373</t>
  </si>
  <si>
    <t>instalační materiál</t>
  </si>
  <si>
    <t>M21-3</t>
  </si>
  <si>
    <t>Elektromontáže (kabely a vodiče)</t>
  </si>
  <si>
    <t>374</t>
  </si>
  <si>
    <t>210800101RT1</t>
  </si>
  <si>
    <t>Kabel CYKY-O 2x1,5 mm2 uložený pod omítkou</t>
  </si>
  <si>
    <t>M21-3_</t>
  </si>
  <si>
    <t>včetně dodávky kabelu</t>
  </si>
  <si>
    <t>375</t>
  </si>
  <si>
    <t>210800105RT1</t>
  </si>
  <si>
    <t>Kabel CYKY-J 3x1,5 mm2 uložený pod omítkou</t>
  </si>
  <si>
    <t>376</t>
  </si>
  <si>
    <t>210800105RT2</t>
  </si>
  <si>
    <t>Kabel CYKY-O 3x1,5 mm2 uložený pod omítkou</t>
  </si>
  <si>
    <t>377</t>
  </si>
  <si>
    <t>210800106RT1</t>
  </si>
  <si>
    <t>Kabel CYKY-J 3x2,5 mm2 uložený pod omítkou</t>
  </si>
  <si>
    <t>378</t>
  </si>
  <si>
    <t>210800113RT1</t>
  </si>
  <si>
    <t>Kabel CYKY-J 4x10 mm2 uložený pod omítkou</t>
  </si>
  <si>
    <t>379</t>
  </si>
  <si>
    <t>210800118RT1</t>
  </si>
  <si>
    <t>Kabel CYKY-J 5x6 mm2 uložený pod omítkou</t>
  </si>
  <si>
    <t>380</t>
  </si>
  <si>
    <t>210800549RT1</t>
  </si>
  <si>
    <t>Vodič (CY) 16 mm2 uložený pevně</t>
  </si>
  <si>
    <t>včetně dodávky vodiče CY 16</t>
  </si>
  <si>
    <t>381</t>
  </si>
  <si>
    <t>210800547RT1</t>
  </si>
  <si>
    <t>Vodič (CY) 6 mm2 uložený pevně</t>
  </si>
  <si>
    <t>včetně dodávky vodiče CY 6</t>
  </si>
  <si>
    <t>382</t>
  </si>
  <si>
    <t>Prořez el. kabelů</t>
  </si>
  <si>
    <t>383</t>
  </si>
  <si>
    <t>S</t>
  </si>
  <si>
    <t>Přesuny sutí</t>
  </si>
  <si>
    <t>384</t>
  </si>
  <si>
    <t>979082111R00</t>
  </si>
  <si>
    <t>Vnitrostaveništní doprava suti do 10 m</t>
  </si>
  <si>
    <t>S_</t>
  </si>
  <si>
    <t>385</t>
  </si>
  <si>
    <t>979082121R00</t>
  </si>
  <si>
    <t>Příplatek k vnitrost. dopravě suti za dalších 5 m</t>
  </si>
  <si>
    <t>386</t>
  </si>
  <si>
    <t>979086112R00</t>
  </si>
  <si>
    <t>Nakládání nebo překládání suti a vybouraných hmot</t>
  </si>
  <si>
    <t>387</t>
  </si>
  <si>
    <t>979083117R00</t>
  </si>
  <si>
    <t>Vodorovné přemístění suti na skládku do 6000 m</t>
  </si>
  <si>
    <t>388</t>
  </si>
  <si>
    <t>979083191R00</t>
  </si>
  <si>
    <t>Příplatek za dalších započatých 1000 m nad 6000 m</t>
  </si>
  <si>
    <t>skládka Rynholec</t>
  </si>
  <si>
    <t>389</t>
  </si>
  <si>
    <t>979990107R00</t>
  </si>
  <si>
    <t>Poplatek za skládku suti - směs betonu, cihel, dřeva</t>
  </si>
  <si>
    <t>390</t>
  </si>
  <si>
    <t>9790999VD</t>
  </si>
  <si>
    <t>Poplatek za přistavění kontejneru na směs. odpad</t>
  </si>
  <si>
    <t>objem 9 m3, vč. skládkovného, dopravy, naložení</t>
  </si>
  <si>
    <t>Celkem:</t>
  </si>
  <si>
    <t>Poznámka:</t>
  </si>
  <si>
    <t>PD je vytvořena digitálním způsobem v programu AutoCAD. Výměry v rozpočtu jsou jeho zpracovatelem stanoveny dle digitálního modelu - funkce měření ploch, délek atd. Uchazeč ve všech listech neoceněného rozpočtového souboru může měnit pouze buňky se žlutým pozadím. Jedná se o údaje o uchazeči a zpracovateli ocenění rozpočtu včetně data zpracování, J.C. (Kč) položek zadané na maximálně dvě desetinná místa a dobu výstavby ve dnech.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</si>
  <si>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</si>
  <si>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</si>
  <si>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</si>
  <si>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</si>
  <si>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</si>
  <si>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</si>
  <si>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</si>
  <si>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Krycí list rozpočtu</t>
  </si>
  <si>
    <t>IČO/DIČ:</t>
  </si>
  <si>
    <t>00234923/CZ00234923</t>
  </si>
  <si>
    <t>26174936/CZ26174936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</si>
  <si>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</si>
  <si>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</si>
  <si>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</si>
  <si>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</si>
  <si>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</si>
  <si>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</si>
  <si>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</si>
  <si>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</si>
  <si>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</si>
  <si>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</si>
  <si>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</si>
  <si>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</si>
  <si>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</si>
  <si>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</si>
  <si>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</si>
  <si>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</si>
  <si>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</si>
  <si>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</si>
  <si>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</si>
  <si>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</si>
  <si>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</si>
  <si>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</si>
  <si>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</si>
  <si>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</si>
  <si>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</si>
  <si>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</si>
  <si>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</si>
  <si>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</si>
  <si>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</si>
  <si>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</si>
  <si>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</si>
  <si>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</si>
  <si>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</si>
  <si>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</si>
  <si>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</si>
  <si>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</si>
  <si>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</si>
  <si>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</si>
  <si>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</si>
  <si>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</si>
  <si>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</si>
  <si>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</si>
  <si>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</si>
  <si>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</si>
  <si>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</si>
  <si>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</si>
  <si>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</si>
  <si>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</si>
  <si>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</si>
  <si>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</si>
  <si>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</si>
  <si>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</si>
  <si>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</si>
  <si>
    <r>
      <t xml:space="preserve">Objímka jednošroubová pro PPR 20, kombivrut+hmoždinka, pro potrubí </t>
    </r>
    <r>
      <rPr>
        <sz val="10"/>
        <color rgb="FF000000"/>
        <rFont val="Calibri"/>
        <family val="2"/>
        <charset val="238"/>
      </rPr>
      <t xml:space="preserve">ø </t>
    </r>
    <r>
      <rPr>
        <sz val="10"/>
        <color rgb="FF000000"/>
        <rFont val="Arial"/>
        <charset val="238"/>
      </rPr>
      <t>20 - 23 mm</t>
    </r>
  </si>
  <si>
    <t>Objímka jednošroubová pro PPR 25, kombivrut+hmoždinka, pro potrubí ø 25 - 30 mm</t>
  </si>
  <si>
    <t>Objímka jednošroubová pro PPR 32, kombivrut+hmoždinka, pro potrubí ø 31 - 38 mm</t>
  </si>
  <si>
    <t>Zástěna sprchového koutu, bezp. mléčné sklo, nerez, 900 mm, 1-křídlo</t>
  </si>
  <si>
    <t>Zástěna sprchového koutu, bezp. mléčné sklo, 3-dílná, posuvná, 1900x1850 mm</t>
  </si>
  <si>
    <t>vč. likvidace, odvozu a souvisejících nákladů</t>
  </si>
  <si>
    <t>dodávka a montáž oplechování zdí a nadezdívek</t>
  </si>
  <si>
    <t>zhotovení, dodávka a montáž oplechování zdí a nadezdívek vč. spoj. materiálu</t>
  </si>
  <si>
    <t>dodávka a montáž podokap. půlkruh. žlabu pr. 100 mm vč. háků a čel</t>
  </si>
  <si>
    <t>odvětrání vnitřní kanalizace a komínku kotle</t>
  </si>
  <si>
    <t>přístřešek - dodávka a montáž, dimenze trámků viz. výkres č. D.1.1.b. 4.</t>
  </si>
  <si>
    <t>položka neobsahue dodávku držáku hasicího přístroje (držák je součástí hasicího přístroje)</t>
  </si>
  <si>
    <t>poklop s možností instalace vrchní dlažby/vinylu - osazení v místě napojení kanalizace m.č. 1.08 - dle rozhodnutí investora a TDI v průběhu stavby</t>
  </si>
  <si>
    <t>Svítidlo vestavné LED panel 600x600 mm, 6400 lm, 50W, 230V, 4000K, mikroprizmat. kryt</t>
  </si>
  <si>
    <t>Doba výstavby (dny):</t>
  </si>
  <si>
    <t>Ventilátor stropní odtah. d 100 mm, 230V, s čas. doběhem, IP24, výkon max. 98 m3/h</t>
  </si>
  <si>
    <t>Montáž expan. nádoby pro vodár.systémy, Refix DD 25/10 s armaturou flowjet G 3/4"</t>
  </si>
  <si>
    <t>Zhotovitel (uchazeč):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</si>
</sst>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2"/>
      <color rgb="FF000000"/>
      <name val="Arial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2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4" fontId="2" fillId="2" borderId="35" xfId="0" applyNumberFormat="1" applyFont="1" applyFill="1" applyBorder="1" applyAlignment="1">
      <alignment horizontal="right" vertical="center"/>
    </xf>
    <xf numFmtId="9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37" xfId="0" applyBorder="1"/>
    <xf numFmtId="0" fontId="0" fillId="0" borderId="38" xfId="0" applyBorder="1"/>
    <xf numFmtId="0" fontId="4" fillId="0" borderId="38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4" fontId="3" fillId="0" borderId="35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4" fontId="3" fillId="0" borderId="38" xfId="0" applyNumberFormat="1" applyFont="1" applyBorder="1" applyAlignment="1">
      <alignment horizontal="right" vertical="center"/>
    </xf>
    <xf numFmtId="4" fontId="3" fillId="0" borderId="39" xfId="0" applyNumberFormat="1" applyFont="1" applyBorder="1" applyAlignment="1">
      <alignment horizontal="right" vertical="center"/>
    </xf>
    <xf numFmtId="0" fontId="2" fillId="0" borderId="75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4" fontId="3" fillId="0" borderId="79" xfId="0" applyNumberFormat="1" applyFont="1" applyBorder="1" applyAlignment="1">
      <alignment horizontal="right" vertical="center"/>
    </xf>
    <xf numFmtId="0" fontId="3" fillId="0" borderId="79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right" vertical="center"/>
    </xf>
    <xf numFmtId="4" fontId="2" fillId="0" borderId="83" xfId="0" applyNumberFormat="1" applyFont="1" applyBorder="1" applyAlignment="1">
      <alignment horizontal="right" vertical="center"/>
    </xf>
    <xf numFmtId="0" fontId="11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4" fontId="9" fillId="0" borderId="52" xfId="0" applyNumberFormat="1" applyFont="1" applyBorder="1" applyAlignment="1">
      <alignment horizontal="right" vertical="center"/>
    </xf>
    <xf numFmtId="0" fontId="11" fillId="0" borderId="55" xfId="0" applyFont="1" applyBorder="1" applyAlignment="1">
      <alignment horizontal="left" vertical="center"/>
    </xf>
    <xf numFmtId="0" fontId="9" fillId="0" borderId="52" xfId="0" applyFont="1" applyBorder="1" applyAlignment="1">
      <alignment horizontal="right" vertical="center"/>
    </xf>
    <xf numFmtId="4" fontId="9" fillId="0" borderId="59" xfId="0" applyNumberFormat="1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4" fontId="9" fillId="0" borderId="50" xfId="0" applyNumberFormat="1" applyFont="1" applyBorder="1" applyAlignment="1">
      <alignment horizontal="right" vertical="center"/>
    </xf>
    <xf numFmtId="0" fontId="12" fillId="0" borderId="0" xfId="0" applyFont="1"/>
    <xf numFmtId="4" fontId="11" fillId="2" borderId="49" xfId="0" applyNumberFormat="1" applyFont="1" applyFill="1" applyBorder="1" applyAlignment="1">
      <alignment horizontal="right" vertical="center"/>
    </xf>
    <xf numFmtId="4" fontId="11" fillId="2" borderId="54" xfId="0" applyNumberFormat="1" applyFont="1" applyFill="1" applyBorder="1" applyAlignment="1">
      <alignment horizontal="right" vertical="center"/>
    </xf>
    <xf numFmtId="0" fontId="10" fillId="0" borderId="35" xfId="0" applyFont="1" applyBorder="1" applyAlignment="1">
      <alignment horizontal="left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4" fontId="9" fillId="0" borderId="8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11" fillId="2" borderId="61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53" xfId="0" applyFont="1" applyFill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4" fontId="6" fillId="0" borderId="84" xfId="0" applyNumberFormat="1" applyFont="1" applyBorder="1" applyAlignment="1">
      <alignment horizontal="right" vertical="center"/>
    </xf>
    <xf numFmtId="0" fontId="6" fillId="0" borderId="81" xfId="0" applyFont="1" applyBorder="1" applyAlignment="1">
      <alignment horizontal="right" vertical="center"/>
    </xf>
    <xf numFmtId="0" fontId="6" fillId="0" borderId="82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14" fontId="3" fillId="3" borderId="0" xfId="0" applyNumberFormat="1" applyFont="1" applyFill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/>
    </xf>
    <xf numFmtId="4" fontId="9" fillId="3" borderId="5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51"/>
  <sheetViews>
    <sheetView zoomScaleNormal="100" workbookViewId="0">
      <pane ySplit="11" topLeftCell="A12" activePane="bottomLeft" state="frozen"/>
      <selection pane="bottomLeft" activeCell="CA29" sqref="CA29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3.85546875" customWidth="1"/>
    <col min="4" max="4" width="42.85546875" customWidth="1"/>
    <col min="5" max="5" width="35.7109375" customWidth="1"/>
    <col min="6" max="6" width="7.5703125" customWidth="1"/>
    <col min="7" max="7" width="12.85546875" customWidth="1"/>
    <col min="8" max="8" width="12" customWidth="1"/>
    <col min="9" max="9" width="11.140625" customWidth="1"/>
    <col min="10" max="13" width="15.7109375" customWidth="1"/>
    <col min="14" max="14" width="5" customWidth="1"/>
    <col min="15" max="16" width="10.85546875" customWidth="1"/>
    <col min="17" max="17" width="12.5703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19" t="s">
        <v>1</v>
      </c>
      <c r="B2" s="111"/>
      <c r="C2" s="111"/>
      <c r="D2" s="123" t="s">
        <v>2</v>
      </c>
      <c r="E2" s="124"/>
      <c r="F2" s="111" t="s">
        <v>1473</v>
      </c>
      <c r="G2" s="111"/>
      <c r="H2" s="192" t="s">
        <v>3</v>
      </c>
      <c r="I2" s="110" t="s">
        <v>4</v>
      </c>
      <c r="J2" s="110" t="s">
        <v>5</v>
      </c>
      <c r="K2" s="111"/>
      <c r="L2" s="111"/>
      <c r="M2" s="111"/>
      <c r="N2" s="111"/>
      <c r="O2" s="111"/>
      <c r="P2" s="111"/>
      <c r="Q2" s="112"/>
    </row>
    <row r="3" spans="1:76" x14ac:dyDescent="0.25">
      <c r="A3" s="120"/>
      <c r="B3" s="90"/>
      <c r="C3" s="90"/>
      <c r="D3" s="125"/>
      <c r="E3" s="125"/>
      <c r="F3" s="90"/>
      <c r="G3" s="90"/>
      <c r="H3" s="187"/>
      <c r="I3" s="90"/>
      <c r="J3" s="90"/>
      <c r="K3" s="90"/>
      <c r="L3" s="90"/>
      <c r="M3" s="90"/>
      <c r="N3" s="90"/>
      <c r="O3" s="90"/>
      <c r="P3" s="90"/>
      <c r="Q3" s="113"/>
    </row>
    <row r="4" spans="1:76" x14ac:dyDescent="0.25">
      <c r="A4" s="121" t="s">
        <v>6</v>
      </c>
      <c r="B4" s="90"/>
      <c r="C4" s="90"/>
      <c r="D4" s="89" t="s">
        <v>7</v>
      </c>
      <c r="E4" s="90"/>
      <c r="F4" s="90" t="s">
        <v>8</v>
      </c>
      <c r="G4" s="90"/>
      <c r="H4" s="90" t="s">
        <v>3</v>
      </c>
      <c r="I4" s="89" t="s">
        <v>9</v>
      </c>
      <c r="J4" s="89" t="s">
        <v>10</v>
      </c>
      <c r="K4" s="90"/>
      <c r="L4" s="90"/>
      <c r="M4" s="90"/>
      <c r="N4" s="90"/>
      <c r="O4" s="90"/>
      <c r="P4" s="90"/>
      <c r="Q4" s="113"/>
    </row>
    <row r="5" spans="1:76" x14ac:dyDescent="0.25">
      <c r="A5" s="12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113"/>
    </row>
    <row r="6" spans="1:76" x14ac:dyDescent="0.25">
      <c r="A6" s="121" t="s">
        <v>11</v>
      </c>
      <c r="B6" s="90"/>
      <c r="C6" s="90"/>
      <c r="D6" s="89" t="s">
        <v>12</v>
      </c>
      <c r="E6" s="90"/>
      <c r="F6" s="90" t="s">
        <v>13</v>
      </c>
      <c r="G6" s="90"/>
      <c r="H6" s="90" t="s">
        <v>3</v>
      </c>
      <c r="I6" s="89" t="s">
        <v>1476</v>
      </c>
      <c r="J6" s="189" t="s">
        <v>15</v>
      </c>
      <c r="K6" s="187"/>
      <c r="L6" s="187"/>
      <c r="M6" s="187"/>
      <c r="N6" s="187"/>
      <c r="O6" s="187"/>
      <c r="P6" s="187"/>
      <c r="Q6" s="190"/>
    </row>
    <row r="7" spans="1:76" x14ac:dyDescent="0.25">
      <c r="A7" s="120"/>
      <c r="B7" s="90"/>
      <c r="C7" s="90"/>
      <c r="D7" s="90"/>
      <c r="E7" s="90"/>
      <c r="F7" s="90"/>
      <c r="G7" s="90"/>
      <c r="H7" s="90"/>
      <c r="I7" s="90"/>
      <c r="J7" s="187"/>
      <c r="K7" s="187"/>
      <c r="L7" s="187"/>
      <c r="M7" s="187"/>
      <c r="N7" s="187"/>
      <c r="O7" s="187"/>
      <c r="P7" s="187"/>
      <c r="Q7" s="190"/>
    </row>
    <row r="8" spans="1:76" x14ac:dyDescent="0.25">
      <c r="A8" s="121" t="s">
        <v>16</v>
      </c>
      <c r="B8" s="90"/>
      <c r="C8" s="90"/>
      <c r="D8" s="89" t="s">
        <v>17</v>
      </c>
      <c r="E8" s="90"/>
      <c r="F8" s="90" t="s">
        <v>18</v>
      </c>
      <c r="G8" s="90"/>
      <c r="H8" s="187"/>
      <c r="I8" s="89" t="s">
        <v>19</v>
      </c>
      <c r="J8" s="189"/>
      <c r="K8" s="187"/>
      <c r="L8" s="187"/>
      <c r="M8" s="187"/>
      <c r="N8" s="187"/>
      <c r="O8" s="187"/>
      <c r="P8" s="187"/>
      <c r="Q8" s="190"/>
    </row>
    <row r="9" spans="1:76" ht="15.75" thickBot="1" x14ac:dyDescent="0.3">
      <c r="A9" s="122"/>
      <c r="B9" s="114"/>
      <c r="C9" s="114"/>
      <c r="D9" s="114"/>
      <c r="E9" s="114"/>
      <c r="F9" s="114"/>
      <c r="G9" s="114"/>
      <c r="H9" s="188"/>
      <c r="I9" s="114"/>
      <c r="J9" s="188"/>
      <c r="K9" s="188"/>
      <c r="L9" s="188"/>
      <c r="M9" s="188"/>
      <c r="N9" s="188"/>
      <c r="O9" s="188"/>
      <c r="P9" s="188"/>
      <c r="Q9" s="191"/>
    </row>
    <row r="10" spans="1:76" x14ac:dyDescent="0.25">
      <c r="A10" s="5" t="s">
        <v>20</v>
      </c>
      <c r="B10" s="6" t="s">
        <v>21</v>
      </c>
      <c r="C10" s="6" t="s">
        <v>22</v>
      </c>
      <c r="D10" s="116" t="s">
        <v>23</v>
      </c>
      <c r="E10" s="117"/>
      <c r="F10" s="7" t="s">
        <v>24</v>
      </c>
      <c r="G10" s="7" t="s">
        <v>25</v>
      </c>
      <c r="H10" s="8" t="s">
        <v>26</v>
      </c>
      <c r="I10" s="9" t="s">
        <v>27</v>
      </c>
      <c r="J10" s="104" t="s">
        <v>28</v>
      </c>
      <c r="K10" s="105"/>
      <c r="L10" s="106"/>
      <c r="M10" s="10" t="s">
        <v>28</v>
      </c>
      <c r="N10" s="9" t="s">
        <v>29</v>
      </c>
      <c r="O10" s="104" t="s">
        <v>30</v>
      </c>
      <c r="P10" s="107"/>
      <c r="Q10" s="11" t="s">
        <v>31</v>
      </c>
      <c r="BK10" s="12" t="s">
        <v>32</v>
      </c>
      <c r="BL10" s="13" t="s">
        <v>33</v>
      </c>
      <c r="BW10" s="13" t="s">
        <v>34</v>
      </c>
    </row>
    <row r="11" spans="1:76" ht="15.75" thickBot="1" x14ac:dyDescent="0.3">
      <c r="A11" s="14" t="s">
        <v>3</v>
      </c>
      <c r="B11" s="15" t="s">
        <v>3</v>
      </c>
      <c r="C11" s="15" t="s">
        <v>3</v>
      </c>
      <c r="D11" s="102" t="s">
        <v>35</v>
      </c>
      <c r="E11" s="103"/>
      <c r="F11" s="15" t="s">
        <v>3</v>
      </c>
      <c r="G11" s="15" t="s">
        <v>3</v>
      </c>
      <c r="H11" s="16" t="s">
        <v>36</v>
      </c>
      <c r="I11" s="17" t="s">
        <v>3</v>
      </c>
      <c r="J11" s="18" t="s">
        <v>37</v>
      </c>
      <c r="K11" s="19" t="s">
        <v>38</v>
      </c>
      <c r="L11" s="20" t="s">
        <v>39</v>
      </c>
      <c r="M11" s="21" t="s">
        <v>40</v>
      </c>
      <c r="N11" s="22" t="s">
        <v>3</v>
      </c>
      <c r="O11" s="18" t="s">
        <v>41</v>
      </c>
      <c r="P11" s="23" t="s">
        <v>39</v>
      </c>
      <c r="Q11" s="24" t="s">
        <v>42</v>
      </c>
      <c r="Z11" s="12" t="s">
        <v>43</v>
      </c>
      <c r="AA11" s="12" t="s">
        <v>44</v>
      </c>
      <c r="AB11" s="12" t="s">
        <v>45</v>
      </c>
      <c r="AC11" s="12" t="s">
        <v>46</v>
      </c>
      <c r="AD11" s="12" t="s">
        <v>47</v>
      </c>
      <c r="AE11" s="12" t="s">
        <v>48</v>
      </c>
      <c r="AF11" s="12" t="s">
        <v>49</v>
      </c>
      <c r="AG11" s="12" t="s">
        <v>50</v>
      </c>
      <c r="AH11" s="12" t="s">
        <v>51</v>
      </c>
      <c r="BH11" s="12" t="s">
        <v>52</v>
      </c>
      <c r="BI11" s="12" t="s">
        <v>53</v>
      </c>
      <c r="BJ11" s="12" t="s">
        <v>54</v>
      </c>
    </row>
    <row r="12" spans="1:76" x14ac:dyDescent="0.25">
      <c r="A12" s="25" t="s">
        <v>55</v>
      </c>
      <c r="B12" s="26" t="s">
        <v>55</v>
      </c>
      <c r="C12" s="26" t="s">
        <v>56</v>
      </c>
      <c r="D12" s="108" t="s">
        <v>57</v>
      </c>
      <c r="E12" s="109"/>
      <c r="F12" s="27" t="s">
        <v>3</v>
      </c>
      <c r="G12" s="27" t="s">
        <v>3</v>
      </c>
      <c r="H12" s="27" t="s">
        <v>3</v>
      </c>
      <c r="I12" s="27" t="s">
        <v>3</v>
      </c>
      <c r="J12" s="28">
        <f>SUM(J13:J15)</f>
        <v>0</v>
      </c>
      <c r="K12" s="28">
        <f>SUM(K13:K15)</f>
        <v>0</v>
      </c>
      <c r="L12" s="28">
        <f>SUM(L13:L15)</f>
        <v>0</v>
      </c>
      <c r="M12" s="28">
        <f>SUM(M13:M15)</f>
        <v>0</v>
      </c>
      <c r="N12" s="29">
        <f>IF(L649=0,0,L12/L649)</f>
        <v>0</v>
      </c>
      <c r="O12" s="30" t="s">
        <v>55</v>
      </c>
      <c r="P12" s="28">
        <f>SUM(P13:P15)</f>
        <v>0</v>
      </c>
      <c r="Q12" s="31" t="s">
        <v>55</v>
      </c>
      <c r="AI12" s="12" t="s">
        <v>55</v>
      </c>
      <c r="AS12" s="1">
        <f>SUM(AJ13:AJ15)</f>
        <v>0</v>
      </c>
      <c r="AT12" s="1">
        <f>SUM(AK13:AK15)</f>
        <v>0</v>
      </c>
      <c r="AU12" s="1">
        <f>SUM(AL13:AL15)</f>
        <v>0</v>
      </c>
    </row>
    <row r="13" spans="1:76" x14ac:dyDescent="0.25">
      <c r="A13" s="2" t="s">
        <v>58</v>
      </c>
      <c r="B13" s="3" t="s">
        <v>55</v>
      </c>
      <c r="C13" s="3" t="s">
        <v>59</v>
      </c>
      <c r="D13" s="89" t="s">
        <v>60</v>
      </c>
      <c r="E13" s="90"/>
      <c r="F13" s="3" t="s">
        <v>61</v>
      </c>
      <c r="G13" s="32">
        <v>1</v>
      </c>
      <c r="H13" s="199">
        <v>0</v>
      </c>
      <c r="I13" s="33">
        <v>21</v>
      </c>
      <c r="J13" s="32">
        <f>ROUND(G13*AO13,2)</f>
        <v>0</v>
      </c>
      <c r="K13" s="32">
        <f>ROUND(G13*AP13,2)</f>
        <v>0</v>
      </c>
      <c r="L13" s="32">
        <f>ROUND(G13*H13,2)</f>
        <v>0</v>
      </c>
      <c r="M13" s="32">
        <f>L13*(1+BW13/100)</f>
        <v>0</v>
      </c>
      <c r="N13" s="34">
        <f>IF(L649=0,0,L13/L649)</f>
        <v>0</v>
      </c>
      <c r="O13" s="32">
        <v>0</v>
      </c>
      <c r="P13" s="32">
        <f>G13*O13</f>
        <v>0</v>
      </c>
      <c r="Q13" s="35" t="s">
        <v>55</v>
      </c>
      <c r="Z13" s="32">
        <f>ROUND(IF(AQ13="5",BJ13,0),2)</f>
        <v>0</v>
      </c>
      <c r="AB13" s="32">
        <f>ROUND(IF(AQ13="1",BH13,0),2)</f>
        <v>0</v>
      </c>
      <c r="AC13" s="32">
        <f>ROUND(IF(AQ13="1",BI13,0),2)</f>
        <v>0</v>
      </c>
      <c r="AD13" s="32">
        <f>ROUND(IF(AQ13="7",BH13,0),2)</f>
        <v>0</v>
      </c>
      <c r="AE13" s="32">
        <f>ROUND(IF(AQ13="7",BI13,0),2)</f>
        <v>0</v>
      </c>
      <c r="AF13" s="32">
        <f>ROUND(IF(AQ13="2",BH13,0),2)</f>
        <v>0</v>
      </c>
      <c r="AG13" s="32">
        <f>ROUND(IF(AQ13="2",BI13,0),2)</f>
        <v>0</v>
      </c>
      <c r="AH13" s="32">
        <f>ROUND(IF(AQ13="0",BJ13,0),2)</f>
        <v>0</v>
      </c>
      <c r="AI13" s="12" t="s">
        <v>55</v>
      </c>
      <c r="AJ13" s="32">
        <f>IF(AN13=0,L13,0)</f>
        <v>0</v>
      </c>
      <c r="AK13" s="32">
        <f>IF(AN13=12,L13,0)</f>
        <v>0</v>
      </c>
      <c r="AL13" s="32">
        <f>IF(AN13=21,L13,0)</f>
        <v>0</v>
      </c>
      <c r="AN13" s="32">
        <v>21</v>
      </c>
      <c r="AO13" s="32">
        <f>H13*0</f>
        <v>0</v>
      </c>
      <c r="AP13" s="32">
        <f>H13*(1-0)</f>
        <v>0</v>
      </c>
      <c r="AQ13" s="36" t="s">
        <v>62</v>
      </c>
      <c r="AV13" s="32">
        <f>ROUND(AW13+AX13,2)</f>
        <v>0</v>
      </c>
      <c r="AW13" s="32">
        <f>ROUND(G13*AO13,2)</f>
        <v>0</v>
      </c>
      <c r="AX13" s="32">
        <f>ROUND(G13*AP13,2)</f>
        <v>0</v>
      </c>
      <c r="AY13" s="36" t="s">
        <v>63</v>
      </c>
      <c r="AZ13" s="36" t="s">
        <v>64</v>
      </c>
      <c r="BA13" s="12" t="s">
        <v>65</v>
      </c>
      <c r="BC13" s="32">
        <f>AW13+AX13</f>
        <v>0</v>
      </c>
      <c r="BD13" s="32">
        <f>H13/(100-BE13)*100</f>
        <v>0</v>
      </c>
      <c r="BE13" s="32">
        <v>0</v>
      </c>
      <c r="BF13" s="32">
        <f>P13</f>
        <v>0</v>
      </c>
      <c r="BH13" s="32">
        <f>G13*AO13</f>
        <v>0</v>
      </c>
      <c r="BI13" s="32">
        <f>G13*AP13</f>
        <v>0</v>
      </c>
      <c r="BJ13" s="32">
        <f>G13*H13</f>
        <v>0</v>
      </c>
      <c r="BK13" s="36" t="s">
        <v>66</v>
      </c>
      <c r="BL13" s="32">
        <v>11</v>
      </c>
      <c r="BW13" s="32">
        <f>I13</f>
        <v>21</v>
      </c>
      <c r="BX13" s="4" t="s">
        <v>60</v>
      </c>
    </row>
    <row r="14" spans="1:76" x14ac:dyDescent="0.25">
      <c r="A14" s="2" t="s">
        <v>67</v>
      </c>
      <c r="B14" s="3" t="s">
        <v>55</v>
      </c>
      <c r="C14" s="3" t="s">
        <v>59</v>
      </c>
      <c r="D14" s="89" t="s">
        <v>68</v>
      </c>
      <c r="E14" s="90"/>
      <c r="F14" s="3" t="s">
        <v>61</v>
      </c>
      <c r="G14" s="32">
        <v>1</v>
      </c>
      <c r="H14" s="199">
        <v>0</v>
      </c>
      <c r="I14" s="33">
        <v>21</v>
      </c>
      <c r="J14" s="32">
        <f>ROUND(G14*AO14,2)</f>
        <v>0</v>
      </c>
      <c r="K14" s="32">
        <f>ROUND(G14*AP14,2)</f>
        <v>0</v>
      </c>
      <c r="L14" s="32">
        <f>ROUND(G14*H14,2)</f>
        <v>0</v>
      </c>
      <c r="M14" s="32">
        <f>L14*(1+BW14/100)</f>
        <v>0</v>
      </c>
      <c r="N14" s="34">
        <f>IF(L649=0,0,L14/L649)</f>
        <v>0</v>
      </c>
      <c r="O14" s="32">
        <v>0</v>
      </c>
      <c r="P14" s="32">
        <f>G14*O14</f>
        <v>0</v>
      </c>
      <c r="Q14" s="35" t="s">
        <v>55</v>
      </c>
      <c r="Z14" s="32">
        <f>ROUND(IF(AQ14="5",BJ14,0),2)</f>
        <v>0</v>
      </c>
      <c r="AB14" s="32">
        <f>ROUND(IF(AQ14="1",BH14,0),2)</f>
        <v>0</v>
      </c>
      <c r="AC14" s="32">
        <f>ROUND(IF(AQ14="1",BI14,0),2)</f>
        <v>0</v>
      </c>
      <c r="AD14" s="32">
        <f>ROUND(IF(AQ14="7",BH14,0),2)</f>
        <v>0</v>
      </c>
      <c r="AE14" s="32">
        <f>ROUND(IF(AQ14="7",BI14,0),2)</f>
        <v>0</v>
      </c>
      <c r="AF14" s="32">
        <f>ROUND(IF(AQ14="2",BH14,0),2)</f>
        <v>0</v>
      </c>
      <c r="AG14" s="32">
        <f>ROUND(IF(AQ14="2",BI14,0),2)</f>
        <v>0</v>
      </c>
      <c r="AH14" s="32">
        <f>ROUND(IF(AQ14="0",BJ14,0),2)</f>
        <v>0</v>
      </c>
      <c r="AI14" s="12" t="s">
        <v>55</v>
      </c>
      <c r="AJ14" s="32">
        <f>IF(AN14=0,L14,0)</f>
        <v>0</v>
      </c>
      <c r="AK14" s="32">
        <f>IF(AN14=12,L14,0)</f>
        <v>0</v>
      </c>
      <c r="AL14" s="32">
        <f>IF(AN14=21,L14,0)</f>
        <v>0</v>
      </c>
      <c r="AN14" s="32">
        <v>21</v>
      </c>
      <c r="AO14" s="32">
        <f>H14*0</f>
        <v>0</v>
      </c>
      <c r="AP14" s="32">
        <f>H14*(1-0)</f>
        <v>0</v>
      </c>
      <c r="AQ14" s="36" t="s">
        <v>62</v>
      </c>
      <c r="AV14" s="32">
        <f>ROUND(AW14+AX14,2)</f>
        <v>0</v>
      </c>
      <c r="AW14" s="32">
        <f>ROUND(G14*AO14,2)</f>
        <v>0</v>
      </c>
      <c r="AX14" s="32">
        <f>ROUND(G14*AP14,2)</f>
        <v>0</v>
      </c>
      <c r="AY14" s="36" t="s">
        <v>63</v>
      </c>
      <c r="AZ14" s="36" t="s">
        <v>64</v>
      </c>
      <c r="BA14" s="12" t="s">
        <v>65</v>
      </c>
      <c r="BC14" s="32">
        <f>AW14+AX14</f>
        <v>0</v>
      </c>
      <c r="BD14" s="32">
        <f>H14/(100-BE14)*100</f>
        <v>0</v>
      </c>
      <c r="BE14" s="32">
        <v>0</v>
      </c>
      <c r="BF14" s="32">
        <f>P14</f>
        <v>0</v>
      </c>
      <c r="BH14" s="32">
        <f>G14*AO14</f>
        <v>0</v>
      </c>
      <c r="BI14" s="32">
        <f>G14*AP14</f>
        <v>0</v>
      </c>
      <c r="BJ14" s="32">
        <f>G14*H14</f>
        <v>0</v>
      </c>
      <c r="BK14" s="36" t="s">
        <v>66</v>
      </c>
      <c r="BL14" s="32">
        <v>11</v>
      </c>
      <c r="BW14" s="32">
        <f>I14</f>
        <v>21</v>
      </c>
      <c r="BX14" s="4" t="s">
        <v>68</v>
      </c>
    </row>
    <row r="15" spans="1:76" x14ac:dyDescent="0.25">
      <c r="A15" s="2" t="s">
        <v>69</v>
      </c>
      <c r="B15" s="3" t="s">
        <v>55</v>
      </c>
      <c r="C15" s="3" t="s">
        <v>59</v>
      </c>
      <c r="D15" s="89" t="s">
        <v>70</v>
      </c>
      <c r="E15" s="90"/>
      <c r="F15" s="3" t="s">
        <v>61</v>
      </c>
      <c r="G15" s="32">
        <v>1</v>
      </c>
      <c r="H15" s="199">
        <v>0</v>
      </c>
      <c r="I15" s="33">
        <v>21</v>
      </c>
      <c r="J15" s="32">
        <f>ROUND(G15*AO15,2)</f>
        <v>0</v>
      </c>
      <c r="K15" s="32">
        <f>ROUND(G15*AP15,2)</f>
        <v>0</v>
      </c>
      <c r="L15" s="32">
        <f>ROUND(G15*H15,2)</f>
        <v>0</v>
      </c>
      <c r="M15" s="32">
        <f>L15*(1+BW15/100)</f>
        <v>0</v>
      </c>
      <c r="N15" s="34">
        <f>IF(L649=0,0,L15/L649)</f>
        <v>0</v>
      </c>
      <c r="O15" s="32">
        <v>0</v>
      </c>
      <c r="P15" s="32">
        <f>G15*O15</f>
        <v>0</v>
      </c>
      <c r="Q15" s="35" t="s">
        <v>55</v>
      </c>
      <c r="Z15" s="32">
        <f>ROUND(IF(AQ15="5",BJ15,0),2)</f>
        <v>0</v>
      </c>
      <c r="AB15" s="32">
        <f>ROUND(IF(AQ15="1",BH15,0),2)</f>
        <v>0</v>
      </c>
      <c r="AC15" s="32">
        <f>ROUND(IF(AQ15="1",BI15,0),2)</f>
        <v>0</v>
      </c>
      <c r="AD15" s="32">
        <f>ROUND(IF(AQ15="7",BH15,0),2)</f>
        <v>0</v>
      </c>
      <c r="AE15" s="32">
        <f>ROUND(IF(AQ15="7",BI15,0),2)</f>
        <v>0</v>
      </c>
      <c r="AF15" s="32">
        <f>ROUND(IF(AQ15="2",BH15,0),2)</f>
        <v>0</v>
      </c>
      <c r="AG15" s="32">
        <f>ROUND(IF(AQ15="2",BI15,0),2)</f>
        <v>0</v>
      </c>
      <c r="AH15" s="32">
        <f>ROUND(IF(AQ15="0",BJ15,0),2)</f>
        <v>0</v>
      </c>
      <c r="AI15" s="12" t="s">
        <v>55</v>
      </c>
      <c r="AJ15" s="32">
        <f>IF(AN15=0,L15,0)</f>
        <v>0</v>
      </c>
      <c r="AK15" s="32">
        <f>IF(AN15=12,L15,0)</f>
        <v>0</v>
      </c>
      <c r="AL15" s="32">
        <f>IF(AN15=21,L15,0)</f>
        <v>0</v>
      </c>
      <c r="AN15" s="32">
        <v>21</v>
      </c>
      <c r="AO15" s="32">
        <f>H15*0</f>
        <v>0</v>
      </c>
      <c r="AP15" s="32">
        <f>H15*(1-0)</f>
        <v>0</v>
      </c>
      <c r="AQ15" s="36" t="s">
        <v>62</v>
      </c>
      <c r="AV15" s="32">
        <f>ROUND(AW15+AX15,2)</f>
        <v>0</v>
      </c>
      <c r="AW15" s="32">
        <f>ROUND(G15*AO15,2)</f>
        <v>0</v>
      </c>
      <c r="AX15" s="32">
        <f>ROUND(G15*AP15,2)</f>
        <v>0</v>
      </c>
      <c r="AY15" s="36" t="s">
        <v>63</v>
      </c>
      <c r="AZ15" s="36" t="s">
        <v>64</v>
      </c>
      <c r="BA15" s="12" t="s">
        <v>65</v>
      </c>
      <c r="BC15" s="32">
        <f>AW15+AX15</f>
        <v>0</v>
      </c>
      <c r="BD15" s="32">
        <f>H15/(100-BE15)*100</f>
        <v>0</v>
      </c>
      <c r="BE15" s="32">
        <v>0</v>
      </c>
      <c r="BF15" s="32">
        <f>P15</f>
        <v>0</v>
      </c>
      <c r="BH15" s="32">
        <f>G15*AO15</f>
        <v>0</v>
      </c>
      <c r="BI15" s="32">
        <f>G15*AP15</f>
        <v>0</v>
      </c>
      <c r="BJ15" s="32">
        <f>G15*H15</f>
        <v>0</v>
      </c>
      <c r="BK15" s="36" t="s">
        <v>66</v>
      </c>
      <c r="BL15" s="32">
        <v>11</v>
      </c>
      <c r="BW15" s="32">
        <f>I15</f>
        <v>21</v>
      </c>
      <c r="BX15" s="4" t="s">
        <v>70</v>
      </c>
    </row>
    <row r="16" spans="1:76" x14ac:dyDescent="0.25">
      <c r="A16" s="37" t="s">
        <v>55</v>
      </c>
      <c r="B16" s="38" t="s">
        <v>55</v>
      </c>
      <c r="C16" s="38" t="s">
        <v>71</v>
      </c>
      <c r="D16" s="98" t="s">
        <v>72</v>
      </c>
      <c r="E16" s="99"/>
      <c r="F16" s="39" t="s">
        <v>3</v>
      </c>
      <c r="G16" s="39" t="s">
        <v>3</v>
      </c>
      <c r="H16" s="39" t="s">
        <v>3</v>
      </c>
      <c r="I16" s="39" t="s">
        <v>3</v>
      </c>
      <c r="J16" s="1">
        <f>SUM(J17:J24)</f>
        <v>0</v>
      </c>
      <c r="K16" s="1">
        <f>SUM(K17:K24)</f>
        <v>0</v>
      </c>
      <c r="L16" s="1">
        <f>SUM(L17:L24)</f>
        <v>0</v>
      </c>
      <c r="M16" s="1">
        <f>SUM(M17:M24)</f>
        <v>0</v>
      </c>
      <c r="N16" s="40">
        <f>IF(L649=0,0,L16/L649)</f>
        <v>0</v>
      </c>
      <c r="O16" s="12" t="s">
        <v>55</v>
      </c>
      <c r="P16" s="1">
        <f>SUM(P17:P24)</f>
        <v>9.7745789999999992</v>
      </c>
      <c r="Q16" s="41" t="s">
        <v>55</v>
      </c>
      <c r="AI16" s="12" t="s">
        <v>55</v>
      </c>
      <c r="AS16" s="1">
        <f>SUM(AJ17:AJ24)</f>
        <v>0</v>
      </c>
      <c r="AT16" s="1">
        <f>SUM(AK17:AK24)</f>
        <v>0</v>
      </c>
      <c r="AU16" s="1">
        <f>SUM(AL17:AL24)</f>
        <v>0</v>
      </c>
    </row>
    <row r="17" spans="1:76" x14ac:dyDescent="0.25">
      <c r="A17" s="2" t="s">
        <v>73</v>
      </c>
      <c r="B17" s="3" t="s">
        <v>55</v>
      </c>
      <c r="C17" s="3" t="s">
        <v>74</v>
      </c>
      <c r="D17" s="89" t="s">
        <v>75</v>
      </c>
      <c r="E17" s="90"/>
      <c r="F17" s="3" t="s">
        <v>76</v>
      </c>
      <c r="G17" s="32">
        <v>96.85</v>
      </c>
      <c r="H17" s="199">
        <v>0</v>
      </c>
      <c r="I17" s="33">
        <v>21</v>
      </c>
      <c r="J17" s="32">
        <f>ROUND(G17*AO17,2)</f>
        <v>0</v>
      </c>
      <c r="K17" s="32">
        <f>ROUND(G17*AP17,2)</f>
        <v>0</v>
      </c>
      <c r="L17" s="32">
        <f>ROUND(G17*H17,2)</f>
        <v>0</v>
      </c>
      <c r="M17" s="32">
        <f>L17*(1+BW17/100)</f>
        <v>0</v>
      </c>
      <c r="N17" s="34">
        <f>IF(L649=0,0,L17/L649)</f>
        <v>0</v>
      </c>
      <c r="O17" s="32">
        <v>7.4709999999999999E-2</v>
      </c>
      <c r="P17" s="32">
        <f>G17*O17</f>
        <v>7.2356634999999994</v>
      </c>
      <c r="Q17" s="35" t="s">
        <v>77</v>
      </c>
      <c r="Z17" s="32">
        <f>ROUND(IF(AQ17="5",BJ17,0),2)</f>
        <v>0</v>
      </c>
      <c r="AB17" s="32">
        <f>ROUND(IF(AQ17="1",BH17,0),2)</f>
        <v>0</v>
      </c>
      <c r="AC17" s="32">
        <f>ROUND(IF(AQ17="1",BI17,0),2)</f>
        <v>0</v>
      </c>
      <c r="AD17" s="32">
        <f>ROUND(IF(AQ17="7",BH17,0),2)</f>
        <v>0</v>
      </c>
      <c r="AE17" s="32">
        <f>ROUND(IF(AQ17="7",BI17,0),2)</f>
        <v>0</v>
      </c>
      <c r="AF17" s="32">
        <f>ROUND(IF(AQ17="2",BH17,0),2)</f>
        <v>0</v>
      </c>
      <c r="AG17" s="32">
        <f>ROUND(IF(AQ17="2",BI17,0),2)</f>
        <v>0</v>
      </c>
      <c r="AH17" s="32">
        <f>ROUND(IF(AQ17="0",BJ17,0),2)</f>
        <v>0</v>
      </c>
      <c r="AI17" s="12" t="s">
        <v>55</v>
      </c>
      <c r="AJ17" s="32">
        <f>IF(AN17=0,L17,0)</f>
        <v>0</v>
      </c>
      <c r="AK17" s="32">
        <f>IF(AN17=12,L17,0)</f>
        <v>0</v>
      </c>
      <c r="AL17" s="32">
        <f>IF(AN17=21,L17,0)</f>
        <v>0</v>
      </c>
      <c r="AN17" s="32">
        <v>21</v>
      </c>
      <c r="AO17" s="32">
        <f>H17*0.628006312</f>
        <v>0</v>
      </c>
      <c r="AP17" s="32">
        <f>H17*(1-0.628006312)</f>
        <v>0</v>
      </c>
      <c r="AQ17" s="36" t="s">
        <v>58</v>
      </c>
      <c r="AV17" s="32">
        <f>ROUND(AW17+AX17,2)</f>
        <v>0</v>
      </c>
      <c r="AW17" s="32">
        <f>ROUND(G17*AO17,2)</f>
        <v>0</v>
      </c>
      <c r="AX17" s="32">
        <f>ROUND(G17*AP17,2)</f>
        <v>0</v>
      </c>
      <c r="AY17" s="36" t="s">
        <v>78</v>
      </c>
      <c r="AZ17" s="36" t="s">
        <v>79</v>
      </c>
      <c r="BA17" s="12" t="s">
        <v>65</v>
      </c>
      <c r="BC17" s="32">
        <f>AW17+AX17</f>
        <v>0</v>
      </c>
      <c r="BD17" s="32">
        <f>H17/(100-BE17)*100</f>
        <v>0</v>
      </c>
      <c r="BE17" s="32">
        <v>0</v>
      </c>
      <c r="BF17" s="32">
        <f>P17</f>
        <v>7.2356634999999994</v>
      </c>
      <c r="BH17" s="32">
        <f>G17*AO17</f>
        <v>0</v>
      </c>
      <c r="BI17" s="32">
        <f>G17*AP17</f>
        <v>0</v>
      </c>
      <c r="BJ17" s="32">
        <f>G17*H17</f>
        <v>0</v>
      </c>
      <c r="BK17" s="36" t="s">
        <v>66</v>
      </c>
      <c r="BL17" s="32">
        <v>34</v>
      </c>
      <c r="BW17" s="32">
        <f>I17</f>
        <v>21</v>
      </c>
      <c r="BX17" s="4" t="s">
        <v>75</v>
      </c>
    </row>
    <row r="18" spans="1:76" x14ac:dyDescent="0.25">
      <c r="A18" s="2" t="s">
        <v>62</v>
      </c>
      <c r="B18" s="3" t="s">
        <v>55</v>
      </c>
      <c r="C18" s="3" t="s">
        <v>80</v>
      </c>
      <c r="D18" s="89" t="s">
        <v>81</v>
      </c>
      <c r="E18" s="90"/>
      <c r="F18" s="3" t="s">
        <v>82</v>
      </c>
      <c r="G18" s="32">
        <v>0.35</v>
      </c>
      <c r="H18" s="199">
        <v>0</v>
      </c>
      <c r="I18" s="33">
        <v>21</v>
      </c>
      <c r="J18" s="32">
        <f>ROUND(G18*AO18,2)</f>
        <v>0</v>
      </c>
      <c r="K18" s="32">
        <f>ROUND(G18*AP18,2)</f>
        <v>0</v>
      </c>
      <c r="L18" s="32">
        <f>ROUND(G18*H18,2)</f>
        <v>0</v>
      </c>
      <c r="M18" s="32">
        <f>L18*(1+BW18/100)</f>
        <v>0</v>
      </c>
      <c r="N18" s="34">
        <f>IF(L649=0,0,L18/L649)</f>
        <v>0</v>
      </c>
      <c r="O18" s="32">
        <v>1.73973</v>
      </c>
      <c r="P18" s="32">
        <f>G18*O18</f>
        <v>0.60890549999999999</v>
      </c>
      <c r="Q18" s="35" t="s">
        <v>77</v>
      </c>
      <c r="Z18" s="32">
        <f>ROUND(IF(AQ18="5",BJ18,0),2)</f>
        <v>0</v>
      </c>
      <c r="AB18" s="32">
        <f>ROUND(IF(AQ18="1",BH18,0),2)</f>
        <v>0</v>
      </c>
      <c r="AC18" s="32">
        <f>ROUND(IF(AQ18="1",BI18,0),2)</f>
        <v>0</v>
      </c>
      <c r="AD18" s="32">
        <f>ROUND(IF(AQ18="7",BH18,0),2)</f>
        <v>0</v>
      </c>
      <c r="AE18" s="32">
        <f>ROUND(IF(AQ18="7",BI18,0),2)</f>
        <v>0</v>
      </c>
      <c r="AF18" s="32">
        <f>ROUND(IF(AQ18="2",BH18,0),2)</f>
        <v>0</v>
      </c>
      <c r="AG18" s="32">
        <f>ROUND(IF(AQ18="2",BI18,0),2)</f>
        <v>0</v>
      </c>
      <c r="AH18" s="32">
        <f>ROUND(IF(AQ18="0",BJ18,0),2)</f>
        <v>0</v>
      </c>
      <c r="AI18" s="12" t="s">
        <v>55</v>
      </c>
      <c r="AJ18" s="32">
        <f>IF(AN18=0,L18,0)</f>
        <v>0</v>
      </c>
      <c r="AK18" s="32">
        <f>IF(AN18=12,L18,0)</f>
        <v>0</v>
      </c>
      <c r="AL18" s="32">
        <f>IF(AN18=21,L18,0)</f>
        <v>0</v>
      </c>
      <c r="AN18" s="32">
        <v>21</v>
      </c>
      <c r="AO18" s="32">
        <f>H18*0.578149958</f>
        <v>0</v>
      </c>
      <c r="AP18" s="32">
        <f>H18*(1-0.578149958)</f>
        <v>0</v>
      </c>
      <c r="AQ18" s="36" t="s">
        <v>58</v>
      </c>
      <c r="AV18" s="32">
        <f>ROUND(AW18+AX18,2)</f>
        <v>0</v>
      </c>
      <c r="AW18" s="32">
        <f>ROUND(G18*AO18,2)</f>
        <v>0</v>
      </c>
      <c r="AX18" s="32">
        <f>ROUND(G18*AP18,2)</f>
        <v>0</v>
      </c>
      <c r="AY18" s="36" t="s">
        <v>78</v>
      </c>
      <c r="AZ18" s="36" t="s">
        <v>79</v>
      </c>
      <c r="BA18" s="12" t="s">
        <v>65</v>
      </c>
      <c r="BC18" s="32">
        <f>AW18+AX18</f>
        <v>0</v>
      </c>
      <c r="BD18" s="32">
        <f>H18/(100-BE18)*100</f>
        <v>0</v>
      </c>
      <c r="BE18" s="32">
        <v>0</v>
      </c>
      <c r="BF18" s="32">
        <f>P18</f>
        <v>0.60890549999999999</v>
      </c>
      <c r="BH18" s="32">
        <f>G18*AO18</f>
        <v>0</v>
      </c>
      <c r="BI18" s="32">
        <f>G18*AP18</f>
        <v>0</v>
      </c>
      <c r="BJ18" s="32">
        <f>G18*H18</f>
        <v>0</v>
      </c>
      <c r="BK18" s="36" t="s">
        <v>66</v>
      </c>
      <c r="BL18" s="32">
        <v>34</v>
      </c>
      <c r="BW18" s="32">
        <f>I18</f>
        <v>21</v>
      </c>
      <c r="BX18" s="4" t="s">
        <v>81</v>
      </c>
    </row>
    <row r="19" spans="1:76" ht="13.5" customHeight="1" x14ac:dyDescent="0.25">
      <c r="A19" s="42"/>
      <c r="C19" s="43"/>
      <c r="D19" s="95" t="s">
        <v>84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1:76" x14ac:dyDescent="0.25">
      <c r="A20" s="2" t="s">
        <v>85</v>
      </c>
      <c r="B20" s="3" t="s">
        <v>55</v>
      </c>
      <c r="C20" s="3" t="s">
        <v>86</v>
      </c>
      <c r="D20" s="89" t="s">
        <v>87</v>
      </c>
      <c r="E20" s="90"/>
      <c r="F20" s="3" t="s">
        <v>88</v>
      </c>
      <c r="G20" s="32">
        <v>10</v>
      </c>
      <c r="H20" s="199">
        <v>0</v>
      </c>
      <c r="I20" s="33">
        <v>21</v>
      </c>
      <c r="J20" s="32">
        <f>ROUND(G20*AO20,2)</f>
        <v>0</v>
      </c>
      <c r="K20" s="32">
        <f>ROUND(G20*AP20,2)</f>
        <v>0</v>
      </c>
      <c r="L20" s="32">
        <f>ROUND(G20*H20,2)</f>
        <v>0</v>
      </c>
      <c r="M20" s="32">
        <f>L20*(1+BW20/100)</f>
        <v>0</v>
      </c>
      <c r="N20" s="34">
        <f>IF(L649=0,0,L20/L649)</f>
        <v>0</v>
      </c>
      <c r="O20" s="32">
        <v>2.6509999999999999E-2</v>
      </c>
      <c r="P20" s="32">
        <f>G20*O20</f>
        <v>0.2651</v>
      </c>
      <c r="Q20" s="35" t="s">
        <v>77</v>
      </c>
      <c r="Z20" s="32">
        <f>ROUND(IF(AQ20="5",BJ20,0),2)</f>
        <v>0</v>
      </c>
      <c r="AB20" s="32">
        <f>ROUND(IF(AQ20="1",BH20,0),2)</f>
        <v>0</v>
      </c>
      <c r="AC20" s="32">
        <f>ROUND(IF(AQ20="1",BI20,0),2)</f>
        <v>0</v>
      </c>
      <c r="AD20" s="32">
        <f>ROUND(IF(AQ20="7",BH20,0),2)</f>
        <v>0</v>
      </c>
      <c r="AE20" s="32">
        <f>ROUND(IF(AQ20="7",BI20,0),2)</f>
        <v>0</v>
      </c>
      <c r="AF20" s="32">
        <f>ROUND(IF(AQ20="2",BH20,0),2)</f>
        <v>0</v>
      </c>
      <c r="AG20" s="32">
        <f>ROUND(IF(AQ20="2",BI20,0),2)</f>
        <v>0</v>
      </c>
      <c r="AH20" s="32">
        <f>ROUND(IF(AQ20="0",BJ20,0),2)</f>
        <v>0</v>
      </c>
      <c r="AI20" s="12" t="s">
        <v>55</v>
      </c>
      <c r="AJ20" s="32">
        <f>IF(AN20=0,L20,0)</f>
        <v>0</v>
      </c>
      <c r="AK20" s="32">
        <f>IF(AN20=12,L20,0)</f>
        <v>0</v>
      </c>
      <c r="AL20" s="32">
        <f>IF(AN20=21,L20,0)</f>
        <v>0</v>
      </c>
      <c r="AN20" s="32">
        <v>21</v>
      </c>
      <c r="AO20" s="32">
        <f>H20*0.829065511</f>
        <v>0</v>
      </c>
      <c r="AP20" s="32">
        <f>H20*(1-0.829065511)</f>
        <v>0</v>
      </c>
      <c r="AQ20" s="36" t="s">
        <v>58</v>
      </c>
      <c r="AV20" s="32">
        <f>ROUND(AW20+AX20,2)</f>
        <v>0</v>
      </c>
      <c r="AW20" s="32">
        <f>ROUND(G20*AO20,2)</f>
        <v>0</v>
      </c>
      <c r="AX20" s="32">
        <f>ROUND(G20*AP20,2)</f>
        <v>0</v>
      </c>
      <c r="AY20" s="36" t="s">
        <v>78</v>
      </c>
      <c r="AZ20" s="36" t="s">
        <v>79</v>
      </c>
      <c r="BA20" s="12" t="s">
        <v>65</v>
      </c>
      <c r="BC20" s="32">
        <f>AW20+AX20</f>
        <v>0</v>
      </c>
      <c r="BD20" s="32">
        <f>H20/(100-BE20)*100</f>
        <v>0</v>
      </c>
      <c r="BE20" s="32">
        <v>0</v>
      </c>
      <c r="BF20" s="32">
        <f>P20</f>
        <v>0.2651</v>
      </c>
      <c r="BH20" s="32">
        <f>G20*AO20</f>
        <v>0</v>
      </c>
      <c r="BI20" s="32">
        <f>G20*AP20</f>
        <v>0</v>
      </c>
      <c r="BJ20" s="32">
        <f>G20*H20</f>
        <v>0</v>
      </c>
      <c r="BK20" s="36" t="s">
        <v>66</v>
      </c>
      <c r="BL20" s="32">
        <v>34</v>
      </c>
      <c r="BW20" s="32">
        <f>I20</f>
        <v>21</v>
      </c>
      <c r="BX20" s="4" t="s">
        <v>87</v>
      </c>
    </row>
    <row r="21" spans="1:76" ht="13.5" customHeight="1" x14ac:dyDescent="0.25">
      <c r="A21" s="42"/>
      <c r="C21" s="43"/>
      <c r="D21" s="95" t="s">
        <v>89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1:76" x14ac:dyDescent="0.25">
      <c r="A22" s="2" t="s">
        <v>90</v>
      </c>
      <c r="B22" s="3" t="s">
        <v>55</v>
      </c>
      <c r="C22" s="3" t="s">
        <v>91</v>
      </c>
      <c r="D22" s="89" t="s">
        <v>92</v>
      </c>
      <c r="E22" s="90"/>
      <c r="F22" s="3" t="s">
        <v>93</v>
      </c>
      <c r="G22" s="32">
        <v>5</v>
      </c>
      <c r="H22" s="199">
        <v>0</v>
      </c>
      <c r="I22" s="33">
        <v>21</v>
      </c>
      <c r="J22" s="32">
        <f>ROUND(G22*AO22,2)</f>
        <v>0</v>
      </c>
      <c r="K22" s="32">
        <f>ROUND(G22*AP22,2)</f>
        <v>0</v>
      </c>
      <c r="L22" s="32">
        <f>ROUND(G22*H22,2)</f>
        <v>0</v>
      </c>
      <c r="M22" s="32">
        <f>L22*(1+BW22/100)</f>
        <v>0</v>
      </c>
      <c r="N22" s="34">
        <f>IF(L649=0,0,L22/L649)</f>
        <v>0</v>
      </c>
      <c r="O22" s="32">
        <v>0.2329</v>
      </c>
      <c r="P22" s="32">
        <f>G22*O22</f>
        <v>1.1644999999999999</v>
      </c>
      <c r="Q22" s="35" t="s">
        <v>77</v>
      </c>
      <c r="Z22" s="32">
        <f>ROUND(IF(AQ22="5",BJ22,0),2)</f>
        <v>0</v>
      </c>
      <c r="AB22" s="32">
        <f>ROUND(IF(AQ22="1",BH22,0),2)</f>
        <v>0</v>
      </c>
      <c r="AC22" s="32">
        <f>ROUND(IF(AQ22="1",BI22,0),2)</f>
        <v>0</v>
      </c>
      <c r="AD22" s="32">
        <f>ROUND(IF(AQ22="7",BH22,0),2)</f>
        <v>0</v>
      </c>
      <c r="AE22" s="32">
        <f>ROUND(IF(AQ22="7",BI22,0),2)</f>
        <v>0</v>
      </c>
      <c r="AF22" s="32">
        <f>ROUND(IF(AQ22="2",BH22,0),2)</f>
        <v>0</v>
      </c>
      <c r="AG22" s="32">
        <f>ROUND(IF(AQ22="2",BI22,0),2)</f>
        <v>0</v>
      </c>
      <c r="AH22" s="32">
        <f>ROUND(IF(AQ22="0",BJ22,0),2)</f>
        <v>0</v>
      </c>
      <c r="AI22" s="12" t="s">
        <v>55</v>
      </c>
      <c r="AJ22" s="32">
        <f>IF(AN22=0,L22,0)</f>
        <v>0</v>
      </c>
      <c r="AK22" s="32">
        <f>IF(AN22=12,L22,0)</f>
        <v>0</v>
      </c>
      <c r="AL22" s="32">
        <f>IF(AN22=21,L22,0)</f>
        <v>0</v>
      </c>
      <c r="AN22" s="32">
        <v>21</v>
      </c>
      <c r="AO22" s="32">
        <f>H22*0.433568794</f>
        <v>0</v>
      </c>
      <c r="AP22" s="32">
        <f>H22*(1-0.433568794)</f>
        <v>0</v>
      </c>
      <c r="AQ22" s="36" t="s">
        <v>58</v>
      </c>
      <c r="AV22" s="32">
        <f>ROUND(AW22+AX22,2)</f>
        <v>0</v>
      </c>
      <c r="AW22" s="32">
        <f>ROUND(G22*AO22,2)</f>
        <v>0</v>
      </c>
      <c r="AX22" s="32">
        <f>ROUND(G22*AP22,2)</f>
        <v>0</v>
      </c>
      <c r="AY22" s="36" t="s">
        <v>78</v>
      </c>
      <c r="AZ22" s="36" t="s">
        <v>79</v>
      </c>
      <c r="BA22" s="12" t="s">
        <v>65</v>
      </c>
      <c r="BC22" s="32">
        <f>AW22+AX22</f>
        <v>0</v>
      </c>
      <c r="BD22" s="32">
        <f>H22/(100-BE22)*100</f>
        <v>0</v>
      </c>
      <c r="BE22" s="32">
        <v>0</v>
      </c>
      <c r="BF22" s="32">
        <f>P22</f>
        <v>1.1644999999999999</v>
      </c>
      <c r="BH22" s="32">
        <f>G22*AO22</f>
        <v>0</v>
      </c>
      <c r="BI22" s="32">
        <f>G22*AP22</f>
        <v>0</v>
      </c>
      <c r="BJ22" s="32">
        <f>G22*H22</f>
        <v>0</v>
      </c>
      <c r="BK22" s="36" t="s">
        <v>66</v>
      </c>
      <c r="BL22" s="32">
        <v>34</v>
      </c>
      <c r="BW22" s="32">
        <f>I22</f>
        <v>21</v>
      </c>
      <c r="BX22" s="4" t="s">
        <v>92</v>
      </c>
    </row>
    <row r="23" spans="1:76" ht="13.5" customHeight="1" x14ac:dyDescent="0.25">
      <c r="A23" s="42"/>
      <c r="C23" s="43"/>
      <c r="D23" s="95" t="s">
        <v>94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1:76" x14ac:dyDescent="0.25">
      <c r="A24" s="2" t="s">
        <v>95</v>
      </c>
      <c r="B24" s="3" t="s">
        <v>55</v>
      </c>
      <c r="C24" s="3" t="s">
        <v>96</v>
      </c>
      <c r="D24" s="89" t="s">
        <v>97</v>
      </c>
      <c r="E24" s="90"/>
      <c r="F24" s="3" t="s">
        <v>93</v>
      </c>
      <c r="G24" s="32">
        <v>1</v>
      </c>
      <c r="H24" s="199">
        <v>0</v>
      </c>
      <c r="I24" s="33">
        <v>21</v>
      </c>
      <c r="J24" s="32">
        <f>ROUND(G24*AO24,2)</f>
        <v>0</v>
      </c>
      <c r="K24" s="32">
        <f>ROUND(G24*AP24,2)</f>
        <v>0</v>
      </c>
      <c r="L24" s="32">
        <f>ROUND(G24*H24,2)</f>
        <v>0</v>
      </c>
      <c r="M24" s="32">
        <f>L24*(1+BW24/100)</f>
        <v>0</v>
      </c>
      <c r="N24" s="34">
        <f>IF(L649=0,0,L24/L649)</f>
        <v>0</v>
      </c>
      <c r="O24" s="32">
        <v>0.50041000000000002</v>
      </c>
      <c r="P24" s="32">
        <f>G24*O24</f>
        <v>0.50041000000000002</v>
      </c>
      <c r="Q24" s="35" t="s">
        <v>77</v>
      </c>
      <c r="Z24" s="32">
        <f>ROUND(IF(AQ24="5",BJ24,0),2)</f>
        <v>0</v>
      </c>
      <c r="AB24" s="32">
        <f>ROUND(IF(AQ24="1",BH24,0),2)</f>
        <v>0</v>
      </c>
      <c r="AC24" s="32">
        <f>ROUND(IF(AQ24="1",BI24,0),2)</f>
        <v>0</v>
      </c>
      <c r="AD24" s="32">
        <f>ROUND(IF(AQ24="7",BH24,0),2)</f>
        <v>0</v>
      </c>
      <c r="AE24" s="32">
        <f>ROUND(IF(AQ24="7",BI24,0),2)</f>
        <v>0</v>
      </c>
      <c r="AF24" s="32">
        <f>ROUND(IF(AQ24="2",BH24,0),2)</f>
        <v>0</v>
      </c>
      <c r="AG24" s="32">
        <f>ROUND(IF(AQ24="2",BI24,0),2)</f>
        <v>0</v>
      </c>
      <c r="AH24" s="32">
        <f>ROUND(IF(AQ24="0",BJ24,0),2)</f>
        <v>0</v>
      </c>
      <c r="AI24" s="12" t="s">
        <v>55</v>
      </c>
      <c r="AJ24" s="32">
        <f>IF(AN24=0,L24,0)</f>
        <v>0</v>
      </c>
      <c r="AK24" s="32">
        <f>IF(AN24=12,L24,0)</f>
        <v>0</v>
      </c>
      <c r="AL24" s="32">
        <f>IF(AN24=21,L24,0)</f>
        <v>0</v>
      </c>
      <c r="AN24" s="32">
        <v>21</v>
      </c>
      <c r="AO24" s="32">
        <f>H24*0.49586776</f>
        <v>0</v>
      </c>
      <c r="AP24" s="32">
        <f>H24*(1-0.49586776)</f>
        <v>0</v>
      </c>
      <c r="AQ24" s="36" t="s">
        <v>58</v>
      </c>
      <c r="AV24" s="32">
        <f>ROUND(AW24+AX24,2)</f>
        <v>0</v>
      </c>
      <c r="AW24" s="32">
        <f>ROUND(G24*AO24,2)</f>
        <v>0</v>
      </c>
      <c r="AX24" s="32">
        <f>ROUND(G24*AP24,2)</f>
        <v>0</v>
      </c>
      <c r="AY24" s="36" t="s">
        <v>78</v>
      </c>
      <c r="AZ24" s="36" t="s">
        <v>79</v>
      </c>
      <c r="BA24" s="12" t="s">
        <v>65</v>
      </c>
      <c r="BC24" s="32">
        <f>AW24+AX24</f>
        <v>0</v>
      </c>
      <c r="BD24" s="32">
        <f>H24/(100-BE24)*100</f>
        <v>0</v>
      </c>
      <c r="BE24" s="32">
        <v>0</v>
      </c>
      <c r="BF24" s="32">
        <f>P24</f>
        <v>0.50041000000000002</v>
      </c>
      <c r="BH24" s="32">
        <f>G24*AO24</f>
        <v>0</v>
      </c>
      <c r="BI24" s="32">
        <f>G24*AP24</f>
        <v>0</v>
      </c>
      <c r="BJ24" s="32">
        <f>G24*H24</f>
        <v>0</v>
      </c>
      <c r="BK24" s="36" t="s">
        <v>66</v>
      </c>
      <c r="BL24" s="32">
        <v>34</v>
      </c>
      <c r="BW24" s="32">
        <f>I24</f>
        <v>21</v>
      </c>
      <c r="BX24" s="4" t="s">
        <v>97</v>
      </c>
    </row>
    <row r="25" spans="1:76" ht="13.5" customHeight="1" x14ac:dyDescent="0.25">
      <c r="A25" s="42"/>
      <c r="C25" s="43"/>
      <c r="D25" s="95" t="s">
        <v>98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1:76" x14ac:dyDescent="0.25">
      <c r="A26" s="37" t="s">
        <v>55</v>
      </c>
      <c r="B26" s="38" t="s">
        <v>55</v>
      </c>
      <c r="C26" s="38" t="s">
        <v>99</v>
      </c>
      <c r="D26" s="98" t="s">
        <v>100</v>
      </c>
      <c r="E26" s="99"/>
      <c r="F26" s="39" t="s">
        <v>3</v>
      </c>
      <c r="G26" s="39" t="s">
        <v>3</v>
      </c>
      <c r="H26" s="39" t="s">
        <v>3</v>
      </c>
      <c r="I26" s="39" t="s">
        <v>3</v>
      </c>
      <c r="J26" s="1">
        <f>SUM(J27:J37)</f>
        <v>0</v>
      </c>
      <c r="K26" s="1">
        <f>SUM(K27:K37)</f>
        <v>0</v>
      </c>
      <c r="L26" s="1">
        <f>SUM(L27:L37)</f>
        <v>0</v>
      </c>
      <c r="M26" s="1">
        <f>SUM(M27:M37)</f>
        <v>0</v>
      </c>
      <c r="N26" s="40">
        <f>IF(L649=0,0,L26/L649)</f>
        <v>0</v>
      </c>
      <c r="O26" s="12" t="s">
        <v>55</v>
      </c>
      <c r="P26" s="1">
        <f>SUM(P27:P37)</f>
        <v>1.7498508200000003</v>
      </c>
      <c r="Q26" s="41" t="s">
        <v>55</v>
      </c>
      <c r="AI26" s="12" t="s">
        <v>55</v>
      </c>
      <c r="AS26" s="1">
        <f>SUM(AJ27:AJ37)</f>
        <v>0</v>
      </c>
      <c r="AT26" s="1">
        <f>SUM(AK27:AK37)</f>
        <v>0</v>
      </c>
      <c r="AU26" s="1">
        <f>SUM(AL27:AL37)</f>
        <v>0</v>
      </c>
    </row>
    <row r="27" spans="1:76" x14ac:dyDescent="0.25">
      <c r="A27" s="2" t="s">
        <v>101</v>
      </c>
      <c r="B27" s="3" t="s">
        <v>55</v>
      </c>
      <c r="C27" s="3" t="s">
        <v>102</v>
      </c>
      <c r="D27" s="89" t="s">
        <v>103</v>
      </c>
      <c r="E27" s="90"/>
      <c r="F27" s="3" t="s">
        <v>82</v>
      </c>
      <c r="G27" s="32">
        <v>0.19800000000000001</v>
      </c>
      <c r="H27" s="199">
        <v>0</v>
      </c>
      <c r="I27" s="33">
        <v>21</v>
      </c>
      <c r="J27" s="32">
        <f>ROUND(G27*AO27,2)</f>
        <v>0</v>
      </c>
      <c r="K27" s="32">
        <f>ROUND(G27*AP27,2)</f>
        <v>0</v>
      </c>
      <c r="L27" s="32">
        <f>ROUND(G27*H27,2)</f>
        <v>0</v>
      </c>
      <c r="M27" s="32">
        <f>L27*(1+BW27/100)</f>
        <v>0</v>
      </c>
      <c r="N27" s="34">
        <f>IF(L649=0,0,L27/L649)</f>
        <v>0</v>
      </c>
      <c r="O27" s="32">
        <v>2.5251399999999999</v>
      </c>
      <c r="P27" s="32">
        <f>G27*O27</f>
        <v>0.49997772000000001</v>
      </c>
      <c r="Q27" s="35" t="s">
        <v>77</v>
      </c>
      <c r="Z27" s="32">
        <f>ROUND(IF(AQ27="5",BJ27,0),2)</f>
        <v>0</v>
      </c>
      <c r="AB27" s="32">
        <f>ROUND(IF(AQ27="1",BH27,0),2)</f>
        <v>0</v>
      </c>
      <c r="AC27" s="32">
        <f>ROUND(IF(AQ27="1",BI27,0),2)</f>
        <v>0</v>
      </c>
      <c r="AD27" s="32">
        <f>ROUND(IF(AQ27="7",BH27,0),2)</f>
        <v>0</v>
      </c>
      <c r="AE27" s="32">
        <f>ROUND(IF(AQ27="7",BI27,0),2)</f>
        <v>0</v>
      </c>
      <c r="AF27" s="32">
        <f>ROUND(IF(AQ27="2",BH27,0),2)</f>
        <v>0</v>
      </c>
      <c r="AG27" s="32">
        <f>ROUND(IF(AQ27="2",BI27,0),2)</f>
        <v>0</v>
      </c>
      <c r="AH27" s="32">
        <f>ROUND(IF(AQ27="0",BJ27,0),2)</f>
        <v>0</v>
      </c>
      <c r="AI27" s="12" t="s">
        <v>55</v>
      </c>
      <c r="AJ27" s="32">
        <f>IF(AN27=0,L27,0)</f>
        <v>0</v>
      </c>
      <c r="AK27" s="32">
        <f>IF(AN27=12,L27,0)</f>
        <v>0</v>
      </c>
      <c r="AL27" s="32">
        <f>IF(AN27=21,L27,0)</f>
        <v>0</v>
      </c>
      <c r="AN27" s="32">
        <v>21</v>
      </c>
      <c r="AO27" s="32">
        <f>H27*0.865198679</f>
        <v>0</v>
      </c>
      <c r="AP27" s="32">
        <f>H27*(1-0.865198679)</f>
        <v>0</v>
      </c>
      <c r="AQ27" s="36" t="s">
        <v>58</v>
      </c>
      <c r="AV27" s="32">
        <f>ROUND(AW27+AX27,2)</f>
        <v>0</v>
      </c>
      <c r="AW27" s="32">
        <f>ROUND(G27*AO27,2)</f>
        <v>0</v>
      </c>
      <c r="AX27" s="32">
        <f>ROUND(G27*AP27,2)</f>
        <v>0</v>
      </c>
      <c r="AY27" s="36" t="s">
        <v>104</v>
      </c>
      <c r="AZ27" s="36" t="s">
        <v>105</v>
      </c>
      <c r="BA27" s="12" t="s">
        <v>65</v>
      </c>
      <c r="BC27" s="32">
        <f>AW27+AX27</f>
        <v>0</v>
      </c>
      <c r="BD27" s="32">
        <f>H27/(100-BE27)*100</f>
        <v>0</v>
      </c>
      <c r="BE27" s="32">
        <v>0</v>
      </c>
      <c r="BF27" s="32">
        <f>P27</f>
        <v>0.49997772000000001</v>
      </c>
      <c r="BH27" s="32">
        <f>G27*AO27</f>
        <v>0</v>
      </c>
      <c r="BI27" s="32">
        <f>G27*AP27</f>
        <v>0</v>
      </c>
      <c r="BJ27" s="32">
        <f>G27*H27</f>
        <v>0</v>
      </c>
      <c r="BK27" s="36" t="s">
        <v>66</v>
      </c>
      <c r="BL27" s="32">
        <v>41</v>
      </c>
      <c r="BW27" s="32">
        <f>I27</f>
        <v>21</v>
      </c>
      <c r="BX27" s="4" t="s">
        <v>103</v>
      </c>
    </row>
    <row r="28" spans="1:76" ht="13.5" customHeight="1" x14ac:dyDescent="0.25">
      <c r="A28" s="42"/>
      <c r="C28" s="43"/>
      <c r="D28" s="95" t="s">
        <v>106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1:76" x14ac:dyDescent="0.25">
      <c r="A29" s="2" t="s">
        <v>107</v>
      </c>
      <c r="B29" s="3" t="s">
        <v>55</v>
      </c>
      <c r="C29" s="3" t="s">
        <v>108</v>
      </c>
      <c r="D29" s="89" t="s">
        <v>109</v>
      </c>
      <c r="E29" s="90"/>
      <c r="F29" s="3" t="s">
        <v>110</v>
      </c>
      <c r="G29" s="32">
        <v>0.05</v>
      </c>
      <c r="H29" s="199">
        <v>0</v>
      </c>
      <c r="I29" s="33">
        <v>21</v>
      </c>
      <c r="J29" s="32">
        <f>ROUND(G29*AO29,2)</f>
        <v>0</v>
      </c>
      <c r="K29" s="32">
        <f>ROUND(G29*AP29,2)</f>
        <v>0</v>
      </c>
      <c r="L29" s="32">
        <f>ROUND(G29*H29,2)</f>
        <v>0</v>
      </c>
      <c r="M29" s="32">
        <f>L29*(1+BW29/100)</f>
        <v>0</v>
      </c>
      <c r="N29" s="34">
        <f>IF(L649=0,0,L29/L649)</f>
        <v>0</v>
      </c>
      <c r="O29" s="32">
        <v>1.02139</v>
      </c>
      <c r="P29" s="32">
        <f>G29*O29</f>
        <v>5.1069500000000004E-2</v>
      </c>
      <c r="Q29" s="35" t="s">
        <v>77</v>
      </c>
      <c r="Z29" s="32">
        <f>ROUND(IF(AQ29="5",BJ29,0),2)</f>
        <v>0</v>
      </c>
      <c r="AB29" s="32">
        <f>ROUND(IF(AQ29="1",BH29,0),2)</f>
        <v>0</v>
      </c>
      <c r="AC29" s="32">
        <f>ROUND(IF(AQ29="1",BI29,0),2)</f>
        <v>0</v>
      </c>
      <c r="AD29" s="32">
        <f>ROUND(IF(AQ29="7",BH29,0),2)</f>
        <v>0</v>
      </c>
      <c r="AE29" s="32">
        <f>ROUND(IF(AQ29="7",BI29,0),2)</f>
        <v>0</v>
      </c>
      <c r="AF29" s="32">
        <f>ROUND(IF(AQ29="2",BH29,0),2)</f>
        <v>0</v>
      </c>
      <c r="AG29" s="32">
        <f>ROUND(IF(AQ29="2",BI29,0),2)</f>
        <v>0</v>
      </c>
      <c r="AH29" s="32">
        <f>ROUND(IF(AQ29="0",BJ29,0),2)</f>
        <v>0</v>
      </c>
      <c r="AI29" s="12" t="s">
        <v>55</v>
      </c>
      <c r="AJ29" s="32">
        <f>IF(AN29=0,L29,0)</f>
        <v>0</v>
      </c>
      <c r="AK29" s="32">
        <f>IF(AN29=12,L29,0)</f>
        <v>0</v>
      </c>
      <c r="AL29" s="32">
        <f>IF(AN29=21,L29,0)</f>
        <v>0</v>
      </c>
      <c r="AN29" s="32">
        <v>21</v>
      </c>
      <c r="AO29" s="32">
        <f>H29*0.675129006</f>
        <v>0</v>
      </c>
      <c r="AP29" s="32">
        <f>H29*(1-0.675129006)</f>
        <v>0</v>
      </c>
      <c r="AQ29" s="36" t="s">
        <v>58</v>
      </c>
      <c r="AV29" s="32">
        <f>ROUND(AW29+AX29,2)</f>
        <v>0</v>
      </c>
      <c r="AW29" s="32">
        <f>ROUND(G29*AO29,2)</f>
        <v>0</v>
      </c>
      <c r="AX29" s="32">
        <f>ROUND(G29*AP29,2)</f>
        <v>0</v>
      </c>
      <c r="AY29" s="36" t="s">
        <v>104</v>
      </c>
      <c r="AZ29" s="36" t="s">
        <v>105</v>
      </c>
      <c r="BA29" s="12" t="s">
        <v>65</v>
      </c>
      <c r="BC29" s="32">
        <f>AW29+AX29</f>
        <v>0</v>
      </c>
      <c r="BD29" s="32">
        <f>H29/(100-BE29)*100</f>
        <v>0</v>
      </c>
      <c r="BE29" s="32">
        <v>0</v>
      </c>
      <c r="BF29" s="32">
        <f>P29</f>
        <v>5.1069500000000004E-2</v>
      </c>
      <c r="BH29" s="32">
        <f>G29*AO29</f>
        <v>0</v>
      </c>
      <c r="BI29" s="32">
        <f>G29*AP29</f>
        <v>0</v>
      </c>
      <c r="BJ29" s="32">
        <f>G29*H29</f>
        <v>0</v>
      </c>
      <c r="BK29" s="36" t="s">
        <v>66</v>
      </c>
      <c r="BL29" s="32">
        <v>41</v>
      </c>
      <c r="BW29" s="32">
        <f>I29</f>
        <v>21</v>
      </c>
      <c r="BX29" s="4" t="s">
        <v>109</v>
      </c>
    </row>
    <row r="30" spans="1:76" x14ac:dyDescent="0.25">
      <c r="A30" s="2" t="s">
        <v>56</v>
      </c>
      <c r="B30" s="3" t="s">
        <v>55</v>
      </c>
      <c r="C30" s="3" t="s">
        <v>111</v>
      </c>
      <c r="D30" s="89" t="s">
        <v>112</v>
      </c>
      <c r="E30" s="90"/>
      <c r="F30" s="3" t="s">
        <v>76</v>
      </c>
      <c r="G30" s="32">
        <v>2.5</v>
      </c>
      <c r="H30" s="199">
        <v>0</v>
      </c>
      <c r="I30" s="33">
        <v>21</v>
      </c>
      <c r="J30" s="32">
        <f>ROUND(G30*AO30,2)</f>
        <v>0</v>
      </c>
      <c r="K30" s="32">
        <f>ROUND(G30*AP30,2)</f>
        <v>0</v>
      </c>
      <c r="L30" s="32">
        <f>ROUND(G30*H30,2)</f>
        <v>0</v>
      </c>
      <c r="M30" s="32">
        <f>L30*(1+BW30/100)</f>
        <v>0</v>
      </c>
      <c r="N30" s="34">
        <f>IF(L649=0,0,L30/L649)</f>
        <v>0</v>
      </c>
      <c r="O30" s="32">
        <v>5.0779999999999999E-2</v>
      </c>
      <c r="P30" s="32">
        <f>G30*O30</f>
        <v>0.12695000000000001</v>
      </c>
      <c r="Q30" s="35" t="s">
        <v>77</v>
      </c>
      <c r="Z30" s="32">
        <f>ROUND(IF(AQ30="5",BJ30,0),2)</f>
        <v>0</v>
      </c>
      <c r="AB30" s="32">
        <f>ROUND(IF(AQ30="1",BH30,0),2)</f>
        <v>0</v>
      </c>
      <c r="AC30" s="32">
        <f>ROUND(IF(AQ30="1",BI30,0),2)</f>
        <v>0</v>
      </c>
      <c r="AD30" s="32">
        <f>ROUND(IF(AQ30="7",BH30,0),2)</f>
        <v>0</v>
      </c>
      <c r="AE30" s="32">
        <f>ROUND(IF(AQ30="7",BI30,0),2)</f>
        <v>0</v>
      </c>
      <c r="AF30" s="32">
        <f>ROUND(IF(AQ30="2",BH30,0),2)</f>
        <v>0</v>
      </c>
      <c r="AG30" s="32">
        <f>ROUND(IF(AQ30="2",BI30,0),2)</f>
        <v>0</v>
      </c>
      <c r="AH30" s="32">
        <f>ROUND(IF(AQ30="0",BJ30,0),2)</f>
        <v>0</v>
      </c>
      <c r="AI30" s="12" t="s">
        <v>55</v>
      </c>
      <c r="AJ30" s="32">
        <f>IF(AN30=0,L30,0)</f>
        <v>0</v>
      </c>
      <c r="AK30" s="32">
        <f>IF(AN30=12,L30,0)</f>
        <v>0</v>
      </c>
      <c r="AL30" s="32">
        <f>IF(AN30=21,L30,0)</f>
        <v>0</v>
      </c>
      <c r="AN30" s="32">
        <v>21</v>
      </c>
      <c r="AO30" s="32">
        <f>H30*0.323136808</f>
        <v>0</v>
      </c>
      <c r="AP30" s="32">
        <f>H30*(1-0.323136808)</f>
        <v>0</v>
      </c>
      <c r="AQ30" s="36" t="s">
        <v>58</v>
      </c>
      <c r="AV30" s="32">
        <f>ROUND(AW30+AX30,2)</f>
        <v>0</v>
      </c>
      <c r="AW30" s="32">
        <f>ROUND(G30*AO30,2)</f>
        <v>0</v>
      </c>
      <c r="AX30" s="32">
        <f>ROUND(G30*AP30,2)</f>
        <v>0</v>
      </c>
      <c r="AY30" s="36" t="s">
        <v>104</v>
      </c>
      <c r="AZ30" s="36" t="s">
        <v>105</v>
      </c>
      <c r="BA30" s="12" t="s">
        <v>65</v>
      </c>
      <c r="BC30" s="32">
        <f>AW30+AX30</f>
        <v>0</v>
      </c>
      <c r="BD30" s="32">
        <f>H30/(100-BE30)*100</f>
        <v>0</v>
      </c>
      <c r="BE30" s="32">
        <v>0</v>
      </c>
      <c r="BF30" s="32">
        <f>P30</f>
        <v>0.12695000000000001</v>
      </c>
      <c r="BH30" s="32">
        <f>G30*AO30</f>
        <v>0</v>
      </c>
      <c r="BI30" s="32">
        <f>G30*AP30</f>
        <v>0</v>
      </c>
      <c r="BJ30" s="32">
        <f>G30*H30</f>
        <v>0</v>
      </c>
      <c r="BK30" s="36" t="s">
        <v>66</v>
      </c>
      <c r="BL30" s="32">
        <v>41</v>
      </c>
      <c r="BW30" s="32">
        <f>I30</f>
        <v>21</v>
      </c>
      <c r="BX30" s="4" t="s">
        <v>112</v>
      </c>
    </row>
    <row r="31" spans="1:76" ht="13.5" customHeight="1" x14ac:dyDescent="0.25">
      <c r="A31" s="42"/>
      <c r="C31" s="43"/>
      <c r="D31" s="95" t="s">
        <v>113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1:76" x14ac:dyDescent="0.25">
      <c r="A32" s="2" t="s">
        <v>114</v>
      </c>
      <c r="B32" s="3" t="s">
        <v>55</v>
      </c>
      <c r="C32" s="3" t="s">
        <v>115</v>
      </c>
      <c r="D32" s="89" t="s">
        <v>116</v>
      </c>
      <c r="E32" s="90"/>
      <c r="F32" s="3" t="s">
        <v>76</v>
      </c>
      <c r="G32" s="32">
        <v>2.5</v>
      </c>
      <c r="H32" s="199">
        <v>0</v>
      </c>
      <c r="I32" s="33">
        <v>21</v>
      </c>
      <c r="J32" s="32">
        <f>ROUND(G32*AO32,2)</f>
        <v>0</v>
      </c>
      <c r="K32" s="32">
        <f>ROUND(G32*AP32,2)</f>
        <v>0</v>
      </c>
      <c r="L32" s="32">
        <f>ROUND(G32*H32,2)</f>
        <v>0</v>
      </c>
      <c r="M32" s="32">
        <f>L32*(1+BW32/100)</f>
        <v>0</v>
      </c>
      <c r="N32" s="34">
        <f>IF(L649=0,0,L32/L649)</f>
        <v>0</v>
      </c>
      <c r="O32" s="32">
        <v>0</v>
      </c>
      <c r="P32" s="32">
        <f>G32*O32</f>
        <v>0</v>
      </c>
      <c r="Q32" s="35" t="s">
        <v>77</v>
      </c>
      <c r="Z32" s="32">
        <f>ROUND(IF(AQ32="5",BJ32,0),2)</f>
        <v>0</v>
      </c>
      <c r="AB32" s="32">
        <f>ROUND(IF(AQ32="1",BH32,0),2)</f>
        <v>0</v>
      </c>
      <c r="AC32" s="32">
        <f>ROUND(IF(AQ32="1",BI32,0),2)</f>
        <v>0</v>
      </c>
      <c r="AD32" s="32">
        <f>ROUND(IF(AQ32="7",BH32,0),2)</f>
        <v>0</v>
      </c>
      <c r="AE32" s="32">
        <f>ROUND(IF(AQ32="7",BI32,0),2)</f>
        <v>0</v>
      </c>
      <c r="AF32" s="32">
        <f>ROUND(IF(AQ32="2",BH32,0),2)</f>
        <v>0</v>
      </c>
      <c r="AG32" s="32">
        <f>ROUND(IF(AQ32="2",BI32,0),2)</f>
        <v>0</v>
      </c>
      <c r="AH32" s="32">
        <f>ROUND(IF(AQ32="0",BJ32,0),2)</f>
        <v>0</v>
      </c>
      <c r="AI32" s="12" t="s">
        <v>55</v>
      </c>
      <c r="AJ32" s="32">
        <f>IF(AN32=0,L32,0)</f>
        <v>0</v>
      </c>
      <c r="AK32" s="32">
        <f>IF(AN32=12,L32,0)</f>
        <v>0</v>
      </c>
      <c r="AL32" s="32">
        <f>IF(AN32=21,L32,0)</f>
        <v>0</v>
      </c>
      <c r="AN32" s="32">
        <v>21</v>
      </c>
      <c r="AO32" s="32">
        <f>H32*0</f>
        <v>0</v>
      </c>
      <c r="AP32" s="32">
        <f>H32*(1-0)</f>
        <v>0</v>
      </c>
      <c r="AQ32" s="36" t="s">
        <v>58</v>
      </c>
      <c r="AV32" s="32">
        <f>ROUND(AW32+AX32,2)</f>
        <v>0</v>
      </c>
      <c r="AW32" s="32">
        <f>ROUND(G32*AO32,2)</f>
        <v>0</v>
      </c>
      <c r="AX32" s="32">
        <f>ROUND(G32*AP32,2)</f>
        <v>0</v>
      </c>
      <c r="AY32" s="36" t="s">
        <v>104</v>
      </c>
      <c r="AZ32" s="36" t="s">
        <v>105</v>
      </c>
      <c r="BA32" s="12" t="s">
        <v>65</v>
      </c>
      <c r="BC32" s="32">
        <f>AW32+AX32</f>
        <v>0</v>
      </c>
      <c r="BD32" s="32">
        <f>H32/(100-BE32)*100</f>
        <v>0</v>
      </c>
      <c r="BE32" s="32">
        <v>0</v>
      </c>
      <c r="BF32" s="32">
        <f>P32</f>
        <v>0</v>
      </c>
      <c r="BH32" s="32">
        <f>G32*AO32</f>
        <v>0</v>
      </c>
      <c r="BI32" s="32">
        <f>G32*AP32</f>
        <v>0</v>
      </c>
      <c r="BJ32" s="32">
        <f>G32*H32</f>
        <v>0</v>
      </c>
      <c r="BK32" s="36" t="s">
        <v>66</v>
      </c>
      <c r="BL32" s="32">
        <v>41</v>
      </c>
      <c r="BW32" s="32">
        <f>I32</f>
        <v>21</v>
      </c>
      <c r="BX32" s="4" t="s">
        <v>116</v>
      </c>
    </row>
    <row r="33" spans="1:76" ht="25.5" x14ac:dyDescent="0.25">
      <c r="A33" s="2" t="s">
        <v>117</v>
      </c>
      <c r="B33" s="3" t="s">
        <v>55</v>
      </c>
      <c r="C33" s="3" t="s">
        <v>118</v>
      </c>
      <c r="D33" s="89" t="s">
        <v>119</v>
      </c>
      <c r="E33" s="90"/>
      <c r="F33" s="3" t="s">
        <v>76</v>
      </c>
      <c r="G33" s="32">
        <v>18.809999999999999</v>
      </c>
      <c r="H33" s="199">
        <v>0</v>
      </c>
      <c r="I33" s="33">
        <v>21</v>
      </c>
      <c r="J33" s="32">
        <f>ROUND(G33*AO33,2)</f>
        <v>0</v>
      </c>
      <c r="K33" s="32">
        <f>ROUND(G33*AP33,2)</f>
        <v>0</v>
      </c>
      <c r="L33" s="32">
        <f>ROUND(G33*H33,2)</f>
        <v>0</v>
      </c>
      <c r="M33" s="32">
        <f>L33*(1+BW33/100)</f>
        <v>0</v>
      </c>
      <c r="N33" s="34">
        <f>IF(L649=0,0,L33/L649)</f>
        <v>0</v>
      </c>
      <c r="O33" s="32">
        <v>2.4140000000000002E-2</v>
      </c>
      <c r="P33" s="32">
        <f>G33*O33</f>
        <v>0.45407340000000002</v>
      </c>
      <c r="Q33" s="35" t="s">
        <v>77</v>
      </c>
      <c r="Z33" s="32">
        <f>ROUND(IF(AQ33="5",BJ33,0),2)</f>
        <v>0</v>
      </c>
      <c r="AB33" s="32">
        <f>ROUND(IF(AQ33="1",BH33,0),2)</f>
        <v>0</v>
      </c>
      <c r="AC33" s="32">
        <f>ROUND(IF(AQ33="1",BI33,0),2)</f>
        <v>0</v>
      </c>
      <c r="AD33" s="32">
        <f>ROUND(IF(AQ33="7",BH33,0),2)</f>
        <v>0</v>
      </c>
      <c r="AE33" s="32">
        <f>ROUND(IF(AQ33="7",BI33,0),2)</f>
        <v>0</v>
      </c>
      <c r="AF33" s="32">
        <f>ROUND(IF(AQ33="2",BH33,0),2)</f>
        <v>0</v>
      </c>
      <c r="AG33" s="32">
        <f>ROUND(IF(AQ33="2",BI33,0),2)</f>
        <v>0</v>
      </c>
      <c r="AH33" s="32">
        <f>ROUND(IF(AQ33="0",BJ33,0),2)</f>
        <v>0</v>
      </c>
      <c r="AI33" s="12" t="s">
        <v>55</v>
      </c>
      <c r="AJ33" s="32">
        <f>IF(AN33=0,L33,0)</f>
        <v>0</v>
      </c>
      <c r="AK33" s="32">
        <f>IF(AN33=12,L33,0)</f>
        <v>0</v>
      </c>
      <c r="AL33" s="32">
        <f>IF(AN33=21,L33,0)</f>
        <v>0</v>
      </c>
      <c r="AN33" s="32">
        <v>21</v>
      </c>
      <c r="AO33" s="32">
        <f>H33*0.452233442</f>
        <v>0</v>
      </c>
      <c r="AP33" s="32">
        <f>H33*(1-0.452233442)</f>
        <v>0</v>
      </c>
      <c r="AQ33" s="36" t="s">
        <v>58</v>
      </c>
      <c r="AV33" s="32">
        <f>ROUND(AW33+AX33,2)</f>
        <v>0</v>
      </c>
      <c r="AW33" s="32">
        <f>ROUND(G33*AO33,2)</f>
        <v>0</v>
      </c>
      <c r="AX33" s="32">
        <f>ROUND(G33*AP33,2)</f>
        <v>0</v>
      </c>
      <c r="AY33" s="36" t="s">
        <v>104</v>
      </c>
      <c r="AZ33" s="36" t="s">
        <v>105</v>
      </c>
      <c r="BA33" s="12" t="s">
        <v>65</v>
      </c>
      <c r="BC33" s="32">
        <f>AW33+AX33</f>
        <v>0</v>
      </c>
      <c r="BD33" s="32">
        <f>H33/(100-BE33)*100</f>
        <v>0</v>
      </c>
      <c r="BE33" s="32">
        <v>0</v>
      </c>
      <c r="BF33" s="32">
        <f>P33</f>
        <v>0.45407340000000002</v>
      </c>
      <c r="BH33" s="32">
        <f>G33*AO33</f>
        <v>0</v>
      </c>
      <c r="BI33" s="32">
        <f>G33*AP33</f>
        <v>0</v>
      </c>
      <c r="BJ33" s="32">
        <f>G33*H33</f>
        <v>0</v>
      </c>
      <c r="BK33" s="36" t="s">
        <v>66</v>
      </c>
      <c r="BL33" s="32">
        <v>41</v>
      </c>
      <c r="BW33" s="32">
        <f>I33</f>
        <v>21</v>
      </c>
      <c r="BX33" s="4" t="s">
        <v>119</v>
      </c>
    </row>
    <row r="34" spans="1:76" ht="13.5" customHeight="1" x14ac:dyDescent="0.25">
      <c r="A34" s="42"/>
      <c r="C34" s="43"/>
      <c r="D34" s="95" t="s">
        <v>120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76" ht="25.5" x14ac:dyDescent="0.25">
      <c r="A35" s="2" t="s">
        <v>121</v>
      </c>
      <c r="B35" s="3" t="s">
        <v>55</v>
      </c>
      <c r="C35" s="3" t="s">
        <v>122</v>
      </c>
      <c r="D35" s="89" t="s">
        <v>123</v>
      </c>
      <c r="E35" s="90"/>
      <c r="F35" s="3" t="s">
        <v>76</v>
      </c>
      <c r="G35" s="32">
        <v>41.4</v>
      </c>
      <c r="H35" s="199">
        <v>0</v>
      </c>
      <c r="I35" s="33">
        <v>21</v>
      </c>
      <c r="J35" s="32">
        <f>ROUND(G35*AO35,2)</f>
        <v>0</v>
      </c>
      <c r="K35" s="32">
        <f>ROUND(G35*AP35,2)</f>
        <v>0</v>
      </c>
      <c r="L35" s="32">
        <f>ROUND(G35*H35,2)</f>
        <v>0</v>
      </c>
      <c r="M35" s="32">
        <f>L35*(1+BW35/100)</f>
        <v>0</v>
      </c>
      <c r="N35" s="34">
        <f>IF(L649=0,0,L35/L649)</f>
        <v>0</v>
      </c>
      <c r="O35" s="32">
        <v>4.8300000000000001E-3</v>
      </c>
      <c r="P35" s="32">
        <f>G35*O35</f>
        <v>0.199962</v>
      </c>
      <c r="Q35" s="35" t="s">
        <v>77</v>
      </c>
      <c r="Z35" s="32">
        <f>ROUND(IF(AQ35="5",BJ35,0),2)</f>
        <v>0</v>
      </c>
      <c r="AB35" s="32">
        <f>ROUND(IF(AQ35="1",BH35,0),2)</f>
        <v>0</v>
      </c>
      <c r="AC35" s="32">
        <f>ROUND(IF(AQ35="1",BI35,0),2)</f>
        <v>0</v>
      </c>
      <c r="AD35" s="32">
        <f>ROUND(IF(AQ35="7",BH35,0),2)</f>
        <v>0</v>
      </c>
      <c r="AE35" s="32">
        <f>ROUND(IF(AQ35="7",BI35,0),2)</f>
        <v>0</v>
      </c>
      <c r="AF35" s="32">
        <f>ROUND(IF(AQ35="2",BH35,0),2)</f>
        <v>0</v>
      </c>
      <c r="AG35" s="32">
        <f>ROUND(IF(AQ35="2",BI35,0),2)</f>
        <v>0</v>
      </c>
      <c r="AH35" s="32">
        <f>ROUND(IF(AQ35="0",BJ35,0),2)</f>
        <v>0</v>
      </c>
      <c r="AI35" s="12" t="s">
        <v>55</v>
      </c>
      <c r="AJ35" s="32">
        <f>IF(AN35=0,L35,0)</f>
        <v>0</v>
      </c>
      <c r="AK35" s="32">
        <f>IF(AN35=12,L35,0)</f>
        <v>0</v>
      </c>
      <c r="AL35" s="32">
        <f>IF(AN35=21,L35,0)</f>
        <v>0</v>
      </c>
      <c r="AN35" s="32">
        <v>21</v>
      </c>
      <c r="AO35" s="32">
        <f>H35*0.636659058</f>
        <v>0</v>
      </c>
      <c r="AP35" s="32">
        <f>H35*(1-0.636659058)</f>
        <v>0</v>
      </c>
      <c r="AQ35" s="36" t="s">
        <v>58</v>
      </c>
      <c r="AV35" s="32">
        <f>ROUND(AW35+AX35,2)</f>
        <v>0</v>
      </c>
      <c r="AW35" s="32">
        <f>ROUND(G35*AO35,2)</f>
        <v>0</v>
      </c>
      <c r="AX35" s="32">
        <f>ROUND(G35*AP35,2)</f>
        <v>0</v>
      </c>
      <c r="AY35" s="36" t="s">
        <v>104</v>
      </c>
      <c r="AZ35" s="36" t="s">
        <v>105</v>
      </c>
      <c r="BA35" s="12" t="s">
        <v>65</v>
      </c>
      <c r="BC35" s="32">
        <f>AW35+AX35</f>
        <v>0</v>
      </c>
      <c r="BD35" s="32">
        <f>H35/(100-BE35)*100</f>
        <v>0</v>
      </c>
      <c r="BE35" s="32">
        <v>0</v>
      </c>
      <c r="BF35" s="32">
        <f>P35</f>
        <v>0.199962</v>
      </c>
      <c r="BH35" s="32">
        <f>G35*AO35</f>
        <v>0</v>
      </c>
      <c r="BI35" s="32">
        <f>G35*AP35</f>
        <v>0</v>
      </c>
      <c r="BJ35" s="32">
        <f>G35*H35</f>
        <v>0</v>
      </c>
      <c r="BK35" s="36" t="s">
        <v>66</v>
      </c>
      <c r="BL35" s="32">
        <v>41</v>
      </c>
      <c r="BW35" s="32">
        <f>I35</f>
        <v>21</v>
      </c>
      <c r="BX35" s="4" t="s">
        <v>123</v>
      </c>
    </row>
    <row r="36" spans="1:76" x14ac:dyDescent="0.25">
      <c r="A36" s="2" t="s">
        <v>124</v>
      </c>
      <c r="B36" s="3" t="s">
        <v>55</v>
      </c>
      <c r="C36" s="3" t="s">
        <v>125</v>
      </c>
      <c r="D36" s="89" t="s">
        <v>126</v>
      </c>
      <c r="E36" s="90"/>
      <c r="F36" s="3" t="s">
        <v>76</v>
      </c>
      <c r="G36" s="32">
        <v>60.21</v>
      </c>
      <c r="H36" s="199">
        <v>0</v>
      </c>
      <c r="I36" s="33">
        <v>21</v>
      </c>
      <c r="J36" s="32">
        <f>ROUND(G36*AO36,2)</f>
        <v>0</v>
      </c>
      <c r="K36" s="32">
        <f>ROUND(G36*AP36,2)</f>
        <v>0</v>
      </c>
      <c r="L36" s="32">
        <f>ROUND(G36*H36,2)</f>
        <v>0</v>
      </c>
      <c r="M36" s="32">
        <f>L36*(1+BW36/100)</f>
        <v>0</v>
      </c>
      <c r="N36" s="34">
        <f>IF(L649=0,0,L36/L649)</f>
        <v>0</v>
      </c>
      <c r="O36" s="32">
        <v>2.0000000000000002E-5</v>
      </c>
      <c r="P36" s="32">
        <f>G36*O36</f>
        <v>1.2042000000000001E-3</v>
      </c>
      <c r="Q36" s="35" t="s">
        <v>77</v>
      </c>
      <c r="Z36" s="32">
        <f>ROUND(IF(AQ36="5",BJ36,0),2)</f>
        <v>0</v>
      </c>
      <c r="AB36" s="32">
        <f>ROUND(IF(AQ36="1",BH36,0),2)</f>
        <v>0</v>
      </c>
      <c r="AC36" s="32">
        <f>ROUND(IF(AQ36="1",BI36,0),2)</f>
        <v>0</v>
      </c>
      <c r="AD36" s="32">
        <f>ROUND(IF(AQ36="7",BH36,0),2)</f>
        <v>0</v>
      </c>
      <c r="AE36" s="32">
        <f>ROUND(IF(AQ36="7",BI36,0),2)</f>
        <v>0</v>
      </c>
      <c r="AF36" s="32">
        <f>ROUND(IF(AQ36="2",BH36,0),2)</f>
        <v>0</v>
      </c>
      <c r="AG36" s="32">
        <f>ROUND(IF(AQ36="2",BI36,0),2)</f>
        <v>0</v>
      </c>
      <c r="AH36" s="32">
        <f>ROUND(IF(AQ36="0",BJ36,0),2)</f>
        <v>0</v>
      </c>
      <c r="AI36" s="12" t="s">
        <v>55</v>
      </c>
      <c r="AJ36" s="32">
        <f>IF(AN36=0,L36,0)</f>
        <v>0</v>
      </c>
      <c r="AK36" s="32">
        <f>IF(AN36=12,L36,0)</f>
        <v>0</v>
      </c>
      <c r="AL36" s="32">
        <f>IF(AN36=21,L36,0)</f>
        <v>0</v>
      </c>
      <c r="AN36" s="32">
        <v>21</v>
      </c>
      <c r="AO36" s="32">
        <f>H36*0.063083375</f>
        <v>0</v>
      </c>
      <c r="AP36" s="32">
        <f>H36*(1-0.063083375)</f>
        <v>0</v>
      </c>
      <c r="AQ36" s="36" t="s">
        <v>58</v>
      </c>
      <c r="AV36" s="32">
        <f>ROUND(AW36+AX36,2)</f>
        <v>0</v>
      </c>
      <c r="AW36" s="32">
        <f>ROUND(G36*AO36,2)</f>
        <v>0</v>
      </c>
      <c r="AX36" s="32">
        <f>ROUND(G36*AP36,2)</f>
        <v>0</v>
      </c>
      <c r="AY36" s="36" t="s">
        <v>104</v>
      </c>
      <c r="AZ36" s="36" t="s">
        <v>105</v>
      </c>
      <c r="BA36" s="12" t="s">
        <v>65</v>
      </c>
      <c r="BC36" s="32">
        <f>AW36+AX36</f>
        <v>0</v>
      </c>
      <c r="BD36" s="32">
        <f>H36/(100-BE36)*100</f>
        <v>0</v>
      </c>
      <c r="BE36" s="32">
        <v>0</v>
      </c>
      <c r="BF36" s="32">
        <f>P36</f>
        <v>1.2042000000000001E-3</v>
      </c>
      <c r="BH36" s="32">
        <f>G36*AO36</f>
        <v>0</v>
      </c>
      <c r="BI36" s="32">
        <f>G36*AP36</f>
        <v>0</v>
      </c>
      <c r="BJ36" s="32">
        <f>G36*H36</f>
        <v>0</v>
      </c>
      <c r="BK36" s="36" t="s">
        <v>66</v>
      </c>
      <c r="BL36" s="32">
        <v>41</v>
      </c>
      <c r="BW36" s="32">
        <f>I36</f>
        <v>21</v>
      </c>
      <c r="BX36" s="4" t="s">
        <v>126</v>
      </c>
    </row>
    <row r="37" spans="1:76" x14ac:dyDescent="0.25">
      <c r="A37" s="2" t="s">
        <v>127</v>
      </c>
      <c r="B37" s="3" t="s">
        <v>55</v>
      </c>
      <c r="C37" s="3" t="s">
        <v>128</v>
      </c>
      <c r="D37" s="89" t="s">
        <v>129</v>
      </c>
      <c r="E37" s="90"/>
      <c r="F37" s="3" t="s">
        <v>76</v>
      </c>
      <c r="G37" s="32">
        <v>63.8</v>
      </c>
      <c r="H37" s="199">
        <v>0</v>
      </c>
      <c r="I37" s="33">
        <v>21</v>
      </c>
      <c r="J37" s="32">
        <f>ROUND(G37*AO37,2)</f>
        <v>0</v>
      </c>
      <c r="K37" s="32">
        <f>ROUND(G37*AP37,2)</f>
        <v>0</v>
      </c>
      <c r="L37" s="32">
        <f>ROUND(G37*H37,2)</f>
        <v>0</v>
      </c>
      <c r="M37" s="32">
        <f>L37*(1+BW37/100)</f>
        <v>0</v>
      </c>
      <c r="N37" s="34">
        <f>IF(L649=0,0,L37/L649)</f>
        <v>0</v>
      </c>
      <c r="O37" s="32">
        <v>6.5300000000000002E-3</v>
      </c>
      <c r="P37" s="32">
        <f>G37*O37</f>
        <v>0.41661399999999998</v>
      </c>
      <c r="Q37" s="35" t="s">
        <v>77</v>
      </c>
      <c r="Z37" s="32">
        <f>ROUND(IF(AQ37="5",BJ37,0),2)</f>
        <v>0</v>
      </c>
      <c r="AB37" s="32">
        <f>ROUND(IF(AQ37="1",BH37,0),2)</f>
        <v>0</v>
      </c>
      <c r="AC37" s="32">
        <f>ROUND(IF(AQ37="1",BI37,0),2)</f>
        <v>0</v>
      </c>
      <c r="AD37" s="32">
        <f>ROUND(IF(AQ37="7",BH37,0),2)</f>
        <v>0</v>
      </c>
      <c r="AE37" s="32">
        <f>ROUND(IF(AQ37="7",BI37,0),2)</f>
        <v>0</v>
      </c>
      <c r="AF37" s="32">
        <f>ROUND(IF(AQ37="2",BH37,0),2)</f>
        <v>0</v>
      </c>
      <c r="AG37" s="32">
        <f>ROUND(IF(AQ37="2",BI37,0),2)</f>
        <v>0</v>
      </c>
      <c r="AH37" s="32">
        <f>ROUND(IF(AQ37="0",BJ37,0),2)</f>
        <v>0</v>
      </c>
      <c r="AI37" s="12" t="s">
        <v>55</v>
      </c>
      <c r="AJ37" s="32">
        <f>IF(AN37=0,L37,0)</f>
        <v>0</v>
      </c>
      <c r="AK37" s="32">
        <f>IF(AN37=12,L37,0)</f>
        <v>0</v>
      </c>
      <c r="AL37" s="32">
        <f>IF(AN37=21,L37,0)</f>
        <v>0</v>
      </c>
      <c r="AN37" s="32">
        <v>21</v>
      </c>
      <c r="AO37" s="32">
        <f>H37*0.866807165</f>
        <v>0</v>
      </c>
      <c r="AP37" s="32">
        <f>H37*(1-0.866807165)</f>
        <v>0</v>
      </c>
      <c r="AQ37" s="36" t="s">
        <v>58</v>
      </c>
      <c r="AV37" s="32">
        <f>ROUND(AW37+AX37,2)</f>
        <v>0</v>
      </c>
      <c r="AW37" s="32">
        <f>ROUND(G37*AO37,2)</f>
        <v>0</v>
      </c>
      <c r="AX37" s="32">
        <f>ROUND(G37*AP37,2)</f>
        <v>0</v>
      </c>
      <c r="AY37" s="36" t="s">
        <v>104</v>
      </c>
      <c r="AZ37" s="36" t="s">
        <v>105</v>
      </c>
      <c r="BA37" s="12" t="s">
        <v>65</v>
      </c>
      <c r="BC37" s="32">
        <f>AW37+AX37</f>
        <v>0</v>
      </c>
      <c r="BD37" s="32">
        <f>H37/(100-BE37)*100</f>
        <v>0</v>
      </c>
      <c r="BE37" s="32">
        <v>0</v>
      </c>
      <c r="BF37" s="32">
        <f>P37</f>
        <v>0.41661399999999998</v>
      </c>
      <c r="BH37" s="32">
        <f>G37*AO37</f>
        <v>0</v>
      </c>
      <c r="BI37" s="32">
        <f>G37*AP37</f>
        <v>0</v>
      </c>
      <c r="BJ37" s="32">
        <f>G37*H37</f>
        <v>0</v>
      </c>
      <c r="BK37" s="36" t="s">
        <v>66</v>
      </c>
      <c r="BL37" s="32">
        <v>41</v>
      </c>
      <c r="BW37" s="32">
        <f>I37</f>
        <v>21</v>
      </c>
      <c r="BX37" s="4" t="s">
        <v>129</v>
      </c>
    </row>
    <row r="38" spans="1:76" ht="13.5" customHeight="1" x14ac:dyDescent="0.25">
      <c r="A38" s="42"/>
      <c r="C38" s="43"/>
      <c r="D38" s="95" t="s">
        <v>130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76" x14ac:dyDescent="0.25">
      <c r="A39" s="37" t="s">
        <v>55</v>
      </c>
      <c r="B39" s="38" t="s">
        <v>55</v>
      </c>
      <c r="C39" s="38" t="s">
        <v>131</v>
      </c>
      <c r="D39" s="98" t="s">
        <v>132</v>
      </c>
      <c r="E39" s="99"/>
      <c r="F39" s="39" t="s">
        <v>3</v>
      </c>
      <c r="G39" s="39" t="s">
        <v>3</v>
      </c>
      <c r="H39" s="39" t="s">
        <v>3</v>
      </c>
      <c r="I39" s="39" t="s">
        <v>3</v>
      </c>
      <c r="J39" s="1">
        <f>SUM(J40:J47)</f>
        <v>0</v>
      </c>
      <c r="K39" s="1">
        <f>SUM(K40:K47)</f>
        <v>0</v>
      </c>
      <c r="L39" s="1">
        <f>SUM(L40:L47)</f>
        <v>0</v>
      </c>
      <c r="M39" s="1">
        <f>SUM(M40:M47)</f>
        <v>0</v>
      </c>
      <c r="N39" s="40">
        <f>IF(L649=0,0,L39/L649)</f>
        <v>0</v>
      </c>
      <c r="O39" s="12" t="s">
        <v>55</v>
      </c>
      <c r="P39" s="1">
        <f>SUM(P40:P47)</f>
        <v>13.147407600000001</v>
      </c>
      <c r="Q39" s="41" t="s">
        <v>55</v>
      </c>
      <c r="AI39" s="12" t="s">
        <v>55</v>
      </c>
      <c r="AS39" s="1">
        <f>SUM(AJ40:AJ47)</f>
        <v>0</v>
      </c>
      <c r="AT39" s="1">
        <f>SUM(AK40:AK47)</f>
        <v>0</v>
      </c>
      <c r="AU39" s="1">
        <f>SUM(AL40:AL47)</f>
        <v>0</v>
      </c>
    </row>
    <row r="40" spans="1:76" x14ac:dyDescent="0.25">
      <c r="A40" s="2" t="s">
        <v>133</v>
      </c>
      <c r="B40" s="3" t="s">
        <v>55</v>
      </c>
      <c r="C40" s="3" t="s">
        <v>134</v>
      </c>
      <c r="D40" s="89" t="s">
        <v>135</v>
      </c>
      <c r="E40" s="90"/>
      <c r="F40" s="3" t="s">
        <v>136</v>
      </c>
      <c r="G40" s="32">
        <v>12.6</v>
      </c>
      <c r="H40" s="199">
        <v>0</v>
      </c>
      <c r="I40" s="33">
        <v>21</v>
      </c>
      <c r="J40" s="32">
        <f>ROUND(G40*AO40,2)</f>
        <v>0</v>
      </c>
      <c r="K40" s="32">
        <f>ROUND(G40*AP40,2)</f>
        <v>0</v>
      </c>
      <c r="L40" s="32">
        <f>ROUND(G40*H40,2)</f>
        <v>0</v>
      </c>
      <c r="M40" s="32">
        <f>L40*(1+BW40/100)</f>
        <v>0</v>
      </c>
      <c r="N40" s="34">
        <f>IF(L649=0,0,L40/L649)</f>
        <v>0</v>
      </c>
      <c r="O40" s="32">
        <v>0.12472</v>
      </c>
      <c r="P40" s="32">
        <f>G40*O40</f>
        <v>1.571472</v>
      </c>
      <c r="Q40" s="35" t="s">
        <v>77</v>
      </c>
      <c r="Z40" s="32">
        <f>ROUND(IF(AQ40="5",BJ40,0),2)</f>
        <v>0</v>
      </c>
      <c r="AB40" s="32">
        <f>ROUND(IF(AQ40="1",BH40,0),2)</f>
        <v>0</v>
      </c>
      <c r="AC40" s="32">
        <f>ROUND(IF(AQ40="1",BI40,0),2)</f>
        <v>0</v>
      </c>
      <c r="AD40" s="32">
        <f>ROUND(IF(AQ40="7",BH40,0),2)</f>
        <v>0</v>
      </c>
      <c r="AE40" s="32">
        <f>ROUND(IF(AQ40="7",BI40,0),2)</f>
        <v>0</v>
      </c>
      <c r="AF40" s="32">
        <f>ROUND(IF(AQ40="2",BH40,0),2)</f>
        <v>0</v>
      </c>
      <c r="AG40" s="32">
        <f>ROUND(IF(AQ40="2",BI40,0),2)</f>
        <v>0</v>
      </c>
      <c r="AH40" s="32">
        <f>ROUND(IF(AQ40="0",BJ40,0),2)</f>
        <v>0</v>
      </c>
      <c r="AI40" s="12" t="s">
        <v>55</v>
      </c>
      <c r="AJ40" s="32">
        <f>IF(AN40=0,L40,0)</f>
        <v>0</v>
      </c>
      <c r="AK40" s="32">
        <f>IF(AN40=12,L40,0)</f>
        <v>0</v>
      </c>
      <c r="AL40" s="32">
        <f>IF(AN40=21,L40,0)</f>
        <v>0</v>
      </c>
      <c r="AN40" s="32">
        <v>21</v>
      </c>
      <c r="AO40" s="32">
        <f>H40*0.714878533</f>
        <v>0</v>
      </c>
      <c r="AP40" s="32">
        <f>H40*(1-0.714878533)</f>
        <v>0</v>
      </c>
      <c r="AQ40" s="36" t="s">
        <v>58</v>
      </c>
      <c r="AV40" s="32">
        <f>ROUND(AW40+AX40,2)</f>
        <v>0</v>
      </c>
      <c r="AW40" s="32">
        <f>ROUND(G40*AO40,2)</f>
        <v>0</v>
      </c>
      <c r="AX40" s="32">
        <f>ROUND(G40*AP40,2)</f>
        <v>0</v>
      </c>
      <c r="AY40" s="36" t="s">
        <v>137</v>
      </c>
      <c r="AZ40" s="36" t="s">
        <v>138</v>
      </c>
      <c r="BA40" s="12" t="s">
        <v>65</v>
      </c>
      <c r="BC40" s="32">
        <f>AW40+AX40</f>
        <v>0</v>
      </c>
      <c r="BD40" s="32">
        <f>H40/(100-BE40)*100</f>
        <v>0</v>
      </c>
      <c r="BE40" s="32">
        <v>0</v>
      </c>
      <c r="BF40" s="32">
        <f>P40</f>
        <v>1.571472</v>
      </c>
      <c r="BH40" s="32">
        <f>G40*AO40</f>
        <v>0</v>
      </c>
      <c r="BI40" s="32">
        <f>G40*AP40</f>
        <v>0</v>
      </c>
      <c r="BJ40" s="32">
        <f>G40*H40</f>
        <v>0</v>
      </c>
      <c r="BK40" s="36" t="s">
        <v>66</v>
      </c>
      <c r="BL40" s="32">
        <v>59</v>
      </c>
      <c r="BW40" s="32">
        <f>I40</f>
        <v>21</v>
      </c>
      <c r="BX40" s="4" t="s">
        <v>135</v>
      </c>
    </row>
    <row r="41" spans="1:76" ht="13.5" customHeight="1" x14ac:dyDescent="0.25">
      <c r="A41" s="42"/>
      <c r="C41" s="43"/>
      <c r="D41" s="95" t="s">
        <v>139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76" x14ac:dyDescent="0.25">
      <c r="A42" s="2" t="s">
        <v>140</v>
      </c>
      <c r="B42" s="3" t="s">
        <v>55</v>
      </c>
      <c r="C42" s="3" t="s">
        <v>141</v>
      </c>
      <c r="D42" s="89" t="s">
        <v>142</v>
      </c>
      <c r="E42" s="90"/>
      <c r="F42" s="3" t="s">
        <v>76</v>
      </c>
      <c r="G42" s="32">
        <v>19.68</v>
      </c>
      <c r="H42" s="199">
        <v>0</v>
      </c>
      <c r="I42" s="33">
        <v>21</v>
      </c>
      <c r="J42" s="32">
        <f>ROUND(G42*AO42,2)</f>
        <v>0</v>
      </c>
      <c r="K42" s="32">
        <f>ROUND(G42*AP42,2)</f>
        <v>0</v>
      </c>
      <c r="L42" s="32">
        <f>ROUND(G42*H42,2)</f>
        <v>0</v>
      </c>
      <c r="M42" s="32">
        <f>L42*(1+BW42/100)</f>
        <v>0</v>
      </c>
      <c r="N42" s="34">
        <f>IF(L649=0,0,L42/L649)</f>
        <v>0</v>
      </c>
      <c r="O42" s="32">
        <v>5.5449999999999999E-2</v>
      </c>
      <c r="P42" s="32">
        <f>G42*O42</f>
        <v>1.091256</v>
      </c>
      <c r="Q42" s="35" t="s">
        <v>77</v>
      </c>
      <c r="Z42" s="32">
        <f>ROUND(IF(AQ42="5",BJ42,0),2)</f>
        <v>0</v>
      </c>
      <c r="AB42" s="32">
        <f>ROUND(IF(AQ42="1",BH42,0),2)</f>
        <v>0</v>
      </c>
      <c r="AC42" s="32">
        <f>ROUND(IF(AQ42="1",BI42,0),2)</f>
        <v>0</v>
      </c>
      <c r="AD42" s="32">
        <f>ROUND(IF(AQ42="7",BH42,0),2)</f>
        <v>0</v>
      </c>
      <c r="AE42" s="32">
        <f>ROUND(IF(AQ42="7",BI42,0),2)</f>
        <v>0</v>
      </c>
      <c r="AF42" s="32">
        <f>ROUND(IF(AQ42="2",BH42,0),2)</f>
        <v>0</v>
      </c>
      <c r="AG42" s="32">
        <f>ROUND(IF(AQ42="2",BI42,0),2)</f>
        <v>0</v>
      </c>
      <c r="AH42" s="32">
        <f>ROUND(IF(AQ42="0",BJ42,0),2)</f>
        <v>0</v>
      </c>
      <c r="AI42" s="12" t="s">
        <v>55</v>
      </c>
      <c r="AJ42" s="32">
        <f>IF(AN42=0,L42,0)</f>
        <v>0</v>
      </c>
      <c r="AK42" s="32">
        <f>IF(AN42=12,L42,0)</f>
        <v>0</v>
      </c>
      <c r="AL42" s="32">
        <f>IF(AN42=21,L42,0)</f>
        <v>0</v>
      </c>
      <c r="AN42" s="32">
        <v>21</v>
      </c>
      <c r="AO42" s="32">
        <f>H42*0.120655903</f>
        <v>0</v>
      </c>
      <c r="AP42" s="32">
        <f>H42*(1-0.120655903)</f>
        <v>0</v>
      </c>
      <c r="AQ42" s="36" t="s">
        <v>58</v>
      </c>
      <c r="AV42" s="32">
        <f>ROUND(AW42+AX42,2)</f>
        <v>0</v>
      </c>
      <c r="AW42" s="32">
        <f>ROUND(G42*AO42,2)</f>
        <v>0</v>
      </c>
      <c r="AX42" s="32">
        <f>ROUND(G42*AP42,2)</f>
        <v>0</v>
      </c>
      <c r="AY42" s="36" t="s">
        <v>137</v>
      </c>
      <c r="AZ42" s="36" t="s">
        <v>138</v>
      </c>
      <c r="BA42" s="12" t="s">
        <v>65</v>
      </c>
      <c r="BC42" s="32">
        <f>AW42+AX42</f>
        <v>0</v>
      </c>
      <c r="BD42" s="32">
        <f>H42/(100-BE42)*100</f>
        <v>0</v>
      </c>
      <c r="BE42" s="32">
        <v>0</v>
      </c>
      <c r="BF42" s="32">
        <f>P42</f>
        <v>1.091256</v>
      </c>
      <c r="BH42" s="32">
        <f>G42*AO42</f>
        <v>0</v>
      </c>
      <c r="BI42" s="32">
        <f>G42*AP42</f>
        <v>0</v>
      </c>
      <c r="BJ42" s="32">
        <f>G42*H42</f>
        <v>0</v>
      </c>
      <c r="BK42" s="36" t="s">
        <v>66</v>
      </c>
      <c r="BL42" s="32">
        <v>59</v>
      </c>
      <c r="BW42" s="32">
        <f>I42</f>
        <v>21</v>
      </c>
      <c r="BX42" s="4" t="s">
        <v>142</v>
      </c>
    </row>
    <row r="43" spans="1:76" ht="13.5" customHeight="1" x14ac:dyDescent="0.25">
      <c r="A43" s="42"/>
      <c r="C43" s="43"/>
      <c r="D43" s="95" t="s">
        <v>143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7"/>
    </row>
    <row r="44" spans="1:76" x14ac:dyDescent="0.25">
      <c r="A44" s="2" t="s">
        <v>144</v>
      </c>
      <c r="B44" s="3" t="s">
        <v>55</v>
      </c>
      <c r="C44" s="3" t="s">
        <v>145</v>
      </c>
      <c r="D44" s="89" t="s">
        <v>146</v>
      </c>
      <c r="E44" s="90"/>
      <c r="F44" s="3" t="s">
        <v>76</v>
      </c>
      <c r="G44" s="32">
        <v>21.648</v>
      </c>
      <c r="H44" s="199">
        <v>0</v>
      </c>
      <c r="I44" s="33">
        <v>21</v>
      </c>
      <c r="J44" s="32">
        <f>ROUND(G44*AO44,2)</f>
        <v>0</v>
      </c>
      <c r="K44" s="32">
        <f>ROUND(G44*AP44,2)</f>
        <v>0</v>
      </c>
      <c r="L44" s="32">
        <f>ROUND(G44*H44,2)</f>
        <v>0</v>
      </c>
      <c r="M44" s="32">
        <f>L44*(1+BW44/100)</f>
        <v>0</v>
      </c>
      <c r="N44" s="34">
        <f>IF(L649=0,0,L44/L649)</f>
        <v>0</v>
      </c>
      <c r="O44" s="32">
        <v>0.13100000000000001</v>
      </c>
      <c r="P44" s="32">
        <f>G44*O44</f>
        <v>2.8358880000000002</v>
      </c>
      <c r="Q44" s="35" t="s">
        <v>77</v>
      </c>
      <c r="Z44" s="32">
        <f>ROUND(IF(AQ44="5",BJ44,0),2)</f>
        <v>0</v>
      </c>
      <c r="AB44" s="32">
        <f>ROUND(IF(AQ44="1",BH44,0),2)</f>
        <v>0</v>
      </c>
      <c r="AC44" s="32">
        <f>ROUND(IF(AQ44="1",BI44,0),2)</f>
        <v>0</v>
      </c>
      <c r="AD44" s="32">
        <f>ROUND(IF(AQ44="7",BH44,0),2)</f>
        <v>0</v>
      </c>
      <c r="AE44" s="32">
        <f>ROUND(IF(AQ44="7",BI44,0),2)</f>
        <v>0</v>
      </c>
      <c r="AF44" s="32">
        <f>ROUND(IF(AQ44="2",BH44,0),2)</f>
        <v>0</v>
      </c>
      <c r="AG44" s="32">
        <f>ROUND(IF(AQ44="2",BI44,0),2)</f>
        <v>0</v>
      </c>
      <c r="AH44" s="32">
        <f>ROUND(IF(AQ44="0",BJ44,0),2)</f>
        <v>0</v>
      </c>
      <c r="AI44" s="12" t="s">
        <v>55</v>
      </c>
      <c r="AJ44" s="32">
        <f>IF(AN44=0,L44,0)</f>
        <v>0</v>
      </c>
      <c r="AK44" s="32">
        <f>IF(AN44=12,L44,0)</f>
        <v>0</v>
      </c>
      <c r="AL44" s="32">
        <f>IF(AN44=21,L44,0)</f>
        <v>0</v>
      </c>
      <c r="AN44" s="32">
        <v>21</v>
      </c>
      <c r="AO44" s="32">
        <f>H44*1</f>
        <v>0</v>
      </c>
      <c r="AP44" s="32">
        <f>H44*(1-1)</f>
        <v>0</v>
      </c>
      <c r="AQ44" s="36" t="s">
        <v>58</v>
      </c>
      <c r="AV44" s="32">
        <f>ROUND(AW44+AX44,2)</f>
        <v>0</v>
      </c>
      <c r="AW44" s="32">
        <f>ROUND(G44*AO44,2)</f>
        <v>0</v>
      </c>
      <c r="AX44" s="32">
        <f>ROUND(G44*AP44,2)</f>
        <v>0</v>
      </c>
      <c r="AY44" s="36" t="s">
        <v>137</v>
      </c>
      <c r="AZ44" s="36" t="s">
        <v>138</v>
      </c>
      <c r="BA44" s="12" t="s">
        <v>65</v>
      </c>
      <c r="BC44" s="32">
        <f>AW44+AX44</f>
        <v>0</v>
      </c>
      <c r="BD44" s="32">
        <f>H44/(100-BE44)*100</f>
        <v>0</v>
      </c>
      <c r="BE44" s="32">
        <v>0</v>
      </c>
      <c r="BF44" s="32">
        <f>P44</f>
        <v>2.8358880000000002</v>
      </c>
      <c r="BH44" s="32">
        <f>G44*AO44</f>
        <v>0</v>
      </c>
      <c r="BI44" s="32">
        <f>G44*AP44</f>
        <v>0</v>
      </c>
      <c r="BJ44" s="32">
        <f>G44*H44</f>
        <v>0</v>
      </c>
      <c r="BK44" s="36" t="s">
        <v>147</v>
      </c>
      <c r="BL44" s="32">
        <v>59</v>
      </c>
      <c r="BW44" s="32">
        <f>I44</f>
        <v>21</v>
      </c>
      <c r="BX44" s="4" t="s">
        <v>146</v>
      </c>
    </row>
    <row r="45" spans="1:76" x14ac:dyDescent="0.25">
      <c r="A45" s="2" t="s">
        <v>148</v>
      </c>
      <c r="B45" s="3" t="s">
        <v>55</v>
      </c>
      <c r="C45" s="3" t="s">
        <v>149</v>
      </c>
      <c r="D45" s="89" t="s">
        <v>150</v>
      </c>
      <c r="E45" s="90"/>
      <c r="F45" s="3" t="s">
        <v>76</v>
      </c>
      <c r="G45" s="32">
        <v>19.68</v>
      </c>
      <c r="H45" s="199">
        <v>0</v>
      </c>
      <c r="I45" s="33">
        <v>21</v>
      </c>
      <c r="J45" s="32">
        <f>ROUND(G45*AO45,2)</f>
        <v>0</v>
      </c>
      <c r="K45" s="32">
        <f>ROUND(G45*AP45,2)</f>
        <v>0</v>
      </c>
      <c r="L45" s="32">
        <f>ROUND(G45*H45,2)</f>
        <v>0</v>
      </c>
      <c r="M45" s="32">
        <f>L45*(1+BW45/100)</f>
        <v>0</v>
      </c>
      <c r="N45" s="34">
        <f>IF(L649=0,0,L45/L649)</f>
        <v>0</v>
      </c>
      <c r="O45" s="32">
        <v>0.378</v>
      </c>
      <c r="P45" s="32">
        <f>G45*O45</f>
        <v>7.4390400000000003</v>
      </c>
      <c r="Q45" s="35" t="s">
        <v>77</v>
      </c>
      <c r="Z45" s="32">
        <f>ROUND(IF(AQ45="5",BJ45,0),2)</f>
        <v>0</v>
      </c>
      <c r="AB45" s="32">
        <f>ROUND(IF(AQ45="1",BH45,0),2)</f>
        <v>0</v>
      </c>
      <c r="AC45" s="32">
        <f>ROUND(IF(AQ45="1",BI45,0),2)</f>
        <v>0</v>
      </c>
      <c r="AD45" s="32">
        <f>ROUND(IF(AQ45="7",BH45,0),2)</f>
        <v>0</v>
      </c>
      <c r="AE45" s="32">
        <f>ROUND(IF(AQ45="7",BI45,0),2)</f>
        <v>0</v>
      </c>
      <c r="AF45" s="32">
        <f>ROUND(IF(AQ45="2",BH45,0),2)</f>
        <v>0</v>
      </c>
      <c r="AG45" s="32">
        <f>ROUND(IF(AQ45="2",BI45,0),2)</f>
        <v>0</v>
      </c>
      <c r="AH45" s="32">
        <f>ROUND(IF(AQ45="0",BJ45,0),2)</f>
        <v>0</v>
      </c>
      <c r="AI45" s="12" t="s">
        <v>55</v>
      </c>
      <c r="AJ45" s="32">
        <f>IF(AN45=0,L45,0)</f>
        <v>0</v>
      </c>
      <c r="AK45" s="32">
        <f>IF(AN45=12,L45,0)</f>
        <v>0</v>
      </c>
      <c r="AL45" s="32">
        <f>IF(AN45=21,L45,0)</f>
        <v>0</v>
      </c>
      <c r="AN45" s="32">
        <v>21</v>
      </c>
      <c r="AO45" s="32">
        <f>H45*0.818687382</f>
        <v>0</v>
      </c>
      <c r="AP45" s="32">
        <f>H45*(1-0.818687382)</f>
        <v>0</v>
      </c>
      <c r="AQ45" s="36" t="s">
        <v>58</v>
      </c>
      <c r="AV45" s="32">
        <f>ROUND(AW45+AX45,2)</f>
        <v>0</v>
      </c>
      <c r="AW45" s="32">
        <f>ROUND(G45*AO45,2)</f>
        <v>0</v>
      </c>
      <c r="AX45" s="32">
        <f>ROUND(G45*AP45,2)</f>
        <v>0</v>
      </c>
      <c r="AY45" s="36" t="s">
        <v>137</v>
      </c>
      <c r="AZ45" s="36" t="s">
        <v>138</v>
      </c>
      <c r="BA45" s="12" t="s">
        <v>65</v>
      </c>
      <c r="BC45" s="32">
        <f>AW45+AX45</f>
        <v>0</v>
      </c>
      <c r="BD45" s="32">
        <f>H45/(100-BE45)*100</f>
        <v>0</v>
      </c>
      <c r="BE45" s="32">
        <v>0</v>
      </c>
      <c r="BF45" s="32">
        <f>P45</f>
        <v>7.4390400000000003</v>
      </c>
      <c r="BH45" s="32">
        <f>G45*AO45</f>
        <v>0</v>
      </c>
      <c r="BI45" s="32">
        <f>G45*AP45</f>
        <v>0</v>
      </c>
      <c r="BJ45" s="32">
        <f>G45*H45</f>
        <v>0</v>
      </c>
      <c r="BK45" s="36" t="s">
        <v>66</v>
      </c>
      <c r="BL45" s="32">
        <v>59</v>
      </c>
      <c r="BW45" s="32">
        <f>I45</f>
        <v>21</v>
      </c>
      <c r="BX45" s="4" t="s">
        <v>150</v>
      </c>
    </row>
    <row r="46" spans="1:76" x14ac:dyDescent="0.25">
      <c r="A46" s="2" t="s">
        <v>151</v>
      </c>
      <c r="B46" s="3" t="s">
        <v>55</v>
      </c>
      <c r="C46" s="3" t="s">
        <v>152</v>
      </c>
      <c r="D46" s="89" t="s">
        <v>153</v>
      </c>
      <c r="E46" s="90"/>
      <c r="F46" s="3" t="s">
        <v>76</v>
      </c>
      <c r="G46" s="32">
        <v>19.68</v>
      </c>
      <c r="H46" s="199">
        <v>0</v>
      </c>
      <c r="I46" s="33">
        <v>21</v>
      </c>
      <c r="J46" s="32">
        <f>ROUND(G46*AO46,2)</f>
        <v>0</v>
      </c>
      <c r="K46" s="32">
        <f>ROUND(G46*AP46,2)</f>
        <v>0</v>
      </c>
      <c r="L46" s="32">
        <f>ROUND(G46*H46,2)</f>
        <v>0</v>
      </c>
      <c r="M46" s="32">
        <f>L46*(1+BW46/100)</f>
        <v>0</v>
      </c>
      <c r="N46" s="34">
        <f>IF(L649=0,0,L46/L649)</f>
        <v>0</v>
      </c>
      <c r="O46" s="32">
        <v>1.0619999999999999E-2</v>
      </c>
      <c r="P46" s="32">
        <f>G46*O46</f>
        <v>0.20900159999999998</v>
      </c>
      <c r="Q46" s="35" t="s">
        <v>77</v>
      </c>
      <c r="Z46" s="32">
        <f>ROUND(IF(AQ46="5",BJ46,0),2)</f>
        <v>0</v>
      </c>
      <c r="AB46" s="32">
        <f>ROUND(IF(AQ46="1",BH46,0),2)</f>
        <v>0</v>
      </c>
      <c r="AC46" s="32">
        <f>ROUND(IF(AQ46="1",BI46,0),2)</f>
        <v>0</v>
      </c>
      <c r="AD46" s="32">
        <f>ROUND(IF(AQ46="7",BH46,0),2)</f>
        <v>0</v>
      </c>
      <c r="AE46" s="32">
        <f>ROUND(IF(AQ46="7",BI46,0),2)</f>
        <v>0</v>
      </c>
      <c r="AF46" s="32">
        <f>ROUND(IF(AQ46="2",BH46,0),2)</f>
        <v>0</v>
      </c>
      <c r="AG46" s="32">
        <f>ROUND(IF(AQ46="2",BI46,0),2)</f>
        <v>0</v>
      </c>
      <c r="AH46" s="32">
        <f>ROUND(IF(AQ46="0",BJ46,0),2)</f>
        <v>0</v>
      </c>
      <c r="AI46" s="12" t="s">
        <v>55</v>
      </c>
      <c r="AJ46" s="32">
        <f>IF(AN46=0,L46,0)</f>
        <v>0</v>
      </c>
      <c r="AK46" s="32">
        <f>IF(AN46=12,L46,0)</f>
        <v>0</v>
      </c>
      <c r="AL46" s="32">
        <f>IF(AN46=21,L46,0)</f>
        <v>0</v>
      </c>
      <c r="AN46" s="32">
        <v>21</v>
      </c>
      <c r="AO46" s="32">
        <f>H46*0.472518428</f>
        <v>0</v>
      </c>
      <c r="AP46" s="32">
        <f>H46*(1-0.472518428)</f>
        <v>0</v>
      </c>
      <c r="AQ46" s="36" t="s">
        <v>58</v>
      </c>
      <c r="AV46" s="32">
        <f>ROUND(AW46+AX46,2)</f>
        <v>0</v>
      </c>
      <c r="AW46" s="32">
        <f>ROUND(G46*AO46,2)</f>
        <v>0</v>
      </c>
      <c r="AX46" s="32">
        <f>ROUND(G46*AP46,2)</f>
        <v>0</v>
      </c>
      <c r="AY46" s="36" t="s">
        <v>137</v>
      </c>
      <c r="AZ46" s="36" t="s">
        <v>138</v>
      </c>
      <c r="BA46" s="12" t="s">
        <v>65</v>
      </c>
      <c r="BC46" s="32">
        <f>AW46+AX46</f>
        <v>0</v>
      </c>
      <c r="BD46" s="32">
        <f>H46/(100-BE46)*100</f>
        <v>0</v>
      </c>
      <c r="BE46" s="32">
        <v>0</v>
      </c>
      <c r="BF46" s="32">
        <f>P46</f>
        <v>0.20900159999999998</v>
      </c>
      <c r="BH46" s="32">
        <f>G46*AO46</f>
        <v>0</v>
      </c>
      <c r="BI46" s="32">
        <f>G46*AP46</f>
        <v>0</v>
      </c>
      <c r="BJ46" s="32">
        <f>G46*H46</f>
        <v>0</v>
      </c>
      <c r="BK46" s="36" t="s">
        <v>66</v>
      </c>
      <c r="BL46" s="32">
        <v>59</v>
      </c>
      <c r="BW46" s="32">
        <f>I46</f>
        <v>21</v>
      </c>
      <c r="BX46" s="4" t="s">
        <v>153</v>
      </c>
    </row>
    <row r="47" spans="1:76" x14ac:dyDescent="0.25">
      <c r="A47" s="2" t="s">
        <v>154</v>
      </c>
      <c r="B47" s="3" t="s">
        <v>55</v>
      </c>
      <c r="C47" s="3" t="s">
        <v>155</v>
      </c>
      <c r="D47" s="89" t="s">
        <v>156</v>
      </c>
      <c r="E47" s="90"/>
      <c r="F47" s="3" t="s">
        <v>76</v>
      </c>
      <c r="G47" s="32">
        <v>25</v>
      </c>
      <c r="H47" s="199">
        <v>0</v>
      </c>
      <c r="I47" s="33">
        <v>21</v>
      </c>
      <c r="J47" s="32">
        <f>ROUND(G47*AO47,2)</f>
        <v>0</v>
      </c>
      <c r="K47" s="32">
        <f>ROUND(G47*AP47,2)</f>
        <v>0</v>
      </c>
      <c r="L47" s="32">
        <f>ROUND(G47*H47,2)</f>
        <v>0</v>
      </c>
      <c r="M47" s="32">
        <f>L47*(1+BW47/100)</f>
        <v>0</v>
      </c>
      <c r="N47" s="34">
        <f>IF(L649=0,0,L47/L649)</f>
        <v>0</v>
      </c>
      <c r="O47" s="32">
        <v>3.0000000000000001E-5</v>
      </c>
      <c r="P47" s="32">
        <f>G47*O47</f>
        <v>7.5000000000000002E-4</v>
      </c>
      <c r="Q47" s="35" t="s">
        <v>77</v>
      </c>
      <c r="Z47" s="32">
        <f>ROUND(IF(AQ47="5",BJ47,0),2)</f>
        <v>0</v>
      </c>
      <c r="AB47" s="32">
        <f>ROUND(IF(AQ47="1",BH47,0),2)</f>
        <v>0</v>
      </c>
      <c r="AC47" s="32">
        <f>ROUND(IF(AQ47="1",BI47,0),2)</f>
        <v>0</v>
      </c>
      <c r="AD47" s="32">
        <f>ROUND(IF(AQ47="7",BH47,0),2)</f>
        <v>0</v>
      </c>
      <c r="AE47" s="32">
        <f>ROUND(IF(AQ47="7",BI47,0),2)</f>
        <v>0</v>
      </c>
      <c r="AF47" s="32">
        <f>ROUND(IF(AQ47="2",BH47,0),2)</f>
        <v>0</v>
      </c>
      <c r="AG47" s="32">
        <f>ROUND(IF(AQ47="2",BI47,0),2)</f>
        <v>0</v>
      </c>
      <c r="AH47" s="32">
        <f>ROUND(IF(AQ47="0",BJ47,0),2)</f>
        <v>0</v>
      </c>
      <c r="AI47" s="12" t="s">
        <v>55</v>
      </c>
      <c r="AJ47" s="32">
        <f>IF(AN47=0,L47,0)</f>
        <v>0</v>
      </c>
      <c r="AK47" s="32">
        <f>IF(AN47=12,L47,0)</f>
        <v>0</v>
      </c>
      <c r="AL47" s="32">
        <f>IF(AN47=21,L47,0)</f>
        <v>0</v>
      </c>
      <c r="AN47" s="32">
        <v>21</v>
      </c>
      <c r="AO47" s="32">
        <f>H47*0.178571429</f>
        <v>0</v>
      </c>
      <c r="AP47" s="32">
        <f>H47*(1-0.178571429)</f>
        <v>0</v>
      </c>
      <c r="AQ47" s="36" t="s">
        <v>58</v>
      </c>
      <c r="AV47" s="32">
        <f>ROUND(AW47+AX47,2)</f>
        <v>0</v>
      </c>
      <c r="AW47" s="32">
        <f>ROUND(G47*AO47,2)</f>
        <v>0</v>
      </c>
      <c r="AX47" s="32">
        <f>ROUND(G47*AP47,2)</f>
        <v>0</v>
      </c>
      <c r="AY47" s="36" t="s">
        <v>137</v>
      </c>
      <c r="AZ47" s="36" t="s">
        <v>138</v>
      </c>
      <c r="BA47" s="12" t="s">
        <v>65</v>
      </c>
      <c r="BC47" s="32">
        <f>AW47+AX47</f>
        <v>0</v>
      </c>
      <c r="BD47" s="32">
        <f>H47/(100-BE47)*100</f>
        <v>0</v>
      </c>
      <c r="BE47" s="32">
        <v>0</v>
      </c>
      <c r="BF47" s="32">
        <f>P47</f>
        <v>7.5000000000000002E-4</v>
      </c>
      <c r="BH47" s="32">
        <f>G47*AO47</f>
        <v>0</v>
      </c>
      <c r="BI47" s="32">
        <f>G47*AP47</f>
        <v>0</v>
      </c>
      <c r="BJ47" s="32">
        <f>G47*H47</f>
        <v>0</v>
      </c>
      <c r="BK47" s="36" t="s">
        <v>66</v>
      </c>
      <c r="BL47" s="32">
        <v>59</v>
      </c>
      <c r="BW47" s="32">
        <f>I47</f>
        <v>21</v>
      </c>
      <c r="BX47" s="4" t="s">
        <v>156</v>
      </c>
    </row>
    <row r="48" spans="1:76" ht="13.5" customHeight="1" x14ac:dyDescent="0.25">
      <c r="A48" s="42"/>
      <c r="C48" s="43"/>
      <c r="D48" s="95" t="s">
        <v>157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7"/>
    </row>
    <row r="49" spans="1:76" x14ac:dyDescent="0.25">
      <c r="A49" s="37" t="s">
        <v>55</v>
      </c>
      <c r="B49" s="38" t="s">
        <v>55</v>
      </c>
      <c r="C49" s="38" t="s">
        <v>158</v>
      </c>
      <c r="D49" s="98" t="s">
        <v>159</v>
      </c>
      <c r="E49" s="99"/>
      <c r="F49" s="39" t="s">
        <v>3</v>
      </c>
      <c r="G49" s="39" t="s">
        <v>3</v>
      </c>
      <c r="H49" s="39" t="s">
        <v>3</v>
      </c>
      <c r="I49" s="39" t="s">
        <v>3</v>
      </c>
      <c r="J49" s="1">
        <f>SUM(J50:J58)</f>
        <v>0</v>
      </c>
      <c r="K49" s="1">
        <f>SUM(K50:K58)</f>
        <v>0</v>
      </c>
      <c r="L49" s="1">
        <f>SUM(L50:L58)</f>
        <v>0</v>
      </c>
      <c r="M49" s="1">
        <f>SUM(M50:M58)</f>
        <v>0</v>
      </c>
      <c r="N49" s="40">
        <f>IF(L649=0,0,L49/L649)</f>
        <v>0</v>
      </c>
      <c r="O49" s="12" t="s">
        <v>55</v>
      </c>
      <c r="P49" s="1">
        <f>SUM(P50:P58)</f>
        <v>3.4813478</v>
      </c>
      <c r="Q49" s="41" t="s">
        <v>55</v>
      </c>
      <c r="AI49" s="12" t="s">
        <v>55</v>
      </c>
      <c r="AS49" s="1">
        <f>SUM(AJ50:AJ58)</f>
        <v>0</v>
      </c>
      <c r="AT49" s="1">
        <f>SUM(AK50:AK58)</f>
        <v>0</v>
      </c>
      <c r="AU49" s="1">
        <f>SUM(AL50:AL58)</f>
        <v>0</v>
      </c>
    </row>
    <row r="50" spans="1:76" x14ac:dyDescent="0.25">
      <c r="A50" s="2" t="s">
        <v>160</v>
      </c>
      <c r="B50" s="3" t="s">
        <v>55</v>
      </c>
      <c r="C50" s="3" t="s">
        <v>161</v>
      </c>
      <c r="D50" s="89" t="s">
        <v>162</v>
      </c>
      <c r="E50" s="90"/>
      <c r="F50" s="3" t="s">
        <v>76</v>
      </c>
      <c r="G50" s="32">
        <v>48.58</v>
      </c>
      <c r="H50" s="199">
        <v>0</v>
      </c>
      <c r="I50" s="33">
        <v>21</v>
      </c>
      <c r="J50" s="32">
        <f>ROUND(G50*AO50,2)</f>
        <v>0</v>
      </c>
      <c r="K50" s="32">
        <f>ROUND(G50*AP50,2)</f>
        <v>0</v>
      </c>
      <c r="L50" s="32">
        <f>ROUND(G50*H50,2)</f>
        <v>0</v>
      </c>
      <c r="M50" s="32">
        <f>L50*(1+BW50/100)</f>
        <v>0</v>
      </c>
      <c r="N50" s="34">
        <f>IF(L649=0,0,L50/L649)</f>
        <v>0</v>
      </c>
      <c r="O50" s="32">
        <v>2.5999999999999999E-2</v>
      </c>
      <c r="P50" s="32">
        <f>G50*O50</f>
        <v>1.26308</v>
      </c>
      <c r="Q50" s="35" t="s">
        <v>77</v>
      </c>
      <c r="Z50" s="32">
        <f>ROUND(IF(AQ50="5",BJ50,0),2)</f>
        <v>0</v>
      </c>
      <c r="AB50" s="32">
        <f>ROUND(IF(AQ50="1",BH50,0),2)</f>
        <v>0</v>
      </c>
      <c r="AC50" s="32">
        <f>ROUND(IF(AQ50="1",BI50,0),2)</f>
        <v>0</v>
      </c>
      <c r="AD50" s="32">
        <f>ROUND(IF(AQ50="7",BH50,0),2)</f>
        <v>0</v>
      </c>
      <c r="AE50" s="32">
        <f>ROUND(IF(AQ50="7",BI50,0),2)</f>
        <v>0</v>
      </c>
      <c r="AF50" s="32">
        <f>ROUND(IF(AQ50="2",BH50,0),2)</f>
        <v>0</v>
      </c>
      <c r="AG50" s="32">
        <f>ROUND(IF(AQ50="2",BI50,0),2)</f>
        <v>0</v>
      </c>
      <c r="AH50" s="32">
        <f>ROUND(IF(AQ50="0",BJ50,0),2)</f>
        <v>0</v>
      </c>
      <c r="AI50" s="12" t="s">
        <v>55</v>
      </c>
      <c r="AJ50" s="32">
        <f>IF(AN50=0,L50,0)</f>
        <v>0</v>
      </c>
      <c r="AK50" s="32">
        <f>IF(AN50=12,L50,0)</f>
        <v>0</v>
      </c>
      <c r="AL50" s="32">
        <f>IF(AN50=21,L50,0)</f>
        <v>0</v>
      </c>
      <c r="AN50" s="32">
        <v>21</v>
      </c>
      <c r="AO50" s="32">
        <f>H50*0.37822418</f>
        <v>0</v>
      </c>
      <c r="AP50" s="32">
        <f>H50*(1-0.37822418)</f>
        <v>0</v>
      </c>
      <c r="AQ50" s="36" t="s">
        <v>58</v>
      </c>
      <c r="AV50" s="32">
        <f>ROUND(AW50+AX50,2)</f>
        <v>0</v>
      </c>
      <c r="AW50" s="32">
        <f>ROUND(G50*AO50,2)</f>
        <v>0</v>
      </c>
      <c r="AX50" s="32">
        <f>ROUND(G50*AP50,2)</f>
        <v>0</v>
      </c>
      <c r="AY50" s="36" t="s">
        <v>163</v>
      </c>
      <c r="AZ50" s="36" t="s">
        <v>164</v>
      </c>
      <c r="BA50" s="12" t="s">
        <v>65</v>
      </c>
      <c r="BC50" s="32">
        <f>AW50+AX50</f>
        <v>0</v>
      </c>
      <c r="BD50" s="32">
        <f>H50/(100-BE50)*100</f>
        <v>0</v>
      </c>
      <c r="BE50" s="32">
        <v>0</v>
      </c>
      <c r="BF50" s="32">
        <f>P50</f>
        <v>1.26308</v>
      </c>
      <c r="BH50" s="32">
        <f>G50*AO50</f>
        <v>0</v>
      </c>
      <c r="BI50" s="32">
        <f>G50*AP50</f>
        <v>0</v>
      </c>
      <c r="BJ50" s="32">
        <f>G50*H50</f>
        <v>0</v>
      </c>
      <c r="BK50" s="36" t="s">
        <v>66</v>
      </c>
      <c r="BL50" s="32">
        <v>61</v>
      </c>
      <c r="BW50" s="32">
        <f>I50</f>
        <v>21</v>
      </c>
      <c r="BX50" s="4" t="s">
        <v>162</v>
      </c>
    </row>
    <row r="51" spans="1:76" ht="13.5" customHeight="1" x14ac:dyDescent="0.25">
      <c r="A51" s="42"/>
      <c r="C51" s="43"/>
      <c r="D51" s="95" t="s">
        <v>165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7"/>
    </row>
    <row r="52" spans="1:76" x14ac:dyDescent="0.25">
      <c r="A52" s="2" t="s">
        <v>166</v>
      </c>
      <c r="B52" s="3" t="s">
        <v>55</v>
      </c>
      <c r="C52" s="3" t="s">
        <v>167</v>
      </c>
      <c r="D52" s="89" t="s">
        <v>168</v>
      </c>
      <c r="E52" s="90"/>
      <c r="F52" s="3" t="s">
        <v>76</v>
      </c>
      <c r="G52" s="32">
        <v>160.78</v>
      </c>
      <c r="H52" s="199">
        <v>0</v>
      </c>
      <c r="I52" s="33">
        <v>21</v>
      </c>
      <c r="J52" s="32">
        <f>ROUND(G52*AO52,2)</f>
        <v>0</v>
      </c>
      <c r="K52" s="32">
        <f>ROUND(G52*AP52,2)</f>
        <v>0</v>
      </c>
      <c r="L52" s="32">
        <f>ROUND(G52*H52,2)</f>
        <v>0</v>
      </c>
      <c r="M52" s="32">
        <f>L52*(1+BW52/100)</f>
        <v>0</v>
      </c>
      <c r="N52" s="34">
        <f>IF(L649=0,0,L52/L649)</f>
        <v>0</v>
      </c>
      <c r="O52" s="32">
        <v>3.6099999999999999E-3</v>
      </c>
      <c r="P52" s="32">
        <f>G52*O52</f>
        <v>0.58041580000000004</v>
      </c>
      <c r="Q52" s="35" t="s">
        <v>77</v>
      </c>
      <c r="Z52" s="32">
        <f>ROUND(IF(AQ52="5",BJ52,0),2)</f>
        <v>0</v>
      </c>
      <c r="AB52" s="32">
        <f>ROUND(IF(AQ52="1",BH52,0),2)</f>
        <v>0</v>
      </c>
      <c r="AC52" s="32">
        <f>ROUND(IF(AQ52="1",BI52,0),2)</f>
        <v>0</v>
      </c>
      <c r="AD52" s="32">
        <f>ROUND(IF(AQ52="7",BH52,0),2)</f>
        <v>0</v>
      </c>
      <c r="AE52" s="32">
        <f>ROUND(IF(AQ52="7",BI52,0),2)</f>
        <v>0</v>
      </c>
      <c r="AF52" s="32">
        <f>ROUND(IF(AQ52="2",BH52,0),2)</f>
        <v>0</v>
      </c>
      <c r="AG52" s="32">
        <f>ROUND(IF(AQ52="2",BI52,0),2)</f>
        <v>0</v>
      </c>
      <c r="AH52" s="32">
        <f>ROUND(IF(AQ52="0",BJ52,0),2)</f>
        <v>0</v>
      </c>
      <c r="AI52" s="12" t="s">
        <v>55</v>
      </c>
      <c r="AJ52" s="32">
        <f>IF(AN52=0,L52,0)</f>
        <v>0</v>
      </c>
      <c r="AK52" s="32">
        <f>IF(AN52=12,L52,0)</f>
        <v>0</v>
      </c>
      <c r="AL52" s="32">
        <f>IF(AN52=21,L52,0)</f>
        <v>0</v>
      </c>
      <c r="AN52" s="32">
        <v>21</v>
      </c>
      <c r="AO52" s="32">
        <f>H52*0.271717448</f>
        <v>0</v>
      </c>
      <c r="AP52" s="32">
        <f>H52*(1-0.271717448)</f>
        <v>0</v>
      </c>
      <c r="AQ52" s="36" t="s">
        <v>58</v>
      </c>
      <c r="AV52" s="32">
        <f>ROUND(AW52+AX52,2)</f>
        <v>0</v>
      </c>
      <c r="AW52" s="32">
        <f>ROUND(G52*AO52,2)</f>
        <v>0</v>
      </c>
      <c r="AX52" s="32">
        <f>ROUND(G52*AP52,2)</f>
        <v>0</v>
      </c>
      <c r="AY52" s="36" t="s">
        <v>163</v>
      </c>
      <c r="AZ52" s="36" t="s">
        <v>164</v>
      </c>
      <c r="BA52" s="12" t="s">
        <v>65</v>
      </c>
      <c r="BC52" s="32">
        <f>AW52+AX52</f>
        <v>0</v>
      </c>
      <c r="BD52" s="32">
        <f>H52/(100-BE52)*100</f>
        <v>0</v>
      </c>
      <c r="BE52" s="32">
        <v>0</v>
      </c>
      <c r="BF52" s="32">
        <f>P52</f>
        <v>0.58041580000000004</v>
      </c>
      <c r="BH52" s="32">
        <f>G52*AO52</f>
        <v>0</v>
      </c>
      <c r="BI52" s="32">
        <f>G52*AP52</f>
        <v>0</v>
      </c>
      <c r="BJ52" s="32">
        <f>G52*H52</f>
        <v>0</v>
      </c>
      <c r="BK52" s="36" t="s">
        <v>66</v>
      </c>
      <c r="BL52" s="32">
        <v>61</v>
      </c>
      <c r="BW52" s="32">
        <f>I52</f>
        <v>21</v>
      </c>
      <c r="BX52" s="4" t="s">
        <v>168</v>
      </c>
    </row>
    <row r="53" spans="1:76" ht="13.5" customHeight="1" x14ac:dyDescent="0.25">
      <c r="A53" s="42"/>
      <c r="C53" s="43"/>
      <c r="D53" s="95" t="s">
        <v>169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7"/>
    </row>
    <row r="54" spans="1:76" x14ac:dyDescent="0.25">
      <c r="A54" s="2" t="s">
        <v>170</v>
      </c>
      <c r="B54" s="3" t="s">
        <v>55</v>
      </c>
      <c r="C54" s="3" t="s">
        <v>171</v>
      </c>
      <c r="D54" s="89" t="s">
        <v>172</v>
      </c>
      <c r="E54" s="90"/>
      <c r="F54" s="3" t="s">
        <v>76</v>
      </c>
      <c r="G54" s="32">
        <v>112.2</v>
      </c>
      <c r="H54" s="199">
        <v>0</v>
      </c>
      <c r="I54" s="33">
        <v>21</v>
      </c>
      <c r="J54" s="32">
        <f>ROUND(G54*AO54,2)</f>
        <v>0</v>
      </c>
      <c r="K54" s="32">
        <f>ROUND(G54*AP54,2)</f>
        <v>0</v>
      </c>
      <c r="L54" s="32">
        <f>ROUND(G54*H54,2)</f>
        <v>0</v>
      </c>
      <c r="M54" s="32">
        <f>L54*(1+BW54/100)</f>
        <v>0</v>
      </c>
      <c r="N54" s="34">
        <f>IF(L649=0,0,L54/L649)</f>
        <v>0</v>
      </c>
      <c r="O54" s="32">
        <v>1.333E-2</v>
      </c>
      <c r="P54" s="32">
        <f>G54*O54</f>
        <v>1.4956260000000001</v>
      </c>
      <c r="Q54" s="35" t="s">
        <v>77</v>
      </c>
      <c r="Z54" s="32">
        <f>ROUND(IF(AQ54="5",BJ54,0),2)</f>
        <v>0</v>
      </c>
      <c r="AB54" s="32">
        <f>ROUND(IF(AQ54="1",BH54,0),2)</f>
        <v>0</v>
      </c>
      <c r="AC54" s="32">
        <f>ROUND(IF(AQ54="1",BI54,0),2)</f>
        <v>0</v>
      </c>
      <c r="AD54" s="32">
        <f>ROUND(IF(AQ54="7",BH54,0),2)</f>
        <v>0</v>
      </c>
      <c r="AE54" s="32">
        <f>ROUND(IF(AQ54="7",BI54,0),2)</f>
        <v>0</v>
      </c>
      <c r="AF54" s="32">
        <f>ROUND(IF(AQ54="2",BH54,0),2)</f>
        <v>0</v>
      </c>
      <c r="AG54" s="32">
        <f>ROUND(IF(AQ54="2",BI54,0),2)</f>
        <v>0</v>
      </c>
      <c r="AH54" s="32">
        <f>ROUND(IF(AQ54="0",BJ54,0),2)</f>
        <v>0</v>
      </c>
      <c r="AI54" s="12" t="s">
        <v>55</v>
      </c>
      <c r="AJ54" s="32">
        <f>IF(AN54=0,L54,0)</f>
        <v>0</v>
      </c>
      <c r="AK54" s="32">
        <f>IF(AN54=12,L54,0)</f>
        <v>0</v>
      </c>
      <c r="AL54" s="32">
        <f>IF(AN54=21,L54,0)</f>
        <v>0</v>
      </c>
      <c r="AN54" s="32">
        <v>21</v>
      </c>
      <c r="AO54" s="32">
        <f>H54*0.248739706</f>
        <v>0</v>
      </c>
      <c r="AP54" s="32">
        <f>H54*(1-0.248739706)</f>
        <v>0</v>
      </c>
      <c r="AQ54" s="36" t="s">
        <v>58</v>
      </c>
      <c r="AV54" s="32">
        <f>ROUND(AW54+AX54,2)</f>
        <v>0</v>
      </c>
      <c r="AW54" s="32">
        <f>ROUND(G54*AO54,2)</f>
        <v>0</v>
      </c>
      <c r="AX54" s="32">
        <f>ROUND(G54*AP54,2)</f>
        <v>0</v>
      </c>
      <c r="AY54" s="36" t="s">
        <v>163</v>
      </c>
      <c r="AZ54" s="36" t="s">
        <v>164</v>
      </c>
      <c r="BA54" s="12" t="s">
        <v>65</v>
      </c>
      <c r="BC54" s="32">
        <f>AW54+AX54</f>
        <v>0</v>
      </c>
      <c r="BD54" s="32">
        <f>H54/(100-BE54)*100</f>
        <v>0</v>
      </c>
      <c r="BE54" s="32">
        <v>0</v>
      </c>
      <c r="BF54" s="32">
        <f>P54</f>
        <v>1.4956260000000001</v>
      </c>
      <c r="BH54" s="32">
        <f>G54*AO54</f>
        <v>0</v>
      </c>
      <c r="BI54" s="32">
        <f>G54*AP54</f>
        <v>0</v>
      </c>
      <c r="BJ54" s="32">
        <f>G54*H54</f>
        <v>0</v>
      </c>
      <c r="BK54" s="36" t="s">
        <v>66</v>
      </c>
      <c r="BL54" s="32">
        <v>61</v>
      </c>
      <c r="BW54" s="32">
        <f>I54</f>
        <v>21</v>
      </c>
      <c r="BX54" s="4" t="s">
        <v>172</v>
      </c>
    </row>
    <row r="55" spans="1:76" ht="13.5" customHeight="1" x14ac:dyDescent="0.25">
      <c r="A55" s="42"/>
      <c r="C55" s="43"/>
      <c r="D55" s="95" t="s">
        <v>173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7"/>
    </row>
    <row r="56" spans="1:76" x14ac:dyDescent="0.25">
      <c r="A56" s="2" t="s">
        <v>174</v>
      </c>
      <c r="B56" s="3" t="s">
        <v>55</v>
      </c>
      <c r="C56" s="3" t="s">
        <v>175</v>
      </c>
      <c r="D56" s="89" t="s">
        <v>176</v>
      </c>
      <c r="E56" s="90"/>
      <c r="F56" s="3" t="s">
        <v>76</v>
      </c>
      <c r="G56" s="32">
        <v>160.78</v>
      </c>
      <c r="H56" s="199">
        <v>0</v>
      </c>
      <c r="I56" s="33">
        <v>21</v>
      </c>
      <c r="J56" s="32">
        <f>ROUND(G56*AO56,2)</f>
        <v>0</v>
      </c>
      <c r="K56" s="32">
        <f>ROUND(G56*AP56,2)</f>
        <v>0</v>
      </c>
      <c r="L56" s="32">
        <f>ROUND(G56*H56,2)</f>
        <v>0</v>
      </c>
      <c r="M56" s="32">
        <f>L56*(1+BW56/100)</f>
        <v>0</v>
      </c>
      <c r="N56" s="34">
        <f>IF(L649=0,0,L56/L649)</f>
        <v>0</v>
      </c>
      <c r="O56" s="32">
        <v>0</v>
      </c>
      <c r="P56" s="32">
        <f>G56*O56</f>
        <v>0</v>
      </c>
      <c r="Q56" s="35" t="s">
        <v>77</v>
      </c>
      <c r="Z56" s="32">
        <f>ROUND(IF(AQ56="5",BJ56,0),2)</f>
        <v>0</v>
      </c>
      <c r="AB56" s="32">
        <f>ROUND(IF(AQ56="1",BH56,0),2)</f>
        <v>0</v>
      </c>
      <c r="AC56" s="32">
        <f>ROUND(IF(AQ56="1",BI56,0),2)</f>
        <v>0</v>
      </c>
      <c r="AD56" s="32">
        <f>ROUND(IF(AQ56="7",BH56,0),2)</f>
        <v>0</v>
      </c>
      <c r="AE56" s="32">
        <f>ROUND(IF(AQ56="7",BI56,0),2)</f>
        <v>0</v>
      </c>
      <c r="AF56" s="32">
        <f>ROUND(IF(AQ56="2",BH56,0),2)</f>
        <v>0</v>
      </c>
      <c r="AG56" s="32">
        <f>ROUND(IF(AQ56="2",BI56,0),2)</f>
        <v>0</v>
      </c>
      <c r="AH56" s="32">
        <f>ROUND(IF(AQ56="0",BJ56,0),2)</f>
        <v>0</v>
      </c>
      <c r="AI56" s="12" t="s">
        <v>55</v>
      </c>
      <c r="AJ56" s="32">
        <f>IF(AN56=0,L56,0)</f>
        <v>0</v>
      </c>
      <c r="AK56" s="32">
        <f>IF(AN56=12,L56,0)</f>
        <v>0</v>
      </c>
      <c r="AL56" s="32">
        <f>IF(AN56=21,L56,0)</f>
        <v>0</v>
      </c>
      <c r="AN56" s="32">
        <v>21</v>
      </c>
      <c r="AO56" s="32">
        <f>H56*0</f>
        <v>0</v>
      </c>
      <c r="AP56" s="32">
        <f>H56*(1-0)</f>
        <v>0</v>
      </c>
      <c r="AQ56" s="36" t="s">
        <v>58</v>
      </c>
      <c r="AV56" s="32">
        <f>ROUND(AW56+AX56,2)</f>
        <v>0</v>
      </c>
      <c r="AW56" s="32">
        <f>ROUND(G56*AO56,2)</f>
        <v>0</v>
      </c>
      <c r="AX56" s="32">
        <f>ROUND(G56*AP56,2)</f>
        <v>0</v>
      </c>
      <c r="AY56" s="36" t="s">
        <v>163</v>
      </c>
      <c r="AZ56" s="36" t="s">
        <v>164</v>
      </c>
      <c r="BA56" s="12" t="s">
        <v>65</v>
      </c>
      <c r="BC56" s="32">
        <f>AW56+AX56</f>
        <v>0</v>
      </c>
      <c r="BD56" s="32">
        <f>H56/(100-BE56)*100</f>
        <v>0</v>
      </c>
      <c r="BE56" s="32">
        <v>0</v>
      </c>
      <c r="BF56" s="32">
        <f>P56</f>
        <v>0</v>
      </c>
      <c r="BH56" s="32">
        <f>G56*AO56</f>
        <v>0</v>
      </c>
      <c r="BI56" s="32">
        <f>G56*AP56</f>
        <v>0</v>
      </c>
      <c r="BJ56" s="32">
        <f>G56*H56</f>
        <v>0</v>
      </c>
      <c r="BK56" s="36" t="s">
        <v>66</v>
      </c>
      <c r="BL56" s="32">
        <v>61</v>
      </c>
      <c r="BW56" s="32">
        <f>I56</f>
        <v>21</v>
      </c>
      <c r="BX56" s="4" t="s">
        <v>176</v>
      </c>
    </row>
    <row r="57" spans="1:76" x14ac:dyDescent="0.25">
      <c r="A57" s="2" t="s">
        <v>177</v>
      </c>
      <c r="B57" s="3" t="s">
        <v>55</v>
      </c>
      <c r="C57" s="3" t="s">
        <v>178</v>
      </c>
      <c r="D57" s="89" t="s">
        <v>179</v>
      </c>
      <c r="E57" s="90"/>
      <c r="F57" s="3" t="s">
        <v>136</v>
      </c>
      <c r="G57" s="32">
        <v>38.200000000000003</v>
      </c>
      <c r="H57" s="199">
        <v>0</v>
      </c>
      <c r="I57" s="33">
        <v>21</v>
      </c>
      <c r="J57" s="32">
        <f>ROUND(G57*AO57,2)</f>
        <v>0</v>
      </c>
      <c r="K57" s="32">
        <f>ROUND(G57*AP57,2)</f>
        <v>0</v>
      </c>
      <c r="L57" s="32">
        <f>ROUND(G57*H57,2)</f>
        <v>0</v>
      </c>
      <c r="M57" s="32">
        <f>L57*(1+BW57/100)</f>
        <v>0</v>
      </c>
      <c r="N57" s="34">
        <f>IF(L649=0,0,L57/L649)</f>
        <v>0</v>
      </c>
      <c r="O57" s="32">
        <v>3.7100000000000002E-3</v>
      </c>
      <c r="P57" s="32">
        <f>G57*O57</f>
        <v>0.14172200000000001</v>
      </c>
      <c r="Q57" s="35" t="s">
        <v>77</v>
      </c>
      <c r="Z57" s="32">
        <f>ROUND(IF(AQ57="5",BJ57,0),2)</f>
        <v>0</v>
      </c>
      <c r="AB57" s="32">
        <f>ROUND(IF(AQ57="1",BH57,0),2)</f>
        <v>0</v>
      </c>
      <c r="AC57" s="32">
        <f>ROUND(IF(AQ57="1",BI57,0),2)</f>
        <v>0</v>
      </c>
      <c r="AD57" s="32">
        <f>ROUND(IF(AQ57="7",BH57,0),2)</f>
        <v>0</v>
      </c>
      <c r="AE57" s="32">
        <f>ROUND(IF(AQ57="7",BI57,0),2)</f>
        <v>0</v>
      </c>
      <c r="AF57" s="32">
        <f>ROUND(IF(AQ57="2",BH57,0),2)</f>
        <v>0</v>
      </c>
      <c r="AG57" s="32">
        <f>ROUND(IF(AQ57="2",BI57,0),2)</f>
        <v>0</v>
      </c>
      <c r="AH57" s="32">
        <f>ROUND(IF(AQ57="0",BJ57,0),2)</f>
        <v>0</v>
      </c>
      <c r="AI57" s="12" t="s">
        <v>55</v>
      </c>
      <c r="AJ57" s="32">
        <f>IF(AN57=0,L57,0)</f>
        <v>0</v>
      </c>
      <c r="AK57" s="32">
        <f>IF(AN57=12,L57,0)</f>
        <v>0</v>
      </c>
      <c r="AL57" s="32">
        <f>IF(AN57=21,L57,0)</f>
        <v>0</v>
      </c>
      <c r="AN57" s="32">
        <v>21</v>
      </c>
      <c r="AO57" s="32">
        <f>H57*0.049531024</f>
        <v>0</v>
      </c>
      <c r="AP57" s="32">
        <f>H57*(1-0.049531024)</f>
        <v>0</v>
      </c>
      <c r="AQ57" s="36" t="s">
        <v>58</v>
      </c>
      <c r="AV57" s="32">
        <f>ROUND(AW57+AX57,2)</f>
        <v>0</v>
      </c>
      <c r="AW57" s="32">
        <f>ROUND(G57*AO57,2)</f>
        <v>0</v>
      </c>
      <c r="AX57" s="32">
        <f>ROUND(G57*AP57,2)</f>
        <v>0</v>
      </c>
      <c r="AY57" s="36" t="s">
        <v>163</v>
      </c>
      <c r="AZ57" s="36" t="s">
        <v>164</v>
      </c>
      <c r="BA57" s="12" t="s">
        <v>65</v>
      </c>
      <c r="BC57" s="32">
        <f>AW57+AX57</f>
        <v>0</v>
      </c>
      <c r="BD57" s="32">
        <f>H57/(100-BE57)*100</f>
        <v>0</v>
      </c>
      <c r="BE57" s="32">
        <v>0</v>
      </c>
      <c r="BF57" s="32">
        <f>P57</f>
        <v>0.14172200000000001</v>
      </c>
      <c r="BH57" s="32">
        <f>G57*AO57</f>
        <v>0</v>
      </c>
      <c r="BI57" s="32">
        <f>G57*AP57</f>
        <v>0</v>
      </c>
      <c r="BJ57" s="32">
        <f>G57*H57</f>
        <v>0</v>
      </c>
      <c r="BK57" s="36" t="s">
        <v>66</v>
      </c>
      <c r="BL57" s="32">
        <v>61</v>
      </c>
      <c r="BW57" s="32">
        <f>I57</f>
        <v>21</v>
      </c>
      <c r="BX57" s="4" t="s">
        <v>179</v>
      </c>
    </row>
    <row r="58" spans="1:76" x14ac:dyDescent="0.25">
      <c r="A58" s="2" t="s">
        <v>180</v>
      </c>
      <c r="B58" s="3" t="s">
        <v>55</v>
      </c>
      <c r="C58" s="3" t="s">
        <v>181</v>
      </c>
      <c r="D58" s="89" t="s">
        <v>182</v>
      </c>
      <c r="E58" s="90"/>
      <c r="F58" s="3" t="s">
        <v>76</v>
      </c>
      <c r="G58" s="32">
        <v>12.6</v>
      </c>
      <c r="H58" s="199">
        <v>0</v>
      </c>
      <c r="I58" s="33">
        <v>21</v>
      </c>
      <c r="J58" s="32">
        <f>ROUND(G58*AO58,2)</f>
        <v>0</v>
      </c>
      <c r="K58" s="32">
        <f>ROUND(G58*AP58,2)</f>
        <v>0</v>
      </c>
      <c r="L58" s="32">
        <f>ROUND(G58*H58,2)</f>
        <v>0</v>
      </c>
      <c r="M58" s="32">
        <f>L58*(1+BW58/100)</f>
        <v>0</v>
      </c>
      <c r="N58" s="34">
        <f>IF(L649=0,0,L58/L649)</f>
        <v>0</v>
      </c>
      <c r="O58" s="32">
        <v>4.0000000000000003E-5</v>
      </c>
      <c r="P58" s="32">
        <f>G58*O58</f>
        <v>5.04E-4</v>
      </c>
      <c r="Q58" s="35" t="s">
        <v>77</v>
      </c>
      <c r="Z58" s="32">
        <f>ROUND(IF(AQ58="5",BJ58,0),2)</f>
        <v>0</v>
      </c>
      <c r="AB58" s="32">
        <f>ROUND(IF(AQ58="1",BH58,0),2)</f>
        <v>0</v>
      </c>
      <c r="AC58" s="32">
        <f>ROUND(IF(AQ58="1",BI58,0),2)</f>
        <v>0</v>
      </c>
      <c r="AD58" s="32">
        <f>ROUND(IF(AQ58="7",BH58,0),2)</f>
        <v>0</v>
      </c>
      <c r="AE58" s="32">
        <f>ROUND(IF(AQ58="7",BI58,0),2)</f>
        <v>0</v>
      </c>
      <c r="AF58" s="32">
        <f>ROUND(IF(AQ58="2",BH58,0),2)</f>
        <v>0</v>
      </c>
      <c r="AG58" s="32">
        <f>ROUND(IF(AQ58="2",BI58,0),2)</f>
        <v>0</v>
      </c>
      <c r="AH58" s="32">
        <f>ROUND(IF(AQ58="0",BJ58,0),2)</f>
        <v>0</v>
      </c>
      <c r="AI58" s="12" t="s">
        <v>55</v>
      </c>
      <c r="AJ58" s="32">
        <f>IF(AN58=0,L58,0)</f>
        <v>0</v>
      </c>
      <c r="AK58" s="32">
        <f>IF(AN58=12,L58,0)</f>
        <v>0</v>
      </c>
      <c r="AL58" s="32">
        <f>IF(AN58=21,L58,0)</f>
        <v>0</v>
      </c>
      <c r="AN58" s="32">
        <v>21</v>
      </c>
      <c r="AO58" s="32">
        <f>H58*0.267958542</f>
        <v>0</v>
      </c>
      <c r="AP58" s="32">
        <f>H58*(1-0.267958542)</f>
        <v>0</v>
      </c>
      <c r="AQ58" s="36" t="s">
        <v>58</v>
      </c>
      <c r="AV58" s="32">
        <f>ROUND(AW58+AX58,2)</f>
        <v>0</v>
      </c>
      <c r="AW58" s="32">
        <f>ROUND(G58*AO58,2)</f>
        <v>0</v>
      </c>
      <c r="AX58" s="32">
        <f>ROUND(G58*AP58,2)</f>
        <v>0</v>
      </c>
      <c r="AY58" s="36" t="s">
        <v>163</v>
      </c>
      <c r="AZ58" s="36" t="s">
        <v>164</v>
      </c>
      <c r="BA58" s="12" t="s">
        <v>65</v>
      </c>
      <c r="BC58" s="32">
        <f>AW58+AX58</f>
        <v>0</v>
      </c>
      <c r="BD58" s="32">
        <f>H58/(100-BE58)*100</f>
        <v>0</v>
      </c>
      <c r="BE58" s="32">
        <v>0</v>
      </c>
      <c r="BF58" s="32">
        <f>P58</f>
        <v>5.04E-4</v>
      </c>
      <c r="BH58" s="32">
        <f>G58*AO58</f>
        <v>0</v>
      </c>
      <c r="BI58" s="32">
        <f>G58*AP58</f>
        <v>0</v>
      </c>
      <c r="BJ58" s="32">
        <f>G58*H58</f>
        <v>0</v>
      </c>
      <c r="BK58" s="36" t="s">
        <v>66</v>
      </c>
      <c r="BL58" s="32">
        <v>61</v>
      </c>
      <c r="BW58" s="32">
        <f>I58</f>
        <v>21</v>
      </c>
      <c r="BX58" s="4" t="s">
        <v>182</v>
      </c>
    </row>
    <row r="59" spans="1:76" x14ac:dyDescent="0.25">
      <c r="A59" s="37" t="s">
        <v>55</v>
      </c>
      <c r="B59" s="38" t="s">
        <v>55</v>
      </c>
      <c r="C59" s="38" t="s">
        <v>183</v>
      </c>
      <c r="D59" s="98" t="s">
        <v>184</v>
      </c>
      <c r="E59" s="99"/>
      <c r="F59" s="39" t="s">
        <v>3</v>
      </c>
      <c r="G59" s="39" t="s">
        <v>3</v>
      </c>
      <c r="H59" s="39" t="s">
        <v>3</v>
      </c>
      <c r="I59" s="39" t="s">
        <v>3</v>
      </c>
      <c r="J59" s="1">
        <f>SUM(J60:J66)</f>
        <v>0</v>
      </c>
      <c r="K59" s="1">
        <f>SUM(K60:K66)</f>
        <v>0</v>
      </c>
      <c r="L59" s="1">
        <f>SUM(L60:L66)</f>
        <v>0</v>
      </c>
      <c r="M59" s="1">
        <f>SUM(M60:M66)</f>
        <v>0</v>
      </c>
      <c r="N59" s="40">
        <f>IF(L649=0,0,L59/L649)</f>
        <v>0</v>
      </c>
      <c r="O59" s="12" t="s">
        <v>55</v>
      </c>
      <c r="P59" s="1">
        <f>SUM(P60:P66)</f>
        <v>2.5300707999999998</v>
      </c>
      <c r="Q59" s="41" t="s">
        <v>55</v>
      </c>
      <c r="AI59" s="12" t="s">
        <v>55</v>
      </c>
      <c r="AS59" s="1">
        <f>SUM(AJ60:AJ66)</f>
        <v>0</v>
      </c>
      <c r="AT59" s="1">
        <f>SUM(AK60:AK66)</f>
        <v>0</v>
      </c>
      <c r="AU59" s="1">
        <f>SUM(AL60:AL66)</f>
        <v>0</v>
      </c>
    </row>
    <row r="60" spans="1:76" x14ac:dyDescent="0.25">
      <c r="A60" s="2" t="s">
        <v>185</v>
      </c>
      <c r="B60" s="3" t="s">
        <v>55</v>
      </c>
      <c r="C60" s="3" t="s">
        <v>186</v>
      </c>
      <c r="D60" s="89" t="s">
        <v>187</v>
      </c>
      <c r="E60" s="90"/>
      <c r="F60" s="3" t="s">
        <v>76</v>
      </c>
      <c r="G60" s="32">
        <v>100.39</v>
      </c>
      <c r="H60" s="199">
        <v>0</v>
      </c>
      <c r="I60" s="33">
        <v>21</v>
      </c>
      <c r="J60" s="32">
        <f>ROUND(G60*AO60,2)</f>
        <v>0</v>
      </c>
      <c r="K60" s="32">
        <f>ROUND(G60*AP60,2)</f>
        <v>0</v>
      </c>
      <c r="L60" s="32">
        <f>ROUND(G60*H60,2)</f>
        <v>0</v>
      </c>
      <c r="M60" s="32">
        <f>L60*(1+BW60/100)</f>
        <v>0</v>
      </c>
      <c r="N60" s="34">
        <f>IF(L649=0,0,L60/L649)</f>
        <v>0</v>
      </c>
      <c r="O60" s="32">
        <v>1.4319999999999999E-2</v>
      </c>
      <c r="P60" s="32">
        <f>G60*O60</f>
        <v>1.4375848</v>
      </c>
      <c r="Q60" s="35" t="s">
        <v>77</v>
      </c>
      <c r="Z60" s="32">
        <f>ROUND(IF(AQ60="5",BJ60,0),2)</f>
        <v>0</v>
      </c>
      <c r="AB60" s="32">
        <f>ROUND(IF(AQ60="1",BH60,0),2)</f>
        <v>0</v>
      </c>
      <c r="AC60" s="32">
        <f>ROUND(IF(AQ60="1",BI60,0),2)</f>
        <v>0</v>
      </c>
      <c r="AD60" s="32">
        <f>ROUND(IF(AQ60="7",BH60,0),2)</f>
        <v>0</v>
      </c>
      <c r="AE60" s="32">
        <f>ROUND(IF(AQ60="7",BI60,0),2)</f>
        <v>0</v>
      </c>
      <c r="AF60" s="32">
        <f>ROUND(IF(AQ60="2",BH60,0),2)</f>
        <v>0</v>
      </c>
      <c r="AG60" s="32">
        <f>ROUND(IF(AQ60="2",BI60,0),2)</f>
        <v>0</v>
      </c>
      <c r="AH60" s="32">
        <f>ROUND(IF(AQ60="0",BJ60,0),2)</f>
        <v>0</v>
      </c>
      <c r="AI60" s="12" t="s">
        <v>55</v>
      </c>
      <c r="AJ60" s="32">
        <f>IF(AN60=0,L60,0)</f>
        <v>0</v>
      </c>
      <c r="AK60" s="32">
        <f>IF(AN60=12,L60,0)</f>
        <v>0</v>
      </c>
      <c r="AL60" s="32">
        <f>IF(AN60=21,L60,0)</f>
        <v>0</v>
      </c>
      <c r="AN60" s="32">
        <v>21</v>
      </c>
      <c r="AO60" s="32">
        <f>H60*0.545966346</f>
        <v>0</v>
      </c>
      <c r="AP60" s="32">
        <f>H60*(1-0.545966346)</f>
        <v>0</v>
      </c>
      <c r="AQ60" s="36" t="s">
        <v>58</v>
      </c>
      <c r="AV60" s="32">
        <f>ROUND(AW60+AX60,2)</f>
        <v>0</v>
      </c>
      <c r="AW60" s="32">
        <f>ROUND(G60*AO60,2)</f>
        <v>0</v>
      </c>
      <c r="AX60" s="32">
        <f>ROUND(G60*AP60,2)</f>
        <v>0</v>
      </c>
      <c r="AY60" s="36" t="s">
        <v>188</v>
      </c>
      <c r="AZ60" s="36" t="s">
        <v>164</v>
      </c>
      <c r="BA60" s="12" t="s">
        <v>65</v>
      </c>
      <c r="BC60" s="32">
        <f>AW60+AX60</f>
        <v>0</v>
      </c>
      <c r="BD60" s="32">
        <f>H60/(100-BE60)*100</f>
        <v>0</v>
      </c>
      <c r="BE60" s="32">
        <v>0</v>
      </c>
      <c r="BF60" s="32">
        <f>P60</f>
        <v>1.4375848</v>
      </c>
      <c r="BH60" s="32">
        <f>G60*AO60</f>
        <v>0</v>
      </c>
      <c r="BI60" s="32">
        <f>G60*AP60</f>
        <v>0</v>
      </c>
      <c r="BJ60" s="32">
        <f>G60*H60</f>
        <v>0</v>
      </c>
      <c r="BK60" s="36" t="s">
        <v>66</v>
      </c>
      <c r="BL60" s="32">
        <v>62</v>
      </c>
      <c r="BW60" s="32">
        <f>I60</f>
        <v>21</v>
      </c>
      <c r="BX60" s="4" t="s">
        <v>187</v>
      </c>
    </row>
    <row r="61" spans="1:76" ht="13.5" customHeight="1" x14ac:dyDescent="0.25">
      <c r="A61" s="42"/>
      <c r="C61" s="43"/>
      <c r="D61" s="95" t="s">
        <v>189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7"/>
    </row>
    <row r="62" spans="1:76" x14ac:dyDescent="0.25">
      <c r="A62" s="2" t="s">
        <v>190</v>
      </c>
      <c r="B62" s="3" t="s">
        <v>55</v>
      </c>
      <c r="C62" s="3" t="s">
        <v>191</v>
      </c>
      <c r="D62" s="89" t="s">
        <v>192</v>
      </c>
      <c r="E62" s="90"/>
      <c r="F62" s="3" t="s">
        <v>76</v>
      </c>
      <c r="G62" s="32">
        <v>22.4</v>
      </c>
      <c r="H62" s="199">
        <v>0</v>
      </c>
      <c r="I62" s="33">
        <v>21</v>
      </c>
      <c r="J62" s="32">
        <f>ROUND(G62*AO62,2)</f>
        <v>0</v>
      </c>
      <c r="K62" s="32">
        <f>ROUND(G62*AP62,2)</f>
        <v>0</v>
      </c>
      <c r="L62" s="32">
        <f>ROUND(G62*H62,2)</f>
        <v>0</v>
      </c>
      <c r="M62" s="32">
        <f>L62*(1+BW62/100)</f>
        <v>0</v>
      </c>
      <c r="N62" s="34">
        <f>IF(L649=0,0,L62/L649)</f>
        <v>0</v>
      </c>
      <c r="O62" s="32">
        <v>1.5699999999999999E-2</v>
      </c>
      <c r="P62" s="32">
        <f>G62*O62</f>
        <v>0.35167999999999994</v>
      </c>
      <c r="Q62" s="35" t="s">
        <v>77</v>
      </c>
      <c r="Z62" s="32">
        <f>ROUND(IF(AQ62="5",BJ62,0),2)</f>
        <v>0</v>
      </c>
      <c r="AB62" s="32">
        <f>ROUND(IF(AQ62="1",BH62,0),2)</f>
        <v>0</v>
      </c>
      <c r="AC62" s="32">
        <f>ROUND(IF(AQ62="1",BI62,0),2)</f>
        <v>0</v>
      </c>
      <c r="AD62" s="32">
        <f>ROUND(IF(AQ62="7",BH62,0),2)</f>
        <v>0</v>
      </c>
      <c r="AE62" s="32">
        <f>ROUND(IF(AQ62="7",BI62,0),2)</f>
        <v>0</v>
      </c>
      <c r="AF62" s="32">
        <f>ROUND(IF(AQ62="2",BH62,0),2)</f>
        <v>0</v>
      </c>
      <c r="AG62" s="32">
        <f>ROUND(IF(AQ62="2",BI62,0),2)</f>
        <v>0</v>
      </c>
      <c r="AH62" s="32">
        <f>ROUND(IF(AQ62="0",BJ62,0),2)</f>
        <v>0</v>
      </c>
      <c r="AI62" s="12" t="s">
        <v>55</v>
      </c>
      <c r="AJ62" s="32">
        <f>IF(AN62=0,L62,0)</f>
        <v>0</v>
      </c>
      <c r="AK62" s="32">
        <f>IF(AN62=12,L62,0)</f>
        <v>0</v>
      </c>
      <c r="AL62" s="32">
        <f>IF(AN62=21,L62,0)</f>
        <v>0</v>
      </c>
      <c r="AN62" s="32">
        <v>21</v>
      </c>
      <c r="AO62" s="32">
        <f>H62*0.569874482</f>
        <v>0</v>
      </c>
      <c r="AP62" s="32">
        <f>H62*(1-0.569874482)</f>
        <v>0</v>
      </c>
      <c r="AQ62" s="36" t="s">
        <v>58</v>
      </c>
      <c r="AV62" s="32">
        <f>ROUND(AW62+AX62,2)</f>
        <v>0</v>
      </c>
      <c r="AW62" s="32">
        <f>ROUND(G62*AO62,2)</f>
        <v>0</v>
      </c>
      <c r="AX62" s="32">
        <f>ROUND(G62*AP62,2)</f>
        <v>0</v>
      </c>
      <c r="AY62" s="36" t="s">
        <v>188</v>
      </c>
      <c r="AZ62" s="36" t="s">
        <v>164</v>
      </c>
      <c r="BA62" s="12" t="s">
        <v>65</v>
      </c>
      <c r="BC62" s="32">
        <f>AW62+AX62</f>
        <v>0</v>
      </c>
      <c r="BD62" s="32">
        <f>H62/(100-BE62)*100</f>
        <v>0</v>
      </c>
      <c r="BE62" s="32">
        <v>0</v>
      </c>
      <c r="BF62" s="32">
        <f>P62</f>
        <v>0.35167999999999994</v>
      </c>
      <c r="BH62" s="32">
        <f>G62*AO62</f>
        <v>0</v>
      </c>
      <c r="BI62" s="32">
        <f>G62*AP62</f>
        <v>0</v>
      </c>
      <c r="BJ62" s="32">
        <f>G62*H62</f>
        <v>0</v>
      </c>
      <c r="BK62" s="36" t="s">
        <v>66</v>
      </c>
      <c r="BL62" s="32">
        <v>62</v>
      </c>
      <c r="BW62" s="32">
        <f>I62</f>
        <v>21</v>
      </c>
      <c r="BX62" s="4" t="s">
        <v>192</v>
      </c>
    </row>
    <row r="63" spans="1:76" ht="13.5" customHeight="1" x14ac:dyDescent="0.25">
      <c r="A63" s="42"/>
      <c r="C63" s="43"/>
      <c r="D63" s="95" t="s">
        <v>193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76" x14ac:dyDescent="0.25">
      <c r="A64" s="2" t="s">
        <v>194</v>
      </c>
      <c r="B64" s="3" t="s">
        <v>55</v>
      </c>
      <c r="C64" s="3" t="s">
        <v>195</v>
      </c>
      <c r="D64" s="89" t="s">
        <v>196</v>
      </c>
      <c r="E64" s="90"/>
      <c r="F64" s="3" t="s">
        <v>76</v>
      </c>
      <c r="G64" s="32">
        <v>49.06</v>
      </c>
      <c r="H64" s="199">
        <v>0</v>
      </c>
      <c r="I64" s="33">
        <v>21</v>
      </c>
      <c r="J64" s="32">
        <f>ROUND(G64*AO64,2)</f>
        <v>0</v>
      </c>
      <c r="K64" s="32">
        <f>ROUND(G64*AP64,2)</f>
        <v>0</v>
      </c>
      <c r="L64" s="32">
        <f>ROUND(G64*H64,2)</f>
        <v>0</v>
      </c>
      <c r="M64" s="32">
        <f>L64*(1+BW64/100)</f>
        <v>0</v>
      </c>
      <c r="N64" s="34">
        <f>IF(L649=0,0,L64/L649)</f>
        <v>0</v>
      </c>
      <c r="O64" s="32">
        <v>8.6999999999999994E-3</v>
      </c>
      <c r="P64" s="32">
        <f>G64*O64</f>
        <v>0.42682199999999998</v>
      </c>
      <c r="Q64" s="35" t="s">
        <v>77</v>
      </c>
      <c r="Z64" s="32">
        <f>ROUND(IF(AQ64="5",BJ64,0),2)</f>
        <v>0</v>
      </c>
      <c r="AB64" s="32">
        <f>ROUND(IF(AQ64="1",BH64,0),2)</f>
        <v>0</v>
      </c>
      <c r="AC64" s="32">
        <f>ROUND(IF(AQ64="1",BI64,0),2)</f>
        <v>0</v>
      </c>
      <c r="AD64" s="32">
        <f>ROUND(IF(AQ64="7",BH64,0),2)</f>
        <v>0</v>
      </c>
      <c r="AE64" s="32">
        <f>ROUND(IF(AQ64="7",BI64,0),2)</f>
        <v>0</v>
      </c>
      <c r="AF64" s="32">
        <f>ROUND(IF(AQ64="2",BH64,0),2)</f>
        <v>0</v>
      </c>
      <c r="AG64" s="32">
        <f>ROUND(IF(AQ64="2",BI64,0),2)</f>
        <v>0</v>
      </c>
      <c r="AH64" s="32">
        <f>ROUND(IF(AQ64="0",BJ64,0),2)</f>
        <v>0</v>
      </c>
      <c r="AI64" s="12" t="s">
        <v>55</v>
      </c>
      <c r="AJ64" s="32">
        <f>IF(AN64=0,L64,0)</f>
        <v>0</v>
      </c>
      <c r="AK64" s="32">
        <f>IF(AN64=12,L64,0)</f>
        <v>0</v>
      </c>
      <c r="AL64" s="32">
        <f>IF(AN64=21,L64,0)</f>
        <v>0</v>
      </c>
      <c r="AN64" s="32">
        <v>21</v>
      </c>
      <c r="AO64" s="32">
        <f>H64*0.341135509</f>
        <v>0</v>
      </c>
      <c r="AP64" s="32">
        <f>H64*(1-0.341135509)</f>
        <v>0</v>
      </c>
      <c r="AQ64" s="36" t="s">
        <v>58</v>
      </c>
      <c r="AV64" s="32">
        <f>ROUND(AW64+AX64,2)</f>
        <v>0</v>
      </c>
      <c r="AW64" s="32">
        <f>ROUND(G64*AO64,2)</f>
        <v>0</v>
      </c>
      <c r="AX64" s="32">
        <f>ROUND(G64*AP64,2)</f>
        <v>0</v>
      </c>
      <c r="AY64" s="36" t="s">
        <v>188</v>
      </c>
      <c r="AZ64" s="36" t="s">
        <v>164</v>
      </c>
      <c r="BA64" s="12" t="s">
        <v>65</v>
      </c>
      <c r="BC64" s="32">
        <f>AW64+AX64</f>
        <v>0</v>
      </c>
      <c r="BD64" s="32">
        <f>H64/(100-BE64)*100</f>
        <v>0</v>
      </c>
      <c r="BE64" s="32">
        <v>0</v>
      </c>
      <c r="BF64" s="32">
        <f>P64</f>
        <v>0.42682199999999998</v>
      </c>
      <c r="BH64" s="32">
        <f>G64*AO64</f>
        <v>0</v>
      </c>
      <c r="BI64" s="32">
        <f>G64*AP64</f>
        <v>0</v>
      </c>
      <c r="BJ64" s="32">
        <f>G64*H64</f>
        <v>0</v>
      </c>
      <c r="BK64" s="36" t="s">
        <v>66</v>
      </c>
      <c r="BL64" s="32">
        <v>62</v>
      </c>
      <c r="BW64" s="32">
        <f>I64</f>
        <v>21</v>
      </c>
      <c r="BX64" s="4" t="s">
        <v>196</v>
      </c>
    </row>
    <row r="65" spans="1:76" ht="13.5" customHeight="1" x14ac:dyDescent="0.25">
      <c r="A65" s="42"/>
      <c r="C65" s="43"/>
      <c r="D65" s="95" t="s">
        <v>197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76" x14ac:dyDescent="0.25">
      <c r="A66" s="2" t="s">
        <v>198</v>
      </c>
      <c r="B66" s="3" t="s">
        <v>55</v>
      </c>
      <c r="C66" s="3" t="s">
        <v>199</v>
      </c>
      <c r="D66" s="89" t="s">
        <v>200</v>
      </c>
      <c r="E66" s="90"/>
      <c r="F66" s="3" t="s">
        <v>76</v>
      </c>
      <c r="G66" s="32">
        <v>49.06</v>
      </c>
      <c r="H66" s="199">
        <v>0</v>
      </c>
      <c r="I66" s="33">
        <v>21</v>
      </c>
      <c r="J66" s="32">
        <f>ROUND(G66*AO66,2)</f>
        <v>0</v>
      </c>
      <c r="K66" s="32">
        <f>ROUND(G66*AP66,2)</f>
        <v>0</v>
      </c>
      <c r="L66" s="32">
        <f>ROUND(G66*H66,2)</f>
        <v>0</v>
      </c>
      <c r="M66" s="32">
        <f>L66*(1+BW66/100)</f>
        <v>0</v>
      </c>
      <c r="N66" s="34">
        <f>IF(L649=0,0,L66/L649)</f>
        <v>0</v>
      </c>
      <c r="O66" s="32">
        <v>6.4000000000000003E-3</v>
      </c>
      <c r="P66" s="32">
        <f>G66*O66</f>
        <v>0.31398400000000004</v>
      </c>
      <c r="Q66" s="35" t="s">
        <v>77</v>
      </c>
      <c r="Z66" s="32">
        <f>ROUND(IF(AQ66="5",BJ66,0),2)</f>
        <v>0</v>
      </c>
      <c r="AB66" s="32">
        <f>ROUND(IF(AQ66="1",BH66,0),2)</f>
        <v>0</v>
      </c>
      <c r="AC66" s="32">
        <f>ROUND(IF(AQ66="1",BI66,0),2)</f>
        <v>0</v>
      </c>
      <c r="AD66" s="32">
        <f>ROUND(IF(AQ66="7",BH66,0),2)</f>
        <v>0</v>
      </c>
      <c r="AE66" s="32">
        <f>ROUND(IF(AQ66="7",BI66,0),2)</f>
        <v>0</v>
      </c>
      <c r="AF66" s="32">
        <f>ROUND(IF(AQ66="2",BH66,0),2)</f>
        <v>0</v>
      </c>
      <c r="AG66" s="32">
        <f>ROUND(IF(AQ66="2",BI66,0),2)</f>
        <v>0</v>
      </c>
      <c r="AH66" s="32">
        <f>ROUND(IF(AQ66="0",BJ66,0),2)</f>
        <v>0</v>
      </c>
      <c r="AI66" s="12" t="s">
        <v>55</v>
      </c>
      <c r="AJ66" s="32">
        <f>IF(AN66=0,L66,0)</f>
        <v>0</v>
      </c>
      <c r="AK66" s="32">
        <f>IF(AN66=12,L66,0)</f>
        <v>0</v>
      </c>
      <c r="AL66" s="32">
        <f>IF(AN66=21,L66,0)</f>
        <v>0</v>
      </c>
      <c r="AN66" s="32">
        <v>21</v>
      </c>
      <c r="AO66" s="32">
        <f>H66*0.135628851</f>
        <v>0</v>
      </c>
      <c r="AP66" s="32">
        <f>H66*(1-0.135628851)</f>
        <v>0</v>
      </c>
      <c r="AQ66" s="36" t="s">
        <v>58</v>
      </c>
      <c r="AV66" s="32">
        <f>ROUND(AW66+AX66,2)</f>
        <v>0</v>
      </c>
      <c r="AW66" s="32">
        <f>ROUND(G66*AO66,2)</f>
        <v>0</v>
      </c>
      <c r="AX66" s="32">
        <f>ROUND(G66*AP66,2)</f>
        <v>0</v>
      </c>
      <c r="AY66" s="36" t="s">
        <v>188</v>
      </c>
      <c r="AZ66" s="36" t="s">
        <v>164</v>
      </c>
      <c r="BA66" s="12" t="s">
        <v>65</v>
      </c>
      <c r="BC66" s="32">
        <f>AW66+AX66</f>
        <v>0</v>
      </c>
      <c r="BD66" s="32">
        <f>H66/(100-BE66)*100</f>
        <v>0</v>
      </c>
      <c r="BE66" s="32">
        <v>0</v>
      </c>
      <c r="BF66" s="32">
        <f>P66</f>
        <v>0.31398400000000004</v>
      </c>
      <c r="BH66" s="32">
        <f>G66*AO66</f>
        <v>0</v>
      </c>
      <c r="BI66" s="32">
        <f>G66*AP66</f>
        <v>0</v>
      </c>
      <c r="BJ66" s="32">
        <f>G66*H66</f>
        <v>0</v>
      </c>
      <c r="BK66" s="36" t="s">
        <v>66</v>
      </c>
      <c r="BL66" s="32">
        <v>62</v>
      </c>
      <c r="BW66" s="32">
        <f>I66</f>
        <v>21</v>
      </c>
      <c r="BX66" s="4" t="s">
        <v>200</v>
      </c>
    </row>
    <row r="67" spans="1:76" ht="13.5" customHeight="1" x14ac:dyDescent="0.25">
      <c r="A67" s="42"/>
      <c r="C67" s="43"/>
      <c r="D67" s="95" t="s">
        <v>201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</row>
    <row r="68" spans="1:76" x14ac:dyDescent="0.25">
      <c r="A68" s="37" t="s">
        <v>55</v>
      </c>
      <c r="B68" s="38" t="s">
        <v>55</v>
      </c>
      <c r="C68" s="38" t="s">
        <v>202</v>
      </c>
      <c r="D68" s="98" t="s">
        <v>203</v>
      </c>
      <c r="E68" s="99"/>
      <c r="F68" s="39" t="s">
        <v>3</v>
      </c>
      <c r="G68" s="39" t="s">
        <v>3</v>
      </c>
      <c r="H68" s="39" t="s">
        <v>3</v>
      </c>
      <c r="I68" s="39" t="s">
        <v>3</v>
      </c>
      <c r="J68" s="1">
        <f>SUM(J69:J79)</f>
        <v>0</v>
      </c>
      <c r="K68" s="1">
        <f>SUM(K69:K79)</f>
        <v>0</v>
      </c>
      <c r="L68" s="1">
        <f>SUM(L69:L79)</f>
        <v>0</v>
      </c>
      <c r="M68" s="1">
        <f>SUM(M69:M79)</f>
        <v>0</v>
      </c>
      <c r="N68" s="40">
        <f>IF(L649=0,0,L68/L649)</f>
        <v>0</v>
      </c>
      <c r="O68" s="12" t="s">
        <v>55</v>
      </c>
      <c r="P68" s="1">
        <f>SUM(P69:P79)</f>
        <v>38.104202839999999</v>
      </c>
      <c r="Q68" s="41" t="s">
        <v>55</v>
      </c>
      <c r="AI68" s="12" t="s">
        <v>55</v>
      </c>
      <c r="AS68" s="1">
        <f>SUM(AJ69:AJ79)</f>
        <v>0</v>
      </c>
      <c r="AT68" s="1">
        <f>SUM(AK69:AK79)</f>
        <v>0</v>
      </c>
      <c r="AU68" s="1">
        <f>SUM(AL69:AL79)</f>
        <v>0</v>
      </c>
    </row>
    <row r="69" spans="1:76" x14ac:dyDescent="0.25">
      <c r="A69" s="2" t="s">
        <v>204</v>
      </c>
      <c r="B69" s="3" t="s">
        <v>55</v>
      </c>
      <c r="C69" s="3" t="s">
        <v>205</v>
      </c>
      <c r="D69" s="89" t="s">
        <v>206</v>
      </c>
      <c r="E69" s="90"/>
      <c r="F69" s="3" t="s">
        <v>82</v>
      </c>
      <c r="G69" s="32">
        <v>5.5</v>
      </c>
      <c r="H69" s="199">
        <v>0</v>
      </c>
      <c r="I69" s="33">
        <v>21</v>
      </c>
      <c r="J69" s="32">
        <f>ROUND(G69*AO69,2)</f>
        <v>0</v>
      </c>
      <c r="K69" s="32">
        <f>ROUND(G69*AP69,2)</f>
        <v>0</v>
      </c>
      <c r="L69" s="32">
        <f>ROUND(G69*H69,2)</f>
        <v>0</v>
      </c>
      <c r="M69" s="32">
        <f>L69*(1+BW69/100)</f>
        <v>0</v>
      </c>
      <c r="N69" s="34">
        <f>IF(L649=0,0,L69/L649)</f>
        <v>0</v>
      </c>
      <c r="O69" s="32">
        <v>2.5249999999999999</v>
      </c>
      <c r="P69" s="32">
        <f>G69*O69</f>
        <v>13.887499999999999</v>
      </c>
      <c r="Q69" s="35" t="s">
        <v>77</v>
      </c>
      <c r="Z69" s="32">
        <f>ROUND(IF(AQ69="5",BJ69,0),2)</f>
        <v>0</v>
      </c>
      <c r="AB69" s="32">
        <f>ROUND(IF(AQ69="1",BH69,0),2)</f>
        <v>0</v>
      </c>
      <c r="AC69" s="32">
        <f>ROUND(IF(AQ69="1",BI69,0),2)</f>
        <v>0</v>
      </c>
      <c r="AD69" s="32">
        <f>ROUND(IF(AQ69="7",BH69,0),2)</f>
        <v>0</v>
      </c>
      <c r="AE69" s="32">
        <f>ROUND(IF(AQ69="7",BI69,0),2)</f>
        <v>0</v>
      </c>
      <c r="AF69" s="32">
        <f>ROUND(IF(AQ69="2",BH69,0),2)</f>
        <v>0</v>
      </c>
      <c r="AG69" s="32">
        <f>ROUND(IF(AQ69="2",BI69,0),2)</f>
        <v>0</v>
      </c>
      <c r="AH69" s="32">
        <f>ROUND(IF(AQ69="0",BJ69,0),2)</f>
        <v>0</v>
      </c>
      <c r="AI69" s="12" t="s">
        <v>55</v>
      </c>
      <c r="AJ69" s="32">
        <f>IF(AN69=0,L69,0)</f>
        <v>0</v>
      </c>
      <c r="AK69" s="32">
        <f>IF(AN69=12,L69,0)</f>
        <v>0</v>
      </c>
      <c r="AL69" s="32">
        <f>IF(AN69=21,L69,0)</f>
        <v>0</v>
      </c>
      <c r="AN69" s="32">
        <v>21</v>
      </c>
      <c r="AO69" s="32">
        <f>H69*0.814795227</f>
        <v>0</v>
      </c>
      <c r="AP69" s="32">
        <f>H69*(1-0.814795227)</f>
        <v>0</v>
      </c>
      <c r="AQ69" s="36" t="s">
        <v>58</v>
      </c>
      <c r="AV69" s="32">
        <f>ROUND(AW69+AX69,2)</f>
        <v>0</v>
      </c>
      <c r="AW69" s="32">
        <f>ROUND(G69*AO69,2)</f>
        <v>0</v>
      </c>
      <c r="AX69" s="32">
        <f>ROUND(G69*AP69,2)</f>
        <v>0</v>
      </c>
      <c r="AY69" s="36" t="s">
        <v>207</v>
      </c>
      <c r="AZ69" s="36" t="s">
        <v>164</v>
      </c>
      <c r="BA69" s="12" t="s">
        <v>65</v>
      </c>
      <c r="BC69" s="32">
        <f>AW69+AX69</f>
        <v>0</v>
      </c>
      <c r="BD69" s="32">
        <f>H69/(100-BE69)*100</f>
        <v>0</v>
      </c>
      <c r="BE69" s="32">
        <v>0</v>
      </c>
      <c r="BF69" s="32">
        <f>P69</f>
        <v>13.887499999999999</v>
      </c>
      <c r="BH69" s="32">
        <f>G69*AO69</f>
        <v>0</v>
      </c>
      <c r="BI69" s="32">
        <f>G69*AP69</f>
        <v>0</v>
      </c>
      <c r="BJ69" s="32">
        <f>G69*H69</f>
        <v>0</v>
      </c>
      <c r="BK69" s="36" t="s">
        <v>66</v>
      </c>
      <c r="BL69" s="32">
        <v>63</v>
      </c>
      <c r="BW69" s="32">
        <f>I69</f>
        <v>21</v>
      </c>
      <c r="BX69" s="4" t="s">
        <v>206</v>
      </c>
    </row>
    <row r="70" spans="1:76" ht="13.5" customHeight="1" x14ac:dyDescent="0.25">
      <c r="A70" s="42"/>
      <c r="C70" s="43"/>
      <c r="D70" s="95" t="s">
        <v>208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7"/>
    </row>
    <row r="71" spans="1:76" x14ac:dyDescent="0.25">
      <c r="A71" s="2" t="s">
        <v>71</v>
      </c>
      <c r="B71" s="3" t="s">
        <v>55</v>
      </c>
      <c r="C71" s="3" t="s">
        <v>209</v>
      </c>
      <c r="D71" s="89" t="s">
        <v>210</v>
      </c>
      <c r="E71" s="90"/>
      <c r="F71" s="3" t="s">
        <v>76</v>
      </c>
      <c r="G71" s="32">
        <v>60.21</v>
      </c>
      <c r="H71" s="199">
        <v>0</v>
      </c>
      <c r="I71" s="33">
        <v>21</v>
      </c>
      <c r="J71" s="32">
        <f>ROUND(G71*AO71,2)</f>
        <v>0</v>
      </c>
      <c r="K71" s="32">
        <f>ROUND(G71*AP71,2)</f>
        <v>0</v>
      </c>
      <c r="L71" s="32">
        <f>ROUND(G71*H71,2)</f>
        <v>0</v>
      </c>
      <c r="M71" s="32">
        <f>L71*(1+BW71/100)</f>
        <v>0</v>
      </c>
      <c r="N71" s="34">
        <f>IF(L649=0,0,L71/L649)</f>
        <v>0</v>
      </c>
      <c r="O71" s="32">
        <v>0.2525</v>
      </c>
      <c r="P71" s="32">
        <f>G71*O71</f>
        <v>15.203025</v>
      </c>
      <c r="Q71" s="35" t="s">
        <v>77</v>
      </c>
      <c r="Z71" s="32">
        <f>ROUND(IF(AQ71="5",BJ71,0),2)</f>
        <v>0</v>
      </c>
      <c r="AB71" s="32">
        <f>ROUND(IF(AQ71="1",BH71,0),2)</f>
        <v>0</v>
      </c>
      <c r="AC71" s="32">
        <f>ROUND(IF(AQ71="1",BI71,0),2)</f>
        <v>0</v>
      </c>
      <c r="AD71" s="32">
        <f>ROUND(IF(AQ71="7",BH71,0),2)</f>
        <v>0</v>
      </c>
      <c r="AE71" s="32">
        <f>ROUND(IF(AQ71="7",BI71,0),2)</f>
        <v>0</v>
      </c>
      <c r="AF71" s="32">
        <f>ROUND(IF(AQ71="2",BH71,0),2)</f>
        <v>0</v>
      </c>
      <c r="AG71" s="32">
        <f>ROUND(IF(AQ71="2",BI71,0),2)</f>
        <v>0</v>
      </c>
      <c r="AH71" s="32">
        <f>ROUND(IF(AQ71="0",BJ71,0),2)</f>
        <v>0</v>
      </c>
      <c r="AI71" s="12" t="s">
        <v>55</v>
      </c>
      <c r="AJ71" s="32">
        <f>IF(AN71=0,L71,0)</f>
        <v>0</v>
      </c>
      <c r="AK71" s="32">
        <f>IF(AN71=12,L71,0)</f>
        <v>0</v>
      </c>
      <c r="AL71" s="32">
        <f>IF(AN71=21,L71,0)</f>
        <v>0</v>
      </c>
      <c r="AN71" s="32">
        <v>21</v>
      </c>
      <c r="AO71" s="32">
        <f>H71*0.545849112</f>
        <v>0</v>
      </c>
      <c r="AP71" s="32">
        <f>H71*(1-0.545849112)</f>
        <v>0</v>
      </c>
      <c r="AQ71" s="36" t="s">
        <v>58</v>
      </c>
      <c r="AV71" s="32">
        <f>ROUND(AW71+AX71,2)</f>
        <v>0</v>
      </c>
      <c r="AW71" s="32">
        <f>ROUND(G71*AO71,2)</f>
        <v>0</v>
      </c>
      <c r="AX71" s="32">
        <f>ROUND(G71*AP71,2)</f>
        <v>0</v>
      </c>
      <c r="AY71" s="36" t="s">
        <v>207</v>
      </c>
      <c r="AZ71" s="36" t="s">
        <v>164</v>
      </c>
      <c r="BA71" s="12" t="s">
        <v>65</v>
      </c>
      <c r="BC71" s="32">
        <f>AW71+AX71</f>
        <v>0</v>
      </c>
      <c r="BD71" s="32">
        <f>H71/(100-BE71)*100</f>
        <v>0</v>
      </c>
      <c r="BE71" s="32">
        <v>0</v>
      </c>
      <c r="BF71" s="32">
        <f>P71</f>
        <v>15.203025</v>
      </c>
      <c r="BH71" s="32">
        <f>G71*AO71</f>
        <v>0</v>
      </c>
      <c r="BI71" s="32">
        <f>G71*AP71</f>
        <v>0</v>
      </c>
      <c r="BJ71" s="32">
        <f>G71*H71</f>
        <v>0</v>
      </c>
      <c r="BK71" s="36" t="s">
        <v>66</v>
      </c>
      <c r="BL71" s="32">
        <v>63</v>
      </c>
      <c r="BW71" s="32">
        <f>I71</f>
        <v>21</v>
      </c>
      <c r="BX71" s="4" t="s">
        <v>210</v>
      </c>
    </row>
    <row r="72" spans="1:76" x14ac:dyDescent="0.25">
      <c r="A72" s="2" t="s">
        <v>211</v>
      </c>
      <c r="B72" s="3" t="s">
        <v>55</v>
      </c>
      <c r="C72" s="3" t="s">
        <v>212</v>
      </c>
      <c r="D72" s="89" t="s">
        <v>213</v>
      </c>
      <c r="E72" s="90"/>
      <c r="F72" s="3" t="s">
        <v>76</v>
      </c>
      <c r="G72" s="32">
        <v>60.21</v>
      </c>
      <c r="H72" s="199">
        <v>0</v>
      </c>
      <c r="I72" s="33">
        <v>21</v>
      </c>
      <c r="J72" s="32">
        <f>ROUND(G72*AO72,2)</f>
        <v>0</v>
      </c>
      <c r="K72" s="32">
        <f>ROUND(G72*AP72,2)</f>
        <v>0</v>
      </c>
      <c r="L72" s="32">
        <f>ROUND(G72*H72,2)</f>
        <v>0</v>
      </c>
      <c r="M72" s="32">
        <f>L72*(1+BW72/100)</f>
        <v>0</v>
      </c>
      <c r="N72" s="34">
        <f>IF(L649=0,0,L72/L649)</f>
        <v>0</v>
      </c>
      <c r="O72" s="32">
        <v>3.5799999999999998E-3</v>
      </c>
      <c r="P72" s="32">
        <f>G72*O72</f>
        <v>0.21555179999999999</v>
      </c>
      <c r="Q72" s="35" t="s">
        <v>77</v>
      </c>
      <c r="Z72" s="32">
        <f>ROUND(IF(AQ72="5",BJ72,0),2)</f>
        <v>0</v>
      </c>
      <c r="AB72" s="32">
        <f>ROUND(IF(AQ72="1",BH72,0),2)</f>
        <v>0</v>
      </c>
      <c r="AC72" s="32">
        <f>ROUND(IF(AQ72="1",BI72,0),2)</f>
        <v>0</v>
      </c>
      <c r="AD72" s="32">
        <f>ROUND(IF(AQ72="7",BH72,0),2)</f>
        <v>0</v>
      </c>
      <c r="AE72" s="32">
        <f>ROUND(IF(AQ72="7",BI72,0),2)</f>
        <v>0</v>
      </c>
      <c r="AF72" s="32">
        <f>ROUND(IF(AQ72="2",BH72,0),2)</f>
        <v>0</v>
      </c>
      <c r="AG72" s="32">
        <f>ROUND(IF(AQ72="2",BI72,0),2)</f>
        <v>0</v>
      </c>
      <c r="AH72" s="32">
        <f>ROUND(IF(AQ72="0",BJ72,0),2)</f>
        <v>0</v>
      </c>
      <c r="AI72" s="12" t="s">
        <v>55</v>
      </c>
      <c r="AJ72" s="32">
        <f>IF(AN72=0,L72,0)</f>
        <v>0</v>
      </c>
      <c r="AK72" s="32">
        <f>IF(AN72=12,L72,0)</f>
        <v>0</v>
      </c>
      <c r="AL72" s="32">
        <f>IF(AN72=21,L72,0)</f>
        <v>0</v>
      </c>
      <c r="AN72" s="32">
        <v>21</v>
      </c>
      <c r="AO72" s="32">
        <f>H72*0.578674639</f>
        <v>0</v>
      </c>
      <c r="AP72" s="32">
        <f>H72*(1-0.578674639)</f>
        <v>0</v>
      </c>
      <c r="AQ72" s="36" t="s">
        <v>58</v>
      </c>
      <c r="AV72" s="32">
        <f>ROUND(AW72+AX72,2)</f>
        <v>0</v>
      </c>
      <c r="AW72" s="32">
        <f>ROUND(G72*AO72,2)</f>
        <v>0</v>
      </c>
      <c r="AX72" s="32">
        <f>ROUND(G72*AP72,2)</f>
        <v>0</v>
      </c>
      <c r="AY72" s="36" t="s">
        <v>207</v>
      </c>
      <c r="AZ72" s="36" t="s">
        <v>164</v>
      </c>
      <c r="BA72" s="12" t="s">
        <v>65</v>
      </c>
      <c r="BC72" s="32">
        <f>AW72+AX72</f>
        <v>0</v>
      </c>
      <c r="BD72" s="32">
        <f>H72/(100-BE72)*100</f>
        <v>0</v>
      </c>
      <c r="BE72" s="32">
        <v>0</v>
      </c>
      <c r="BF72" s="32">
        <f>P72</f>
        <v>0.21555179999999999</v>
      </c>
      <c r="BH72" s="32">
        <f>G72*AO72</f>
        <v>0</v>
      </c>
      <c r="BI72" s="32">
        <f>G72*AP72</f>
        <v>0</v>
      </c>
      <c r="BJ72" s="32">
        <f>G72*H72</f>
        <v>0</v>
      </c>
      <c r="BK72" s="36" t="s">
        <v>66</v>
      </c>
      <c r="BL72" s="32">
        <v>63</v>
      </c>
      <c r="BW72" s="32">
        <f>I72</f>
        <v>21</v>
      </c>
      <c r="BX72" s="4" t="s">
        <v>213</v>
      </c>
    </row>
    <row r="73" spans="1:76" ht="13.5" customHeight="1" x14ac:dyDescent="0.25">
      <c r="A73" s="42"/>
      <c r="C73" s="43"/>
      <c r="D73" s="95" t="s">
        <v>214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</row>
    <row r="74" spans="1:76" x14ac:dyDescent="0.25">
      <c r="A74" s="2" t="s">
        <v>215</v>
      </c>
      <c r="B74" s="3" t="s">
        <v>55</v>
      </c>
      <c r="C74" s="3" t="s">
        <v>216</v>
      </c>
      <c r="D74" s="89" t="s">
        <v>217</v>
      </c>
      <c r="E74" s="90"/>
      <c r="F74" s="3" t="s">
        <v>76</v>
      </c>
      <c r="G74" s="32">
        <v>60.21</v>
      </c>
      <c r="H74" s="199">
        <v>0</v>
      </c>
      <c r="I74" s="33">
        <v>21</v>
      </c>
      <c r="J74" s="32">
        <f>ROUND(G74*AO74,2)</f>
        <v>0</v>
      </c>
      <c r="K74" s="32">
        <f>ROUND(G74*AP74,2)</f>
        <v>0</v>
      </c>
      <c r="L74" s="32">
        <f>ROUND(G74*H74,2)</f>
        <v>0</v>
      </c>
      <c r="M74" s="32">
        <f>L74*(1+BW74/100)</f>
        <v>0</v>
      </c>
      <c r="N74" s="34">
        <f>IF(L649=0,0,L74/L649)</f>
        <v>0</v>
      </c>
      <c r="O74" s="32">
        <v>0</v>
      </c>
      <c r="P74" s="32">
        <f>G74*O74</f>
        <v>0</v>
      </c>
      <c r="Q74" s="35" t="s">
        <v>77</v>
      </c>
      <c r="Z74" s="32">
        <f>ROUND(IF(AQ74="5",BJ74,0),2)</f>
        <v>0</v>
      </c>
      <c r="AB74" s="32">
        <f>ROUND(IF(AQ74="1",BH74,0),2)</f>
        <v>0</v>
      </c>
      <c r="AC74" s="32">
        <f>ROUND(IF(AQ74="1",BI74,0),2)</f>
        <v>0</v>
      </c>
      <c r="AD74" s="32">
        <f>ROUND(IF(AQ74="7",BH74,0),2)</f>
        <v>0</v>
      </c>
      <c r="AE74" s="32">
        <f>ROUND(IF(AQ74="7",BI74,0),2)</f>
        <v>0</v>
      </c>
      <c r="AF74" s="32">
        <f>ROUND(IF(AQ74="2",BH74,0),2)</f>
        <v>0</v>
      </c>
      <c r="AG74" s="32">
        <f>ROUND(IF(AQ74="2",BI74,0),2)</f>
        <v>0</v>
      </c>
      <c r="AH74" s="32">
        <f>ROUND(IF(AQ74="0",BJ74,0),2)</f>
        <v>0</v>
      </c>
      <c r="AI74" s="12" t="s">
        <v>55</v>
      </c>
      <c r="AJ74" s="32">
        <f>IF(AN74=0,L74,0)</f>
        <v>0</v>
      </c>
      <c r="AK74" s="32">
        <f>IF(AN74=12,L74,0)</f>
        <v>0</v>
      </c>
      <c r="AL74" s="32">
        <f>IF(AN74=21,L74,0)</f>
        <v>0</v>
      </c>
      <c r="AN74" s="32">
        <v>21</v>
      </c>
      <c r="AO74" s="32">
        <f>H74*0</f>
        <v>0</v>
      </c>
      <c r="AP74" s="32">
        <f>H74*(1-0)</f>
        <v>0</v>
      </c>
      <c r="AQ74" s="36" t="s">
        <v>58</v>
      </c>
      <c r="AV74" s="32">
        <f>ROUND(AW74+AX74,2)</f>
        <v>0</v>
      </c>
      <c r="AW74" s="32">
        <f>ROUND(G74*AO74,2)</f>
        <v>0</v>
      </c>
      <c r="AX74" s="32">
        <f>ROUND(G74*AP74,2)</f>
        <v>0</v>
      </c>
      <c r="AY74" s="36" t="s">
        <v>207</v>
      </c>
      <c r="AZ74" s="36" t="s">
        <v>164</v>
      </c>
      <c r="BA74" s="12" t="s">
        <v>65</v>
      </c>
      <c r="BC74" s="32">
        <f>AW74+AX74</f>
        <v>0</v>
      </c>
      <c r="BD74" s="32">
        <f>H74/(100-BE74)*100</f>
        <v>0</v>
      </c>
      <c r="BE74" s="32">
        <v>0</v>
      </c>
      <c r="BF74" s="32">
        <f>P74</f>
        <v>0</v>
      </c>
      <c r="BH74" s="32">
        <f>G74*AO74</f>
        <v>0</v>
      </c>
      <c r="BI74" s="32">
        <f>G74*AP74</f>
        <v>0</v>
      </c>
      <c r="BJ74" s="32">
        <f>G74*H74</f>
        <v>0</v>
      </c>
      <c r="BK74" s="36" t="s">
        <v>66</v>
      </c>
      <c r="BL74" s="32">
        <v>63</v>
      </c>
      <c r="BW74" s="32">
        <f>I74</f>
        <v>21</v>
      </c>
      <c r="BX74" s="4" t="s">
        <v>217</v>
      </c>
    </row>
    <row r="75" spans="1:76" x14ac:dyDescent="0.25">
      <c r="A75" s="2" t="s">
        <v>218</v>
      </c>
      <c r="B75" s="3" t="s">
        <v>55</v>
      </c>
      <c r="C75" s="3" t="s">
        <v>219</v>
      </c>
      <c r="D75" s="89" t="s">
        <v>220</v>
      </c>
      <c r="E75" s="90"/>
      <c r="F75" s="3" t="s">
        <v>76</v>
      </c>
      <c r="G75" s="32">
        <v>63.220500000000001</v>
      </c>
      <c r="H75" s="199">
        <v>0</v>
      </c>
      <c r="I75" s="33">
        <v>21</v>
      </c>
      <c r="J75" s="32">
        <f>ROUND(G75*AO75,2)</f>
        <v>0</v>
      </c>
      <c r="K75" s="32">
        <f>ROUND(G75*AP75,2)</f>
        <v>0</v>
      </c>
      <c r="L75" s="32">
        <f>ROUND(G75*H75,2)</f>
        <v>0</v>
      </c>
      <c r="M75" s="32">
        <f>L75*(1+BW75/100)</f>
        <v>0</v>
      </c>
      <c r="N75" s="34">
        <f>IF(L649=0,0,L75/L649)</f>
        <v>0</v>
      </c>
      <c r="O75" s="32">
        <v>1.98E-3</v>
      </c>
      <c r="P75" s="32">
        <f>G75*O75</f>
        <v>0.12517659</v>
      </c>
      <c r="Q75" s="35" t="s">
        <v>77</v>
      </c>
      <c r="Z75" s="32">
        <f>ROUND(IF(AQ75="5",BJ75,0),2)</f>
        <v>0</v>
      </c>
      <c r="AB75" s="32">
        <f>ROUND(IF(AQ75="1",BH75,0),2)</f>
        <v>0</v>
      </c>
      <c r="AC75" s="32">
        <f>ROUND(IF(AQ75="1",BI75,0),2)</f>
        <v>0</v>
      </c>
      <c r="AD75" s="32">
        <f>ROUND(IF(AQ75="7",BH75,0),2)</f>
        <v>0</v>
      </c>
      <c r="AE75" s="32">
        <f>ROUND(IF(AQ75="7",BI75,0),2)</f>
        <v>0</v>
      </c>
      <c r="AF75" s="32">
        <f>ROUND(IF(AQ75="2",BH75,0),2)</f>
        <v>0</v>
      </c>
      <c r="AG75" s="32">
        <f>ROUND(IF(AQ75="2",BI75,0),2)</f>
        <v>0</v>
      </c>
      <c r="AH75" s="32">
        <f>ROUND(IF(AQ75="0",BJ75,0),2)</f>
        <v>0</v>
      </c>
      <c r="AI75" s="12" t="s">
        <v>55</v>
      </c>
      <c r="AJ75" s="32">
        <f>IF(AN75=0,L75,0)</f>
        <v>0</v>
      </c>
      <c r="AK75" s="32">
        <f>IF(AN75=12,L75,0)</f>
        <v>0</v>
      </c>
      <c r="AL75" s="32">
        <f>IF(AN75=21,L75,0)</f>
        <v>0</v>
      </c>
      <c r="AN75" s="32">
        <v>21</v>
      </c>
      <c r="AO75" s="32">
        <f>H75*1</f>
        <v>0</v>
      </c>
      <c r="AP75" s="32">
        <f>H75*(1-1)</f>
        <v>0</v>
      </c>
      <c r="AQ75" s="36" t="s">
        <v>58</v>
      </c>
      <c r="AV75" s="32">
        <f>ROUND(AW75+AX75,2)</f>
        <v>0</v>
      </c>
      <c r="AW75" s="32">
        <f>ROUND(G75*AO75,2)</f>
        <v>0</v>
      </c>
      <c r="AX75" s="32">
        <f>ROUND(G75*AP75,2)</f>
        <v>0</v>
      </c>
      <c r="AY75" s="36" t="s">
        <v>207</v>
      </c>
      <c r="AZ75" s="36" t="s">
        <v>164</v>
      </c>
      <c r="BA75" s="12" t="s">
        <v>65</v>
      </c>
      <c r="BC75" s="32">
        <f>AW75+AX75</f>
        <v>0</v>
      </c>
      <c r="BD75" s="32">
        <f>H75/(100-BE75)*100</f>
        <v>0</v>
      </c>
      <c r="BE75" s="32">
        <v>0</v>
      </c>
      <c r="BF75" s="32">
        <f>P75</f>
        <v>0.12517659</v>
      </c>
      <c r="BH75" s="32">
        <f>G75*AO75</f>
        <v>0</v>
      </c>
      <c r="BI75" s="32">
        <f>G75*AP75</f>
        <v>0</v>
      </c>
      <c r="BJ75" s="32">
        <f>G75*H75</f>
        <v>0</v>
      </c>
      <c r="BK75" s="36" t="s">
        <v>147</v>
      </c>
      <c r="BL75" s="32">
        <v>63</v>
      </c>
      <c r="BW75" s="32">
        <f>I75</f>
        <v>21</v>
      </c>
      <c r="BX75" s="4" t="s">
        <v>220</v>
      </c>
    </row>
    <row r="76" spans="1:76" x14ac:dyDescent="0.25">
      <c r="A76" s="2" t="s">
        <v>221</v>
      </c>
      <c r="B76" s="3" t="s">
        <v>55</v>
      </c>
      <c r="C76" s="3" t="s">
        <v>222</v>
      </c>
      <c r="D76" s="89" t="s">
        <v>223</v>
      </c>
      <c r="E76" s="90"/>
      <c r="F76" s="3" t="s">
        <v>76</v>
      </c>
      <c r="G76" s="32">
        <v>60.21</v>
      </c>
      <c r="H76" s="199">
        <v>0</v>
      </c>
      <c r="I76" s="33">
        <v>21</v>
      </c>
      <c r="J76" s="32">
        <f>ROUND(G76*AO76,2)</f>
        <v>0</v>
      </c>
      <c r="K76" s="32">
        <f>ROUND(G76*AP76,2)</f>
        <v>0</v>
      </c>
      <c r="L76" s="32">
        <f>ROUND(G76*H76,2)</f>
        <v>0</v>
      </c>
      <c r="M76" s="32">
        <f>L76*(1+BW76/100)</f>
        <v>0</v>
      </c>
      <c r="N76" s="34">
        <f>IF(L649=0,0,L76/L649)</f>
        <v>0</v>
      </c>
      <c r="O76" s="32">
        <v>3.0000000000000001E-5</v>
      </c>
      <c r="P76" s="32">
        <f>G76*O76</f>
        <v>1.8063E-3</v>
      </c>
      <c r="Q76" s="35" t="s">
        <v>77</v>
      </c>
      <c r="Z76" s="32">
        <f>ROUND(IF(AQ76="5",BJ76,0),2)</f>
        <v>0</v>
      </c>
      <c r="AB76" s="32">
        <f>ROUND(IF(AQ76="1",BH76,0),2)</f>
        <v>0</v>
      </c>
      <c r="AC76" s="32">
        <f>ROUND(IF(AQ76="1",BI76,0),2)</f>
        <v>0</v>
      </c>
      <c r="AD76" s="32">
        <f>ROUND(IF(AQ76="7",BH76,0),2)</f>
        <v>0</v>
      </c>
      <c r="AE76" s="32">
        <f>ROUND(IF(AQ76="7",BI76,0),2)</f>
        <v>0</v>
      </c>
      <c r="AF76" s="32">
        <f>ROUND(IF(AQ76="2",BH76,0),2)</f>
        <v>0</v>
      </c>
      <c r="AG76" s="32">
        <f>ROUND(IF(AQ76="2",BI76,0),2)</f>
        <v>0</v>
      </c>
      <c r="AH76" s="32">
        <f>ROUND(IF(AQ76="0",BJ76,0),2)</f>
        <v>0</v>
      </c>
      <c r="AI76" s="12" t="s">
        <v>55</v>
      </c>
      <c r="AJ76" s="32">
        <f>IF(AN76=0,L76,0)</f>
        <v>0</v>
      </c>
      <c r="AK76" s="32">
        <f>IF(AN76=12,L76,0)</f>
        <v>0</v>
      </c>
      <c r="AL76" s="32">
        <f>IF(AN76=21,L76,0)</f>
        <v>0</v>
      </c>
      <c r="AN76" s="32">
        <v>21</v>
      </c>
      <c r="AO76" s="32">
        <f>H76*0.147111324</f>
        <v>0</v>
      </c>
      <c r="AP76" s="32">
        <f>H76*(1-0.147111324)</f>
        <v>0</v>
      </c>
      <c r="AQ76" s="36" t="s">
        <v>58</v>
      </c>
      <c r="AV76" s="32">
        <f>ROUND(AW76+AX76,2)</f>
        <v>0</v>
      </c>
      <c r="AW76" s="32">
        <f>ROUND(G76*AO76,2)</f>
        <v>0</v>
      </c>
      <c r="AX76" s="32">
        <f>ROUND(G76*AP76,2)</f>
        <v>0</v>
      </c>
      <c r="AY76" s="36" t="s">
        <v>207</v>
      </c>
      <c r="AZ76" s="36" t="s">
        <v>164</v>
      </c>
      <c r="BA76" s="12" t="s">
        <v>65</v>
      </c>
      <c r="BC76" s="32">
        <f>AW76+AX76</f>
        <v>0</v>
      </c>
      <c r="BD76" s="32">
        <f>H76/(100-BE76)*100</f>
        <v>0</v>
      </c>
      <c r="BE76" s="32">
        <v>0</v>
      </c>
      <c r="BF76" s="32">
        <f>P76</f>
        <v>1.8063E-3</v>
      </c>
      <c r="BH76" s="32">
        <f>G76*AO76</f>
        <v>0</v>
      </c>
      <c r="BI76" s="32">
        <f>G76*AP76</f>
        <v>0</v>
      </c>
      <c r="BJ76" s="32">
        <f>G76*H76</f>
        <v>0</v>
      </c>
      <c r="BK76" s="36" t="s">
        <v>66</v>
      </c>
      <c r="BL76" s="32">
        <v>63</v>
      </c>
      <c r="BW76" s="32">
        <f>I76</f>
        <v>21</v>
      </c>
      <c r="BX76" s="4" t="s">
        <v>223</v>
      </c>
    </row>
    <row r="77" spans="1:76" x14ac:dyDescent="0.25">
      <c r="A77" s="2" t="s">
        <v>224</v>
      </c>
      <c r="B77" s="3" t="s">
        <v>55</v>
      </c>
      <c r="C77" s="3" t="s">
        <v>225</v>
      </c>
      <c r="D77" s="89" t="s">
        <v>226</v>
      </c>
      <c r="E77" s="90"/>
      <c r="F77" s="3" t="s">
        <v>82</v>
      </c>
      <c r="G77" s="32">
        <v>3.31155</v>
      </c>
      <c r="H77" s="199">
        <v>0</v>
      </c>
      <c r="I77" s="33">
        <v>21</v>
      </c>
      <c r="J77" s="32">
        <f>ROUND(G77*AO77,2)</f>
        <v>0</v>
      </c>
      <c r="K77" s="32">
        <f>ROUND(G77*AP77,2)</f>
        <v>0</v>
      </c>
      <c r="L77" s="32">
        <f>ROUND(G77*H77,2)</f>
        <v>0</v>
      </c>
      <c r="M77" s="32">
        <f>L77*(1+BW77/100)</f>
        <v>0</v>
      </c>
      <c r="N77" s="34">
        <f>IF(L649=0,0,L77/L649)</f>
        <v>0</v>
      </c>
      <c r="O77" s="32">
        <v>2.5449999999999999</v>
      </c>
      <c r="P77" s="32">
        <f>G77*O77</f>
        <v>8.4278947500000001</v>
      </c>
      <c r="Q77" s="35" t="s">
        <v>77</v>
      </c>
      <c r="Z77" s="32">
        <f>ROUND(IF(AQ77="5",BJ77,0),2)</f>
        <v>0</v>
      </c>
      <c r="AB77" s="32">
        <f>ROUND(IF(AQ77="1",BH77,0),2)</f>
        <v>0</v>
      </c>
      <c r="AC77" s="32">
        <f>ROUND(IF(AQ77="1",BI77,0),2)</f>
        <v>0</v>
      </c>
      <c r="AD77" s="32">
        <f>ROUND(IF(AQ77="7",BH77,0),2)</f>
        <v>0</v>
      </c>
      <c r="AE77" s="32">
        <f>ROUND(IF(AQ77="7",BI77,0),2)</f>
        <v>0</v>
      </c>
      <c r="AF77" s="32">
        <f>ROUND(IF(AQ77="2",BH77,0),2)</f>
        <v>0</v>
      </c>
      <c r="AG77" s="32">
        <f>ROUND(IF(AQ77="2",BI77,0),2)</f>
        <v>0</v>
      </c>
      <c r="AH77" s="32">
        <f>ROUND(IF(AQ77="0",BJ77,0),2)</f>
        <v>0</v>
      </c>
      <c r="AI77" s="12" t="s">
        <v>55</v>
      </c>
      <c r="AJ77" s="32">
        <f>IF(AN77=0,L77,0)</f>
        <v>0</v>
      </c>
      <c r="AK77" s="32">
        <f>IF(AN77=12,L77,0)</f>
        <v>0</v>
      </c>
      <c r="AL77" s="32">
        <f>IF(AN77=21,L77,0)</f>
        <v>0</v>
      </c>
      <c r="AN77" s="32">
        <v>21</v>
      </c>
      <c r="AO77" s="32">
        <f>H77*0.699352742</f>
        <v>0</v>
      </c>
      <c r="AP77" s="32">
        <f>H77*(1-0.699352742)</f>
        <v>0</v>
      </c>
      <c r="AQ77" s="36" t="s">
        <v>58</v>
      </c>
      <c r="AV77" s="32">
        <f>ROUND(AW77+AX77,2)</f>
        <v>0</v>
      </c>
      <c r="AW77" s="32">
        <f>ROUND(G77*AO77,2)</f>
        <v>0</v>
      </c>
      <c r="AX77" s="32">
        <f>ROUND(G77*AP77,2)</f>
        <v>0</v>
      </c>
      <c r="AY77" s="36" t="s">
        <v>207</v>
      </c>
      <c r="AZ77" s="36" t="s">
        <v>164</v>
      </c>
      <c r="BA77" s="12" t="s">
        <v>65</v>
      </c>
      <c r="BC77" s="32">
        <f>AW77+AX77</f>
        <v>0</v>
      </c>
      <c r="BD77" s="32">
        <f>H77/(100-BE77)*100</f>
        <v>0</v>
      </c>
      <c r="BE77" s="32">
        <v>0</v>
      </c>
      <c r="BF77" s="32">
        <f>P77</f>
        <v>8.4278947500000001</v>
      </c>
      <c r="BH77" s="32">
        <f>G77*AO77</f>
        <v>0</v>
      </c>
      <c r="BI77" s="32">
        <f>G77*AP77</f>
        <v>0</v>
      </c>
      <c r="BJ77" s="32">
        <f>G77*H77</f>
        <v>0</v>
      </c>
      <c r="BK77" s="36" t="s">
        <v>66</v>
      </c>
      <c r="BL77" s="32">
        <v>63</v>
      </c>
      <c r="BW77" s="32">
        <f>I77</f>
        <v>21</v>
      </c>
      <c r="BX77" s="4" t="s">
        <v>226</v>
      </c>
    </row>
    <row r="78" spans="1:76" ht="13.5" customHeight="1" x14ac:dyDescent="0.25">
      <c r="A78" s="42"/>
      <c r="C78" s="43"/>
      <c r="D78" s="95" t="s">
        <v>227</v>
      </c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</row>
    <row r="79" spans="1:76" x14ac:dyDescent="0.25">
      <c r="A79" s="2" t="s">
        <v>228</v>
      </c>
      <c r="B79" s="3" t="s">
        <v>55</v>
      </c>
      <c r="C79" s="3" t="s">
        <v>229</v>
      </c>
      <c r="D79" s="89" t="s">
        <v>230</v>
      </c>
      <c r="E79" s="90"/>
      <c r="F79" s="3" t="s">
        <v>76</v>
      </c>
      <c r="G79" s="32">
        <v>60.21</v>
      </c>
      <c r="H79" s="199">
        <v>0</v>
      </c>
      <c r="I79" s="33">
        <v>21</v>
      </c>
      <c r="J79" s="32">
        <f>ROUND(G79*AO79,2)</f>
        <v>0</v>
      </c>
      <c r="K79" s="32">
        <f>ROUND(G79*AP79,2)</f>
        <v>0</v>
      </c>
      <c r="L79" s="32">
        <f>ROUND(G79*H79,2)</f>
        <v>0</v>
      </c>
      <c r="M79" s="32">
        <f>L79*(1+BW79/100)</f>
        <v>0</v>
      </c>
      <c r="N79" s="34">
        <f>IF(L649=0,0,L79/L649)</f>
        <v>0</v>
      </c>
      <c r="O79" s="32">
        <v>4.0400000000000002E-3</v>
      </c>
      <c r="P79" s="32">
        <f>G79*O79</f>
        <v>0.2432484</v>
      </c>
      <c r="Q79" s="35" t="s">
        <v>77</v>
      </c>
      <c r="Z79" s="32">
        <f>ROUND(IF(AQ79="5",BJ79,0),2)</f>
        <v>0</v>
      </c>
      <c r="AB79" s="32">
        <f>ROUND(IF(AQ79="1",BH79,0),2)</f>
        <v>0</v>
      </c>
      <c r="AC79" s="32">
        <f>ROUND(IF(AQ79="1",BI79,0),2)</f>
        <v>0</v>
      </c>
      <c r="AD79" s="32">
        <f>ROUND(IF(AQ79="7",BH79,0),2)</f>
        <v>0</v>
      </c>
      <c r="AE79" s="32">
        <f>ROUND(IF(AQ79="7",BI79,0),2)</f>
        <v>0</v>
      </c>
      <c r="AF79" s="32">
        <f>ROUND(IF(AQ79="2",BH79,0),2)</f>
        <v>0</v>
      </c>
      <c r="AG79" s="32">
        <f>ROUND(IF(AQ79="2",BI79,0),2)</f>
        <v>0</v>
      </c>
      <c r="AH79" s="32">
        <f>ROUND(IF(AQ79="0",BJ79,0),2)</f>
        <v>0</v>
      </c>
      <c r="AI79" s="12" t="s">
        <v>55</v>
      </c>
      <c r="AJ79" s="32">
        <f>IF(AN79=0,L79,0)</f>
        <v>0</v>
      </c>
      <c r="AK79" s="32">
        <f>IF(AN79=12,L79,0)</f>
        <v>0</v>
      </c>
      <c r="AL79" s="32">
        <f>IF(AN79=21,L79,0)</f>
        <v>0</v>
      </c>
      <c r="AN79" s="32">
        <v>21</v>
      </c>
      <c r="AO79" s="32">
        <f>H79*0.20212546</f>
        <v>0</v>
      </c>
      <c r="AP79" s="32">
        <f>H79*(1-0.20212546)</f>
        <v>0</v>
      </c>
      <c r="AQ79" s="36" t="s">
        <v>58</v>
      </c>
      <c r="AV79" s="32">
        <f>ROUND(AW79+AX79,2)</f>
        <v>0</v>
      </c>
      <c r="AW79" s="32">
        <f>ROUND(G79*AO79,2)</f>
        <v>0</v>
      </c>
      <c r="AX79" s="32">
        <f>ROUND(G79*AP79,2)</f>
        <v>0</v>
      </c>
      <c r="AY79" s="36" t="s">
        <v>207</v>
      </c>
      <c r="AZ79" s="36" t="s">
        <v>164</v>
      </c>
      <c r="BA79" s="12" t="s">
        <v>65</v>
      </c>
      <c r="BC79" s="32">
        <f>AW79+AX79</f>
        <v>0</v>
      </c>
      <c r="BD79" s="32">
        <f>H79/(100-BE79)*100</f>
        <v>0</v>
      </c>
      <c r="BE79" s="32">
        <v>0</v>
      </c>
      <c r="BF79" s="32">
        <f>P79</f>
        <v>0.2432484</v>
      </c>
      <c r="BH79" s="32">
        <f>G79*AO79</f>
        <v>0</v>
      </c>
      <c r="BI79" s="32">
        <f>G79*AP79</f>
        <v>0</v>
      </c>
      <c r="BJ79" s="32">
        <f>G79*H79</f>
        <v>0</v>
      </c>
      <c r="BK79" s="36" t="s">
        <v>66</v>
      </c>
      <c r="BL79" s="32">
        <v>63</v>
      </c>
      <c r="BW79" s="32">
        <f>I79</f>
        <v>21</v>
      </c>
      <c r="BX79" s="4" t="s">
        <v>230</v>
      </c>
    </row>
    <row r="80" spans="1:76" x14ac:dyDescent="0.25">
      <c r="A80" s="42"/>
      <c r="C80" s="43"/>
      <c r="D80" s="95" t="s">
        <v>231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7"/>
      <c r="BX80" s="44" t="s">
        <v>231</v>
      </c>
    </row>
    <row r="81" spans="1:76" x14ac:dyDescent="0.25">
      <c r="A81" s="37" t="s">
        <v>55</v>
      </c>
      <c r="B81" s="38" t="s">
        <v>55</v>
      </c>
      <c r="C81" s="38" t="s">
        <v>232</v>
      </c>
      <c r="D81" s="98" t="s">
        <v>233</v>
      </c>
      <c r="E81" s="99"/>
      <c r="F81" s="39" t="s">
        <v>3</v>
      </c>
      <c r="G81" s="39" t="s">
        <v>3</v>
      </c>
      <c r="H81" s="39" t="s">
        <v>3</v>
      </c>
      <c r="I81" s="39" t="s">
        <v>3</v>
      </c>
      <c r="J81" s="1">
        <f>SUM(J82:J82)</f>
        <v>0</v>
      </c>
      <c r="K81" s="1">
        <f>SUM(K82:K82)</f>
        <v>0</v>
      </c>
      <c r="L81" s="1">
        <f>SUM(L82:L82)</f>
        <v>0</v>
      </c>
      <c r="M81" s="1">
        <f>SUM(M82:M82)</f>
        <v>0</v>
      </c>
      <c r="N81" s="40">
        <f>IF(L649=0,0,L81/L649)</f>
        <v>0</v>
      </c>
      <c r="O81" s="12" t="s">
        <v>55</v>
      </c>
      <c r="P81" s="1">
        <f>SUM(P82:P82)</f>
        <v>0.92201200000000005</v>
      </c>
      <c r="Q81" s="41" t="s">
        <v>55</v>
      </c>
      <c r="AI81" s="12" t="s">
        <v>55</v>
      </c>
      <c r="AS81" s="1">
        <f>SUM(AJ82:AJ82)</f>
        <v>0</v>
      </c>
      <c r="AT81" s="1">
        <f>SUM(AK82:AK82)</f>
        <v>0</v>
      </c>
      <c r="AU81" s="1">
        <f>SUM(AL82:AL82)</f>
        <v>0</v>
      </c>
    </row>
    <row r="82" spans="1:76" x14ac:dyDescent="0.25">
      <c r="A82" s="2" t="s">
        <v>99</v>
      </c>
      <c r="B82" s="3" t="s">
        <v>55</v>
      </c>
      <c r="C82" s="3" t="s">
        <v>234</v>
      </c>
      <c r="D82" s="89" t="s">
        <v>235</v>
      </c>
      <c r="E82" s="90"/>
      <c r="F82" s="3" t="s">
        <v>76</v>
      </c>
      <c r="G82" s="32">
        <v>83.44</v>
      </c>
      <c r="H82" s="199">
        <v>0</v>
      </c>
      <c r="I82" s="33">
        <v>21</v>
      </c>
      <c r="J82" s="32">
        <f>ROUND(G82*AO82,2)</f>
        <v>0</v>
      </c>
      <c r="K82" s="32">
        <f>ROUND(G82*AP82,2)</f>
        <v>0</v>
      </c>
      <c r="L82" s="32">
        <f>ROUND(G82*H82,2)</f>
        <v>0</v>
      </c>
      <c r="M82" s="32">
        <f>L82*(1+BW82/100)</f>
        <v>0</v>
      </c>
      <c r="N82" s="34">
        <f>IF(L649=0,0,L82/L649)</f>
        <v>0</v>
      </c>
      <c r="O82" s="32">
        <v>1.1050000000000001E-2</v>
      </c>
      <c r="P82" s="32">
        <f>G82*O82</f>
        <v>0.92201200000000005</v>
      </c>
      <c r="Q82" s="35" t="s">
        <v>77</v>
      </c>
      <c r="Z82" s="32">
        <f>ROUND(IF(AQ82="5",BJ82,0),2)</f>
        <v>0</v>
      </c>
      <c r="AB82" s="32">
        <f>ROUND(IF(AQ82="1",BH82,0),2)</f>
        <v>0</v>
      </c>
      <c r="AC82" s="32">
        <f>ROUND(IF(AQ82="1",BI82,0),2)</f>
        <v>0</v>
      </c>
      <c r="AD82" s="32">
        <f>ROUND(IF(AQ82="7",BH82,0),2)</f>
        <v>0</v>
      </c>
      <c r="AE82" s="32">
        <f>ROUND(IF(AQ82="7",BI82,0),2)</f>
        <v>0</v>
      </c>
      <c r="AF82" s="32">
        <f>ROUND(IF(AQ82="2",BH82,0),2)</f>
        <v>0</v>
      </c>
      <c r="AG82" s="32">
        <f>ROUND(IF(AQ82="2",BI82,0),2)</f>
        <v>0</v>
      </c>
      <c r="AH82" s="32">
        <f>ROUND(IF(AQ82="0",BJ82,0),2)</f>
        <v>0</v>
      </c>
      <c r="AI82" s="12" t="s">
        <v>55</v>
      </c>
      <c r="AJ82" s="32">
        <f>IF(AN82=0,L82,0)</f>
        <v>0</v>
      </c>
      <c r="AK82" s="32">
        <f>IF(AN82=12,L82,0)</f>
        <v>0</v>
      </c>
      <c r="AL82" s="32">
        <f>IF(AN82=21,L82,0)</f>
        <v>0</v>
      </c>
      <c r="AN82" s="32">
        <v>21</v>
      </c>
      <c r="AO82" s="32">
        <f>H82*0.725693378</f>
        <v>0</v>
      </c>
      <c r="AP82" s="32">
        <f>H82*(1-0.725693378)</f>
        <v>0</v>
      </c>
      <c r="AQ82" s="36" t="s">
        <v>90</v>
      </c>
      <c r="AV82" s="32">
        <f>ROUND(AW82+AX82,2)</f>
        <v>0</v>
      </c>
      <c r="AW82" s="32">
        <f>ROUND(G82*AO82,2)</f>
        <v>0</v>
      </c>
      <c r="AX82" s="32">
        <f>ROUND(G82*AP82,2)</f>
        <v>0</v>
      </c>
      <c r="AY82" s="36" t="s">
        <v>236</v>
      </c>
      <c r="AZ82" s="36" t="s">
        <v>237</v>
      </c>
      <c r="BA82" s="12" t="s">
        <v>65</v>
      </c>
      <c r="BC82" s="32">
        <f>AW82+AX82</f>
        <v>0</v>
      </c>
      <c r="BD82" s="32">
        <f>H82/(100-BE82)*100</f>
        <v>0</v>
      </c>
      <c r="BE82" s="32">
        <v>0</v>
      </c>
      <c r="BF82" s="32">
        <f>P82</f>
        <v>0.92201200000000005</v>
      </c>
      <c r="BH82" s="32">
        <f>G82*AO82</f>
        <v>0</v>
      </c>
      <c r="BI82" s="32">
        <f>G82*AP82</f>
        <v>0</v>
      </c>
      <c r="BJ82" s="32">
        <f>G82*H82</f>
        <v>0</v>
      </c>
      <c r="BK82" s="36" t="s">
        <v>66</v>
      </c>
      <c r="BL82" s="32">
        <v>712</v>
      </c>
      <c r="BW82" s="32">
        <f>I82</f>
        <v>21</v>
      </c>
      <c r="BX82" s="4" t="s">
        <v>235</v>
      </c>
    </row>
    <row r="83" spans="1:76" ht="13.5" customHeight="1" x14ac:dyDescent="0.25">
      <c r="A83" s="42"/>
      <c r="C83" s="43"/>
      <c r="D83" s="95" t="s">
        <v>238</v>
      </c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7"/>
    </row>
    <row r="84" spans="1:76" x14ac:dyDescent="0.25">
      <c r="A84" s="37" t="s">
        <v>55</v>
      </c>
      <c r="B84" s="38" t="s">
        <v>55</v>
      </c>
      <c r="C84" s="38" t="s">
        <v>239</v>
      </c>
      <c r="D84" s="98" t="s">
        <v>240</v>
      </c>
      <c r="E84" s="99"/>
      <c r="F84" s="39" t="s">
        <v>3</v>
      </c>
      <c r="G84" s="39" t="s">
        <v>3</v>
      </c>
      <c r="H84" s="39" t="s">
        <v>3</v>
      </c>
      <c r="I84" s="39" t="s">
        <v>3</v>
      </c>
      <c r="J84" s="1">
        <f>SUM(J85:J128)</f>
        <v>0</v>
      </c>
      <c r="K84" s="1">
        <f>SUM(K85:K128)</f>
        <v>0</v>
      </c>
      <c r="L84" s="1">
        <f>SUM(L85:L128)</f>
        <v>0</v>
      </c>
      <c r="M84" s="1">
        <f>SUM(M85:M128)</f>
        <v>0</v>
      </c>
      <c r="N84" s="40">
        <f>IF(L649=0,0,L84/L649)</f>
        <v>0</v>
      </c>
      <c r="O84" s="12" t="s">
        <v>55</v>
      </c>
      <c r="P84" s="1">
        <f>SUM(P85:P128)</f>
        <v>0.11118000000000001</v>
      </c>
      <c r="Q84" s="41" t="s">
        <v>55</v>
      </c>
      <c r="AI84" s="12" t="s">
        <v>55</v>
      </c>
      <c r="AS84" s="1">
        <f>SUM(AJ85:AJ128)</f>
        <v>0</v>
      </c>
      <c r="AT84" s="1">
        <f>SUM(AK85:AK128)</f>
        <v>0</v>
      </c>
      <c r="AU84" s="1">
        <f>SUM(AL85:AL128)</f>
        <v>0</v>
      </c>
    </row>
    <row r="85" spans="1:76" x14ac:dyDescent="0.25">
      <c r="A85" s="2" t="s">
        <v>241</v>
      </c>
      <c r="B85" s="3" t="s">
        <v>55</v>
      </c>
      <c r="C85" s="3" t="s">
        <v>242</v>
      </c>
      <c r="D85" s="89" t="s">
        <v>243</v>
      </c>
      <c r="E85" s="90"/>
      <c r="F85" s="3" t="s">
        <v>88</v>
      </c>
      <c r="G85" s="32">
        <v>3</v>
      </c>
      <c r="H85" s="199">
        <v>0</v>
      </c>
      <c r="I85" s="33">
        <v>21</v>
      </c>
      <c r="J85" s="32">
        <f>ROUND(G85*AO85,2)</f>
        <v>0</v>
      </c>
      <c r="K85" s="32">
        <f>ROUND(G85*AP85,2)</f>
        <v>0</v>
      </c>
      <c r="L85" s="32">
        <f>ROUND(G85*H85,2)</f>
        <v>0</v>
      </c>
      <c r="M85" s="32">
        <f>L85*(1+BW85/100)</f>
        <v>0</v>
      </c>
      <c r="N85" s="34">
        <f>IF(L649=0,0,L85/L649)</f>
        <v>0</v>
      </c>
      <c r="O85" s="32">
        <v>6.3000000000000003E-4</v>
      </c>
      <c r="P85" s="32">
        <f>G85*O85</f>
        <v>1.8900000000000002E-3</v>
      </c>
      <c r="Q85" s="35" t="s">
        <v>77</v>
      </c>
      <c r="Z85" s="32">
        <f>ROUND(IF(AQ85="5",BJ85,0),2)</f>
        <v>0</v>
      </c>
      <c r="AB85" s="32">
        <f>ROUND(IF(AQ85="1",BH85,0),2)</f>
        <v>0</v>
      </c>
      <c r="AC85" s="32">
        <f>ROUND(IF(AQ85="1",BI85,0),2)</f>
        <v>0</v>
      </c>
      <c r="AD85" s="32">
        <f>ROUND(IF(AQ85="7",BH85,0),2)</f>
        <v>0</v>
      </c>
      <c r="AE85" s="32">
        <f>ROUND(IF(AQ85="7",BI85,0),2)</f>
        <v>0</v>
      </c>
      <c r="AF85" s="32">
        <f>ROUND(IF(AQ85="2",BH85,0),2)</f>
        <v>0</v>
      </c>
      <c r="AG85" s="32">
        <f>ROUND(IF(AQ85="2",BI85,0),2)</f>
        <v>0</v>
      </c>
      <c r="AH85" s="32">
        <f>ROUND(IF(AQ85="0",BJ85,0),2)</f>
        <v>0</v>
      </c>
      <c r="AI85" s="12" t="s">
        <v>55</v>
      </c>
      <c r="AJ85" s="32">
        <f>IF(AN85=0,L85,0)</f>
        <v>0</v>
      </c>
      <c r="AK85" s="32">
        <f>IF(AN85=12,L85,0)</f>
        <v>0</v>
      </c>
      <c r="AL85" s="32">
        <f>IF(AN85=21,L85,0)</f>
        <v>0</v>
      </c>
      <c r="AN85" s="32">
        <v>21</v>
      </c>
      <c r="AO85" s="32">
        <f>H85*0.833462451</f>
        <v>0</v>
      </c>
      <c r="AP85" s="32">
        <f>H85*(1-0.833462451)</f>
        <v>0</v>
      </c>
      <c r="AQ85" s="36" t="s">
        <v>90</v>
      </c>
      <c r="AV85" s="32">
        <f>ROUND(AW85+AX85,2)</f>
        <v>0</v>
      </c>
      <c r="AW85" s="32">
        <f>ROUND(G85*AO85,2)</f>
        <v>0</v>
      </c>
      <c r="AX85" s="32">
        <f>ROUND(G85*AP85,2)</f>
        <v>0</v>
      </c>
      <c r="AY85" s="36" t="s">
        <v>244</v>
      </c>
      <c r="AZ85" s="36" t="s">
        <v>245</v>
      </c>
      <c r="BA85" s="12" t="s">
        <v>65</v>
      </c>
      <c r="BC85" s="32">
        <f>AW85+AX85</f>
        <v>0</v>
      </c>
      <c r="BD85" s="32">
        <f>H85/(100-BE85)*100</f>
        <v>0</v>
      </c>
      <c r="BE85" s="32">
        <v>0</v>
      </c>
      <c r="BF85" s="32">
        <f>P85</f>
        <v>1.8900000000000002E-3</v>
      </c>
      <c r="BH85" s="32">
        <f>G85*AO85</f>
        <v>0</v>
      </c>
      <c r="BI85" s="32">
        <f>G85*AP85</f>
        <v>0</v>
      </c>
      <c r="BJ85" s="32">
        <f>G85*H85</f>
        <v>0</v>
      </c>
      <c r="BK85" s="36" t="s">
        <v>66</v>
      </c>
      <c r="BL85" s="32">
        <v>721</v>
      </c>
      <c r="BW85" s="32">
        <f>I85</f>
        <v>21</v>
      </c>
      <c r="BX85" s="4" t="s">
        <v>243</v>
      </c>
    </row>
    <row r="86" spans="1:76" ht="13.5" customHeight="1" x14ac:dyDescent="0.25">
      <c r="A86" s="42"/>
      <c r="C86" s="43"/>
      <c r="D86" s="95" t="s">
        <v>246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7"/>
    </row>
    <row r="87" spans="1:76" x14ac:dyDescent="0.25">
      <c r="A87" s="2" t="s">
        <v>247</v>
      </c>
      <c r="B87" s="3" t="s">
        <v>55</v>
      </c>
      <c r="C87" s="3" t="s">
        <v>248</v>
      </c>
      <c r="D87" s="89" t="s">
        <v>249</v>
      </c>
      <c r="E87" s="90"/>
      <c r="F87" s="3" t="s">
        <v>136</v>
      </c>
      <c r="G87" s="32">
        <v>17.8</v>
      </c>
      <c r="H87" s="199">
        <v>0</v>
      </c>
      <c r="I87" s="33">
        <v>21</v>
      </c>
      <c r="J87" s="32">
        <f>ROUND(G87*AO87,2)</f>
        <v>0</v>
      </c>
      <c r="K87" s="32">
        <f>ROUND(G87*AP87,2)</f>
        <v>0</v>
      </c>
      <c r="L87" s="32">
        <f>ROUND(G87*H87,2)</f>
        <v>0</v>
      </c>
      <c r="M87" s="32">
        <f>L87*(1+BW87/100)</f>
        <v>0</v>
      </c>
      <c r="N87" s="34">
        <f>IF(L649=0,0,L87/L649)</f>
        <v>0</v>
      </c>
      <c r="O87" s="32">
        <v>2.0999999999999999E-3</v>
      </c>
      <c r="P87" s="32">
        <f>G87*O87</f>
        <v>3.7379999999999997E-2</v>
      </c>
      <c r="Q87" s="35" t="s">
        <v>77</v>
      </c>
      <c r="Z87" s="32">
        <f>ROUND(IF(AQ87="5",BJ87,0),2)</f>
        <v>0</v>
      </c>
      <c r="AB87" s="32">
        <f>ROUND(IF(AQ87="1",BH87,0),2)</f>
        <v>0</v>
      </c>
      <c r="AC87" s="32">
        <f>ROUND(IF(AQ87="1",BI87,0),2)</f>
        <v>0</v>
      </c>
      <c r="AD87" s="32">
        <f>ROUND(IF(AQ87="7",BH87,0),2)</f>
        <v>0</v>
      </c>
      <c r="AE87" s="32">
        <f>ROUND(IF(AQ87="7",BI87,0),2)</f>
        <v>0</v>
      </c>
      <c r="AF87" s="32">
        <f>ROUND(IF(AQ87="2",BH87,0),2)</f>
        <v>0</v>
      </c>
      <c r="AG87" s="32">
        <f>ROUND(IF(AQ87="2",BI87,0),2)</f>
        <v>0</v>
      </c>
      <c r="AH87" s="32">
        <f>ROUND(IF(AQ87="0",BJ87,0),2)</f>
        <v>0</v>
      </c>
      <c r="AI87" s="12" t="s">
        <v>55</v>
      </c>
      <c r="AJ87" s="32">
        <f>IF(AN87=0,L87,0)</f>
        <v>0</v>
      </c>
      <c r="AK87" s="32">
        <f>IF(AN87=12,L87,0)</f>
        <v>0</v>
      </c>
      <c r="AL87" s="32">
        <f>IF(AN87=21,L87,0)</f>
        <v>0</v>
      </c>
      <c r="AN87" s="32">
        <v>21</v>
      </c>
      <c r="AO87" s="32">
        <f>H87*0.342947631</f>
        <v>0</v>
      </c>
      <c r="AP87" s="32">
        <f>H87*(1-0.342947631)</f>
        <v>0</v>
      </c>
      <c r="AQ87" s="36" t="s">
        <v>90</v>
      </c>
      <c r="AV87" s="32">
        <f>ROUND(AW87+AX87,2)</f>
        <v>0</v>
      </c>
      <c r="AW87" s="32">
        <f>ROUND(G87*AO87,2)</f>
        <v>0</v>
      </c>
      <c r="AX87" s="32">
        <f>ROUND(G87*AP87,2)</f>
        <v>0</v>
      </c>
      <c r="AY87" s="36" t="s">
        <v>244</v>
      </c>
      <c r="AZ87" s="36" t="s">
        <v>245</v>
      </c>
      <c r="BA87" s="12" t="s">
        <v>65</v>
      </c>
      <c r="BC87" s="32">
        <f>AW87+AX87</f>
        <v>0</v>
      </c>
      <c r="BD87" s="32">
        <f>H87/(100-BE87)*100</f>
        <v>0</v>
      </c>
      <c r="BE87" s="32">
        <v>0</v>
      </c>
      <c r="BF87" s="32">
        <f>P87</f>
        <v>3.7379999999999997E-2</v>
      </c>
      <c r="BH87" s="32">
        <f>G87*AO87</f>
        <v>0</v>
      </c>
      <c r="BI87" s="32">
        <f>G87*AP87</f>
        <v>0</v>
      </c>
      <c r="BJ87" s="32">
        <f>G87*H87</f>
        <v>0</v>
      </c>
      <c r="BK87" s="36" t="s">
        <v>66</v>
      </c>
      <c r="BL87" s="32">
        <v>721</v>
      </c>
      <c r="BW87" s="32">
        <f>I87</f>
        <v>21</v>
      </c>
      <c r="BX87" s="4" t="s">
        <v>249</v>
      </c>
    </row>
    <row r="88" spans="1:76" ht="13.5" customHeight="1" x14ac:dyDescent="0.25">
      <c r="A88" s="42"/>
      <c r="C88" s="43"/>
      <c r="D88" s="95" t="s">
        <v>250</v>
      </c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7"/>
    </row>
    <row r="89" spans="1:76" x14ac:dyDescent="0.25">
      <c r="A89" s="2" t="s">
        <v>251</v>
      </c>
      <c r="B89" s="3" t="s">
        <v>55</v>
      </c>
      <c r="C89" s="3" t="s">
        <v>252</v>
      </c>
      <c r="D89" s="89" t="s">
        <v>253</v>
      </c>
      <c r="E89" s="90"/>
      <c r="F89" s="3" t="s">
        <v>136</v>
      </c>
      <c r="G89" s="32">
        <v>14.3</v>
      </c>
      <c r="H89" s="199">
        <v>0</v>
      </c>
      <c r="I89" s="33">
        <v>21</v>
      </c>
      <c r="J89" s="32">
        <f>ROUND(G89*AO89,2)</f>
        <v>0</v>
      </c>
      <c r="K89" s="32">
        <f>ROUND(G89*AP89,2)</f>
        <v>0</v>
      </c>
      <c r="L89" s="32">
        <f>ROUND(G89*H89,2)</f>
        <v>0</v>
      </c>
      <c r="M89" s="32">
        <f>L89*(1+BW89/100)</f>
        <v>0</v>
      </c>
      <c r="N89" s="34">
        <f>IF(L649=0,0,L89/L649)</f>
        <v>0</v>
      </c>
      <c r="O89" s="32">
        <v>2.5200000000000001E-3</v>
      </c>
      <c r="P89" s="32">
        <f>G89*O89</f>
        <v>3.6036000000000006E-2</v>
      </c>
      <c r="Q89" s="35" t="s">
        <v>77</v>
      </c>
      <c r="Z89" s="32">
        <f>ROUND(IF(AQ89="5",BJ89,0),2)</f>
        <v>0</v>
      </c>
      <c r="AB89" s="32">
        <f>ROUND(IF(AQ89="1",BH89,0),2)</f>
        <v>0</v>
      </c>
      <c r="AC89" s="32">
        <f>ROUND(IF(AQ89="1",BI89,0),2)</f>
        <v>0</v>
      </c>
      <c r="AD89" s="32">
        <f>ROUND(IF(AQ89="7",BH89,0),2)</f>
        <v>0</v>
      </c>
      <c r="AE89" s="32">
        <f>ROUND(IF(AQ89="7",BI89,0),2)</f>
        <v>0</v>
      </c>
      <c r="AF89" s="32">
        <f>ROUND(IF(AQ89="2",BH89,0),2)</f>
        <v>0</v>
      </c>
      <c r="AG89" s="32">
        <f>ROUND(IF(AQ89="2",BI89,0),2)</f>
        <v>0</v>
      </c>
      <c r="AH89" s="32">
        <f>ROUND(IF(AQ89="0",BJ89,0),2)</f>
        <v>0</v>
      </c>
      <c r="AI89" s="12" t="s">
        <v>55</v>
      </c>
      <c r="AJ89" s="32">
        <f>IF(AN89=0,L89,0)</f>
        <v>0</v>
      </c>
      <c r="AK89" s="32">
        <f>IF(AN89=12,L89,0)</f>
        <v>0</v>
      </c>
      <c r="AL89" s="32">
        <f>IF(AN89=21,L89,0)</f>
        <v>0</v>
      </c>
      <c r="AN89" s="32">
        <v>21</v>
      </c>
      <c r="AO89" s="32">
        <f>H89*0.418447495</f>
        <v>0</v>
      </c>
      <c r="AP89" s="32">
        <f>H89*(1-0.418447495)</f>
        <v>0</v>
      </c>
      <c r="AQ89" s="36" t="s">
        <v>90</v>
      </c>
      <c r="AV89" s="32">
        <f>ROUND(AW89+AX89,2)</f>
        <v>0</v>
      </c>
      <c r="AW89" s="32">
        <f>ROUND(G89*AO89,2)</f>
        <v>0</v>
      </c>
      <c r="AX89" s="32">
        <f>ROUND(G89*AP89,2)</f>
        <v>0</v>
      </c>
      <c r="AY89" s="36" t="s">
        <v>244</v>
      </c>
      <c r="AZ89" s="36" t="s">
        <v>245</v>
      </c>
      <c r="BA89" s="12" t="s">
        <v>65</v>
      </c>
      <c r="BC89" s="32">
        <f>AW89+AX89</f>
        <v>0</v>
      </c>
      <c r="BD89" s="32">
        <f>H89/(100-BE89)*100</f>
        <v>0</v>
      </c>
      <c r="BE89" s="32">
        <v>0</v>
      </c>
      <c r="BF89" s="32">
        <f>P89</f>
        <v>3.6036000000000006E-2</v>
      </c>
      <c r="BH89" s="32">
        <f>G89*AO89</f>
        <v>0</v>
      </c>
      <c r="BI89" s="32">
        <f>G89*AP89</f>
        <v>0</v>
      </c>
      <c r="BJ89" s="32">
        <f>G89*H89</f>
        <v>0</v>
      </c>
      <c r="BK89" s="36" t="s">
        <v>66</v>
      </c>
      <c r="BL89" s="32">
        <v>721</v>
      </c>
      <c r="BW89" s="32">
        <f>I89</f>
        <v>21</v>
      </c>
      <c r="BX89" s="4" t="s">
        <v>253</v>
      </c>
    </row>
    <row r="90" spans="1:76" ht="13.5" customHeight="1" x14ac:dyDescent="0.25">
      <c r="A90" s="42"/>
      <c r="C90" s="43"/>
      <c r="D90" s="95" t="s">
        <v>250</v>
      </c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7"/>
    </row>
    <row r="91" spans="1:76" x14ac:dyDescent="0.25">
      <c r="A91" s="2" t="s">
        <v>254</v>
      </c>
      <c r="B91" s="3" t="s">
        <v>55</v>
      </c>
      <c r="C91" s="3" t="s">
        <v>255</v>
      </c>
      <c r="D91" s="89" t="s">
        <v>256</v>
      </c>
      <c r="E91" s="90"/>
      <c r="F91" s="3" t="s">
        <v>136</v>
      </c>
      <c r="G91" s="32">
        <v>1.2</v>
      </c>
      <c r="H91" s="199">
        <v>0</v>
      </c>
      <c r="I91" s="33">
        <v>21</v>
      </c>
      <c r="J91" s="32">
        <f>ROUND(G91*AO91,2)</f>
        <v>0</v>
      </c>
      <c r="K91" s="32">
        <f>ROUND(G91*AP91,2)</f>
        <v>0</v>
      </c>
      <c r="L91" s="32">
        <f>ROUND(G91*H91,2)</f>
        <v>0</v>
      </c>
      <c r="M91" s="32">
        <f>L91*(1+BW91/100)</f>
        <v>0</v>
      </c>
      <c r="N91" s="34">
        <f>IF(L649=0,0,L91/L649)</f>
        <v>0</v>
      </c>
      <c r="O91" s="32">
        <v>3.5699999999999998E-3</v>
      </c>
      <c r="P91" s="32">
        <f>G91*O91</f>
        <v>4.2839999999999996E-3</v>
      </c>
      <c r="Q91" s="35" t="s">
        <v>77</v>
      </c>
      <c r="Z91" s="32">
        <f>ROUND(IF(AQ91="5",BJ91,0),2)</f>
        <v>0</v>
      </c>
      <c r="AB91" s="32">
        <f>ROUND(IF(AQ91="1",BH91,0),2)</f>
        <v>0</v>
      </c>
      <c r="AC91" s="32">
        <f>ROUND(IF(AQ91="1",BI91,0),2)</f>
        <v>0</v>
      </c>
      <c r="AD91" s="32">
        <f>ROUND(IF(AQ91="7",BH91,0),2)</f>
        <v>0</v>
      </c>
      <c r="AE91" s="32">
        <f>ROUND(IF(AQ91="7",BI91,0),2)</f>
        <v>0</v>
      </c>
      <c r="AF91" s="32">
        <f>ROUND(IF(AQ91="2",BH91,0),2)</f>
        <v>0</v>
      </c>
      <c r="AG91" s="32">
        <f>ROUND(IF(AQ91="2",BI91,0),2)</f>
        <v>0</v>
      </c>
      <c r="AH91" s="32">
        <f>ROUND(IF(AQ91="0",BJ91,0),2)</f>
        <v>0</v>
      </c>
      <c r="AI91" s="12" t="s">
        <v>55</v>
      </c>
      <c r="AJ91" s="32">
        <f>IF(AN91=0,L91,0)</f>
        <v>0</v>
      </c>
      <c r="AK91" s="32">
        <f>IF(AN91=12,L91,0)</f>
        <v>0</v>
      </c>
      <c r="AL91" s="32">
        <f>IF(AN91=21,L91,0)</f>
        <v>0</v>
      </c>
      <c r="AN91" s="32">
        <v>21</v>
      </c>
      <c r="AO91" s="32">
        <f>H91*0.573712288</f>
        <v>0</v>
      </c>
      <c r="AP91" s="32">
        <f>H91*(1-0.573712288)</f>
        <v>0</v>
      </c>
      <c r="AQ91" s="36" t="s">
        <v>90</v>
      </c>
      <c r="AV91" s="32">
        <f>ROUND(AW91+AX91,2)</f>
        <v>0</v>
      </c>
      <c r="AW91" s="32">
        <f>ROUND(G91*AO91,2)</f>
        <v>0</v>
      </c>
      <c r="AX91" s="32">
        <f>ROUND(G91*AP91,2)</f>
        <v>0</v>
      </c>
      <c r="AY91" s="36" t="s">
        <v>244</v>
      </c>
      <c r="AZ91" s="36" t="s">
        <v>245</v>
      </c>
      <c r="BA91" s="12" t="s">
        <v>65</v>
      </c>
      <c r="BC91" s="32">
        <f>AW91+AX91</f>
        <v>0</v>
      </c>
      <c r="BD91" s="32">
        <f>H91/(100-BE91)*100</f>
        <v>0</v>
      </c>
      <c r="BE91" s="32">
        <v>0</v>
      </c>
      <c r="BF91" s="32">
        <f>P91</f>
        <v>4.2839999999999996E-3</v>
      </c>
      <c r="BH91" s="32">
        <f>G91*AO91</f>
        <v>0</v>
      </c>
      <c r="BI91" s="32">
        <f>G91*AP91</f>
        <v>0</v>
      </c>
      <c r="BJ91" s="32">
        <f>G91*H91</f>
        <v>0</v>
      </c>
      <c r="BK91" s="36" t="s">
        <v>66</v>
      </c>
      <c r="BL91" s="32">
        <v>721</v>
      </c>
      <c r="BW91" s="32">
        <f>I91</f>
        <v>21</v>
      </c>
      <c r="BX91" s="4" t="s">
        <v>256</v>
      </c>
    </row>
    <row r="92" spans="1:76" ht="13.5" customHeight="1" x14ac:dyDescent="0.25">
      <c r="A92" s="42"/>
      <c r="C92" s="43"/>
      <c r="D92" s="95" t="s">
        <v>250</v>
      </c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7"/>
    </row>
    <row r="93" spans="1:76" x14ac:dyDescent="0.25">
      <c r="A93" s="2" t="s">
        <v>257</v>
      </c>
      <c r="B93" s="3" t="s">
        <v>55</v>
      </c>
      <c r="C93" s="3" t="s">
        <v>258</v>
      </c>
      <c r="D93" s="89" t="s">
        <v>259</v>
      </c>
      <c r="E93" s="90"/>
      <c r="F93" s="3" t="s">
        <v>88</v>
      </c>
      <c r="G93" s="32">
        <v>33</v>
      </c>
      <c r="H93" s="199">
        <v>0</v>
      </c>
      <c r="I93" s="33">
        <v>21</v>
      </c>
      <c r="J93" s="32">
        <f>ROUND(G93*AO93,2)</f>
        <v>0</v>
      </c>
      <c r="K93" s="32">
        <f>ROUND(G93*AP93,2)</f>
        <v>0</v>
      </c>
      <c r="L93" s="32">
        <f>ROUND(G93*H93,2)</f>
        <v>0</v>
      </c>
      <c r="M93" s="32">
        <f>L93*(1+BW93/100)</f>
        <v>0</v>
      </c>
      <c r="N93" s="34">
        <f>IF(L649=0,0,L93/L649)</f>
        <v>0</v>
      </c>
      <c r="O93" s="32">
        <v>3.4000000000000002E-4</v>
      </c>
      <c r="P93" s="32">
        <f>G93*O93</f>
        <v>1.1220000000000001E-2</v>
      </c>
      <c r="Q93" s="35" t="s">
        <v>77</v>
      </c>
      <c r="Z93" s="32">
        <f>ROUND(IF(AQ93="5",BJ93,0),2)</f>
        <v>0</v>
      </c>
      <c r="AB93" s="32">
        <f>ROUND(IF(AQ93="1",BH93,0),2)</f>
        <v>0</v>
      </c>
      <c r="AC93" s="32">
        <f>ROUND(IF(AQ93="1",BI93,0),2)</f>
        <v>0</v>
      </c>
      <c r="AD93" s="32">
        <f>ROUND(IF(AQ93="7",BH93,0),2)</f>
        <v>0</v>
      </c>
      <c r="AE93" s="32">
        <f>ROUND(IF(AQ93="7",BI93,0),2)</f>
        <v>0</v>
      </c>
      <c r="AF93" s="32">
        <f>ROUND(IF(AQ93="2",BH93,0),2)</f>
        <v>0</v>
      </c>
      <c r="AG93" s="32">
        <f>ROUND(IF(AQ93="2",BI93,0),2)</f>
        <v>0</v>
      </c>
      <c r="AH93" s="32">
        <f>ROUND(IF(AQ93="0",BJ93,0),2)</f>
        <v>0</v>
      </c>
      <c r="AI93" s="12" t="s">
        <v>55</v>
      </c>
      <c r="AJ93" s="32">
        <f>IF(AN93=0,L93,0)</f>
        <v>0</v>
      </c>
      <c r="AK93" s="32">
        <f>IF(AN93=12,L93,0)</f>
        <v>0</v>
      </c>
      <c r="AL93" s="32">
        <f>IF(AN93=21,L93,0)</f>
        <v>0</v>
      </c>
      <c r="AN93" s="32">
        <v>21</v>
      </c>
      <c r="AO93" s="32">
        <f>H93*0.457959333</f>
        <v>0</v>
      </c>
      <c r="AP93" s="32">
        <f>H93*(1-0.457959333)</f>
        <v>0</v>
      </c>
      <c r="AQ93" s="36" t="s">
        <v>90</v>
      </c>
      <c r="AV93" s="32">
        <f>ROUND(AW93+AX93,2)</f>
        <v>0</v>
      </c>
      <c r="AW93" s="32">
        <f>ROUND(G93*AO93,2)</f>
        <v>0</v>
      </c>
      <c r="AX93" s="32">
        <f>ROUND(G93*AP93,2)</f>
        <v>0</v>
      </c>
      <c r="AY93" s="36" t="s">
        <v>244</v>
      </c>
      <c r="AZ93" s="36" t="s">
        <v>245</v>
      </c>
      <c r="BA93" s="12" t="s">
        <v>65</v>
      </c>
      <c r="BC93" s="32">
        <f>AW93+AX93</f>
        <v>0</v>
      </c>
      <c r="BD93" s="32">
        <f>H93/(100-BE93)*100</f>
        <v>0</v>
      </c>
      <c r="BE93" s="32">
        <v>0</v>
      </c>
      <c r="BF93" s="32">
        <f>P93</f>
        <v>1.1220000000000001E-2</v>
      </c>
      <c r="BH93" s="32">
        <f>G93*AO93</f>
        <v>0</v>
      </c>
      <c r="BI93" s="32">
        <f>G93*AP93</f>
        <v>0</v>
      </c>
      <c r="BJ93" s="32">
        <f>G93*H93</f>
        <v>0</v>
      </c>
      <c r="BK93" s="36" t="s">
        <v>66</v>
      </c>
      <c r="BL93" s="32">
        <v>721</v>
      </c>
      <c r="BW93" s="32">
        <f>I93</f>
        <v>21</v>
      </c>
      <c r="BX93" s="4" t="s">
        <v>259</v>
      </c>
    </row>
    <row r="94" spans="1:76" ht="13.5" customHeight="1" x14ac:dyDescent="0.25">
      <c r="A94" s="42"/>
      <c r="C94" s="43"/>
      <c r="D94" s="95" t="s">
        <v>260</v>
      </c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7"/>
    </row>
    <row r="95" spans="1:76" x14ac:dyDescent="0.25">
      <c r="A95" s="2" t="s">
        <v>261</v>
      </c>
      <c r="B95" s="3" t="s">
        <v>55</v>
      </c>
      <c r="C95" s="3" t="s">
        <v>262</v>
      </c>
      <c r="D95" s="89" t="s">
        <v>263</v>
      </c>
      <c r="E95" s="90"/>
      <c r="F95" s="3" t="s">
        <v>88</v>
      </c>
      <c r="G95" s="32">
        <v>8</v>
      </c>
      <c r="H95" s="199">
        <v>0</v>
      </c>
      <c r="I95" s="33">
        <v>21</v>
      </c>
      <c r="J95" s="32">
        <f>ROUND(G95*AO95,2)</f>
        <v>0</v>
      </c>
      <c r="K95" s="32">
        <f>ROUND(G95*AP95,2)</f>
        <v>0</v>
      </c>
      <c r="L95" s="32">
        <f>ROUND(G95*H95,2)</f>
        <v>0</v>
      </c>
      <c r="M95" s="32">
        <f>L95*(1+BW95/100)</f>
        <v>0</v>
      </c>
      <c r="N95" s="34">
        <f>IF(L649=0,0,L95/L649)</f>
        <v>0</v>
      </c>
      <c r="O95" s="32">
        <v>3.4000000000000002E-4</v>
      </c>
      <c r="P95" s="32">
        <f>G95*O95</f>
        <v>2.7200000000000002E-3</v>
      </c>
      <c r="Q95" s="35" t="s">
        <v>77</v>
      </c>
      <c r="Z95" s="32">
        <f>ROUND(IF(AQ95="5",BJ95,0),2)</f>
        <v>0</v>
      </c>
      <c r="AB95" s="32">
        <f>ROUND(IF(AQ95="1",BH95,0),2)</f>
        <v>0</v>
      </c>
      <c r="AC95" s="32">
        <f>ROUND(IF(AQ95="1",BI95,0),2)</f>
        <v>0</v>
      </c>
      <c r="AD95" s="32">
        <f>ROUND(IF(AQ95="7",BH95,0),2)</f>
        <v>0</v>
      </c>
      <c r="AE95" s="32">
        <f>ROUND(IF(AQ95="7",BI95,0),2)</f>
        <v>0</v>
      </c>
      <c r="AF95" s="32">
        <f>ROUND(IF(AQ95="2",BH95,0),2)</f>
        <v>0</v>
      </c>
      <c r="AG95" s="32">
        <f>ROUND(IF(AQ95="2",BI95,0),2)</f>
        <v>0</v>
      </c>
      <c r="AH95" s="32">
        <f>ROUND(IF(AQ95="0",BJ95,0),2)</f>
        <v>0</v>
      </c>
      <c r="AI95" s="12" t="s">
        <v>55</v>
      </c>
      <c r="AJ95" s="32">
        <f>IF(AN95=0,L95,0)</f>
        <v>0</v>
      </c>
      <c r="AK95" s="32">
        <f>IF(AN95=12,L95,0)</f>
        <v>0</v>
      </c>
      <c r="AL95" s="32">
        <f>IF(AN95=21,L95,0)</f>
        <v>0</v>
      </c>
      <c r="AN95" s="32">
        <v>21</v>
      </c>
      <c r="AO95" s="32">
        <f>H95*0.534675263</f>
        <v>0</v>
      </c>
      <c r="AP95" s="32">
        <f>H95*(1-0.534675263)</f>
        <v>0</v>
      </c>
      <c r="AQ95" s="36" t="s">
        <v>90</v>
      </c>
      <c r="AV95" s="32">
        <f>ROUND(AW95+AX95,2)</f>
        <v>0</v>
      </c>
      <c r="AW95" s="32">
        <f>ROUND(G95*AO95,2)</f>
        <v>0</v>
      </c>
      <c r="AX95" s="32">
        <f>ROUND(G95*AP95,2)</f>
        <v>0</v>
      </c>
      <c r="AY95" s="36" t="s">
        <v>244</v>
      </c>
      <c r="AZ95" s="36" t="s">
        <v>245</v>
      </c>
      <c r="BA95" s="12" t="s">
        <v>65</v>
      </c>
      <c r="BC95" s="32">
        <f>AW95+AX95</f>
        <v>0</v>
      </c>
      <c r="BD95" s="32">
        <f>H95/(100-BE95)*100</f>
        <v>0</v>
      </c>
      <c r="BE95" s="32">
        <v>0</v>
      </c>
      <c r="BF95" s="32">
        <f>P95</f>
        <v>2.7200000000000002E-3</v>
      </c>
      <c r="BH95" s="32">
        <f>G95*AO95</f>
        <v>0</v>
      </c>
      <c r="BI95" s="32">
        <f>G95*AP95</f>
        <v>0</v>
      </c>
      <c r="BJ95" s="32">
        <f>G95*H95</f>
        <v>0</v>
      </c>
      <c r="BK95" s="36" t="s">
        <v>66</v>
      </c>
      <c r="BL95" s="32">
        <v>721</v>
      </c>
      <c r="BW95" s="32">
        <f>I95</f>
        <v>21</v>
      </c>
      <c r="BX95" s="4" t="s">
        <v>263</v>
      </c>
    </row>
    <row r="96" spans="1:76" ht="13.5" customHeight="1" x14ac:dyDescent="0.25">
      <c r="A96" s="42"/>
      <c r="C96" s="43"/>
      <c r="D96" s="95" t="s">
        <v>260</v>
      </c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7"/>
    </row>
    <row r="97" spans="1:76" x14ac:dyDescent="0.25">
      <c r="A97" s="2" t="s">
        <v>264</v>
      </c>
      <c r="B97" s="3" t="s">
        <v>55</v>
      </c>
      <c r="C97" s="3" t="s">
        <v>265</v>
      </c>
      <c r="D97" s="89" t="s">
        <v>266</v>
      </c>
      <c r="E97" s="90"/>
      <c r="F97" s="3" t="s">
        <v>88</v>
      </c>
      <c r="G97" s="32">
        <v>2</v>
      </c>
      <c r="H97" s="199">
        <v>0</v>
      </c>
      <c r="I97" s="33">
        <v>21</v>
      </c>
      <c r="J97" s="32">
        <f>ROUND(G97*AO97,2)</f>
        <v>0</v>
      </c>
      <c r="K97" s="32">
        <f>ROUND(G97*AP97,2)</f>
        <v>0</v>
      </c>
      <c r="L97" s="32">
        <f>ROUND(G97*H97,2)</f>
        <v>0</v>
      </c>
      <c r="M97" s="32">
        <f>L97*(1+BW97/100)</f>
        <v>0</v>
      </c>
      <c r="N97" s="34">
        <f>IF(L649=0,0,L97/L649)</f>
        <v>0</v>
      </c>
      <c r="O97" s="32">
        <v>3.4000000000000002E-4</v>
      </c>
      <c r="P97" s="32">
        <f>G97*O97</f>
        <v>6.8000000000000005E-4</v>
      </c>
      <c r="Q97" s="35" t="s">
        <v>77</v>
      </c>
      <c r="Z97" s="32">
        <f>ROUND(IF(AQ97="5",BJ97,0),2)</f>
        <v>0</v>
      </c>
      <c r="AB97" s="32">
        <f>ROUND(IF(AQ97="1",BH97,0),2)</f>
        <v>0</v>
      </c>
      <c r="AC97" s="32">
        <f>ROUND(IF(AQ97="1",BI97,0),2)</f>
        <v>0</v>
      </c>
      <c r="AD97" s="32">
        <f>ROUND(IF(AQ97="7",BH97,0),2)</f>
        <v>0</v>
      </c>
      <c r="AE97" s="32">
        <f>ROUND(IF(AQ97="7",BI97,0),2)</f>
        <v>0</v>
      </c>
      <c r="AF97" s="32">
        <f>ROUND(IF(AQ97="2",BH97,0),2)</f>
        <v>0</v>
      </c>
      <c r="AG97" s="32">
        <f>ROUND(IF(AQ97="2",BI97,0),2)</f>
        <v>0</v>
      </c>
      <c r="AH97" s="32">
        <f>ROUND(IF(AQ97="0",BJ97,0),2)</f>
        <v>0</v>
      </c>
      <c r="AI97" s="12" t="s">
        <v>55</v>
      </c>
      <c r="AJ97" s="32">
        <f>IF(AN97=0,L97,0)</f>
        <v>0</v>
      </c>
      <c r="AK97" s="32">
        <f>IF(AN97=12,L97,0)</f>
        <v>0</v>
      </c>
      <c r="AL97" s="32">
        <f>IF(AN97=21,L97,0)</f>
        <v>0</v>
      </c>
      <c r="AN97" s="32">
        <v>21</v>
      </c>
      <c r="AO97" s="32">
        <f>H97*0.650195059</f>
        <v>0</v>
      </c>
      <c r="AP97" s="32">
        <f>H97*(1-0.650195059)</f>
        <v>0</v>
      </c>
      <c r="AQ97" s="36" t="s">
        <v>90</v>
      </c>
      <c r="AV97" s="32">
        <f>ROUND(AW97+AX97,2)</f>
        <v>0</v>
      </c>
      <c r="AW97" s="32">
        <f>ROUND(G97*AO97,2)</f>
        <v>0</v>
      </c>
      <c r="AX97" s="32">
        <f>ROUND(G97*AP97,2)</f>
        <v>0</v>
      </c>
      <c r="AY97" s="36" t="s">
        <v>244</v>
      </c>
      <c r="AZ97" s="36" t="s">
        <v>245</v>
      </c>
      <c r="BA97" s="12" t="s">
        <v>65</v>
      </c>
      <c r="BC97" s="32">
        <f>AW97+AX97</f>
        <v>0</v>
      </c>
      <c r="BD97" s="32">
        <f>H97/(100-BE97)*100</f>
        <v>0</v>
      </c>
      <c r="BE97" s="32">
        <v>0</v>
      </c>
      <c r="BF97" s="32">
        <f>P97</f>
        <v>6.8000000000000005E-4</v>
      </c>
      <c r="BH97" s="32">
        <f>G97*AO97</f>
        <v>0</v>
      </c>
      <c r="BI97" s="32">
        <f>G97*AP97</f>
        <v>0</v>
      </c>
      <c r="BJ97" s="32">
        <f>G97*H97</f>
        <v>0</v>
      </c>
      <c r="BK97" s="36" t="s">
        <v>66</v>
      </c>
      <c r="BL97" s="32">
        <v>721</v>
      </c>
      <c r="BW97" s="32">
        <f>I97</f>
        <v>21</v>
      </c>
      <c r="BX97" s="4" t="s">
        <v>266</v>
      </c>
    </row>
    <row r="98" spans="1:76" ht="13.5" customHeight="1" x14ac:dyDescent="0.25">
      <c r="A98" s="42"/>
      <c r="C98" s="43"/>
      <c r="D98" s="95" t="s">
        <v>260</v>
      </c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7"/>
    </row>
    <row r="99" spans="1:76" x14ac:dyDescent="0.25">
      <c r="A99" s="2" t="s">
        <v>267</v>
      </c>
      <c r="B99" s="3" t="s">
        <v>55</v>
      </c>
      <c r="C99" s="3" t="s">
        <v>268</v>
      </c>
      <c r="D99" s="89" t="s">
        <v>269</v>
      </c>
      <c r="E99" s="90"/>
      <c r="F99" s="3" t="s">
        <v>88</v>
      </c>
      <c r="G99" s="32">
        <v>7</v>
      </c>
      <c r="H99" s="199">
        <v>0</v>
      </c>
      <c r="I99" s="33">
        <v>21</v>
      </c>
      <c r="J99" s="32">
        <f>ROUND(G99*AO99,2)</f>
        <v>0</v>
      </c>
      <c r="K99" s="32">
        <f>ROUND(G99*AP99,2)</f>
        <v>0</v>
      </c>
      <c r="L99" s="32">
        <f>ROUND(G99*H99,2)</f>
        <v>0</v>
      </c>
      <c r="M99" s="32">
        <f>L99*(1+BW99/100)</f>
        <v>0</v>
      </c>
      <c r="N99" s="34">
        <f>IF(L649=0,0,L99/L649)</f>
        <v>0</v>
      </c>
      <c r="O99" s="32">
        <v>3.4000000000000002E-4</v>
      </c>
      <c r="P99" s="32">
        <f>G99*O99</f>
        <v>2.3800000000000002E-3</v>
      </c>
      <c r="Q99" s="35" t="s">
        <v>77</v>
      </c>
      <c r="Z99" s="32">
        <f>ROUND(IF(AQ99="5",BJ99,0),2)</f>
        <v>0</v>
      </c>
      <c r="AB99" s="32">
        <f>ROUND(IF(AQ99="1",BH99,0),2)</f>
        <v>0</v>
      </c>
      <c r="AC99" s="32">
        <f>ROUND(IF(AQ99="1",BI99,0),2)</f>
        <v>0</v>
      </c>
      <c r="AD99" s="32">
        <f>ROUND(IF(AQ99="7",BH99,0),2)</f>
        <v>0</v>
      </c>
      <c r="AE99" s="32">
        <f>ROUND(IF(AQ99="7",BI99,0),2)</f>
        <v>0</v>
      </c>
      <c r="AF99" s="32">
        <f>ROUND(IF(AQ99="2",BH99,0),2)</f>
        <v>0</v>
      </c>
      <c r="AG99" s="32">
        <f>ROUND(IF(AQ99="2",BI99,0),2)</f>
        <v>0</v>
      </c>
      <c r="AH99" s="32">
        <f>ROUND(IF(AQ99="0",BJ99,0),2)</f>
        <v>0</v>
      </c>
      <c r="AI99" s="12" t="s">
        <v>55</v>
      </c>
      <c r="AJ99" s="32">
        <f>IF(AN99=0,L99,0)</f>
        <v>0</v>
      </c>
      <c r="AK99" s="32">
        <f>IF(AN99=12,L99,0)</f>
        <v>0</v>
      </c>
      <c r="AL99" s="32">
        <f>IF(AN99=21,L99,0)</f>
        <v>0</v>
      </c>
      <c r="AN99" s="32">
        <v>21</v>
      </c>
      <c r="AO99" s="32">
        <f>H99*0.647416293</f>
        <v>0</v>
      </c>
      <c r="AP99" s="32">
        <f>H99*(1-0.647416293)</f>
        <v>0</v>
      </c>
      <c r="AQ99" s="36" t="s">
        <v>90</v>
      </c>
      <c r="AV99" s="32">
        <f>ROUND(AW99+AX99,2)</f>
        <v>0</v>
      </c>
      <c r="AW99" s="32">
        <f>ROUND(G99*AO99,2)</f>
        <v>0</v>
      </c>
      <c r="AX99" s="32">
        <f>ROUND(G99*AP99,2)</f>
        <v>0</v>
      </c>
      <c r="AY99" s="36" t="s">
        <v>244</v>
      </c>
      <c r="AZ99" s="36" t="s">
        <v>245</v>
      </c>
      <c r="BA99" s="12" t="s">
        <v>65</v>
      </c>
      <c r="BC99" s="32">
        <f>AW99+AX99</f>
        <v>0</v>
      </c>
      <c r="BD99" s="32">
        <f>H99/(100-BE99)*100</f>
        <v>0</v>
      </c>
      <c r="BE99" s="32">
        <v>0</v>
      </c>
      <c r="BF99" s="32">
        <f>P99</f>
        <v>2.3800000000000002E-3</v>
      </c>
      <c r="BH99" s="32">
        <f>G99*AO99</f>
        <v>0</v>
      </c>
      <c r="BI99" s="32">
        <f>G99*AP99</f>
        <v>0</v>
      </c>
      <c r="BJ99" s="32">
        <f>G99*H99</f>
        <v>0</v>
      </c>
      <c r="BK99" s="36" t="s">
        <v>66</v>
      </c>
      <c r="BL99" s="32">
        <v>721</v>
      </c>
      <c r="BW99" s="32">
        <f>I99</f>
        <v>21</v>
      </c>
      <c r="BX99" s="4" t="s">
        <v>269</v>
      </c>
    </row>
    <row r="100" spans="1:76" ht="13.5" customHeight="1" x14ac:dyDescent="0.25">
      <c r="A100" s="42"/>
      <c r="C100" s="43"/>
      <c r="D100" s="95" t="s">
        <v>260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7"/>
    </row>
    <row r="101" spans="1:76" x14ac:dyDescent="0.25">
      <c r="A101" s="2" t="s">
        <v>270</v>
      </c>
      <c r="B101" s="3" t="s">
        <v>55</v>
      </c>
      <c r="C101" s="3" t="s">
        <v>271</v>
      </c>
      <c r="D101" s="89" t="s">
        <v>272</v>
      </c>
      <c r="E101" s="90"/>
      <c r="F101" s="3" t="s">
        <v>88</v>
      </c>
      <c r="G101" s="32">
        <v>6</v>
      </c>
      <c r="H101" s="199">
        <v>0</v>
      </c>
      <c r="I101" s="33">
        <v>21</v>
      </c>
      <c r="J101" s="32">
        <f>ROUND(G101*AO101,2)</f>
        <v>0</v>
      </c>
      <c r="K101" s="32">
        <f>ROUND(G101*AP101,2)</f>
        <v>0</v>
      </c>
      <c r="L101" s="32">
        <f>ROUND(G101*H101,2)</f>
        <v>0</v>
      </c>
      <c r="M101" s="32">
        <f>L101*(1+BW101/100)</f>
        <v>0</v>
      </c>
      <c r="N101" s="34">
        <f>IF(L649=0,0,L101/L649)</f>
        <v>0</v>
      </c>
      <c r="O101" s="32">
        <v>3.4000000000000002E-4</v>
      </c>
      <c r="P101" s="32">
        <f>G101*O101</f>
        <v>2.0400000000000001E-3</v>
      </c>
      <c r="Q101" s="35" t="s">
        <v>77</v>
      </c>
      <c r="Z101" s="32">
        <f>ROUND(IF(AQ101="5",BJ101,0),2)</f>
        <v>0</v>
      </c>
      <c r="AB101" s="32">
        <f>ROUND(IF(AQ101="1",BH101,0),2)</f>
        <v>0</v>
      </c>
      <c r="AC101" s="32">
        <f>ROUND(IF(AQ101="1",BI101,0),2)</f>
        <v>0</v>
      </c>
      <c r="AD101" s="32">
        <f>ROUND(IF(AQ101="7",BH101,0),2)</f>
        <v>0</v>
      </c>
      <c r="AE101" s="32">
        <f>ROUND(IF(AQ101="7",BI101,0),2)</f>
        <v>0</v>
      </c>
      <c r="AF101" s="32">
        <f>ROUND(IF(AQ101="2",BH101,0),2)</f>
        <v>0</v>
      </c>
      <c r="AG101" s="32">
        <f>ROUND(IF(AQ101="2",BI101,0),2)</f>
        <v>0</v>
      </c>
      <c r="AH101" s="32">
        <f>ROUND(IF(AQ101="0",BJ101,0),2)</f>
        <v>0</v>
      </c>
      <c r="AI101" s="12" t="s">
        <v>55</v>
      </c>
      <c r="AJ101" s="32">
        <f>IF(AN101=0,L101,0)</f>
        <v>0</v>
      </c>
      <c r="AK101" s="32">
        <f>IF(AN101=12,L101,0)</f>
        <v>0</v>
      </c>
      <c r="AL101" s="32">
        <f>IF(AN101=21,L101,0)</f>
        <v>0</v>
      </c>
      <c r="AN101" s="32">
        <v>21</v>
      </c>
      <c r="AO101" s="32">
        <f>H101*0.77166448</f>
        <v>0</v>
      </c>
      <c r="AP101" s="32">
        <f>H101*(1-0.77166448)</f>
        <v>0</v>
      </c>
      <c r="AQ101" s="36" t="s">
        <v>90</v>
      </c>
      <c r="AV101" s="32">
        <f>ROUND(AW101+AX101,2)</f>
        <v>0</v>
      </c>
      <c r="AW101" s="32">
        <f>ROUND(G101*AO101,2)</f>
        <v>0</v>
      </c>
      <c r="AX101" s="32">
        <f>ROUND(G101*AP101,2)</f>
        <v>0</v>
      </c>
      <c r="AY101" s="36" t="s">
        <v>244</v>
      </c>
      <c r="AZ101" s="36" t="s">
        <v>245</v>
      </c>
      <c r="BA101" s="12" t="s">
        <v>65</v>
      </c>
      <c r="BC101" s="32">
        <f>AW101+AX101</f>
        <v>0</v>
      </c>
      <c r="BD101" s="32">
        <f>H101/(100-BE101)*100</f>
        <v>0</v>
      </c>
      <c r="BE101" s="32">
        <v>0</v>
      </c>
      <c r="BF101" s="32">
        <f>P101</f>
        <v>2.0400000000000001E-3</v>
      </c>
      <c r="BH101" s="32">
        <f>G101*AO101</f>
        <v>0</v>
      </c>
      <c r="BI101" s="32">
        <f>G101*AP101</f>
        <v>0</v>
      </c>
      <c r="BJ101" s="32">
        <f>G101*H101</f>
        <v>0</v>
      </c>
      <c r="BK101" s="36" t="s">
        <v>66</v>
      </c>
      <c r="BL101" s="32">
        <v>721</v>
      </c>
      <c r="BW101" s="32">
        <f>I101</f>
        <v>21</v>
      </c>
      <c r="BX101" s="4" t="s">
        <v>272</v>
      </c>
    </row>
    <row r="102" spans="1:76" ht="13.5" customHeight="1" x14ac:dyDescent="0.25">
      <c r="A102" s="42"/>
      <c r="C102" s="43"/>
      <c r="D102" s="95" t="s">
        <v>260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7"/>
    </row>
    <row r="103" spans="1:76" x14ac:dyDescent="0.25">
      <c r="A103" s="2" t="s">
        <v>273</v>
      </c>
      <c r="B103" s="3" t="s">
        <v>55</v>
      </c>
      <c r="C103" s="3" t="s">
        <v>274</v>
      </c>
      <c r="D103" s="89" t="s">
        <v>275</v>
      </c>
      <c r="E103" s="90"/>
      <c r="F103" s="3" t="s">
        <v>88</v>
      </c>
      <c r="G103" s="32">
        <v>1</v>
      </c>
      <c r="H103" s="199">
        <v>0</v>
      </c>
      <c r="I103" s="33">
        <v>21</v>
      </c>
      <c r="J103" s="32">
        <f>ROUND(G103*AO103,2)</f>
        <v>0</v>
      </c>
      <c r="K103" s="32">
        <f>ROUND(G103*AP103,2)</f>
        <v>0</v>
      </c>
      <c r="L103" s="32">
        <f>ROUND(G103*H103,2)</f>
        <v>0</v>
      </c>
      <c r="M103" s="32">
        <f>L103*(1+BW103/100)</f>
        <v>0</v>
      </c>
      <c r="N103" s="34">
        <f>IF(L649=0,0,L103/L649)</f>
        <v>0</v>
      </c>
      <c r="O103" s="32">
        <v>3.4000000000000002E-4</v>
      </c>
      <c r="P103" s="32">
        <f>G103*O103</f>
        <v>3.4000000000000002E-4</v>
      </c>
      <c r="Q103" s="35" t="s">
        <v>77</v>
      </c>
      <c r="Z103" s="32">
        <f>ROUND(IF(AQ103="5",BJ103,0),2)</f>
        <v>0</v>
      </c>
      <c r="AB103" s="32">
        <f>ROUND(IF(AQ103="1",BH103,0),2)</f>
        <v>0</v>
      </c>
      <c r="AC103" s="32">
        <f>ROUND(IF(AQ103="1",BI103,0),2)</f>
        <v>0</v>
      </c>
      <c r="AD103" s="32">
        <f>ROUND(IF(AQ103="7",BH103,0),2)</f>
        <v>0</v>
      </c>
      <c r="AE103" s="32">
        <f>ROUND(IF(AQ103="7",BI103,0),2)</f>
        <v>0</v>
      </c>
      <c r="AF103" s="32">
        <f>ROUND(IF(AQ103="2",BH103,0),2)</f>
        <v>0</v>
      </c>
      <c r="AG103" s="32">
        <f>ROUND(IF(AQ103="2",BI103,0),2)</f>
        <v>0</v>
      </c>
      <c r="AH103" s="32">
        <f>ROUND(IF(AQ103="0",BJ103,0),2)</f>
        <v>0</v>
      </c>
      <c r="AI103" s="12" t="s">
        <v>55</v>
      </c>
      <c r="AJ103" s="32">
        <f>IF(AN103=0,L103,0)</f>
        <v>0</v>
      </c>
      <c r="AK103" s="32">
        <f>IF(AN103=12,L103,0)</f>
        <v>0</v>
      </c>
      <c r="AL103" s="32">
        <f>IF(AN103=21,L103,0)</f>
        <v>0</v>
      </c>
      <c r="AN103" s="32">
        <v>21</v>
      </c>
      <c r="AO103" s="32">
        <f>H103*0.866263917</f>
        <v>0</v>
      </c>
      <c r="AP103" s="32">
        <f>H103*(1-0.866263917)</f>
        <v>0</v>
      </c>
      <c r="AQ103" s="36" t="s">
        <v>90</v>
      </c>
      <c r="AV103" s="32">
        <f>ROUND(AW103+AX103,2)</f>
        <v>0</v>
      </c>
      <c r="AW103" s="32">
        <f>ROUND(G103*AO103,2)</f>
        <v>0</v>
      </c>
      <c r="AX103" s="32">
        <f>ROUND(G103*AP103,2)</f>
        <v>0</v>
      </c>
      <c r="AY103" s="36" t="s">
        <v>244</v>
      </c>
      <c r="AZ103" s="36" t="s">
        <v>245</v>
      </c>
      <c r="BA103" s="12" t="s">
        <v>65</v>
      </c>
      <c r="BC103" s="32">
        <f>AW103+AX103</f>
        <v>0</v>
      </c>
      <c r="BD103" s="32">
        <f>H103/(100-BE103)*100</f>
        <v>0</v>
      </c>
      <c r="BE103" s="32">
        <v>0</v>
      </c>
      <c r="BF103" s="32">
        <f>P103</f>
        <v>3.4000000000000002E-4</v>
      </c>
      <c r="BH103" s="32">
        <f>G103*AO103</f>
        <v>0</v>
      </c>
      <c r="BI103" s="32">
        <f>G103*AP103</f>
        <v>0</v>
      </c>
      <c r="BJ103" s="32">
        <f>G103*H103</f>
        <v>0</v>
      </c>
      <c r="BK103" s="36" t="s">
        <v>66</v>
      </c>
      <c r="BL103" s="32">
        <v>721</v>
      </c>
      <c r="BW103" s="32">
        <f>I103</f>
        <v>21</v>
      </c>
      <c r="BX103" s="4" t="s">
        <v>275</v>
      </c>
    </row>
    <row r="104" spans="1:76" ht="13.5" customHeight="1" x14ac:dyDescent="0.25">
      <c r="A104" s="42"/>
      <c r="C104" s="43"/>
      <c r="D104" s="95" t="s">
        <v>260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7"/>
    </row>
    <row r="105" spans="1:76" x14ac:dyDescent="0.25">
      <c r="A105" s="2" t="s">
        <v>276</v>
      </c>
      <c r="B105" s="3" t="s">
        <v>55</v>
      </c>
      <c r="C105" s="3" t="s">
        <v>277</v>
      </c>
      <c r="D105" s="89" t="s">
        <v>278</v>
      </c>
      <c r="E105" s="90"/>
      <c r="F105" s="3" t="s">
        <v>88</v>
      </c>
      <c r="G105" s="32">
        <v>1</v>
      </c>
      <c r="H105" s="199">
        <v>0</v>
      </c>
      <c r="I105" s="33">
        <v>21</v>
      </c>
      <c r="J105" s="32">
        <f>ROUND(G105*AO105,2)</f>
        <v>0</v>
      </c>
      <c r="K105" s="32">
        <f>ROUND(G105*AP105,2)</f>
        <v>0</v>
      </c>
      <c r="L105" s="32">
        <f>ROUND(G105*H105,2)</f>
        <v>0</v>
      </c>
      <c r="M105" s="32">
        <f>L105*(1+BW105/100)</f>
        <v>0</v>
      </c>
      <c r="N105" s="34">
        <f>IF(L649=0,0,L105/L649)</f>
        <v>0</v>
      </c>
      <c r="O105" s="32">
        <v>3.4000000000000002E-4</v>
      </c>
      <c r="P105" s="32">
        <f>G105*O105</f>
        <v>3.4000000000000002E-4</v>
      </c>
      <c r="Q105" s="35" t="s">
        <v>77</v>
      </c>
      <c r="Z105" s="32">
        <f>ROUND(IF(AQ105="5",BJ105,0),2)</f>
        <v>0</v>
      </c>
      <c r="AB105" s="32">
        <f>ROUND(IF(AQ105="1",BH105,0),2)</f>
        <v>0</v>
      </c>
      <c r="AC105" s="32">
        <f>ROUND(IF(AQ105="1",BI105,0),2)</f>
        <v>0</v>
      </c>
      <c r="AD105" s="32">
        <f>ROUND(IF(AQ105="7",BH105,0),2)</f>
        <v>0</v>
      </c>
      <c r="AE105" s="32">
        <f>ROUND(IF(AQ105="7",BI105,0),2)</f>
        <v>0</v>
      </c>
      <c r="AF105" s="32">
        <f>ROUND(IF(AQ105="2",BH105,0),2)</f>
        <v>0</v>
      </c>
      <c r="AG105" s="32">
        <f>ROUND(IF(AQ105="2",BI105,0),2)</f>
        <v>0</v>
      </c>
      <c r="AH105" s="32">
        <f>ROUND(IF(AQ105="0",BJ105,0),2)</f>
        <v>0</v>
      </c>
      <c r="AI105" s="12" t="s">
        <v>55</v>
      </c>
      <c r="AJ105" s="32">
        <f>IF(AN105=0,L105,0)</f>
        <v>0</v>
      </c>
      <c r="AK105" s="32">
        <f>IF(AN105=12,L105,0)</f>
        <v>0</v>
      </c>
      <c r="AL105" s="32">
        <f>IF(AN105=21,L105,0)</f>
        <v>0</v>
      </c>
      <c r="AN105" s="32">
        <v>21</v>
      </c>
      <c r="AO105" s="32">
        <f>H105*0.77048375</f>
        <v>0</v>
      </c>
      <c r="AP105" s="32">
        <f>H105*(1-0.77048375)</f>
        <v>0</v>
      </c>
      <c r="AQ105" s="36" t="s">
        <v>90</v>
      </c>
      <c r="AV105" s="32">
        <f>ROUND(AW105+AX105,2)</f>
        <v>0</v>
      </c>
      <c r="AW105" s="32">
        <f>ROUND(G105*AO105,2)</f>
        <v>0</v>
      </c>
      <c r="AX105" s="32">
        <f>ROUND(G105*AP105,2)</f>
        <v>0</v>
      </c>
      <c r="AY105" s="36" t="s">
        <v>244</v>
      </c>
      <c r="AZ105" s="36" t="s">
        <v>245</v>
      </c>
      <c r="BA105" s="12" t="s">
        <v>65</v>
      </c>
      <c r="BC105" s="32">
        <f>AW105+AX105</f>
        <v>0</v>
      </c>
      <c r="BD105" s="32">
        <f>H105/(100-BE105)*100</f>
        <v>0</v>
      </c>
      <c r="BE105" s="32">
        <v>0</v>
      </c>
      <c r="BF105" s="32">
        <f>P105</f>
        <v>3.4000000000000002E-4</v>
      </c>
      <c r="BH105" s="32">
        <f>G105*AO105</f>
        <v>0</v>
      </c>
      <c r="BI105" s="32">
        <f>G105*AP105</f>
        <v>0</v>
      </c>
      <c r="BJ105" s="32">
        <f>G105*H105</f>
        <v>0</v>
      </c>
      <c r="BK105" s="36" t="s">
        <v>66</v>
      </c>
      <c r="BL105" s="32">
        <v>721</v>
      </c>
      <c r="BW105" s="32">
        <f>I105</f>
        <v>21</v>
      </c>
      <c r="BX105" s="4" t="s">
        <v>278</v>
      </c>
    </row>
    <row r="106" spans="1:76" ht="13.5" customHeight="1" x14ac:dyDescent="0.25">
      <c r="A106" s="42"/>
      <c r="C106" s="43"/>
      <c r="D106" s="95" t="s">
        <v>260</v>
      </c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7"/>
    </row>
    <row r="107" spans="1:76" x14ac:dyDescent="0.25">
      <c r="A107" s="2" t="s">
        <v>279</v>
      </c>
      <c r="B107" s="3" t="s">
        <v>55</v>
      </c>
      <c r="C107" s="3" t="s">
        <v>280</v>
      </c>
      <c r="D107" s="89" t="s">
        <v>281</v>
      </c>
      <c r="E107" s="90"/>
      <c r="F107" s="3" t="s">
        <v>88</v>
      </c>
      <c r="G107" s="32">
        <v>1</v>
      </c>
      <c r="H107" s="199">
        <v>0</v>
      </c>
      <c r="I107" s="33">
        <v>21</v>
      </c>
      <c r="J107" s="32">
        <f>ROUND(G107*AO107,2)</f>
        <v>0</v>
      </c>
      <c r="K107" s="32">
        <f>ROUND(G107*AP107,2)</f>
        <v>0</v>
      </c>
      <c r="L107" s="32">
        <f>ROUND(G107*H107,2)</f>
        <v>0</v>
      </c>
      <c r="M107" s="32">
        <f>L107*(1+BW107/100)</f>
        <v>0</v>
      </c>
      <c r="N107" s="34">
        <f>IF(L649=0,0,L107/L649)</f>
        <v>0</v>
      </c>
      <c r="O107" s="32">
        <v>3.4000000000000002E-4</v>
      </c>
      <c r="P107" s="32">
        <f>G107*O107</f>
        <v>3.4000000000000002E-4</v>
      </c>
      <c r="Q107" s="35" t="s">
        <v>77</v>
      </c>
      <c r="Z107" s="32">
        <f>ROUND(IF(AQ107="5",BJ107,0),2)</f>
        <v>0</v>
      </c>
      <c r="AB107" s="32">
        <f>ROUND(IF(AQ107="1",BH107,0),2)</f>
        <v>0</v>
      </c>
      <c r="AC107" s="32">
        <f>ROUND(IF(AQ107="1",BI107,0),2)</f>
        <v>0</v>
      </c>
      <c r="AD107" s="32">
        <f>ROUND(IF(AQ107="7",BH107,0),2)</f>
        <v>0</v>
      </c>
      <c r="AE107" s="32">
        <f>ROUND(IF(AQ107="7",BI107,0),2)</f>
        <v>0</v>
      </c>
      <c r="AF107" s="32">
        <f>ROUND(IF(AQ107="2",BH107,0),2)</f>
        <v>0</v>
      </c>
      <c r="AG107" s="32">
        <f>ROUND(IF(AQ107="2",BI107,0),2)</f>
        <v>0</v>
      </c>
      <c r="AH107" s="32">
        <f>ROUND(IF(AQ107="0",BJ107,0),2)</f>
        <v>0</v>
      </c>
      <c r="AI107" s="12" t="s">
        <v>55</v>
      </c>
      <c r="AJ107" s="32">
        <f>IF(AN107=0,L107,0)</f>
        <v>0</v>
      </c>
      <c r="AK107" s="32">
        <f>IF(AN107=12,L107,0)</f>
        <v>0</v>
      </c>
      <c r="AL107" s="32">
        <f>IF(AN107=21,L107,0)</f>
        <v>0</v>
      </c>
      <c r="AN107" s="32">
        <v>21</v>
      </c>
      <c r="AO107" s="32">
        <f>H107*0.572748713</f>
        <v>0</v>
      </c>
      <c r="AP107" s="32">
        <f>H107*(1-0.572748713)</f>
        <v>0</v>
      </c>
      <c r="AQ107" s="36" t="s">
        <v>90</v>
      </c>
      <c r="AV107" s="32">
        <f>ROUND(AW107+AX107,2)</f>
        <v>0</v>
      </c>
      <c r="AW107" s="32">
        <f>ROUND(G107*AO107,2)</f>
        <v>0</v>
      </c>
      <c r="AX107" s="32">
        <f>ROUND(G107*AP107,2)</f>
        <v>0</v>
      </c>
      <c r="AY107" s="36" t="s">
        <v>244</v>
      </c>
      <c r="AZ107" s="36" t="s">
        <v>245</v>
      </c>
      <c r="BA107" s="12" t="s">
        <v>65</v>
      </c>
      <c r="BC107" s="32">
        <f>AW107+AX107</f>
        <v>0</v>
      </c>
      <c r="BD107" s="32">
        <f>H107/(100-BE107)*100</f>
        <v>0</v>
      </c>
      <c r="BE107" s="32">
        <v>0</v>
      </c>
      <c r="BF107" s="32">
        <f>P107</f>
        <v>3.4000000000000002E-4</v>
      </c>
      <c r="BH107" s="32">
        <f>G107*AO107</f>
        <v>0</v>
      </c>
      <c r="BI107" s="32">
        <f>G107*AP107</f>
        <v>0</v>
      </c>
      <c r="BJ107" s="32">
        <f>G107*H107</f>
        <v>0</v>
      </c>
      <c r="BK107" s="36" t="s">
        <v>66</v>
      </c>
      <c r="BL107" s="32">
        <v>721</v>
      </c>
      <c r="BW107" s="32">
        <f>I107</f>
        <v>21</v>
      </c>
      <c r="BX107" s="4" t="s">
        <v>281</v>
      </c>
    </row>
    <row r="108" spans="1:76" ht="13.5" customHeight="1" x14ac:dyDescent="0.25">
      <c r="A108" s="42"/>
      <c r="C108" s="43"/>
      <c r="D108" s="95" t="s">
        <v>260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7"/>
    </row>
    <row r="109" spans="1:76" x14ac:dyDescent="0.25">
      <c r="A109" s="2" t="s">
        <v>282</v>
      </c>
      <c r="B109" s="3" t="s">
        <v>55</v>
      </c>
      <c r="C109" s="3" t="s">
        <v>283</v>
      </c>
      <c r="D109" s="89" t="s">
        <v>284</v>
      </c>
      <c r="E109" s="90"/>
      <c r="F109" s="3" t="s">
        <v>136</v>
      </c>
      <c r="G109" s="32">
        <v>8</v>
      </c>
      <c r="H109" s="199">
        <v>0</v>
      </c>
      <c r="I109" s="33">
        <v>21</v>
      </c>
      <c r="J109" s="32">
        <f>ROUND(G109*AO109,2)</f>
        <v>0</v>
      </c>
      <c r="K109" s="32">
        <f>ROUND(G109*AP109,2)</f>
        <v>0</v>
      </c>
      <c r="L109" s="32">
        <f>ROUND(G109*H109,2)</f>
        <v>0</v>
      </c>
      <c r="M109" s="32">
        <f>L109*(1+BW109/100)</f>
        <v>0</v>
      </c>
      <c r="N109" s="34">
        <f>IF(L649=0,0,L109/L649)</f>
        <v>0</v>
      </c>
      <c r="O109" s="32">
        <v>5.1999999999999995E-4</v>
      </c>
      <c r="P109" s="32">
        <f>G109*O109</f>
        <v>4.1599999999999996E-3</v>
      </c>
      <c r="Q109" s="35" t="s">
        <v>77</v>
      </c>
      <c r="Z109" s="32">
        <f>ROUND(IF(AQ109="5",BJ109,0),2)</f>
        <v>0</v>
      </c>
      <c r="AB109" s="32">
        <f>ROUND(IF(AQ109="1",BH109,0),2)</f>
        <v>0</v>
      </c>
      <c r="AC109" s="32">
        <f>ROUND(IF(AQ109="1",BI109,0),2)</f>
        <v>0</v>
      </c>
      <c r="AD109" s="32">
        <f>ROUND(IF(AQ109="7",BH109,0),2)</f>
        <v>0</v>
      </c>
      <c r="AE109" s="32">
        <f>ROUND(IF(AQ109="7",BI109,0),2)</f>
        <v>0</v>
      </c>
      <c r="AF109" s="32">
        <f>ROUND(IF(AQ109="2",BH109,0),2)</f>
        <v>0</v>
      </c>
      <c r="AG109" s="32">
        <f>ROUND(IF(AQ109="2",BI109,0),2)</f>
        <v>0</v>
      </c>
      <c r="AH109" s="32">
        <f>ROUND(IF(AQ109="0",BJ109,0),2)</f>
        <v>0</v>
      </c>
      <c r="AI109" s="12" t="s">
        <v>55</v>
      </c>
      <c r="AJ109" s="32">
        <f>IF(AN109=0,L109,0)</f>
        <v>0</v>
      </c>
      <c r="AK109" s="32">
        <f>IF(AN109=12,L109,0)</f>
        <v>0</v>
      </c>
      <c r="AL109" s="32">
        <f>IF(AN109=21,L109,0)</f>
        <v>0</v>
      </c>
      <c r="AN109" s="32">
        <v>21</v>
      </c>
      <c r="AO109" s="32">
        <f>H109*0.350889749</f>
        <v>0</v>
      </c>
      <c r="AP109" s="32">
        <f>H109*(1-0.350889749)</f>
        <v>0</v>
      </c>
      <c r="AQ109" s="36" t="s">
        <v>90</v>
      </c>
      <c r="AV109" s="32">
        <f>ROUND(AW109+AX109,2)</f>
        <v>0</v>
      </c>
      <c r="AW109" s="32">
        <f>ROUND(G109*AO109,2)</f>
        <v>0</v>
      </c>
      <c r="AX109" s="32">
        <f>ROUND(G109*AP109,2)</f>
        <v>0</v>
      </c>
      <c r="AY109" s="36" t="s">
        <v>244</v>
      </c>
      <c r="AZ109" s="36" t="s">
        <v>245</v>
      </c>
      <c r="BA109" s="12" t="s">
        <v>65</v>
      </c>
      <c r="BC109" s="32">
        <f>AW109+AX109</f>
        <v>0</v>
      </c>
      <c r="BD109" s="32">
        <f>H109/(100-BE109)*100</f>
        <v>0</v>
      </c>
      <c r="BE109" s="32">
        <v>0</v>
      </c>
      <c r="BF109" s="32">
        <f>P109</f>
        <v>4.1599999999999996E-3</v>
      </c>
      <c r="BH109" s="32">
        <f>G109*AO109</f>
        <v>0</v>
      </c>
      <c r="BI109" s="32">
        <f>G109*AP109</f>
        <v>0</v>
      </c>
      <c r="BJ109" s="32">
        <f>G109*H109</f>
        <v>0</v>
      </c>
      <c r="BK109" s="36" t="s">
        <v>66</v>
      </c>
      <c r="BL109" s="32">
        <v>721</v>
      </c>
      <c r="BW109" s="32">
        <f>I109</f>
        <v>21</v>
      </c>
      <c r="BX109" s="4" t="s">
        <v>284</v>
      </c>
    </row>
    <row r="110" spans="1:76" ht="13.5" customHeight="1" x14ac:dyDescent="0.25">
      <c r="A110" s="42"/>
      <c r="C110" s="43"/>
      <c r="D110" s="95" t="s">
        <v>285</v>
      </c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7"/>
    </row>
    <row r="111" spans="1:76" x14ac:dyDescent="0.25">
      <c r="A111" s="2" t="s">
        <v>286</v>
      </c>
      <c r="B111" s="3" t="s">
        <v>55</v>
      </c>
      <c r="C111" s="3" t="s">
        <v>287</v>
      </c>
      <c r="D111" s="89" t="s">
        <v>288</v>
      </c>
      <c r="E111" s="90"/>
      <c r="F111" s="3" t="s">
        <v>136</v>
      </c>
      <c r="G111" s="32">
        <v>5</v>
      </c>
      <c r="H111" s="199">
        <v>0</v>
      </c>
      <c r="I111" s="33">
        <v>21</v>
      </c>
      <c r="J111" s="32">
        <f>ROUND(G111*AO111,2)</f>
        <v>0</v>
      </c>
      <c r="K111" s="32">
        <f>ROUND(G111*AP111,2)</f>
        <v>0</v>
      </c>
      <c r="L111" s="32">
        <f>ROUND(G111*H111,2)</f>
        <v>0</v>
      </c>
      <c r="M111" s="32">
        <f>L111*(1+BW111/100)</f>
        <v>0</v>
      </c>
      <c r="N111" s="34">
        <f>IF(L649=0,0,L111/L649)</f>
        <v>0</v>
      </c>
      <c r="O111" s="32">
        <v>1.31E-3</v>
      </c>
      <c r="P111" s="32">
        <f>G111*O111</f>
        <v>6.5500000000000003E-3</v>
      </c>
      <c r="Q111" s="35" t="s">
        <v>77</v>
      </c>
      <c r="Z111" s="32">
        <f>ROUND(IF(AQ111="5",BJ111,0),2)</f>
        <v>0</v>
      </c>
      <c r="AB111" s="32">
        <f>ROUND(IF(AQ111="1",BH111,0),2)</f>
        <v>0</v>
      </c>
      <c r="AC111" s="32">
        <f>ROUND(IF(AQ111="1",BI111,0),2)</f>
        <v>0</v>
      </c>
      <c r="AD111" s="32">
        <f>ROUND(IF(AQ111="7",BH111,0),2)</f>
        <v>0</v>
      </c>
      <c r="AE111" s="32">
        <f>ROUND(IF(AQ111="7",BI111,0),2)</f>
        <v>0</v>
      </c>
      <c r="AF111" s="32">
        <f>ROUND(IF(AQ111="2",BH111,0),2)</f>
        <v>0</v>
      </c>
      <c r="AG111" s="32">
        <f>ROUND(IF(AQ111="2",BI111,0),2)</f>
        <v>0</v>
      </c>
      <c r="AH111" s="32">
        <f>ROUND(IF(AQ111="0",BJ111,0),2)</f>
        <v>0</v>
      </c>
      <c r="AI111" s="12" t="s">
        <v>55</v>
      </c>
      <c r="AJ111" s="32">
        <f>IF(AN111=0,L111,0)</f>
        <v>0</v>
      </c>
      <c r="AK111" s="32">
        <f>IF(AN111=12,L111,0)</f>
        <v>0</v>
      </c>
      <c r="AL111" s="32">
        <f>IF(AN111=21,L111,0)</f>
        <v>0</v>
      </c>
      <c r="AN111" s="32">
        <v>21</v>
      </c>
      <c r="AO111" s="32">
        <f>H111*0.372245658</f>
        <v>0</v>
      </c>
      <c r="AP111" s="32">
        <f>H111*(1-0.372245658)</f>
        <v>0</v>
      </c>
      <c r="AQ111" s="36" t="s">
        <v>90</v>
      </c>
      <c r="AV111" s="32">
        <f>ROUND(AW111+AX111,2)</f>
        <v>0</v>
      </c>
      <c r="AW111" s="32">
        <f>ROUND(G111*AO111,2)</f>
        <v>0</v>
      </c>
      <c r="AX111" s="32">
        <f>ROUND(G111*AP111,2)</f>
        <v>0</v>
      </c>
      <c r="AY111" s="36" t="s">
        <v>244</v>
      </c>
      <c r="AZ111" s="36" t="s">
        <v>245</v>
      </c>
      <c r="BA111" s="12" t="s">
        <v>65</v>
      </c>
      <c r="BC111" s="32">
        <f>AW111+AX111</f>
        <v>0</v>
      </c>
      <c r="BD111" s="32">
        <f>H111/(100-BE111)*100</f>
        <v>0</v>
      </c>
      <c r="BE111" s="32">
        <v>0</v>
      </c>
      <c r="BF111" s="32">
        <f>P111</f>
        <v>6.5500000000000003E-3</v>
      </c>
      <c r="BH111" s="32">
        <f>G111*AO111</f>
        <v>0</v>
      </c>
      <c r="BI111" s="32">
        <f>G111*AP111</f>
        <v>0</v>
      </c>
      <c r="BJ111" s="32">
        <f>G111*H111</f>
        <v>0</v>
      </c>
      <c r="BK111" s="36" t="s">
        <v>66</v>
      </c>
      <c r="BL111" s="32">
        <v>721</v>
      </c>
      <c r="BW111" s="32">
        <f>I111</f>
        <v>21</v>
      </c>
      <c r="BX111" s="4" t="s">
        <v>288</v>
      </c>
    </row>
    <row r="112" spans="1:76" ht="13.5" customHeight="1" x14ac:dyDescent="0.25">
      <c r="A112" s="42"/>
      <c r="C112" s="43"/>
      <c r="D112" s="95" t="s">
        <v>285</v>
      </c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7"/>
    </row>
    <row r="113" spans="1:76" x14ac:dyDescent="0.25">
      <c r="A113" s="2" t="s">
        <v>289</v>
      </c>
      <c r="B113" s="3" t="s">
        <v>55</v>
      </c>
      <c r="C113" s="3" t="s">
        <v>290</v>
      </c>
      <c r="D113" s="89" t="s">
        <v>291</v>
      </c>
      <c r="E113" s="90"/>
      <c r="F113" s="3" t="s">
        <v>88</v>
      </c>
      <c r="G113" s="32">
        <v>11</v>
      </c>
      <c r="H113" s="199">
        <v>0</v>
      </c>
      <c r="I113" s="33">
        <v>21</v>
      </c>
      <c r="J113" s="32">
        <f t="shared" ref="J113:J121" si="0">ROUND(G113*AO113,2)</f>
        <v>0</v>
      </c>
      <c r="K113" s="32">
        <f t="shared" ref="K113:K121" si="1">ROUND(G113*AP113,2)</f>
        <v>0</v>
      </c>
      <c r="L113" s="32">
        <f t="shared" ref="L113:L121" si="2">ROUND(G113*H113,2)</f>
        <v>0</v>
      </c>
      <c r="M113" s="32">
        <f t="shared" ref="M113:M121" si="3">L113*(1+BW113/100)</f>
        <v>0</v>
      </c>
      <c r="N113" s="34">
        <f>IF(L649=0,0,L113/L649)</f>
        <v>0</v>
      </c>
      <c r="O113" s="32">
        <v>0</v>
      </c>
      <c r="P113" s="32">
        <f t="shared" ref="P113:P121" si="4">G113*O113</f>
        <v>0</v>
      </c>
      <c r="Q113" s="35" t="s">
        <v>77</v>
      </c>
      <c r="Z113" s="32">
        <f t="shared" ref="Z113:Z121" si="5">ROUND(IF(AQ113="5",BJ113,0),2)</f>
        <v>0</v>
      </c>
      <c r="AB113" s="32">
        <f t="shared" ref="AB113:AB121" si="6">ROUND(IF(AQ113="1",BH113,0),2)</f>
        <v>0</v>
      </c>
      <c r="AC113" s="32">
        <f t="shared" ref="AC113:AC121" si="7">ROUND(IF(AQ113="1",BI113,0),2)</f>
        <v>0</v>
      </c>
      <c r="AD113" s="32">
        <f t="shared" ref="AD113:AD121" si="8">ROUND(IF(AQ113="7",BH113,0),2)</f>
        <v>0</v>
      </c>
      <c r="AE113" s="32">
        <f t="shared" ref="AE113:AE121" si="9">ROUND(IF(AQ113="7",BI113,0),2)</f>
        <v>0</v>
      </c>
      <c r="AF113" s="32">
        <f t="shared" ref="AF113:AF121" si="10">ROUND(IF(AQ113="2",BH113,0),2)</f>
        <v>0</v>
      </c>
      <c r="AG113" s="32">
        <f t="shared" ref="AG113:AG121" si="11">ROUND(IF(AQ113="2",BI113,0),2)</f>
        <v>0</v>
      </c>
      <c r="AH113" s="32">
        <f t="shared" ref="AH113:AH121" si="12">ROUND(IF(AQ113="0",BJ113,0),2)</f>
        <v>0</v>
      </c>
      <c r="AI113" s="12" t="s">
        <v>55</v>
      </c>
      <c r="AJ113" s="32">
        <f t="shared" ref="AJ113:AJ121" si="13">IF(AN113=0,L113,0)</f>
        <v>0</v>
      </c>
      <c r="AK113" s="32">
        <f t="shared" ref="AK113:AK121" si="14">IF(AN113=12,L113,0)</f>
        <v>0</v>
      </c>
      <c r="AL113" s="32">
        <f t="shared" ref="AL113:AL121" si="15">IF(AN113=21,L113,0)</f>
        <v>0</v>
      </c>
      <c r="AN113" s="32">
        <v>21</v>
      </c>
      <c r="AO113" s="32">
        <f>H113*0.452919305</f>
        <v>0</v>
      </c>
      <c r="AP113" s="32">
        <f>H113*(1-0.452919305)</f>
        <v>0</v>
      </c>
      <c r="AQ113" s="36" t="s">
        <v>90</v>
      </c>
      <c r="AV113" s="32">
        <f t="shared" ref="AV113:AV121" si="16">ROUND(AW113+AX113,2)</f>
        <v>0</v>
      </c>
      <c r="AW113" s="32">
        <f t="shared" ref="AW113:AW121" si="17">ROUND(G113*AO113,2)</f>
        <v>0</v>
      </c>
      <c r="AX113" s="32">
        <f t="shared" ref="AX113:AX121" si="18">ROUND(G113*AP113,2)</f>
        <v>0</v>
      </c>
      <c r="AY113" s="36" t="s">
        <v>244</v>
      </c>
      <c r="AZ113" s="36" t="s">
        <v>245</v>
      </c>
      <c r="BA113" s="12" t="s">
        <v>65</v>
      </c>
      <c r="BC113" s="32">
        <f t="shared" ref="BC113:BC121" si="19">AW113+AX113</f>
        <v>0</v>
      </c>
      <c r="BD113" s="32">
        <f t="shared" ref="BD113:BD121" si="20">H113/(100-BE113)*100</f>
        <v>0</v>
      </c>
      <c r="BE113" s="32">
        <v>0</v>
      </c>
      <c r="BF113" s="32">
        <f t="shared" ref="BF113:BF121" si="21">P113</f>
        <v>0</v>
      </c>
      <c r="BH113" s="32">
        <f t="shared" ref="BH113:BH121" si="22">G113*AO113</f>
        <v>0</v>
      </c>
      <c r="BI113" s="32">
        <f t="shared" ref="BI113:BI121" si="23">G113*AP113</f>
        <v>0</v>
      </c>
      <c r="BJ113" s="32">
        <f t="shared" ref="BJ113:BJ121" si="24">G113*H113</f>
        <v>0</v>
      </c>
      <c r="BK113" s="36" t="s">
        <v>66</v>
      </c>
      <c r="BL113" s="32">
        <v>721</v>
      </c>
      <c r="BW113" s="32">
        <f t="shared" ref="BW113:BW121" si="25">I113</f>
        <v>21</v>
      </c>
      <c r="BX113" s="4" t="s">
        <v>291</v>
      </c>
    </row>
    <row r="114" spans="1:76" x14ac:dyDescent="0.25">
      <c r="A114" s="2" t="s">
        <v>292</v>
      </c>
      <c r="B114" s="3" t="s">
        <v>55</v>
      </c>
      <c r="C114" s="3" t="s">
        <v>293</v>
      </c>
      <c r="D114" s="89" t="s">
        <v>294</v>
      </c>
      <c r="E114" s="90"/>
      <c r="F114" s="3" t="s">
        <v>88</v>
      </c>
      <c r="G114" s="32">
        <v>1</v>
      </c>
      <c r="H114" s="199">
        <v>0</v>
      </c>
      <c r="I114" s="33">
        <v>21</v>
      </c>
      <c r="J114" s="32">
        <f t="shared" si="0"/>
        <v>0</v>
      </c>
      <c r="K114" s="32">
        <f t="shared" si="1"/>
        <v>0</v>
      </c>
      <c r="L114" s="32">
        <f t="shared" si="2"/>
        <v>0</v>
      </c>
      <c r="M114" s="32">
        <f t="shared" si="3"/>
        <v>0</v>
      </c>
      <c r="N114" s="34">
        <f>IF(L649=0,0,L114/L649)</f>
        <v>0</v>
      </c>
      <c r="O114" s="32">
        <v>0</v>
      </c>
      <c r="P114" s="32">
        <f t="shared" si="4"/>
        <v>0</v>
      </c>
      <c r="Q114" s="35" t="s">
        <v>77</v>
      </c>
      <c r="Z114" s="32">
        <f t="shared" si="5"/>
        <v>0</v>
      </c>
      <c r="AB114" s="32">
        <f t="shared" si="6"/>
        <v>0</v>
      </c>
      <c r="AC114" s="32">
        <f t="shared" si="7"/>
        <v>0</v>
      </c>
      <c r="AD114" s="32">
        <f t="shared" si="8"/>
        <v>0</v>
      </c>
      <c r="AE114" s="32">
        <f t="shared" si="9"/>
        <v>0</v>
      </c>
      <c r="AF114" s="32">
        <f t="shared" si="10"/>
        <v>0</v>
      </c>
      <c r="AG114" s="32">
        <f t="shared" si="11"/>
        <v>0</v>
      </c>
      <c r="AH114" s="32">
        <f t="shared" si="12"/>
        <v>0</v>
      </c>
      <c r="AI114" s="12" t="s">
        <v>55</v>
      </c>
      <c r="AJ114" s="32">
        <f t="shared" si="13"/>
        <v>0</v>
      </c>
      <c r="AK114" s="32">
        <f t="shared" si="14"/>
        <v>0</v>
      </c>
      <c r="AL114" s="32">
        <f t="shared" si="15"/>
        <v>0</v>
      </c>
      <c r="AN114" s="32">
        <v>21</v>
      </c>
      <c r="AO114" s="32">
        <f>H114*0.598643468</f>
        <v>0</v>
      </c>
      <c r="AP114" s="32">
        <f>H114*(1-0.598643468)</f>
        <v>0</v>
      </c>
      <c r="AQ114" s="36" t="s">
        <v>90</v>
      </c>
      <c r="AV114" s="32">
        <f t="shared" si="16"/>
        <v>0</v>
      </c>
      <c r="AW114" s="32">
        <f t="shared" si="17"/>
        <v>0</v>
      </c>
      <c r="AX114" s="32">
        <f t="shared" si="18"/>
        <v>0</v>
      </c>
      <c r="AY114" s="36" t="s">
        <v>244</v>
      </c>
      <c r="AZ114" s="36" t="s">
        <v>245</v>
      </c>
      <c r="BA114" s="12" t="s">
        <v>65</v>
      </c>
      <c r="BC114" s="32">
        <f t="shared" si="19"/>
        <v>0</v>
      </c>
      <c r="BD114" s="32">
        <f t="shared" si="20"/>
        <v>0</v>
      </c>
      <c r="BE114" s="32">
        <v>0</v>
      </c>
      <c r="BF114" s="32">
        <f t="shared" si="21"/>
        <v>0</v>
      </c>
      <c r="BH114" s="32">
        <f t="shared" si="22"/>
        <v>0</v>
      </c>
      <c r="BI114" s="32">
        <f t="shared" si="23"/>
        <v>0</v>
      </c>
      <c r="BJ114" s="32">
        <f t="shared" si="24"/>
        <v>0</v>
      </c>
      <c r="BK114" s="36" t="s">
        <v>66</v>
      </c>
      <c r="BL114" s="32">
        <v>721</v>
      </c>
      <c r="BW114" s="32">
        <f t="shared" si="25"/>
        <v>21</v>
      </c>
      <c r="BX114" s="4" t="s">
        <v>294</v>
      </c>
    </row>
    <row r="115" spans="1:76" x14ac:dyDescent="0.25">
      <c r="A115" s="2" t="s">
        <v>295</v>
      </c>
      <c r="B115" s="3" t="s">
        <v>55</v>
      </c>
      <c r="C115" s="3" t="s">
        <v>296</v>
      </c>
      <c r="D115" s="89" t="s">
        <v>297</v>
      </c>
      <c r="E115" s="90"/>
      <c r="F115" s="3" t="s">
        <v>88</v>
      </c>
      <c r="G115" s="32">
        <v>1</v>
      </c>
      <c r="H115" s="199">
        <v>0</v>
      </c>
      <c r="I115" s="33">
        <v>21</v>
      </c>
      <c r="J115" s="32">
        <f t="shared" si="0"/>
        <v>0</v>
      </c>
      <c r="K115" s="32">
        <f t="shared" si="1"/>
        <v>0</v>
      </c>
      <c r="L115" s="32">
        <f t="shared" si="2"/>
        <v>0</v>
      </c>
      <c r="M115" s="32">
        <f t="shared" si="3"/>
        <v>0</v>
      </c>
      <c r="N115" s="34">
        <f>IF(L649=0,0,L115/L649)</f>
        <v>0</v>
      </c>
      <c r="O115" s="32">
        <v>0</v>
      </c>
      <c r="P115" s="32">
        <f t="shared" si="4"/>
        <v>0</v>
      </c>
      <c r="Q115" s="35" t="s">
        <v>77</v>
      </c>
      <c r="Z115" s="32">
        <f t="shared" si="5"/>
        <v>0</v>
      </c>
      <c r="AB115" s="32">
        <f t="shared" si="6"/>
        <v>0</v>
      </c>
      <c r="AC115" s="32">
        <f t="shared" si="7"/>
        <v>0</v>
      </c>
      <c r="AD115" s="32">
        <f t="shared" si="8"/>
        <v>0</v>
      </c>
      <c r="AE115" s="32">
        <f t="shared" si="9"/>
        <v>0</v>
      </c>
      <c r="AF115" s="32">
        <f t="shared" si="10"/>
        <v>0</v>
      </c>
      <c r="AG115" s="32">
        <f t="shared" si="11"/>
        <v>0</v>
      </c>
      <c r="AH115" s="32">
        <f t="shared" si="12"/>
        <v>0</v>
      </c>
      <c r="AI115" s="12" t="s">
        <v>55</v>
      </c>
      <c r="AJ115" s="32">
        <f t="shared" si="13"/>
        <v>0</v>
      </c>
      <c r="AK115" s="32">
        <f t="shared" si="14"/>
        <v>0</v>
      </c>
      <c r="AL115" s="32">
        <f t="shared" si="15"/>
        <v>0</v>
      </c>
      <c r="AN115" s="32">
        <v>21</v>
      </c>
      <c r="AO115" s="32">
        <f>H115*0.50959373</f>
        <v>0</v>
      </c>
      <c r="AP115" s="32">
        <f>H115*(1-0.50959373)</f>
        <v>0</v>
      </c>
      <c r="AQ115" s="36" t="s">
        <v>90</v>
      </c>
      <c r="AV115" s="32">
        <f t="shared" si="16"/>
        <v>0</v>
      </c>
      <c r="AW115" s="32">
        <f t="shared" si="17"/>
        <v>0</v>
      </c>
      <c r="AX115" s="32">
        <f t="shared" si="18"/>
        <v>0</v>
      </c>
      <c r="AY115" s="36" t="s">
        <v>244</v>
      </c>
      <c r="AZ115" s="36" t="s">
        <v>245</v>
      </c>
      <c r="BA115" s="12" t="s">
        <v>65</v>
      </c>
      <c r="BC115" s="32">
        <f t="shared" si="19"/>
        <v>0</v>
      </c>
      <c r="BD115" s="32">
        <f t="shared" si="20"/>
        <v>0</v>
      </c>
      <c r="BE115" s="32">
        <v>0</v>
      </c>
      <c r="BF115" s="32">
        <f t="shared" si="21"/>
        <v>0</v>
      </c>
      <c r="BH115" s="32">
        <f t="shared" si="22"/>
        <v>0</v>
      </c>
      <c r="BI115" s="32">
        <f t="shared" si="23"/>
        <v>0</v>
      </c>
      <c r="BJ115" s="32">
        <f t="shared" si="24"/>
        <v>0</v>
      </c>
      <c r="BK115" s="36" t="s">
        <v>66</v>
      </c>
      <c r="BL115" s="32">
        <v>721</v>
      </c>
      <c r="BW115" s="32">
        <f t="shared" si="25"/>
        <v>21</v>
      </c>
      <c r="BX115" s="4" t="s">
        <v>297</v>
      </c>
    </row>
    <row r="116" spans="1:76" x14ac:dyDescent="0.25">
      <c r="A116" s="2" t="s">
        <v>131</v>
      </c>
      <c r="B116" s="3" t="s">
        <v>55</v>
      </c>
      <c r="C116" s="3" t="s">
        <v>298</v>
      </c>
      <c r="D116" s="89" t="s">
        <v>299</v>
      </c>
      <c r="E116" s="90"/>
      <c r="F116" s="3" t="s">
        <v>88</v>
      </c>
      <c r="G116" s="32">
        <v>1</v>
      </c>
      <c r="H116" s="199">
        <v>0</v>
      </c>
      <c r="I116" s="33">
        <v>21</v>
      </c>
      <c r="J116" s="32">
        <f t="shared" si="0"/>
        <v>0</v>
      </c>
      <c r="K116" s="32">
        <f t="shared" si="1"/>
        <v>0</v>
      </c>
      <c r="L116" s="32">
        <f t="shared" si="2"/>
        <v>0</v>
      </c>
      <c r="M116" s="32">
        <f t="shared" si="3"/>
        <v>0</v>
      </c>
      <c r="N116" s="34">
        <f>IF(L649=0,0,L116/L649)</f>
        <v>0</v>
      </c>
      <c r="O116" s="32">
        <v>0</v>
      </c>
      <c r="P116" s="32">
        <f t="shared" si="4"/>
        <v>0</v>
      </c>
      <c r="Q116" s="35" t="s">
        <v>77</v>
      </c>
      <c r="Z116" s="32">
        <f t="shared" si="5"/>
        <v>0</v>
      </c>
      <c r="AB116" s="32">
        <f t="shared" si="6"/>
        <v>0</v>
      </c>
      <c r="AC116" s="32">
        <f t="shared" si="7"/>
        <v>0</v>
      </c>
      <c r="AD116" s="32">
        <f t="shared" si="8"/>
        <v>0</v>
      </c>
      <c r="AE116" s="32">
        <f t="shared" si="9"/>
        <v>0</v>
      </c>
      <c r="AF116" s="32">
        <f t="shared" si="10"/>
        <v>0</v>
      </c>
      <c r="AG116" s="32">
        <f t="shared" si="11"/>
        <v>0</v>
      </c>
      <c r="AH116" s="32">
        <f t="shared" si="12"/>
        <v>0</v>
      </c>
      <c r="AI116" s="12" t="s">
        <v>55</v>
      </c>
      <c r="AJ116" s="32">
        <f t="shared" si="13"/>
        <v>0</v>
      </c>
      <c r="AK116" s="32">
        <f t="shared" si="14"/>
        <v>0</v>
      </c>
      <c r="AL116" s="32">
        <f t="shared" si="15"/>
        <v>0</v>
      </c>
      <c r="AN116" s="32">
        <v>21</v>
      </c>
      <c r="AO116" s="32">
        <f>H116*0.625944757</f>
        <v>0</v>
      </c>
      <c r="AP116" s="32">
        <f>H116*(1-0.625944757)</f>
        <v>0</v>
      </c>
      <c r="AQ116" s="36" t="s">
        <v>90</v>
      </c>
      <c r="AV116" s="32">
        <f t="shared" si="16"/>
        <v>0</v>
      </c>
      <c r="AW116" s="32">
        <f t="shared" si="17"/>
        <v>0</v>
      </c>
      <c r="AX116" s="32">
        <f t="shared" si="18"/>
        <v>0</v>
      </c>
      <c r="AY116" s="36" t="s">
        <v>244</v>
      </c>
      <c r="AZ116" s="36" t="s">
        <v>245</v>
      </c>
      <c r="BA116" s="12" t="s">
        <v>65</v>
      </c>
      <c r="BC116" s="32">
        <f t="shared" si="19"/>
        <v>0</v>
      </c>
      <c r="BD116" s="32">
        <f t="shared" si="20"/>
        <v>0</v>
      </c>
      <c r="BE116" s="32">
        <v>0</v>
      </c>
      <c r="BF116" s="32">
        <f t="shared" si="21"/>
        <v>0</v>
      </c>
      <c r="BH116" s="32">
        <f t="shared" si="22"/>
        <v>0</v>
      </c>
      <c r="BI116" s="32">
        <f t="shared" si="23"/>
        <v>0</v>
      </c>
      <c r="BJ116" s="32">
        <f t="shared" si="24"/>
        <v>0</v>
      </c>
      <c r="BK116" s="36" t="s">
        <v>66</v>
      </c>
      <c r="BL116" s="32">
        <v>721</v>
      </c>
      <c r="BW116" s="32">
        <f t="shared" si="25"/>
        <v>21</v>
      </c>
      <c r="BX116" s="4" t="s">
        <v>299</v>
      </c>
    </row>
    <row r="117" spans="1:76" x14ac:dyDescent="0.25">
      <c r="A117" s="2" t="s">
        <v>300</v>
      </c>
      <c r="B117" s="3" t="s">
        <v>55</v>
      </c>
      <c r="C117" s="3" t="s">
        <v>301</v>
      </c>
      <c r="D117" s="89" t="s">
        <v>302</v>
      </c>
      <c r="E117" s="90"/>
      <c r="F117" s="3" t="s">
        <v>88</v>
      </c>
      <c r="G117" s="32">
        <v>1</v>
      </c>
      <c r="H117" s="199">
        <v>0</v>
      </c>
      <c r="I117" s="33">
        <v>21</v>
      </c>
      <c r="J117" s="32">
        <f t="shared" si="0"/>
        <v>0</v>
      </c>
      <c r="K117" s="32">
        <f t="shared" si="1"/>
        <v>0</v>
      </c>
      <c r="L117" s="32">
        <f t="shared" si="2"/>
        <v>0</v>
      </c>
      <c r="M117" s="32">
        <f t="shared" si="3"/>
        <v>0</v>
      </c>
      <c r="N117" s="34">
        <f>IF(L649=0,0,L117/L649)</f>
        <v>0</v>
      </c>
      <c r="O117" s="32">
        <v>0</v>
      </c>
      <c r="P117" s="32">
        <f t="shared" si="4"/>
        <v>0</v>
      </c>
      <c r="Q117" s="35" t="s">
        <v>77</v>
      </c>
      <c r="Z117" s="32">
        <f t="shared" si="5"/>
        <v>0</v>
      </c>
      <c r="AB117" s="32">
        <f t="shared" si="6"/>
        <v>0</v>
      </c>
      <c r="AC117" s="32">
        <f t="shared" si="7"/>
        <v>0</v>
      </c>
      <c r="AD117" s="32">
        <f t="shared" si="8"/>
        <v>0</v>
      </c>
      <c r="AE117" s="32">
        <f t="shared" si="9"/>
        <v>0</v>
      </c>
      <c r="AF117" s="32">
        <f t="shared" si="10"/>
        <v>0</v>
      </c>
      <c r="AG117" s="32">
        <f t="shared" si="11"/>
        <v>0</v>
      </c>
      <c r="AH117" s="32">
        <f t="shared" si="12"/>
        <v>0</v>
      </c>
      <c r="AI117" s="12" t="s">
        <v>55</v>
      </c>
      <c r="AJ117" s="32">
        <f t="shared" si="13"/>
        <v>0</v>
      </c>
      <c r="AK117" s="32">
        <f t="shared" si="14"/>
        <v>0</v>
      </c>
      <c r="AL117" s="32">
        <f t="shared" si="15"/>
        <v>0</v>
      </c>
      <c r="AN117" s="32">
        <v>21</v>
      </c>
      <c r="AO117" s="32">
        <f>H117*0.701845665</f>
        <v>0</v>
      </c>
      <c r="AP117" s="32">
        <f>H117*(1-0.701845665)</f>
        <v>0</v>
      </c>
      <c r="AQ117" s="36" t="s">
        <v>90</v>
      </c>
      <c r="AV117" s="32">
        <f t="shared" si="16"/>
        <v>0</v>
      </c>
      <c r="AW117" s="32">
        <f t="shared" si="17"/>
        <v>0</v>
      </c>
      <c r="AX117" s="32">
        <f t="shared" si="18"/>
        <v>0</v>
      </c>
      <c r="AY117" s="36" t="s">
        <v>244</v>
      </c>
      <c r="AZ117" s="36" t="s">
        <v>245</v>
      </c>
      <c r="BA117" s="12" t="s">
        <v>65</v>
      </c>
      <c r="BC117" s="32">
        <f t="shared" si="19"/>
        <v>0</v>
      </c>
      <c r="BD117" s="32">
        <f t="shared" si="20"/>
        <v>0</v>
      </c>
      <c r="BE117" s="32">
        <v>0</v>
      </c>
      <c r="BF117" s="32">
        <f t="shared" si="21"/>
        <v>0</v>
      </c>
      <c r="BH117" s="32">
        <f t="shared" si="22"/>
        <v>0</v>
      </c>
      <c r="BI117" s="32">
        <f t="shared" si="23"/>
        <v>0</v>
      </c>
      <c r="BJ117" s="32">
        <f t="shared" si="24"/>
        <v>0</v>
      </c>
      <c r="BK117" s="36" t="s">
        <v>66</v>
      </c>
      <c r="BL117" s="32">
        <v>721</v>
      </c>
      <c r="BW117" s="32">
        <f t="shared" si="25"/>
        <v>21</v>
      </c>
      <c r="BX117" s="4" t="s">
        <v>302</v>
      </c>
    </row>
    <row r="118" spans="1:76" x14ac:dyDescent="0.25">
      <c r="A118" s="2" t="s">
        <v>158</v>
      </c>
      <c r="B118" s="3" t="s">
        <v>55</v>
      </c>
      <c r="C118" s="3" t="s">
        <v>303</v>
      </c>
      <c r="D118" s="89" t="s">
        <v>304</v>
      </c>
      <c r="E118" s="90"/>
      <c r="F118" s="3" t="s">
        <v>88</v>
      </c>
      <c r="G118" s="32">
        <v>7</v>
      </c>
      <c r="H118" s="199">
        <v>0</v>
      </c>
      <c r="I118" s="33">
        <v>21</v>
      </c>
      <c r="J118" s="32">
        <f t="shared" si="0"/>
        <v>0</v>
      </c>
      <c r="K118" s="32">
        <f t="shared" si="1"/>
        <v>0</v>
      </c>
      <c r="L118" s="32">
        <f t="shared" si="2"/>
        <v>0</v>
      </c>
      <c r="M118" s="32">
        <f t="shared" si="3"/>
        <v>0</v>
      </c>
      <c r="N118" s="34">
        <f>IF(L649=0,0,L118/L649)</f>
        <v>0</v>
      </c>
      <c r="O118" s="32">
        <v>0</v>
      </c>
      <c r="P118" s="32">
        <f t="shared" si="4"/>
        <v>0</v>
      </c>
      <c r="Q118" s="35" t="s">
        <v>77</v>
      </c>
      <c r="Z118" s="32">
        <f t="shared" si="5"/>
        <v>0</v>
      </c>
      <c r="AB118" s="32">
        <f t="shared" si="6"/>
        <v>0</v>
      </c>
      <c r="AC118" s="32">
        <f t="shared" si="7"/>
        <v>0</v>
      </c>
      <c r="AD118" s="32">
        <f t="shared" si="8"/>
        <v>0</v>
      </c>
      <c r="AE118" s="32">
        <f t="shared" si="9"/>
        <v>0</v>
      </c>
      <c r="AF118" s="32">
        <f t="shared" si="10"/>
        <v>0</v>
      </c>
      <c r="AG118" s="32">
        <f t="shared" si="11"/>
        <v>0</v>
      </c>
      <c r="AH118" s="32">
        <f t="shared" si="12"/>
        <v>0</v>
      </c>
      <c r="AI118" s="12" t="s">
        <v>55</v>
      </c>
      <c r="AJ118" s="32">
        <f t="shared" si="13"/>
        <v>0</v>
      </c>
      <c r="AK118" s="32">
        <f t="shared" si="14"/>
        <v>0</v>
      </c>
      <c r="AL118" s="32">
        <f t="shared" si="15"/>
        <v>0</v>
      </c>
      <c r="AN118" s="32">
        <v>21</v>
      </c>
      <c r="AO118" s="32">
        <f>H118*0.614536442</f>
        <v>0</v>
      </c>
      <c r="AP118" s="32">
        <f>H118*(1-0.614536442)</f>
        <v>0</v>
      </c>
      <c r="AQ118" s="36" t="s">
        <v>90</v>
      </c>
      <c r="AV118" s="32">
        <f t="shared" si="16"/>
        <v>0</v>
      </c>
      <c r="AW118" s="32">
        <f t="shared" si="17"/>
        <v>0</v>
      </c>
      <c r="AX118" s="32">
        <f t="shared" si="18"/>
        <v>0</v>
      </c>
      <c r="AY118" s="36" t="s">
        <v>244</v>
      </c>
      <c r="AZ118" s="36" t="s">
        <v>245</v>
      </c>
      <c r="BA118" s="12" t="s">
        <v>65</v>
      </c>
      <c r="BC118" s="32">
        <f t="shared" si="19"/>
        <v>0</v>
      </c>
      <c r="BD118" s="32">
        <f t="shared" si="20"/>
        <v>0</v>
      </c>
      <c r="BE118" s="32">
        <v>0</v>
      </c>
      <c r="BF118" s="32">
        <f t="shared" si="21"/>
        <v>0</v>
      </c>
      <c r="BH118" s="32">
        <f t="shared" si="22"/>
        <v>0</v>
      </c>
      <c r="BI118" s="32">
        <f t="shared" si="23"/>
        <v>0</v>
      </c>
      <c r="BJ118" s="32">
        <f t="shared" si="24"/>
        <v>0</v>
      </c>
      <c r="BK118" s="36" t="s">
        <v>66</v>
      </c>
      <c r="BL118" s="32">
        <v>721</v>
      </c>
      <c r="BW118" s="32">
        <f t="shared" si="25"/>
        <v>21</v>
      </c>
      <c r="BX118" s="4" t="s">
        <v>304</v>
      </c>
    </row>
    <row r="119" spans="1:76" x14ac:dyDescent="0.25">
      <c r="A119" s="2" t="s">
        <v>183</v>
      </c>
      <c r="B119" s="3" t="s">
        <v>55</v>
      </c>
      <c r="C119" s="3" t="s">
        <v>305</v>
      </c>
      <c r="D119" s="89" t="s">
        <v>306</v>
      </c>
      <c r="E119" s="90"/>
      <c r="F119" s="3" t="s">
        <v>88</v>
      </c>
      <c r="G119" s="32">
        <v>1</v>
      </c>
      <c r="H119" s="199">
        <v>0</v>
      </c>
      <c r="I119" s="33">
        <v>21</v>
      </c>
      <c r="J119" s="32">
        <f t="shared" si="0"/>
        <v>0</v>
      </c>
      <c r="K119" s="32">
        <f t="shared" si="1"/>
        <v>0</v>
      </c>
      <c r="L119" s="32">
        <f t="shared" si="2"/>
        <v>0</v>
      </c>
      <c r="M119" s="32">
        <f t="shared" si="3"/>
        <v>0</v>
      </c>
      <c r="N119" s="34">
        <f>IF(L649=0,0,L119/L649)</f>
        <v>0</v>
      </c>
      <c r="O119" s="32">
        <v>0</v>
      </c>
      <c r="P119" s="32">
        <f t="shared" si="4"/>
        <v>0</v>
      </c>
      <c r="Q119" s="35" t="s">
        <v>77</v>
      </c>
      <c r="Z119" s="32">
        <f t="shared" si="5"/>
        <v>0</v>
      </c>
      <c r="AB119" s="32">
        <f t="shared" si="6"/>
        <v>0</v>
      </c>
      <c r="AC119" s="32">
        <f t="shared" si="7"/>
        <v>0</v>
      </c>
      <c r="AD119" s="32">
        <f t="shared" si="8"/>
        <v>0</v>
      </c>
      <c r="AE119" s="32">
        <f t="shared" si="9"/>
        <v>0</v>
      </c>
      <c r="AF119" s="32">
        <f t="shared" si="10"/>
        <v>0</v>
      </c>
      <c r="AG119" s="32">
        <f t="shared" si="11"/>
        <v>0</v>
      </c>
      <c r="AH119" s="32">
        <f t="shared" si="12"/>
        <v>0</v>
      </c>
      <c r="AI119" s="12" t="s">
        <v>55</v>
      </c>
      <c r="AJ119" s="32">
        <f t="shared" si="13"/>
        <v>0</v>
      </c>
      <c r="AK119" s="32">
        <f t="shared" si="14"/>
        <v>0</v>
      </c>
      <c r="AL119" s="32">
        <f t="shared" si="15"/>
        <v>0</v>
      </c>
      <c r="AN119" s="32">
        <v>21</v>
      </c>
      <c r="AO119" s="32">
        <f>H119*0.614536442</f>
        <v>0</v>
      </c>
      <c r="AP119" s="32">
        <f>H119*(1-0.614536442)</f>
        <v>0</v>
      </c>
      <c r="AQ119" s="36" t="s">
        <v>90</v>
      </c>
      <c r="AV119" s="32">
        <f t="shared" si="16"/>
        <v>0</v>
      </c>
      <c r="AW119" s="32">
        <f t="shared" si="17"/>
        <v>0</v>
      </c>
      <c r="AX119" s="32">
        <f t="shared" si="18"/>
        <v>0</v>
      </c>
      <c r="AY119" s="36" t="s">
        <v>244</v>
      </c>
      <c r="AZ119" s="36" t="s">
        <v>245</v>
      </c>
      <c r="BA119" s="12" t="s">
        <v>65</v>
      </c>
      <c r="BC119" s="32">
        <f t="shared" si="19"/>
        <v>0</v>
      </c>
      <c r="BD119" s="32">
        <f t="shared" si="20"/>
        <v>0</v>
      </c>
      <c r="BE119" s="32">
        <v>0</v>
      </c>
      <c r="BF119" s="32">
        <f t="shared" si="21"/>
        <v>0</v>
      </c>
      <c r="BH119" s="32">
        <f t="shared" si="22"/>
        <v>0</v>
      </c>
      <c r="BI119" s="32">
        <f t="shared" si="23"/>
        <v>0</v>
      </c>
      <c r="BJ119" s="32">
        <f t="shared" si="24"/>
        <v>0</v>
      </c>
      <c r="BK119" s="36" t="s">
        <v>66</v>
      </c>
      <c r="BL119" s="32">
        <v>721</v>
      </c>
      <c r="BW119" s="32">
        <f t="shared" si="25"/>
        <v>21</v>
      </c>
      <c r="BX119" s="4" t="s">
        <v>306</v>
      </c>
    </row>
    <row r="120" spans="1:76" x14ac:dyDescent="0.25">
      <c r="A120" s="2" t="s">
        <v>202</v>
      </c>
      <c r="B120" s="3" t="s">
        <v>55</v>
      </c>
      <c r="C120" s="3" t="s">
        <v>307</v>
      </c>
      <c r="D120" s="89" t="s">
        <v>308</v>
      </c>
      <c r="E120" s="90"/>
      <c r="F120" s="3" t="s">
        <v>88</v>
      </c>
      <c r="G120" s="32">
        <v>1</v>
      </c>
      <c r="H120" s="199">
        <v>0</v>
      </c>
      <c r="I120" s="33">
        <v>21</v>
      </c>
      <c r="J120" s="32">
        <f t="shared" si="0"/>
        <v>0</v>
      </c>
      <c r="K120" s="32">
        <f t="shared" si="1"/>
        <v>0</v>
      </c>
      <c r="L120" s="32">
        <f t="shared" si="2"/>
        <v>0</v>
      </c>
      <c r="M120" s="32">
        <f t="shared" si="3"/>
        <v>0</v>
      </c>
      <c r="N120" s="34">
        <f>IF(L649=0,0,L120/L649)</f>
        <v>0</v>
      </c>
      <c r="O120" s="32">
        <v>5.5000000000000003E-4</v>
      </c>
      <c r="P120" s="32">
        <f t="shared" si="4"/>
        <v>5.5000000000000003E-4</v>
      </c>
      <c r="Q120" s="35" t="s">
        <v>77</v>
      </c>
      <c r="Z120" s="32">
        <f t="shared" si="5"/>
        <v>0</v>
      </c>
      <c r="AB120" s="32">
        <f t="shared" si="6"/>
        <v>0</v>
      </c>
      <c r="AC120" s="32">
        <f t="shared" si="7"/>
        <v>0</v>
      </c>
      <c r="AD120" s="32">
        <f t="shared" si="8"/>
        <v>0</v>
      </c>
      <c r="AE120" s="32">
        <f t="shared" si="9"/>
        <v>0</v>
      </c>
      <c r="AF120" s="32">
        <f t="shared" si="10"/>
        <v>0</v>
      </c>
      <c r="AG120" s="32">
        <f t="shared" si="11"/>
        <v>0</v>
      </c>
      <c r="AH120" s="32">
        <f t="shared" si="12"/>
        <v>0</v>
      </c>
      <c r="AI120" s="12" t="s">
        <v>55</v>
      </c>
      <c r="AJ120" s="32">
        <f t="shared" si="13"/>
        <v>0</v>
      </c>
      <c r="AK120" s="32">
        <f t="shared" si="14"/>
        <v>0</v>
      </c>
      <c r="AL120" s="32">
        <f t="shared" si="15"/>
        <v>0</v>
      </c>
      <c r="AN120" s="32">
        <v>21</v>
      </c>
      <c r="AO120" s="32">
        <f>H120*0.807489678</f>
        <v>0</v>
      </c>
      <c r="AP120" s="32">
        <f>H120*(1-0.807489678)</f>
        <v>0</v>
      </c>
      <c r="AQ120" s="36" t="s">
        <v>90</v>
      </c>
      <c r="AV120" s="32">
        <f t="shared" si="16"/>
        <v>0</v>
      </c>
      <c r="AW120" s="32">
        <f t="shared" si="17"/>
        <v>0</v>
      </c>
      <c r="AX120" s="32">
        <f t="shared" si="18"/>
        <v>0</v>
      </c>
      <c r="AY120" s="36" t="s">
        <v>244</v>
      </c>
      <c r="AZ120" s="36" t="s">
        <v>245</v>
      </c>
      <c r="BA120" s="12" t="s">
        <v>65</v>
      </c>
      <c r="BC120" s="32">
        <f t="shared" si="19"/>
        <v>0</v>
      </c>
      <c r="BD120" s="32">
        <f t="shared" si="20"/>
        <v>0</v>
      </c>
      <c r="BE120" s="32">
        <v>0</v>
      </c>
      <c r="BF120" s="32">
        <f t="shared" si="21"/>
        <v>5.5000000000000003E-4</v>
      </c>
      <c r="BH120" s="32">
        <f t="shared" si="22"/>
        <v>0</v>
      </c>
      <c r="BI120" s="32">
        <f t="shared" si="23"/>
        <v>0</v>
      </c>
      <c r="BJ120" s="32">
        <f t="shared" si="24"/>
        <v>0</v>
      </c>
      <c r="BK120" s="36" t="s">
        <v>66</v>
      </c>
      <c r="BL120" s="32">
        <v>721</v>
      </c>
      <c r="BW120" s="32">
        <f t="shared" si="25"/>
        <v>21</v>
      </c>
      <c r="BX120" s="4" t="s">
        <v>308</v>
      </c>
    </row>
    <row r="121" spans="1:76" x14ac:dyDescent="0.25">
      <c r="A121" s="2" t="s">
        <v>309</v>
      </c>
      <c r="B121" s="3" t="s">
        <v>55</v>
      </c>
      <c r="C121" s="3" t="s">
        <v>310</v>
      </c>
      <c r="D121" s="89" t="s">
        <v>311</v>
      </c>
      <c r="E121" s="90"/>
      <c r="F121" s="3" t="s">
        <v>88</v>
      </c>
      <c r="G121" s="32">
        <v>1</v>
      </c>
      <c r="H121" s="199">
        <v>0</v>
      </c>
      <c r="I121" s="33">
        <v>21</v>
      </c>
      <c r="J121" s="32">
        <f t="shared" si="0"/>
        <v>0</v>
      </c>
      <c r="K121" s="32">
        <f t="shared" si="1"/>
        <v>0</v>
      </c>
      <c r="L121" s="32">
        <f t="shared" si="2"/>
        <v>0</v>
      </c>
      <c r="M121" s="32">
        <f t="shared" si="3"/>
        <v>0</v>
      </c>
      <c r="N121" s="34">
        <f>IF(L649=0,0,L121/L649)</f>
        <v>0</v>
      </c>
      <c r="O121" s="32">
        <v>2.7E-4</v>
      </c>
      <c r="P121" s="32">
        <f t="shared" si="4"/>
        <v>2.7E-4</v>
      </c>
      <c r="Q121" s="35" t="s">
        <v>77</v>
      </c>
      <c r="Z121" s="32">
        <f t="shared" si="5"/>
        <v>0</v>
      </c>
      <c r="AB121" s="32">
        <f t="shared" si="6"/>
        <v>0</v>
      </c>
      <c r="AC121" s="32">
        <f t="shared" si="7"/>
        <v>0</v>
      </c>
      <c r="AD121" s="32">
        <f t="shared" si="8"/>
        <v>0</v>
      </c>
      <c r="AE121" s="32">
        <f t="shared" si="9"/>
        <v>0</v>
      </c>
      <c r="AF121" s="32">
        <f t="shared" si="10"/>
        <v>0</v>
      </c>
      <c r="AG121" s="32">
        <f t="shared" si="11"/>
        <v>0</v>
      </c>
      <c r="AH121" s="32">
        <f t="shared" si="12"/>
        <v>0</v>
      </c>
      <c r="AI121" s="12" t="s">
        <v>55</v>
      </c>
      <c r="AJ121" s="32">
        <f t="shared" si="13"/>
        <v>0</v>
      </c>
      <c r="AK121" s="32">
        <f t="shared" si="14"/>
        <v>0</v>
      </c>
      <c r="AL121" s="32">
        <f t="shared" si="15"/>
        <v>0</v>
      </c>
      <c r="AN121" s="32">
        <v>21</v>
      </c>
      <c r="AO121" s="32">
        <f>H121*0.509368683</f>
        <v>0</v>
      </c>
      <c r="AP121" s="32">
        <f>H121*(1-0.509368683)</f>
        <v>0</v>
      </c>
      <c r="AQ121" s="36" t="s">
        <v>90</v>
      </c>
      <c r="AV121" s="32">
        <f t="shared" si="16"/>
        <v>0</v>
      </c>
      <c r="AW121" s="32">
        <f t="shared" si="17"/>
        <v>0</v>
      </c>
      <c r="AX121" s="32">
        <f t="shared" si="18"/>
        <v>0</v>
      </c>
      <c r="AY121" s="36" t="s">
        <v>244</v>
      </c>
      <c r="AZ121" s="36" t="s">
        <v>245</v>
      </c>
      <c r="BA121" s="12" t="s">
        <v>65</v>
      </c>
      <c r="BC121" s="32">
        <f t="shared" si="19"/>
        <v>0</v>
      </c>
      <c r="BD121" s="32">
        <f t="shared" si="20"/>
        <v>0</v>
      </c>
      <c r="BE121" s="32">
        <v>0</v>
      </c>
      <c r="BF121" s="32">
        <f t="shared" si="21"/>
        <v>2.7E-4</v>
      </c>
      <c r="BH121" s="32">
        <f t="shared" si="22"/>
        <v>0</v>
      </c>
      <c r="BI121" s="32">
        <f t="shared" si="23"/>
        <v>0</v>
      </c>
      <c r="BJ121" s="32">
        <f t="shared" si="24"/>
        <v>0</v>
      </c>
      <c r="BK121" s="36" t="s">
        <v>66</v>
      </c>
      <c r="BL121" s="32">
        <v>721</v>
      </c>
      <c r="BW121" s="32">
        <f t="shared" si="25"/>
        <v>21</v>
      </c>
      <c r="BX121" s="4" t="s">
        <v>311</v>
      </c>
    </row>
    <row r="122" spans="1:76" ht="13.5" customHeight="1" x14ac:dyDescent="0.25">
      <c r="A122" s="42"/>
      <c r="C122" s="43"/>
      <c r="D122" s="95" t="s">
        <v>312</v>
      </c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7"/>
    </row>
    <row r="123" spans="1:76" x14ac:dyDescent="0.25">
      <c r="A123" s="2" t="s">
        <v>313</v>
      </c>
      <c r="B123" s="3" t="s">
        <v>55</v>
      </c>
      <c r="C123" s="3" t="s">
        <v>314</v>
      </c>
      <c r="D123" s="89" t="s">
        <v>315</v>
      </c>
      <c r="E123" s="90"/>
      <c r="F123" s="3" t="s">
        <v>316</v>
      </c>
      <c r="G123" s="32">
        <v>1</v>
      </c>
      <c r="H123" s="199">
        <v>0</v>
      </c>
      <c r="I123" s="33">
        <v>21</v>
      </c>
      <c r="J123" s="32">
        <f>ROUND(G123*AO123,2)</f>
        <v>0</v>
      </c>
      <c r="K123" s="32">
        <f>ROUND(G123*AP123,2)</f>
        <v>0</v>
      </c>
      <c r="L123" s="32">
        <f>ROUND(G123*H123,2)</f>
        <v>0</v>
      </c>
      <c r="M123" s="32">
        <f>L123*(1+BW123/100)</f>
        <v>0</v>
      </c>
      <c r="N123" s="34">
        <f>IF(L649=0,0,L123/L649)</f>
        <v>0</v>
      </c>
      <c r="O123" s="32">
        <v>0</v>
      </c>
      <c r="P123" s="32">
        <f>G123*O123</f>
        <v>0</v>
      </c>
      <c r="Q123" s="35"/>
      <c r="Z123" s="32">
        <f>ROUND(IF(AQ123="5",BJ123,0),2)</f>
        <v>0</v>
      </c>
      <c r="AB123" s="32">
        <f>ROUND(IF(AQ123="1",BH123,0),2)</f>
        <v>0</v>
      </c>
      <c r="AC123" s="32">
        <f>ROUND(IF(AQ123="1",BI123,0),2)</f>
        <v>0</v>
      </c>
      <c r="AD123" s="32">
        <f>ROUND(IF(AQ123="7",BH123,0),2)</f>
        <v>0</v>
      </c>
      <c r="AE123" s="32">
        <f>ROUND(IF(AQ123="7",BI123,0),2)</f>
        <v>0</v>
      </c>
      <c r="AF123" s="32">
        <f>ROUND(IF(AQ123="2",BH123,0),2)</f>
        <v>0</v>
      </c>
      <c r="AG123" s="32">
        <f>ROUND(IF(AQ123="2",BI123,0),2)</f>
        <v>0</v>
      </c>
      <c r="AH123" s="32">
        <f>ROUND(IF(AQ123="0",BJ123,0),2)</f>
        <v>0</v>
      </c>
      <c r="AI123" s="12" t="s">
        <v>55</v>
      </c>
      <c r="AJ123" s="32">
        <f>IF(AN123=0,L123,0)</f>
        <v>0</v>
      </c>
      <c r="AK123" s="32">
        <f>IF(AN123=12,L123,0)</f>
        <v>0</v>
      </c>
      <c r="AL123" s="32">
        <f>IF(AN123=21,L123,0)</f>
        <v>0</v>
      </c>
      <c r="AN123" s="32">
        <v>21</v>
      </c>
      <c r="AO123" s="32">
        <f>H123*0.651988327</f>
        <v>0</v>
      </c>
      <c r="AP123" s="32">
        <f>H123*(1-0.651988327)</f>
        <v>0</v>
      </c>
      <c r="AQ123" s="36" t="s">
        <v>62</v>
      </c>
      <c r="AV123" s="32">
        <f>ROUND(AW123+AX123,2)</f>
        <v>0</v>
      </c>
      <c r="AW123" s="32">
        <f>ROUND(G123*AO123,2)</f>
        <v>0</v>
      </c>
      <c r="AX123" s="32">
        <f>ROUND(G123*AP123,2)</f>
        <v>0</v>
      </c>
      <c r="AY123" s="36" t="s">
        <v>244</v>
      </c>
      <c r="AZ123" s="36" t="s">
        <v>245</v>
      </c>
      <c r="BA123" s="12" t="s">
        <v>65</v>
      </c>
      <c r="BC123" s="32">
        <f>AW123+AX123</f>
        <v>0</v>
      </c>
      <c r="BD123" s="32">
        <f>H123/(100-BE123)*100</f>
        <v>0</v>
      </c>
      <c r="BE123" s="32">
        <v>0</v>
      </c>
      <c r="BF123" s="32">
        <f>P123</f>
        <v>0</v>
      </c>
      <c r="BH123" s="32">
        <f>G123*AO123</f>
        <v>0</v>
      </c>
      <c r="BI123" s="32">
        <f>G123*AP123</f>
        <v>0</v>
      </c>
      <c r="BJ123" s="32">
        <f>G123*H123</f>
        <v>0</v>
      </c>
      <c r="BK123" s="36" t="s">
        <v>66</v>
      </c>
      <c r="BL123" s="32">
        <v>721</v>
      </c>
      <c r="BW123" s="32">
        <f>I123</f>
        <v>21</v>
      </c>
      <c r="BX123" s="4" t="s">
        <v>315</v>
      </c>
    </row>
    <row r="124" spans="1:76" x14ac:dyDescent="0.25">
      <c r="A124" s="2" t="s">
        <v>317</v>
      </c>
      <c r="B124" s="3" t="s">
        <v>55</v>
      </c>
      <c r="C124" s="3" t="s">
        <v>318</v>
      </c>
      <c r="D124" s="89" t="s">
        <v>319</v>
      </c>
      <c r="E124" s="90"/>
      <c r="F124" s="3" t="s">
        <v>316</v>
      </c>
      <c r="G124" s="32">
        <v>1</v>
      </c>
      <c r="H124" s="199">
        <v>0</v>
      </c>
      <c r="I124" s="33">
        <v>21</v>
      </c>
      <c r="J124" s="32">
        <f>ROUND(G124*AO124,2)</f>
        <v>0</v>
      </c>
      <c r="K124" s="32">
        <f>ROUND(G124*AP124,2)</f>
        <v>0</v>
      </c>
      <c r="L124" s="32">
        <f>ROUND(G124*H124,2)</f>
        <v>0</v>
      </c>
      <c r="M124" s="32">
        <f>L124*(1+BW124/100)</f>
        <v>0</v>
      </c>
      <c r="N124" s="34">
        <f>IF(L649=0,0,L124/L649)</f>
        <v>0</v>
      </c>
      <c r="O124" s="32">
        <v>0</v>
      </c>
      <c r="P124" s="32">
        <f>G124*O124</f>
        <v>0</v>
      </c>
      <c r="Q124" s="35"/>
      <c r="Z124" s="32">
        <f>ROUND(IF(AQ124="5",BJ124,0),2)</f>
        <v>0</v>
      </c>
      <c r="AB124" s="32">
        <f>ROUND(IF(AQ124="1",BH124,0),2)</f>
        <v>0</v>
      </c>
      <c r="AC124" s="32">
        <f>ROUND(IF(AQ124="1",BI124,0),2)</f>
        <v>0</v>
      </c>
      <c r="AD124" s="32">
        <f>ROUND(IF(AQ124="7",BH124,0),2)</f>
        <v>0</v>
      </c>
      <c r="AE124" s="32">
        <f>ROUND(IF(AQ124="7",BI124,0),2)</f>
        <v>0</v>
      </c>
      <c r="AF124" s="32">
        <f>ROUND(IF(AQ124="2",BH124,0),2)</f>
        <v>0</v>
      </c>
      <c r="AG124" s="32">
        <f>ROUND(IF(AQ124="2",BI124,0),2)</f>
        <v>0</v>
      </c>
      <c r="AH124" s="32">
        <f>ROUND(IF(AQ124="0",BJ124,0),2)</f>
        <v>0</v>
      </c>
      <c r="AI124" s="12" t="s">
        <v>55</v>
      </c>
      <c r="AJ124" s="32">
        <f>IF(AN124=0,L124,0)</f>
        <v>0</v>
      </c>
      <c r="AK124" s="32">
        <f>IF(AN124=12,L124,0)</f>
        <v>0</v>
      </c>
      <c r="AL124" s="32">
        <f>IF(AN124=21,L124,0)</f>
        <v>0</v>
      </c>
      <c r="AN124" s="32">
        <v>21</v>
      </c>
      <c r="AO124" s="32">
        <f>H124*0.537243161</f>
        <v>0</v>
      </c>
      <c r="AP124" s="32">
        <f>H124*(1-0.537243161)</f>
        <v>0</v>
      </c>
      <c r="AQ124" s="36" t="s">
        <v>90</v>
      </c>
      <c r="AV124" s="32">
        <f>ROUND(AW124+AX124,2)</f>
        <v>0</v>
      </c>
      <c r="AW124" s="32">
        <f>ROUND(G124*AO124,2)</f>
        <v>0</v>
      </c>
      <c r="AX124" s="32">
        <f>ROUND(G124*AP124,2)</f>
        <v>0</v>
      </c>
      <c r="AY124" s="36" t="s">
        <v>244</v>
      </c>
      <c r="AZ124" s="36" t="s">
        <v>245</v>
      </c>
      <c r="BA124" s="12" t="s">
        <v>65</v>
      </c>
      <c r="BC124" s="32">
        <f>AW124+AX124</f>
        <v>0</v>
      </c>
      <c r="BD124" s="32">
        <f>H124/(100-BE124)*100</f>
        <v>0</v>
      </c>
      <c r="BE124" s="32">
        <v>0</v>
      </c>
      <c r="BF124" s="32">
        <f>P124</f>
        <v>0</v>
      </c>
      <c r="BH124" s="32">
        <f>G124*AO124</f>
        <v>0</v>
      </c>
      <c r="BI124" s="32">
        <f>G124*AP124</f>
        <v>0</v>
      </c>
      <c r="BJ124" s="32">
        <f>G124*H124</f>
        <v>0</v>
      </c>
      <c r="BK124" s="36" t="s">
        <v>66</v>
      </c>
      <c r="BL124" s="32">
        <v>721</v>
      </c>
      <c r="BW124" s="32">
        <f>I124</f>
        <v>21</v>
      </c>
      <c r="BX124" s="4" t="s">
        <v>319</v>
      </c>
    </row>
    <row r="125" spans="1:76" ht="13.5" customHeight="1" x14ac:dyDescent="0.25">
      <c r="A125" s="42"/>
      <c r="C125" s="43"/>
      <c r="D125" s="95" t="s">
        <v>320</v>
      </c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7"/>
    </row>
    <row r="126" spans="1:76" x14ac:dyDescent="0.25">
      <c r="A126" s="2" t="s">
        <v>321</v>
      </c>
      <c r="B126" s="3" t="s">
        <v>55</v>
      </c>
      <c r="C126" s="3" t="s">
        <v>318</v>
      </c>
      <c r="D126" s="89" t="s">
        <v>322</v>
      </c>
      <c r="E126" s="90"/>
      <c r="F126" s="3" t="s">
        <v>316</v>
      </c>
      <c r="G126" s="32">
        <v>1</v>
      </c>
      <c r="H126" s="199">
        <v>0</v>
      </c>
      <c r="I126" s="33">
        <v>21</v>
      </c>
      <c r="J126" s="32">
        <f>ROUND(G126*AO126,2)</f>
        <v>0</v>
      </c>
      <c r="K126" s="32">
        <f>ROUND(G126*AP126,2)</f>
        <v>0</v>
      </c>
      <c r="L126" s="32">
        <f>ROUND(G126*H126,2)</f>
        <v>0</v>
      </c>
      <c r="M126" s="32">
        <f>L126*(1+BW126/100)</f>
        <v>0</v>
      </c>
      <c r="N126" s="34">
        <f>IF(L649=0,0,L126/L649)</f>
        <v>0</v>
      </c>
      <c r="O126" s="32">
        <v>0</v>
      </c>
      <c r="P126" s="32">
        <f>G126*O126</f>
        <v>0</v>
      </c>
      <c r="Q126" s="35"/>
      <c r="Z126" s="32">
        <f>ROUND(IF(AQ126="5",BJ126,0),2)</f>
        <v>0</v>
      </c>
      <c r="AB126" s="32">
        <f>ROUND(IF(AQ126="1",BH126,0),2)</f>
        <v>0</v>
      </c>
      <c r="AC126" s="32">
        <f>ROUND(IF(AQ126="1",BI126,0),2)</f>
        <v>0</v>
      </c>
      <c r="AD126" s="32">
        <f>ROUND(IF(AQ126="7",BH126,0),2)</f>
        <v>0</v>
      </c>
      <c r="AE126" s="32">
        <f>ROUND(IF(AQ126="7",BI126,0),2)</f>
        <v>0</v>
      </c>
      <c r="AF126" s="32">
        <f>ROUND(IF(AQ126="2",BH126,0),2)</f>
        <v>0</v>
      </c>
      <c r="AG126" s="32">
        <f>ROUND(IF(AQ126="2",BI126,0),2)</f>
        <v>0</v>
      </c>
      <c r="AH126" s="32">
        <f>ROUND(IF(AQ126="0",BJ126,0),2)</f>
        <v>0</v>
      </c>
      <c r="AI126" s="12" t="s">
        <v>55</v>
      </c>
      <c r="AJ126" s="32">
        <f>IF(AN126=0,L126,0)</f>
        <v>0</v>
      </c>
      <c r="AK126" s="32">
        <f>IF(AN126=12,L126,0)</f>
        <v>0</v>
      </c>
      <c r="AL126" s="32">
        <f>IF(AN126=21,L126,0)</f>
        <v>0</v>
      </c>
      <c r="AN126" s="32">
        <v>21</v>
      </c>
      <c r="AO126" s="32">
        <f>H126*0</f>
        <v>0</v>
      </c>
      <c r="AP126" s="32">
        <f>H126*(1-0)</f>
        <v>0</v>
      </c>
      <c r="AQ126" s="36" t="s">
        <v>90</v>
      </c>
      <c r="AV126" s="32">
        <f>ROUND(AW126+AX126,2)</f>
        <v>0</v>
      </c>
      <c r="AW126" s="32">
        <f>ROUND(G126*AO126,2)</f>
        <v>0</v>
      </c>
      <c r="AX126" s="32">
        <f>ROUND(G126*AP126,2)</f>
        <v>0</v>
      </c>
      <c r="AY126" s="36" t="s">
        <v>244</v>
      </c>
      <c r="AZ126" s="36" t="s">
        <v>245</v>
      </c>
      <c r="BA126" s="12" t="s">
        <v>65</v>
      </c>
      <c r="BC126" s="32">
        <f>AW126+AX126</f>
        <v>0</v>
      </c>
      <c r="BD126" s="32">
        <f>H126/(100-BE126)*100</f>
        <v>0</v>
      </c>
      <c r="BE126" s="32">
        <v>0</v>
      </c>
      <c r="BF126" s="32">
        <f>P126</f>
        <v>0</v>
      </c>
      <c r="BH126" s="32">
        <f>G126*AO126</f>
        <v>0</v>
      </c>
      <c r="BI126" s="32">
        <f>G126*AP126</f>
        <v>0</v>
      </c>
      <c r="BJ126" s="32">
        <f>G126*H126</f>
        <v>0</v>
      </c>
      <c r="BK126" s="36" t="s">
        <v>66</v>
      </c>
      <c r="BL126" s="32">
        <v>721</v>
      </c>
      <c r="BW126" s="32">
        <f>I126</f>
        <v>21</v>
      </c>
      <c r="BX126" s="4" t="s">
        <v>322</v>
      </c>
    </row>
    <row r="127" spans="1:76" ht="13.5" customHeight="1" x14ac:dyDescent="0.25">
      <c r="A127" s="42"/>
      <c r="C127" s="43"/>
      <c r="D127" s="95" t="s">
        <v>323</v>
      </c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7"/>
    </row>
    <row r="128" spans="1:76" x14ac:dyDescent="0.25">
      <c r="A128" s="2" t="s">
        <v>324</v>
      </c>
      <c r="B128" s="3" t="s">
        <v>55</v>
      </c>
      <c r="C128" s="3" t="s">
        <v>325</v>
      </c>
      <c r="D128" s="89" t="s">
        <v>326</v>
      </c>
      <c r="E128" s="90"/>
      <c r="F128" s="3" t="s">
        <v>316</v>
      </c>
      <c r="G128" s="32">
        <v>1</v>
      </c>
      <c r="H128" s="199">
        <v>0</v>
      </c>
      <c r="I128" s="33">
        <v>21</v>
      </c>
      <c r="J128" s="32">
        <f>ROUND(G128*AO128,2)</f>
        <v>0</v>
      </c>
      <c r="K128" s="32">
        <f>ROUND(G128*AP128,2)</f>
        <v>0</v>
      </c>
      <c r="L128" s="32">
        <f>ROUND(G128*H128,2)</f>
        <v>0</v>
      </c>
      <c r="M128" s="32">
        <f>L128*(1+BW128/100)</f>
        <v>0</v>
      </c>
      <c r="N128" s="34">
        <f>IF(L649=0,0,L128/L649)</f>
        <v>0</v>
      </c>
      <c r="O128" s="32">
        <v>0</v>
      </c>
      <c r="P128" s="32">
        <f>G128*O128</f>
        <v>0</v>
      </c>
      <c r="Q128" s="35" t="s">
        <v>77</v>
      </c>
      <c r="Z128" s="32">
        <f>ROUND(IF(AQ128="5",BJ128,0),2)</f>
        <v>0</v>
      </c>
      <c r="AB128" s="32">
        <f>ROUND(IF(AQ128="1",BH128,0),2)</f>
        <v>0</v>
      </c>
      <c r="AC128" s="32">
        <f>ROUND(IF(AQ128="1",BI128,0),2)</f>
        <v>0</v>
      </c>
      <c r="AD128" s="32">
        <f>ROUND(IF(AQ128="7",BH128,0),2)</f>
        <v>0</v>
      </c>
      <c r="AE128" s="32">
        <f>ROUND(IF(AQ128="7",BI128,0),2)</f>
        <v>0</v>
      </c>
      <c r="AF128" s="32">
        <f>ROUND(IF(AQ128="2",BH128,0),2)</f>
        <v>0</v>
      </c>
      <c r="AG128" s="32">
        <f>ROUND(IF(AQ128="2",BI128,0),2)</f>
        <v>0</v>
      </c>
      <c r="AH128" s="32">
        <f>ROUND(IF(AQ128="0",BJ128,0),2)</f>
        <v>0</v>
      </c>
      <c r="AI128" s="12" t="s">
        <v>55</v>
      </c>
      <c r="AJ128" s="32">
        <f>IF(AN128=0,L128,0)</f>
        <v>0</v>
      </c>
      <c r="AK128" s="32">
        <f>IF(AN128=12,L128,0)</f>
        <v>0</v>
      </c>
      <c r="AL128" s="32">
        <f>IF(AN128=21,L128,0)</f>
        <v>0</v>
      </c>
      <c r="AN128" s="32">
        <v>21</v>
      </c>
      <c r="AO128" s="32">
        <f>H128*0</f>
        <v>0</v>
      </c>
      <c r="AP128" s="32">
        <f>H128*(1-0)</f>
        <v>0</v>
      </c>
      <c r="AQ128" s="36" t="s">
        <v>90</v>
      </c>
      <c r="AV128" s="32">
        <f>ROUND(AW128+AX128,2)</f>
        <v>0</v>
      </c>
      <c r="AW128" s="32">
        <f>ROUND(G128*AO128,2)</f>
        <v>0</v>
      </c>
      <c r="AX128" s="32">
        <f>ROUND(G128*AP128,2)</f>
        <v>0</v>
      </c>
      <c r="AY128" s="36" t="s">
        <v>244</v>
      </c>
      <c r="AZ128" s="36" t="s">
        <v>245</v>
      </c>
      <c r="BA128" s="12" t="s">
        <v>65</v>
      </c>
      <c r="BC128" s="32">
        <f>AW128+AX128</f>
        <v>0</v>
      </c>
      <c r="BD128" s="32">
        <f>H128/(100-BE128)*100</f>
        <v>0</v>
      </c>
      <c r="BE128" s="32">
        <v>0</v>
      </c>
      <c r="BF128" s="32">
        <f>P128</f>
        <v>0</v>
      </c>
      <c r="BH128" s="32">
        <f>G128*AO128</f>
        <v>0</v>
      </c>
      <c r="BI128" s="32">
        <f>G128*AP128</f>
        <v>0</v>
      </c>
      <c r="BJ128" s="32">
        <f>G128*H128</f>
        <v>0</v>
      </c>
      <c r="BK128" s="36" t="s">
        <v>66</v>
      </c>
      <c r="BL128" s="32">
        <v>721</v>
      </c>
      <c r="BW128" s="32">
        <f>I128</f>
        <v>21</v>
      </c>
      <c r="BX128" s="4" t="s">
        <v>326</v>
      </c>
    </row>
    <row r="129" spans="1:76" x14ac:dyDescent="0.25">
      <c r="A129" s="37" t="s">
        <v>55</v>
      </c>
      <c r="B129" s="38" t="s">
        <v>55</v>
      </c>
      <c r="C129" s="38" t="s">
        <v>327</v>
      </c>
      <c r="D129" s="98" t="s">
        <v>328</v>
      </c>
      <c r="E129" s="99"/>
      <c r="F129" s="39" t="s">
        <v>3</v>
      </c>
      <c r="G129" s="39" t="s">
        <v>3</v>
      </c>
      <c r="H129" s="39" t="s">
        <v>3</v>
      </c>
      <c r="I129" s="39" t="s">
        <v>3</v>
      </c>
      <c r="J129" s="1">
        <f>SUM(J130:J210)</f>
        <v>0</v>
      </c>
      <c r="K129" s="1">
        <f>SUM(K130:K210)</f>
        <v>0</v>
      </c>
      <c r="L129" s="1">
        <f>SUM(L130:L210)</f>
        <v>0</v>
      </c>
      <c r="M129" s="1">
        <f>SUM(M130:M210)</f>
        <v>0</v>
      </c>
      <c r="N129" s="40">
        <f>IF(L649=0,0,L129/L649)</f>
        <v>0</v>
      </c>
      <c r="O129" s="12" t="s">
        <v>55</v>
      </c>
      <c r="P129" s="1">
        <f>SUM(P130:P210)</f>
        <v>0.16852999999999993</v>
      </c>
      <c r="Q129" s="41" t="s">
        <v>55</v>
      </c>
      <c r="AI129" s="12" t="s">
        <v>55</v>
      </c>
      <c r="AS129" s="1">
        <f>SUM(AJ130:AJ210)</f>
        <v>0</v>
      </c>
      <c r="AT129" s="1">
        <f>SUM(AK130:AK210)</f>
        <v>0</v>
      </c>
      <c r="AU129" s="1">
        <f>SUM(AL130:AL210)</f>
        <v>0</v>
      </c>
    </row>
    <row r="130" spans="1:76" x14ac:dyDescent="0.25">
      <c r="A130" s="2" t="s">
        <v>329</v>
      </c>
      <c r="B130" s="3" t="s">
        <v>55</v>
      </c>
      <c r="C130" s="3" t="s">
        <v>330</v>
      </c>
      <c r="D130" s="89" t="s">
        <v>331</v>
      </c>
      <c r="E130" s="90"/>
      <c r="F130" s="3" t="s">
        <v>88</v>
      </c>
      <c r="G130" s="32">
        <v>1</v>
      </c>
      <c r="H130" s="199">
        <v>0</v>
      </c>
      <c r="I130" s="33">
        <v>21</v>
      </c>
      <c r="J130" s="32">
        <f>ROUND(G130*AO130,2)</f>
        <v>0</v>
      </c>
      <c r="K130" s="32">
        <f>ROUND(G130*AP130,2)</f>
        <v>0</v>
      </c>
      <c r="L130" s="32">
        <f>ROUND(G130*H130,2)</f>
        <v>0</v>
      </c>
      <c r="M130" s="32">
        <f>L130*(1+BW130/100)</f>
        <v>0</v>
      </c>
      <c r="N130" s="34">
        <f>IF(L649=0,0,L130/L649)</f>
        <v>0</v>
      </c>
      <c r="O130" s="32">
        <v>0</v>
      </c>
      <c r="P130" s="32">
        <f>G130*O130</f>
        <v>0</v>
      </c>
      <c r="Q130" s="35" t="s">
        <v>77</v>
      </c>
      <c r="Z130" s="32">
        <f>ROUND(IF(AQ130="5",BJ130,0),2)</f>
        <v>0</v>
      </c>
      <c r="AB130" s="32">
        <f>ROUND(IF(AQ130="1",BH130,0),2)</f>
        <v>0</v>
      </c>
      <c r="AC130" s="32">
        <f>ROUND(IF(AQ130="1",BI130,0),2)</f>
        <v>0</v>
      </c>
      <c r="AD130" s="32">
        <f>ROUND(IF(AQ130="7",BH130,0),2)</f>
        <v>0</v>
      </c>
      <c r="AE130" s="32">
        <f>ROUND(IF(AQ130="7",BI130,0),2)</f>
        <v>0</v>
      </c>
      <c r="AF130" s="32">
        <f>ROUND(IF(AQ130="2",BH130,0),2)</f>
        <v>0</v>
      </c>
      <c r="AG130" s="32">
        <f>ROUND(IF(AQ130="2",BI130,0),2)</f>
        <v>0</v>
      </c>
      <c r="AH130" s="32">
        <f>ROUND(IF(AQ130="0",BJ130,0),2)</f>
        <v>0</v>
      </c>
      <c r="AI130" s="12" t="s">
        <v>55</v>
      </c>
      <c r="AJ130" s="32">
        <f>IF(AN130=0,L130,0)</f>
        <v>0</v>
      </c>
      <c r="AK130" s="32">
        <f>IF(AN130=12,L130,0)</f>
        <v>0</v>
      </c>
      <c r="AL130" s="32">
        <f>IF(AN130=21,L130,0)</f>
        <v>0</v>
      </c>
      <c r="AN130" s="32">
        <v>21</v>
      </c>
      <c r="AO130" s="32">
        <f>H130*0</f>
        <v>0</v>
      </c>
      <c r="AP130" s="32">
        <f>H130*(1-0)</f>
        <v>0</v>
      </c>
      <c r="AQ130" s="36" t="s">
        <v>67</v>
      </c>
      <c r="AV130" s="32">
        <f>ROUND(AW130+AX130,2)</f>
        <v>0</v>
      </c>
      <c r="AW130" s="32">
        <f>ROUND(G130*AO130,2)</f>
        <v>0</v>
      </c>
      <c r="AX130" s="32">
        <f>ROUND(G130*AP130,2)</f>
        <v>0</v>
      </c>
      <c r="AY130" s="36" t="s">
        <v>332</v>
      </c>
      <c r="AZ130" s="36" t="s">
        <v>245</v>
      </c>
      <c r="BA130" s="12" t="s">
        <v>65</v>
      </c>
      <c r="BC130" s="32">
        <f>AW130+AX130</f>
        <v>0</v>
      </c>
      <c r="BD130" s="32">
        <f>H130/(100-BE130)*100</f>
        <v>0</v>
      </c>
      <c r="BE130" s="32">
        <v>0</v>
      </c>
      <c r="BF130" s="32">
        <f>P130</f>
        <v>0</v>
      </c>
      <c r="BH130" s="32">
        <f>G130*AO130</f>
        <v>0</v>
      </c>
      <c r="BI130" s="32">
        <f>G130*AP130</f>
        <v>0</v>
      </c>
      <c r="BJ130" s="32">
        <f>G130*H130</f>
        <v>0</v>
      </c>
      <c r="BK130" s="36" t="s">
        <v>66</v>
      </c>
      <c r="BL130" s="32">
        <v>722</v>
      </c>
      <c r="BW130" s="32">
        <f>I130</f>
        <v>21</v>
      </c>
      <c r="BX130" s="4" t="s">
        <v>331</v>
      </c>
    </row>
    <row r="131" spans="1:76" x14ac:dyDescent="0.25">
      <c r="A131" s="2" t="s">
        <v>333</v>
      </c>
      <c r="B131" s="3" t="s">
        <v>55</v>
      </c>
      <c r="C131" s="3" t="s">
        <v>334</v>
      </c>
      <c r="D131" s="89" t="s">
        <v>335</v>
      </c>
      <c r="E131" s="90"/>
      <c r="F131" s="3" t="s">
        <v>88</v>
      </c>
      <c r="G131" s="32">
        <v>1</v>
      </c>
      <c r="H131" s="199">
        <v>0</v>
      </c>
      <c r="I131" s="33">
        <v>21</v>
      </c>
      <c r="J131" s="32">
        <f>ROUND(G131*AO131,2)</f>
        <v>0</v>
      </c>
      <c r="K131" s="32">
        <f>ROUND(G131*AP131,2)</f>
        <v>0</v>
      </c>
      <c r="L131" s="32">
        <f>ROUND(G131*H131,2)</f>
        <v>0</v>
      </c>
      <c r="M131" s="32">
        <f>L131*(1+BW131/100)</f>
        <v>0</v>
      </c>
      <c r="N131" s="34">
        <f>IF(L649=0,0,L131/L649)</f>
        <v>0</v>
      </c>
      <c r="O131" s="32">
        <v>2E-3</v>
      </c>
      <c r="P131" s="32">
        <f>G131*O131</f>
        <v>2E-3</v>
      </c>
      <c r="Q131" s="35" t="s">
        <v>77</v>
      </c>
      <c r="Z131" s="32">
        <f>ROUND(IF(AQ131="5",BJ131,0),2)</f>
        <v>0</v>
      </c>
      <c r="AB131" s="32">
        <f>ROUND(IF(AQ131="1",BH131,0),2)</f>
        <v>0</v>
      </c>
      <c r="AC131" s="32">
        <f>ROUND(IF(AQ131="1",BI131,0),2)</f>
        <v>0</v>
      </c>
      <c r="AD131" s="32">
        <f>ROUND(IF(AQ131="7",BH131,0),2)</f>
        <v>0</v>
      </c>
      <c r="AE131" s="32">
        <f>ROUND(IF(AQ131="7",BI131,0),2)</f>
        <v>0</v>
      </c>
      <c r="AF131" s="32">
        <f>ROUND(IF(AQ131="2",BH131,0),2)</f>
        <v>0</v>
      </c>
      <c r="AG131" s="32">
        <f>ROUND(IF(AQ131="2",BI131,0),2)</f>
        <v>0</v>
      </c>
      <c r="AH131" s="32">
        <f>ROUND(IF(AQ131="0",BJ131,0),2)</f>
        <v>0</v>
      </c>
      <c r="AI131" s="12" t="s">
        <v>55</v>
      </c>
      <c r="AJ131" s="32">
        <f>IF(AN131=0,L131,0)</f>
        <v>0</v>
      </c>
      <c r="AK131" s="32">
        <f>IF(AN131=12,L131,0)</f>
        <v>0</v>
      </c>
      <c r="AL131" s="32">
        <f>IF(AN131=21,L131,0)</f>
        <v>0</v>
      </c>
      <c r="AN131" s="32">
        <v>21</v>
      </c>
      <c r="AO131" s="32">
        <f>H131*1</f>
        <v>0</v>
      </c>
      <c r="AP131" s="32">
        <f>H131*(1-1)</f>
        <v>0</v>
      </c>
      <c r="AQ131" s="36" t="s">
        <v>90</v>
      </c>
      <c r="AV131" s="32">
        <f>ROUND(AW131+AX131,2)</f>
        <v>0</v>
      </c>
      <c r="AW131" s="32">
        <f>ROUND(G131*AO131,2)</f>
        <v>0</v>
      </c>
      <c r="AX131" s="32">
        <f>ROUND(G131*AP131,2)</f>
        <v>0</v>
      </c>
      <c r="AY131" s="36" t="s">
        <v>332</v>
      </c>
      <c r="AZ131" s="36" t="s">
        <v>245</v>
      </c>
      <c r="BA131" s="12" t="s">
        <v>65</v>
      </c>
      <c r="BC131" s="32">
        <f>AW131+AX131</f>
        <v>0</v>
      </c>
      <c r="BD131" s="32">
        <f>H131/(100-BE131)*100</f>
        <v>0</v>
      </c>
      <c r="BE131" s="32">
        <v>0</v>
      </c>
      <c r="BF131" s="32">
        <f>P131</f>
        <v>2E-3</v>
      </c>
      <c r="BH131" s="32">
        <f>G131*AO131</f>
        <v>0</v>
      </c>
      <c r="BI131" s="32">
        <f>G131*AP131</f>
        <v>0</v>
      </c>
      <c r="BJ131" s="32">
        <f>G131*H131</f>
        <v>0</v>
      </c>
      <c r="BK131" s="36" t="s">
        <v>147</v>
      </c>
      <c r="BL131" s="32">
        <v>722</v>
      </c>
      <c r="BW131" s="32">
        <f>I131</f>
        <v>21</v>
      </c>
      <c r="BX131" s="4" t="s">
        <v>335</v>
      </c>
    </row>
    <row r="132" spans="1:76" x14ac:dyDescent="0.25">
      <c r="A132" s="2" t="s">
        <v>336</v>
      </c>
      <c r="B132" s="3" t="s">
        <v>55</v>
      </c>
      <c r="C132" s="3" t="s">
        <v>337</v>
      </c>
      <c r="D132" s="89" t="s">
        <v>338</v>
      </c>
      <c r="E132" s="90"/>
      <c r="F132" s="3" t="s">
        <v>136</v>
      </c>
      <c r="G132" s="32">
        <v>10</v>
      </c>
      <c r="H132" s="199">
        <v>0</v>
      </c>
      <c r="I132" s="33">
        <v>21</v>
      </c>
      <c r="J132" s="32">
        <f>ROUND(G132*AO132,2)</f>
        <v>0</v>
      </c>
      <c r="K132" s="32">
        <f>ROUND(G132*AP132,2)</f>
        <v>0</v>
      </c>
      <c r="L132" s="32">
        <f>ROUND(G132*H132,2)</f>
        <v>0</v>
      </c>
      <c r="M132" s="32">
        <f>L132*(1+BW132/100)</f>
        <v>0</v>
      </c>
      <c r="N132" s="34">
        <f>IF(L649=0,0,L132/L649)</f>
        <v>0</v>
      </c>
      <c r="O132" s="32">
        <v>5.3699999999999998E-3</v>
      </c>
      <c r="P132" s="32">
        <f>G132*O132</f>
        <v>5.3699999999999998E-2</v>
      </c>
      <c r="Q132" s="35" t="s">
        <v>77</v>
      </c>
      <c r="Z132" s="32">
        <f>ROUND(IF(AQ132="5",BJ132,0),2)</f>
        <v>0</v>
      </c>
      <c r="AB132" s="32">
        <f>ROUND(IF(AQ132="1",BH132,0),2)</f>
        <v>0</v>
      </c>
      <c r="AC132" s="32">
        <f>ROUND(IF(AQ132="1",BI132,0),2)</f>
        <v>0</v>
      </c>
      <c r="AD132" s="32">
        <f>ROUND(IF(AQ132="7",BH132,0),2)</f>
        <v>0</v>
      </c>
      <c r="AE132" s="32">
        <f>ROUND(IF(AQ132="7",BI132,0),2)</f>
        <v>0</v>
      </c>
      <c r="AF132" s="32">
        <f>ROUND(IF(AQ132="2",BH132,0),2)</f>
        <v>0</v>
      </c>
      <c r="AG132" s="32">
        <f>ROUND(IF(AQ132="2",BI132,0),2)</f>
        <v>0</v>
      </c>
      <c r="AH132" s="32">
        <f>ROUND(IF(AQ132="0",BJ132,0),2)</f>
        <v>0</v>
      </c>
      <c r="AI132" s="12" t="s">
        <v>55</v>
      </c>
      <c r="AJ132" s="32">
        <f>IF(AN132=0,L132,0)</f>
        <v>0</v>
      </c>
      <c r="AK132" s="32">
        <f>IF(AN132=12,L132,0)</f>
        <v>0</v>
      </c>
      <c r="AL132" s="32">
        <f>IF(AN132=21,L132,0)</f>
        <v>0</v>
      </c>
      <c r="AN132" s="32">
        <v>21</v>
      </c>
      <c r="AO132" s="32">
        <f>H132*0.312160121</f>
        <v>0</v>
      </c>
      <c r="AP132" s="32">
        <f>H132*(1-0.312160121)</f>
        <v>0</v>
      </c>
      <c r="AQ132" s="36" t="s">
        <v>90</v>
      </c>
      <c r="AV132" s="32">
        <f>ROUND(AW132+AX132,2)</f>
        <v>0</v>
      </c>
      <c r="AW132" s="32">
        <f>ROUND(G132*AO132,2)</f>
        <v>0</v>
      </c>
      <c r="AX132" s="32">
        <f>ROUND(G132*AP132,2)</f>
        <v>0</v>
      </c>
      <c r="AY132" s="36" t="s">
        <v>332</v>
      </c>
      <c r="AZ132" s="36" t="s">
        <v>245</v>
      </c>
      <c r="BA132" s="12" t="s">
        <v>65</v>
      </c>
      <c r="BC132" s="32">
        <f>AW132+AX132</f>
        <v>0</v>
      </c>
      <c r="BD132" s="32">
        <f>H132/(100-BE132)*100</f>
        <v>0</v>
      </c>
      <c r="BE132" s="32">
        <v>0</v>
      </c>
      <c r="BF132" s="32">
        <f>P132</f>
        <v>5.3699999999999998E-2</v>
      </c>
      <c r="BH132" s="32">
        <f>G132*AO132</f>
        <v>0</v>
      </c>
      <c r="BI132" s="32">
        <f>G132*AP132</f>
        <v>0</v>
      </c>
      <c r="BJ132" s="32">
        <f>G132*H132</f>
        <v>0</v>
      </c>
      <c r="BK132" s="36" t="s">
        <v>66</v>
      </c>
      <c r="BL132" s="32">
        <v>722</v>
      </c>
      <c r="BW132" s="32">
        <f>I132</f>
        <v>21</v>
      </c>
      <c r="BX132" s="4" t="s">
        <v>338</v>
      </c>
    </row>
    <row r="133" spans="1:76" ht="13.5" customHeight="1" x14ac:dyDescent="0.25">
      <c r="A133" s="42"/>
      <c r="C133" s="43"/>
      <c r="D133" s="95" t="s">
        <v>339</v>
      </c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7"/>
    </row>
    <row r="134" spans="1:76" x14ac:dyDescent="0.25">
      <c r="A134" s="2" t="s">
        <v>340</v>
      </c>
      <c r="B134" s="3" t="s">
        <v>55</v>
      </c>
      <c r="C134" s="3" t="s">
        <v>341</v>
      </c>
      <c r="D134" s="89" t="s">
        <v>342</v>
      </c>
      <c r="E134" s="90"/>
      <c r="F134" s="3" t="s">
        <v>88</v>
      </c>
      <c r="G134" s="32">
        <v>1</v>
      </c>
      <c r="H134" s="199">
        <v>0</v>
      </c>
      <c r="I134" s="33">
        <v>21</v>
      </c>
      <c r="J134" s="32">
        <f>ROUND(G134*AO134,2)</f>
        <v>0</v>
      </c>
      <c r="K134" s="32">
        <f>ROUND(G134*AP134,2)</f>
        <v>0</v>
      </c>
      <c r="L134" s="32">
        <f>ROUND(G134*H134,2)</f>
        <v>0</v>
      </c>
      <c r="M134" s="32">
        <f>L134*(1+BW134/100)</f>
        <v>0</v>
      </c>
      <c r="N134" s="34">
        <f>IF(L649=0,0,L134/L649)</f>
        <v>0</v>
      </c>
      <c r="O134" s="32">
        <v>8.0000000000000007E-5</v>
      </c>
      <c r="P134" s="32">
        <f>G134*O134</f>
        <v>8.0000000000000007E-5</v>
      </c>
      <c r="Q134" s="35" t="s">
        <v>77</v>
      </c>
      <c r="Z134" s="32">
        <f>ROUND(IF(AQ134="5",BJ134,0),2)</f>
        <v>0</v>
      </c>
      <c r="AB134" s="32">
        <f>ROUND(IF(AQ134="1",BH134,0),2)</f>
        <v>0</v>
      </c>
      <c r="AC134" s="32">
        <f>ROUND(IF(AQ134="1",BI134,0),2)</f>
        <v>0</v>
      </c>
      <c r="AD134" s="32">
        <f>ROUND(IF(AQ134="7",BH134,0),2)</f>
        <v>0</v>
      </c>
      <c r="AE134" s="32">
        <f>ROUND(IF(AQ134="7",BI134,0),2)</f>
        <v>0</v>
      </c>
      <c r="AF134" s="32">
        <f>ROUND(IF(AQ134="2",BH134,0),2)</f>
        <v>0</v>
      </c>
      <c r="AG134" s="32">
        <f>ROUND(IF(AQ134="2",BI134,0),2)</f>
        <v>0</v>
      </c>
      <c r="AH134" s="32">
        <f>ROUND(IF(AQ134="0",BJ134,0),2)</f>
        <v>0</v>
      </c>
      <c r="AI134" s="12" t="s">
        <v>55</v>
      </c>
      <c r="AJ134" s="32">
        <f>IF(AN134=0,L134,0)</f>
        <v>0</v>
      </c>
      <c r="AK134" s="32">
        <f>IF(AN134=12,L134,0)</f>
        <v>0</v>
      </c>
      <c r="AL134" s="32">
        <f>IF(AN134=21,L134,0)</f>
        <v>0</v>
      </c>
      <c r="AN134" s="32">
        <v>21</v>
      </c>
      <c r="AO134" s="32">
        <f>H134*0.621310345</f>
        <v>0</v>
      </c>
      <c r="AP134" s="32">
        <f>H134*(1-0.621310345)</f>
        <v>0</v>
      </c>
      <c r="AQ134" s="36" t="s">
        <v>90</v>
      </c>
      <c r="AV134" s="32">
        <f>ROUND(AW134+AX134,2)</f>
        <v>0</v>
      </c>
      <c r="AW134" s="32">
        <f>ROUND(G134*AO134,2)</f>
        <v>0</v>
      </c>
      <c r="AX134" s="32">
        <f>ROUND(G134*AP134,2)</f>
        <v>0</v>
      </c>
      <c r="AY134" s="36" t="s">
        <v>332</v>
      </c>
      <c r="AZ134" s="36" t="s">
        <v>245</v>
      </c>
      <c r="BA134" s="12" t="s">
        <v>65</v>
      </c>
      <c r="BC134" s="32">
        <f>AW134+AX134</f>
        <v>0</v>
      </c>
      <c r="BD134" s="32">
        <f>H134/(100-BE134)*100</f>
        <v>0</v>
      </c>
      <c r="BE134" s="32">
        <v>0</v>
      </c>
      <c r="BF134" s="32">
        <f>P134</f>
        <v>8.0000000000000007E-5</v>
      </c>
      <c r="BH134" s="32">
        <f>G134*AO134</f>
        <v>0</v>
      </c>
      <c r="BI134" s="32">
        <f>G134*AP134</f>
        <v>0</v>
      </c>
      <c r="BJ134" s="32">
        <f>G134*H134</f>
        <v>0</v>
      </c>
      <c r="BK134" s="36" t="s">
        <v>66</v>
      </c>
      <c r="BL134" s="32">
        <v>722</v>
      </c>
      <c r="BW134" s="32">
        <f>I134</f>
        <v>21</v>
      </c>
      <c r="BX134" s="4" t="s">
        <v>342</v>
      </c>
    </row>
    <row r="135" spans="1:76" x14ac:dyDescent="0.25">
      <c r="A135" s="2" t="s">
        <v>343</v>
      </c>
      <c r="B135" s="3" t="s">
        <v>55</v>
      </c>
      <c r="C135" s="3" t="s">
        <v>344</v>
      </c>
      <c r="D135" s="89" t="s">
        <v>345</v>
      </c>
      <c r="E135" s="90"/>
      <c r="F135" s="3" t="s">
        <v>88</v>
      </c>
      <c r="G135" s="32">
        <v>1</v>
      </c>
      <c r="H135" s="199">
        <v>0</v>
      </c>
      <c r="I135" s="33">
        <v>21</v>
      </c>
      <c r="J135" s="32">
        <f>ROUND(G135*AO135,2)</f>
        <v>0</v>
      </c>
      <c r="K135" s="32">
        <f>ROUND(G135*AP135,2)</f>
        <v>0</v>
      </c>
      <c r="L135" s="32">
        <f>ROUND(G135*H135,2)</f>
        <v>0</v>
      </c>
      <c r="M135" s="32">
        <f>L135*(1+BW135/100)</f>
        <v>0</v>
      </c>
      <c r="N135" s="34">
        <f>IF(L649=0,0,L135/L649)</f>
        <v>0</v>
      </c>
      <c r="O135" s="32">
        <v>8.0000000000000007E-5</v>
      </c>
      <c r="P135" s="32">
        <f>G135*O135</f>
        <v>8.0000000000000007E-5</v>
      </c>
      <c r="Q135" s="35" t="s">
        <v>77</v>
      </c>
      <c r="Z135" s="32">
        <f>ROUND(IF(AQ135="5",BJ135,0),2)</f>
        <v>0</v>
      </c>
      <c r="AB135" s="32">
        <f>ROUND(IF(AQ135="1",BH135,0),2)</f>
        <v>0</v>
      </c>
      <c r="AC135" s="32">
        <f>ROUND(IF(AQ135="1",BI135,0),2)</f>
        <v>0</v>
      </c>
      <c r="AD135" s="32">
        <f>ROUND(IF(AQ135="7",BH135,0),2)</f>
        <v>0</v>
      </c>
      <c r="AE135" s="32">
        <f>ROUND(IF(AQ135="7",BI135,0),2)</f>
        <v>0</v>
      </c>
      <c r="AF135" s="32">
        <f>ROUND(IF(AQ135="2",BH135,0),2)</f>
        <v>0</v>
      </c>
      <c r="AG135" s="32">
        <f>ROUND(IF(AQ135="2",BI135,0),2)</f>
        <v>0</v>
      </c>
      <c r="AH135" s="32">
        <f>ROUND(IF(AQ135="0",BJ135,0),2)</f>
        <v>0</v>
      </c>
      <c r="AI135" s="12" t="s">
        <v>55</v>
      </c>
      <c r="AJ135" s="32">
        <f>IF(AN135=0,L135,0)</f>
        <v>0</v>
      </c>
      <c r="AK135" s="32">
        <f>IF(AN135=12,L135,0)</f>
        <v>0</v>
      </c>
      <c r="AL135" s="32">
        <f>IF(AN135=21,L135,0)</f>
        <v>0</v>
      </c>
      <c r="AN135" s="32">
        <v>21</v>
      </c>
      <c r="AO135" s="32">
        <f>H135*0.466426975</f>
        <v>0</v>
      </c>
      <c r="AP135" s="32">
        <f>H135*(1-0.466426975)</f>
        <v>0</v>
      </c>
      <c r="AQ135" s="36" t="s">
        <v>90</v>
      </c>
      <c r="AV135" s="32">
        <f>ROUND(AW135+AX135,2)</f>
        <v>0</v>
      </c>
      <c r="AW135" s="32">
        <f>ROUND(G135*AO135,2)</f>
        <v>0</v>
      </c>
      <c r="AX135" s="32">
        <f>ROUND(G135*AP135,2)</f>
        <v>0</v>
      </c>
      <c r="AY135" s="36" t="s">
        <v>332</v>
      </c>
      <c r="AZ135" s="36" t="s">
        <v>245</v>
      </c>
      <c r="BA135" s="12" t="s">
        <v>65</v>
      </c>
      <c r="BC135" s="32">
        <f>AW135+AX135</f>
        <v>0</v>
      </c>
      <c r="BD135" s="32">
        <f>H135/(100-BE135)*100</f>
        <v>0</v>
      </c>
      <c r="BE135" s="32">
        <v>0</v>
      </c>
      <c r="BF135" s="32">
        <f>P135</f>
        <v>8.0000000000000007E-5</v>
      </c>
      <c r="BH135" s="32">
        <f>G135*AO135</f>
        <v>0</v>
      </c>
      <c r="BI135" s="32">
        <f>G135*AP135</f>
        <v>0</v>
      </c>
      <c r="BJ135" s="32">
        <f>G135*H135</f>
        <v>0</v>
      </c>
      <c r="BK135" s="36" t="s">
        <v>66</v>
      </c>
      <c r="BL135" s="32">
        <v>722</v>
      </c>
      <c r="BW135" s="32">
        <f>I135</f>
        <v>21</v>
      </c>
      <c r="BX135" s="4" t="s">
        <v>345</v>
      </c>
    </row>
    <row r="136" spans="1:76" x14ac:dyDescent="0.25">
      <c r="A136" s="2" t="s">
        <v>346</v>
      </c>
      <c r="B136" s="3" t="s">
        <v>55</v>
      </c>
      <c r="C136" s="3" t="s">
        <v>347</v>
      </c>
      <c r="D136" s="89" t="s">
        <v>348</v>
      </c>
      <c r="E136" s="90"/>
      <c r="F136" s="3" t="s">
        <v>136</v>
      </c>
      <c r="G136" s="32">
        <v>52</v>
      </c>
      <c r="H136" s="199">
        <v>0</v>
      </c>
      <c r="I136" s="33">
        <v>21</v>
      </c>
      <c r="J136" s="32">
        <f>ROUND(G136*AO136,2)</f>
        <v>0</v>
      </c>
      <c r="K136" s="32">
        <f>ROUND(G136*AP136,2)</f>
        <v>0</v>
      </c>
      <c r="L136" s="32">
        <f>ROUND(G136*H136,2)</f>
        <v>0</v>
      </c>
      <c r="M136" s="32">
        <f>L136*(1+BW136/100)</f>
        <v>0</v>
      </c>
      <c r="N136" s="34">
        <f>IF(L649=0,0,L136/L649)</f>
        <v>0</v>
      </c>
      <c r="O136" s="32">
        <v>4.6000000000000001E-4</v>
      </c>
      <c r="P136" s="32">
        <f>G136*O136</f>
        <v>2.392E-2</v>
      </c>
      <c r="Q136" s="35" t="s">
        <v>77</v>
      </c>
      <c r="Z136" s="32">
        <f>ROUND(IF(AQ136="5",BJ136,0),2)</f>
        <v>0</v>
      </c>
      <c r="AB136" s="32">
        <f>ROUND(IF(AQ136="1",BH136,0),2)</f>
        <v>0</v>
      </c>
      <c r="AC136" s="32">
        <f>ROUND(IF(AQ136="1",BI136,0),2)</f>
        <v>0</v>
      </c>
      <c r="AD136" s="32">
        <f>ROUND(IF(AQ136="7",BH136,0),2)</f>
        <v>0</v>
      </c>
      <c r="AE136" s="32">
        <f>ROUND(IF(AQ136="7",BI136,0),2)</f>
        <v>0</v>
      </c>
      <c r="AF136" s="32">
        <f>ROUND(IF(AQ136="2",BH136,0),2)</f>
        <v>0</v>
      </c>
      <c r="AG136" s="32">
        <f>ROUND(IF(AQ136="2",BI136,0),2)</f>
        <v>0</v>
      </c>
      <c r="AH136" s="32">
        <f>ROUND(IF(AQ136="0",BJ136,0),2)</f>
        <v>0</v>
      </c>
      <c r="AI136" s="12" t="s">
        <v>55</v>
      </c>
      <c r="AJ136" s="32">
        <f>IF(AN136=0,L136,0)</f>
        <v>0</v>
      </c>
      <c r="AK136" s="32">
        <f>IF(AN136=12,L136,0)</f>
        <v>0</v>
      </c>
      <c r="AL136" s="32">
        <f>IF(AN136=21,L136,0)</f>
        <v>0</v>
      </c>
      <c r="AN136" s="32">
        <v>21</v>
      </c>
      <c r="AO136" s="32">
        <f>H136*0.243590678</f>
        <v>0</v>
      </c>
      <c r="AP136" s="32">
        <f>H136*(1-0.243590678)</f>
        <v>0</v>
      </c>
      <c r="AQ136" s="36" t="s">
        <v>90</v>
      </c>
      <c r="AV136" s="32">
        <f>ROUND(AW136+AX136,2)</f>
        <v>0</v>
      </c>
      <c r="AW136" s="32">
        <f>ROUND(G136*AO136,2)</f>
        <v>0</v>
      </c>
      <c r="AX136" s="32">
        <f>ROUND(G136*AP136,2)</f>
        <v>0</v>
      </c>
      <c r="AY136" s="36" t="s">
        <v>332</v>
      </c>
      <c r="AZ136" s="36" t="s">
        <v>245</v>
      </c>
      <c r="BA136" s="12" t="s">
        <v>65</v>
      </c>
      <c r="BC136" s="32">
        <f>AW136+AX136</f>
        <v>0</v>
      </c>
      <c r="BD136" s="32">
        <f>H136/(100-BE136)*100</f>
        <v>0</v>
      </c>
      <c r="BE136" s="32">
        <v>0</v>
      </c>
      <c r="BF136" s="32">
        <f>P136</f>
        <v>2.392E-2</v>
      </c>
      <c r="BH136" s="32">
        <f>G136*AO136</f>
        <v>0</v>
      </c>
      <c r="BI136" s="32">
        <f>G136*AP136</f>
        <v>0</v>
      </c>
      <c r="BJ136" s="32">
        <f>G136*H136</f>
        <v>0</v>
      </c>
      <c r="BK136" s="36" t="s">
        <v>66</v>
      </c>
      <c r="BL136" s="32">
        <v>722</v>
      </c>
      <c r="BW136" s="32">
        <f>I136</f>
        <v>21</v>
      </c>
      <c r="BX136" s="4" t="s">
        <v>348</v>
      </c>
    </row>
    <row r="137" spans="1:76" ht="13.5" customHeight="1" x14ac:dyDescent="0.25">
      <c r="A137" s="42"/>
      <c r="C137" s="43"/>
      <c r="D137" s="95" t="s">
        <v>349</v>
      </c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7"/>
    </row>
    <row r="138" spans="1:76" x14ac:dyDescent="0.25">
      <c r="A138" s="2" t="s">
        <v>350</v>
      </c>
      <c r="B138" s="3" t="s">
        <v>55</v>
      </c>
      <c r="C138" s="3" t="s">
        <v>351</v>
      </c>
      <c r="D138" s="89" t="s">
        <v>352</v>
      </c>
      <c r="E138" s="90"/>
      <c r="F138" s="3" t="s">
        <v>136</v>
      </c>
      <c r="G138" s="32">
        <v>16</v>
      </c>
      <c r="H138" s="199">
        <v>0</v>
      </c>
      <c r="I138" s="33">
        <v>21</v>
      </c>
      <c r="J138" s="32">
        <f>ROUND(G138*AO138,2)</f>
        <v>0</v>
      </c>
      <c r="K138" s="32">
        <f>ROUND(G138*AP138,2)</f>
        <v>0</v>
      </c>
      <c r="L138" s="32">
        <f>ROUND(G138*H138,2)</f>
        <v>0</v>
      </c>
      <c r="M138" s="32">
        <f>L138*(1+BW138/100)</f>
        <v>0</v>
      </c>
      <c r="N138" s="34">
        <f>IF(L649=0,0,L138/L649)</f>
        <v>0</v>
      </c>
      <c r="O138" s="32">
        <v>5.8E-4</v>
      </c>
      <c r="P138" s="32">
        <f>G138*O138</f>
        <v>9.2800000000000001E-3</v>
      </c>
      <c r="Q138" s="35" t="s">
        <v>77</v>
      </c>
      <c r="Z138" s="32">
        <f>ROUND(IF(AQ138="5",BJ138,0),2)</f>
        <v>0</v>
      </c>
      <c r="AB138" s="32">
        <f>ROUND(IF(AQ138="1",BH138,0),2)</f>
        <v>0</v>
      </c>
      <c r="AC138" s="32">
        <f>ROUND(IF(AQ138="1",BI138,0),2)</f>
        <v>0</v>
      </c>
      <c r="AD138" s="32">
        <f>ROUND(IF(AQ138="7",BH138,0),2)</f>
        <v>0</v>
      </c>
      <c r="AE138" s="32">
        <f>ROUND(IF(AQ138="7",BI138,0),2)</f>
        <v>0</v>
      </c>
      <c r="AF138" s="32">
        <f>ROUND(IF(AQ138="2",BH138,0),2)</f>
        <v>0</v>
      </c>
      <c r="AG138" s="32">
        <f>ROUND(IF(AQ138="2",BI138,0),2)</f>
        <v>0</v>
      </c>
      <c r="AH138" s="32">
        <f>ROUND(IF(AQ138="0",BJ138,0),2)</f>
        <v>0</v>
      </c>
      <c r="AI138" s="12" t="s">
        <v>55</v>
      </c>
      <c r="AJ138" s="32">
        <f>IF(AN138=0,L138,0)</f>
        <v>0</v>
      </c>
      <c r="AK138" s="32">
        <f>IF(AN138=12,L138,0)</f>
        <v>0</v>
      </c>
      <c r="AL138" s="32">
        <f>IF(AN138=21,L138,0)</f>
        <v>0</v>
      </c>
      <c r="AN138" s="32">
        <v>21</v>
      </c>
      <c r="AO138" s="32">
        <f>H138*0.290667487</f>
        <v>0</v>
      </c>
      <c r="AP138" s="32">
        <f>H138*(1-0.290667487)</f>
        <v>0</v>
      </c>
      <c r="AQ138" s="36" t="s">
        <v>90</v>
      </c>
      <c r="AV138" s="32">
        <f>ROUND(AW138+AX138,2)</f>
        <v>0</v>
      </c>
      <c r="AW138" s="32">
        <f>ROUND(G138*AO138,2)</f>
        <v>0</v>
      </c>
      <c r="AX138" s="32">
        <f>ROUND(G138*AP138,2)</f>
        <v>0</v>
      </c>
      <c r="AY138" s="36" t="s">
        <v>332</v>
      </c>
      <c r="AZ138" s="36" t="s">
        <v>245</v>
      </c>
      <c r="BA138" s="12" t="s">
        <v>65</v>
      </c>
      <c r="BC138" s="32">
        <f>AW138+AX138</f>
        <v>0</v>
      </c>
      <c r="BD138" s="32">
        <f>H138/(100-BE138)*100</f>
        <v>0</v>
      </c>
      <c r="BE138" s="32">
        <v>0</v>
      </c>
      <c r="BF138" s="32">
        <f>P138</f>
        <v>9.2800000000000001E-3</v>
      </c>
      <c r="BH138" s="32">
        <f>G138*AO138</f>
        <v>0</v>
      </c>
      <c r="BI138" s="32">
        <f>G138*AP138</f>
        <v>0</v>
      </c>
      <c r="BJ138" s="32">
        <f>G138*H138</f>
        <v>0</v>
      </c>
      <c r="BK138" s="36" t="s">
        <v>66</v>
      </c>
      <c r="BL138" s="32">
        <v>722</v>
      </c>
      <c r="BW138" s="32">
        <f>I138</f>
        <v>21</v>
      </c>
      <c r="BX138" s="4" t="s">
        <v>352</v>
      </c>
    </row>
    <row r="139" spans="1:76" ht="13.5" customHeight="1" x14ac:dyDescent="0.25">
      <c r="A139" s="42"/>
      <c r="C139" s="43"/>
      <c r="D139" s="95" t="s">
        <v>349</v>
      </c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7"/>
    </row>
    <row r="140" spans="1:76" x14ac:dyDescent="0.25">
      <c r="A140" s="2" t="s">
        <v>353</v>
      </c>
      <c r="B140" s="3" t="s">
        <v>55</v>
      </c>
      <c r="C140" s="3" t="s">
        <v>354</v>
      </c>
      <c r="D140" s="89" t="s">
        <v>355</v>
      </c>
      <c r="E140" s="90"/>
      <c r="F140" s="3" t="s">
        <v>136</v>
      </c>
      <c r="G140" s="32">
        <v>10</v>
      </c>
      <c r="H140" s="199">
        <v>0</v>
      </c>
      <c r="I140" s="33">
        <v>21</v>
      </c>
      <c r="J140" s="32">
        <f>ROUND(G140*AO140,2)</f>
        <v>0</v>
      </c>
      <c r="K140" s="32">
        <f>ROUND(G140*AP140,2)</f>
        <v>0</v>
      </c>
      <c r="L140" s="32">
        <f>ROUND(G140*H140,2)</f>
        <v>0</v>
      </c>
      <c r="M140" s="32">
        <f>L140*(1+BW140/100)</f>
        <v>0</v>
      </c>
      <c r="N140" s="34">
        <f>IF(L649=0,0,L140/L649)</f>
        <v>0</v>
      </c>
      <c r="O140" s="32">
        <v>7.6999999999999996E-4</v>
      </c>
      <c r="P140" s="32">
        <f>G140*O140</f>
        <v>7.6999999999999994E-3</v>
      </c>
      <c r="Q140" s="35" t="s">
        <v>77</v>
      </c>
      <c r="Z140" s="32">
        <f>ROUND(IF(AQ140="5",BJ140,0),2)</f>
        <v>0</v>
      </c>
      <c r="AB140" s="32">
        <f>ROUND(IF(AQ140="1",BH140,0),2)</f>
        <v>0</v>
      </c>
      <c r="AC140" s="32">
        <f>ROUND(IF(AQ140="1",BI140,0),2)</f>
        <v>0</v>
      </c>
      <c r="AD140" s="32">
        <f>ROUND(IF(AQ140="7",BH140,0),2)</f>
        <v>0</v>
      </c>
      <c r="AE140" s="32">
        <f>ROUND(IF(AQ140="7",BI140,0),2)</f>
        <v>0</v>
      </c>
      <c r="AF140" s="32">
        <f>ROUND(IF(AQ140="2",BH140,0),2)</f>
        <v>0</v>
      </c>
      <c r="AG140" s="32">
        <f>ROUND(IF(AQ140="2",BI140,0),2)</f>
        <v>0</v>
      </c>
      <c r="AH140" s="32">
        <f>ROUND(IF(AQ140="0",BJ140,0),2)</f>
        <v>0</v>
      </c>
      <c r="AI140" s="12" t="s">
        <v>55</v>
      </c>
      <c r="AJ140" s="32">
        <f>IF(AN140=0,L140,0)</f>
        <v>0</v>
      </c>
      <c r="AK140" s="32">
        <f>IF(AN140=12,L140,0)</f>
        <v>0</v>
      </c>
      <c r="AL140" s="32">
        <f>IF(AN140=21,L140,0)</f>
        <v>0</v>
      </c>
      <c r="AN140" s="32">
        <v>21</v>
      </c>
      <c r="AO140" s="32">
        <f>H140*0.350943396</f>
        <v>0</v>
      </c>
      <c r="AP140" s="32">
        <f>H140*(1-0.350943396)</f>
        <v>0</v>
      </c>
      <c r="AQ140" s="36" t="s">
        <v>90</v>
      </c>
      <c r="AV140" s="32">
        <f>ROUND(AW140+AX140,2)</f>
        <v>0</v>
      </c>
      <c r="AW140" s="32">
        <f>ROUND(G140*AO140,2)</f>
        <v>0</v>
      </c>
      <c r="AX140" s="32">
        <f>ROUND(G140*AP140,2)</f>
        <v>0</v>
      </c>
      <c r="AY140" s="36" t="s">
        <v>332</v>
      </c>
      <c r="AZ140" s="36" t="s">
        <v>245</v>
      </c>
      <c r="BA140" s="12" t="s">
        <v>65</v>
      </c>
      <c r="BC140" s="32">
        <f>AW140+AX140</f>
        <v>0</v>
      </c>
      <c r="BD140" s="32">
        <f>H140/(100-BE140)*100</f>
        <v>0</v>
      </c>
      <c r="BE140" s="32">
        <v>0</v>
      </c>
      <c r="BF140" s="32">
        <f>P140</f>
        <v>7.6999999999999994E-3</v>
      </c>
      <c r="BH140" s="32">
        <f>G140*AO140</f>
        <v>0</v>
      </c>
      <c r="BI140" s="32">
        <f>G140*AP140</f>
        <v>0</v>
      </c>
      <c r="BJ140" s="32">
        <f>G140*H140</f>
        <v>0</v>
      </c>
      <c r="BK140" s="36" t="s">
        <v>66</v>
      </c>
      <c r="BL140" s="32">
        <v>722</v>
      </c>
      <c r="BW140" s="32">
        <f>I140</f>
        <v>21</v>
      </c>
      <c r="BX140" s="4" t="s">
        <v>355</v>
      </c>
    </row>
    <row r="141" spans="1:76" ht="13.5" customHeight="1" x14ac:dyDescent="0.25">
      <c r="A141" s="42"/>
      <c r="C141" s="43"/>
      <c r="D141" s="95" t="s">
        <v>349</v>
      </c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7"/>
    </row>
    <row r="142" spans="1:76" x14ac:dyDescent="0.25">
      <c r="A142" s="2" t="s">
        <v>356</v>
      </c>
      <c r="B142" s="3" t="s">
        <v>55</v>
      </c>
      <c r="C142" s="3" t="s">
        <v>347</v>
      </c>
      <c r="D142" s="89" t="s">
        <v>357</v>
      </c>
      <c r="E142" s="90"/>
      <c r="F142" s="3" t="s">
        <v>136</v>
      </c>
      <c r="G142" s="32">
        <v>30</v>
      </c>
      <c r="H142" s="199">
        <v>0</v>
      </c>
      <c r="I142" s="33">
        <v>21</v>
      </c>
      <c r="J142" s="32">
        <f>ROUND(G142*AO142,2)</f>
        <v>0</v>
      </c>
      <c r="K142" s="32">
        <f>ROUND(G142*AP142,2)</f>
        <v>0</v>
      </c>
      <c r="L142" s="32">
        <f>ROUND(G142*H142,2)</f>
        <v>0</v>
      </c>
      <c r="M142" s="32">
        <f>L142*(1+BW142/100)</f>
        <v>0</v>
      </c>
      <c r="N142" s="34">
        <f>IF(L649=0,0,L142/L649)</f>
        <v>0</v>
      </c>
      <c r="O142" s="32">
        <v>4.6000000000000001E-4</v>
      </c>
      <c r="P142" s="32">
        <f>G142*O142</f>
        <v>1.38E-2</v>
      </c>
      <c r="Q142" s="35" t="s">
        <v>77</v>
      </c>
      <c r="Z142" s="32">
        <f>ROUND(IF(AQ142="5",BJ142,0),2)</f>
        <v>0</v>
      </c>
      <c r="AB142" s="32">
        <f>ROUND(IF(AQ142="1",BH142,0),2)</f>
        <v>0</v>
      </c>
      <c r="AC142" s="32">
        <f>ROUND(IF(AQ142="1",BI142,0),2)</f>
        <v>0</v>
      </c>
      <c r="AD142" s="32">
        <f>ROUND(IF(AQ142="7",BH142,0),2)</f>
        <v>0</v>
      </c>
      <c r="AE142" s="32">
        <f>ROUND(IF(AQ142="7",BI142,0),2)</f>
        <v>0</v>
      </c>
      <c r="AF142" s="32">
        <f>ROUND(IF(AQ142="2",BH142,0),2)</f>
        <v>0</v>
      </c>
      <c r="AG142" s="32">
        <f>ROUND(IF(AQ142="2",BI142,0),2)</f>
        <v>0</v>
      </c>
      <c r="AH142" s="32">
        <f>ROUND(IF(AQ142="0",BJ142,0),2)</f>
        <v>0</v>
      </c>
      <c r="AI142" s="12" t="s">
        <v>55</v>
      </c>
      <c r="AJ142" s="32">
        <f>IF(AN142=0,L142,0)</f>
        <v>0</v>
      </c>
      <c r="AK142" s="32">
        <f>IF(AN142=12,L142,0)</f>
        <v>0</v>
      </c>
      <c r="AL142" s="32">
        <f>IF(AN142=21,L142,0)</f>
        <v>0</v>
      </c>
      <c r="AN142" s="32">
        <v>21</v>
      </c>
      <c r="AO142" s="32">
        <f>H142*0.243590678</f>
        <v>0</v>
      </c>
      <c r="AP142" s="32">
        <f>H142*(1-0.243590678)</f>
        <v>0</v>
      </c>
      <c r="AQ142" s="36" t="s">
        <v>90</v>
      </c>
      <c r="AV142" s="32">
        <f>ROUND(AW142+AX142,2)</f>
        <v>0</v>
      </c>
      <c r="AW142" s="32">
        <f>ROUND(G142*AO142,2)</f>
        <v>0</v>
      </c>
      <c r="AX142" s="32">
        <f>ROUND(G142*AP142,2)</f>
        <v>0</v>
      </c>
      <c r="AY142" s="36" t="s">
        <v>332</v>
      </c>
      <c r="AZ142" s="36" t="s">
        <v>245</v>
      </c>
      <c r="BA142" s="12" t="s">
        <v>65</v>
      </c>
      <c r="BC142" s="32">
        <f>AW142+AX142</f>
        <v>0</v>
      </c>
      <c r="BD142" s="32">
        <f>H142/(100-BE142)*100</f>
        <v>0</v>
      </c>
      <c r="BE142" s="32">
        <v>0</v>
      </c>
      <c r="BF142" s="32">
        <f>P142</f>
        <v>1.38E-2</v>
      </c>
      <c r="BH142" s="32">
        <f>G142*AO142</f>
        <v>0</v>
      </c>
      <c r="BI142" s="32">
        <f>G142*AP142</f>
        <v>0</v>
      </c>
      <c r="BJ142" s="32">
        <f>G142*H142</f>
        <v>0</v>
      </c>
      <c r="BK142" s="36" t="s">
        <v>66</v>
      </c>
      <c r="BL142" s="32">
        <v>722</v>
      </c>
      <c r="BW142" s="32">
        <f>I142</f>
        <v>21</v>
      </c>
      <c r="BX142" s="4" t="s">
        <v>357</v>
      </c>
    </row>
    <row r="143" spans="1:76" ht="13.5" customHeight="1" x14ac:dyDescent="0.25">
      <c r="A143" s="42"/>
      <c r="C143" s="43"/>
      <c r="D143" s="95" t="s">
        <v>349</v>
      </c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7"/>
    </row>
    <row r="144" spans="1:76" x14ac:dyDescent="0.25">
      <c r="A144" s="2" t="s">
        <v>358</v>
      </c>
      <c r="B144" s="3" t="s">
        <v>55</v>
      </c>
      <c r="C144" s="3" t="s">
        <v>351</v>
      </c>
      <c r="D144" s="89" t="s">
        <v>359</v>
      </c>
      <c r="E144" s="90"/>
      <c r="F144" s="3" t="s">
        <v>136</v>
      </c>
      <c r="G144" s="32">
        <v>10</v>
      </c>
      <c r="H144" s="199">
        <v>0</v>
      </c>
      <c r="I144" s="33">
        <v>21</v>
      </c>
      <c r="J144" s="32">
        <f>ROUND(G144*AO144,2)</f>
        <v>0</v>
      </c>
      <c r="K144" s="32">
        <f>ROUND(G144*AP144,2)</f>
        <v>0</v>
      </c>
      <c r="L144" s="32">
        <f>ROUND(G144*H144,2)</f>
        <v>0</v>
      </c>
      <c r="M144" s="32">
        <f>L144*(1+BW144/100)</f>
        <v>0</v>
      </c>
      <c r="N144" s="34">
        <f>IF(L649=0,0,L144/L649)</f>
        <v>0</v>
      </c>
      <c r="O144" s="32">
        <v>5.8E-4</v>
      </c>
      <c r="P144" s="32">
        <f>G144*O144</f>
        <v>5.7999999999999996E-3</v>
      </c>
      <c r="Q144" s="35" t="s">
        <v>77</v>
      </c>
      <c r="Z144" s="32">
        <f>ROUND(IF(AQ144="5",BJ144,0),2)</f>
        <v>0</v>
      </c>
      <c r="AB144" s="32">
        <f>ROUND(IF(AQ144="1",BH144,0),2)</f>
        <v>0</v>
      </c>
      <c r="AC144" s="32">
        <f>ROUND(IF(AQ144="1",BI144,0),2)</f>
        <v>0</v>
      </c>
      <c r="AD144" s="32">
        <f>ROUND(IF(AQ144="7",BH144,0),2)</f>
        <v>0</v>
      </c>
      <c r="AE144" s="32">
        <f>ROUND(IF(AQ144="7",BI144,0),2)</f>
        <v>0</v>
      </c>
      <c r="AF144" s="32">
        <f>ROUND(IF(AQ144="2",BH144,0),2)</f>
        <v>0</v>
      </c>
      <c r="AG144" s="32">
        <f>ROUND(IF(AQ144="2",BI144,0),2)</f>
        <v>0</v>
      </c>
      <c r="AH144" s="32">
        <f>ROUND(IF(AQ144="0",BJ144,0),2)</f>
        <v>0</v>
      </c>
      <c r="AI144" s="12" t="s">
        <v>55</v>
      </c>
      <c r="AJ144" s="32">
        <f>IF(AN144=0,L144,0)</f>
        <v>0</v>
      </c>
      <c r="AK144" s="32">
        <f>IF(AN144=12,L144,0)</f>
        <v>0</v>
      </c>
      <c r="AL144" s="32">
        <f>IF(AN144=21,L144,0)</f>
        <v>0</v>
      </c>
      <c r="AN144" s="32">
        <v>21</v>
      </c>
      <c r="AO144" s="32">
        <f>H144*0.290667487</f>
        <v>0</v>
      </c>
      <c r="AP144" s="32">
        <f>H144*(1-0.290667487)</f>
        <v>0</v>
      </c>
      <c r="AQ144" s="36" t="s">
        <v>90</v>
      </c>
      <c r="AV144" s="32">
        <f>ROUND(AW144+AX144,2)</f>
        <v>0</v>
      </c>
      <c r="AW144" s="32">
        <f>ROUND(G144*AO144,2)</f>
        <v>0</v>
      </c>
      <c r="AX144" s="32">
        <f>ROUND(G144*AP144,2)</f>
        <v>0</v>
      </c>
      <c r="AY144" s="36" t="s">
        <v>332</v>
      </c>
      <c r="AZ144" s="36" t="s">
        <v>245</v>
      </c>
      <c r="BA144" s="12" t="s">
        <v>65</v>
      </c>
      <c r="BC144" s="32">
        <f>AW144+AX144</f>
        <v>0</v>
      </c>
      <c r="BD144" s="32">
        <f>H144/(100-BE144)*100</f>
        <v>0</v>
      </c>
      <c r="BE144" s="32">
        <v>0</v>
      </c>
      <c r="BF144" s="32">
        <f>P144</f>
        <v>5.7999999999999996E-3</v>
      </c>
      <c r="BH144" s="32">
        <f>G144*AO144</f>
        <v>0</v>
      </c>
      <c r="BI144" s="32">
        <f>G144*AP144</f>
        <v>0</v>
      </c>
      <c r="BJ144" s="32">
        <f>G144*H144</f>
        <v>0</v>
      </c>
      <c r="BK144" s="36" t="s">
        <v>66</v>
      </c>
      <c r="BL144" s="32">
        <v>722</v>
      </c>
      <c r="BW144" s="32">
        <f>I144</f>
        <v>21</v>
      </c>
      <c r="BX144" s="4" t="s">
        <v>359</v>
      </c>
    </row>
    <row r="145" spans="1:76" ht="13.5" customHeight="1" x14ac:dyDescent="0.25">
      <c r="A145" s="42"/>
      <c r="C145" s="43"/>
      <c r="D145" s="95" t="s">
        <v>349</v>
      </c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7"/>
    </row>
    <row r="146" spans="1:76" x14ac:dyDescent="0.25">
      <c r="A146" s="2" t="s">
        <v>360</v>
      </c>
      <c r="B146" s="3" t="s">
        <v>55</v>
      </c>
      <c r="C146" s="3" t="s">
        <v>354</v>
      </c>
      <c r="D146" s="89" t="s">
        <v>361</v>
      </c>
      <c r="E146" s="90"/>
      <c r="F146" s="3" t="s">
        <v>136</v>
      </c>
      <c r="G146" s="32">
        <v>10</v>
      </c>
      <c r="H146" s="199">
        <v>0</v>
      </c>
      <c r="I146" s="33">
        <v>21</v>
      </c>
      <c r="J146" s="32">
        <f>ROUND(G146*AO146,2)</f>
        <v>0</v>
      </c>
      <c r="K146" s="32">
        <f>ROUND(G146*AP146,2)</f>
        <v>0</v>
      </c>
      <c r="L146" s="32">
        <f>ROUND(G146*H146,2)</f>
        <v>0</v>
      </c>
      <c r="M146" s="32">
        <f>L146*(1+BW146/100)</f>
        <v>0</v>
      </c>
      <c r="N146" s="34">
        <f>IF(L649=0,0,L146/L649)</f>
        <v>0</v>
      </c>
      <c r="O146" s="32">
        <v>7.6999999999999996E-4</v>
      </c>
      <c r="P146" s="32">
        <f>G146*O146</f>
        <v>7.6999999999999994E-3</v>
      </c>
      <c r="Q146" s="35" t="s">
        <v>77</v>
      </c>
      <c r="Z146" s="32">
        <f>ROUND(IF(AQ146="5",BJ146,0),2)</f>
        <v>0</v>
      </c>
      <c r="AB146" s="32">
        <f>ROUND(IF(AQ146="1",BH146,0),2)</f>
        <v>0</v>
      </c>
      <c r="AC146" s="32">
        <f>ROUND(IF(AQ146="1",BI146,0),2)</f>
        <v>0</v>
      </c>
      <c r="AD146" s="32">
        <f>ROUND(IF(AQ146="7",BH146,0),2)</f>
        <v>0</v>
      </c>
      <c r="AE146" s="32">
        <f>ROUND(IF(AQ146="7",BI146,0),2)</f>
        <v>0</v>
      </c>
      <c r="AF146" s="32">
        <f>ROUND(IF(AQ146="2",BH146,0),2)</f>
        <v>0</v>
      </c>
      <c r="AG146" s="32">
        <f>ROUND(IF(AQ146="2",BI146,0),2)</f>
        <v>0</v>
      </c>
      <c r="AH146" s="32">
        <f>ROUND(IF(AQ146="0",BJ146,0),2)</f>
        <v>0</v>
      </c>
      <c r="AI146" s="12" t="s">
        <v>55</v>
      </c>
      <c r="AJ146" s="32">
        <f>IF(AN146=0,L146,0)</f>
        <v>0</v>
      </c>
      <c r="AK146" s="32">
        <f>IF(AN146=12,L146,0)</f>
        <v>0</v>
      </c>
      <c r="AL146" s="32">
        <f>IF(AN146=21,L146,0)</f>
        <v>0</v>
      </c>
      <c r="AN146" s="32">
        <v>21</v>
      </c>
      <c r="AO146" s="32">
        <f>H146*0.350943396</f>
        <v>0</v>
      </c>
      <c r="AP146" s="32">
        <f>H146*(1-0.350943396)</f>
        <v>0</v>
      </c>
      <c r="AQ146" s="36" t="s">
        <v>90</v>
      </c>
      <c r="AV146" s="32">
        <f>ROUND(AW146+AX146,2)</f>
        <v>0</v>
      </c>
      <c r="AW146" s="32">
        <f>ROUND(G146*AO146,2)</f>
        <v>0</v>
      </c>
      <c r="AX146" s="32">
        <f>ROUND(G146*AP146,2)</f>
        <v>0</v>
      </c>
      <c r="AY146" s="36" t="s">
        <v>332</v>
      </c>
      <c r="AZ146" s="36" t="s">
        <v>245</v>
      </c>
      <c r="BA146" s="12" t="s">
        <v>65</v>
      </c>
      <c r="BC146" s="32">
        <f>AW146+AX146</f>
        <v>0</v>
      </c>
      <c r="BD146" s="32">
        <f>H146/(100-BE146)*100</f>
        <v>0</v>
      </c>
      <c r="BE146" s="32">
        <v>0</v>
      </c>
      <c r="BF146" s="32">
        <f>P146</f>
        <v>7.6999999999999994E-3</v>
      </c>
      <c r="BH146" s="32">
        <f>G146*AO146</f>
        <v>0</v>
      </c>
      <c r="BI146" s="32">
        <f>G146*AP146</f>
        <v>0</v>
      </c>
      <c r="BJ146" s="32">
        <f>G146*H146</f>
        <v>0</v>
      </c>
      <c r="BK146" s="36" t="s">
        <v>66</v>
      </c>
      <c r="BL146" s="32">
        <v>722</v>
      </c>
      <c r="BW146" s="32">
        <f>I146</f>
        <v>21</v>
      </c>
      <c r="BX146" s="4" t="s">
        <v>361</v>
      </c>
    </row>
    <row r="147" spans="1:76" ht="13.5" customHeight="1" x14ac:dyDescent="0.25">
      <c r="A147" s="42"/>
      <c r="C147" s="43"/>
      <c r="D147" s="95" t="s">
        <v>349</v>
      </c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7"/>
    </row>
    <row r="148" spans="1:76" x14ac:dyDescent="0.25">
      <c r="A148" s="2" t="s">
        <v>362</v>
      </c>
      <c r="B148" s="3" t="s">
        <v>55</v>
      </c>
      <c r="C148" s="3" t="s">
        <v>363</v>
      </c>
      <c r="D148" s="89" t="s">
        <v>364</v>
      </c>
      <c r="E148" s="90"/>
      <c r="F148" s="3" t="s">
        <v>136</v>
      </c>
      <c r="G148" s="32">
        <v>52</v>
      </c>
      <c r="H148" s="199">
        <v>0</v>
      </c>
      <c r="I148" s="33">
        <v>21</v>
      </c>
      <c r="J148" s="32">
        <f>ROUND(G148*AO148,2)</f>
        <v>0</v>
      </c>
      <c r="K148" s="32">
        <f>ROUND(G148*AP148,2)</f>
        <v>0</v>
      </c>
      <c r="L148" s="32">
        <f>ROUND(G148*H148,2)</f>
        <v>0</v>
      </c>
      <c r="M148" s="32">
        <f>L148*(1+BW148/100)</f>
        <v>0</v>
      </c>
      <c r="N148" s="34">
        <f>IF(L649=0,0,L148/L649)</f>
        <v>0</v>
      </c>
      <c r="O148" s="32">
        <v>2.0000000000000002E-5</v>
      </c>
      <c r="P148" s="32">
        <f>G148*O148</f>
        <v>1.0400000000000001E-3</v>
      </c>
      <c r="Q148" s="35" t="s">
        <v>77</v>
      </c>
      <c r="Z148" s="32">
        <f>ROUND(IF(AQ148="5",BJ148,0),2)</f>
        <v>0</v>
      </c>
      <c r="AB148" s="32">
        <f>ROUND(IF(AQ148="1",BH148,0),2)</f>
        <v>0</v>
      </c>
      <c r="AC148" s="32">
        <f>ROUND(IF(AQ148="1",BI148,0),2)</f>
        <v>0</v>
      </c>
      <c r="AD148" s="32">
        <f>ROUND(IF(AQ148="7",BH148,0),2)</f>
        <v>0</v>
      </c>
      <c r="AE148" s="32">
        <f>ROUND(IF(AQ148="7",BI148,0),2)</f>
        <v>0</v>
      </c>
      <c r="AF148" s="32">
        <f>ROUND(IF(AQ148="2",BH148,0),2)</f>
        <v>0</v>
      </c>
      <c r="AG148" s="32">
        <f>ROUND(IF(AQ148="2",BI148,0),2)</f>
        <v>0</v>
      </c>
      <c r="AH148" s="32">
        <f>ROUND(IF(AQ148="0",BJ148,0),2)</f>
        <v>0</v>
      </c>
      <c r="AI148" s="12" t="s">
        <v>55</v>
      </c>
      <c r="AJ148" s="32">
        <f>IF(AN148=0,L148,0)</f>
        <v>0</v>
      </c>
      <c r="AK148" s="32">
        <f>IF(AN148=12,L148,0)</f>
        <v>0</v>
      </c>
      <c r="AL148" s="32">
        <f>IF(AN148=21,L148,0)</f>
        <v>0</v>
      </c>
      <c r="AN148" s="32">
        <v>21</v>
      </c>
      <c r="AO148" s="32">
        <f>H148*0.230682632</f>
        <v>0</v>
      </c>
      <c r="AP148" s="32">
        <f>H148*(1-0.230682632)</f>
        <v>0</v>
      </c>
      <c r="AQ148" s="36" t="s">
        <v>90</v>
      </c>
      <c r="AV148" s="32">
        <f>ROUND(AW148+AX148,2)</f>
        <v>0</v>
      </c>
      <c r="AW148" s="32">
        <f>ROUND(G148*AO148,2)</f>
        <v>0</v>
      </c>
      <c r="AX148" s="32">
        <f>ROUND(G148*AP148,2)</f>
        <v>0</v>
      </c>
      <c r="AY148" s="36" t="s">
        <v>332</v>
      </c>
      <c r="AZ148" s="36" t="s">
        <v>245</v>
      </c>
      <c r="BA148" s="12" t="s">
        <v>65</v>
      </c>
      <c r="BC148" s="32">
        <f>AW148+AX148</f>
        <v>0</v>
      </c>
      <c r="BD148" s="32">
        <f>H148/(100-BE148)*100</f>
        <v>0</v>
      </c>
      <c r="BE148" s="32">
        <v>0</v>
      </c>
      <c r="BF148" s="32">
        <f>P148</f>
        <v>1.0400000000000001E-3</v>
      </c>
      <c r="BH148" s="32">
        <f>G148*AO148</f>
        <v>0</v>
      </c>
      <c r="BI148" s="32">
        <f>G148*AP148</f>
        <v>0</v>
      </c>
      <c r="BJ148" s="32">
        <f>G148*H148</f>
        <v>0</v>
      </c>
      <c r="BK148" s="36" t="s">
        <v>66</v>
      </c>
      <c r="BL148" s="32">
        <v>722</v>
      </c>
      <c r="BW148" s="32">
        <f>I148</f>
        <v>21</v>
      </c>
      <c r="BX148" s="4" t="s">
        <v>364</v>
      </c>
    </row>
    <row r="149" spans="1:76" ht="13.5" customHeight="1" x14ac:dyDescent="0.25">
      <c r="A149" s="42"/>
      <c r="C149" s="43"/>
      <c r="D149" s="95" t="s">
        <v>365</v>
      </c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7"/>
    </row>
    <row r="150" spans="1:76" x14ac:dyDescent="0.25">
      <c r="A150" s="2" t="s">
        <v>366</v>
      </c>
      <c r="B150" s="3" t="s">
        <v>55</v>
      </c>
      <c r="C150" s="3" t="s">
        <v>367</v>
      </c>
      <c r="D150" s="89" t="s">
        <v>368</v>
      </c>
      <c r="E150" s="90"/>
      <c r="F150" s="3" t="s">
        <v>136</v>
      </c>
      <c r="G150" s="32">
        <v>16</v>
      </c>
      <c r="H150" s="199">
        <v>0</v>
      </c>
      <c r="I150" s="33">
        <v>21</v>
      </c>
      <c r="J150" s="32">
        <f>ROUND(G150*AO150,2)</f>
        <v>0</v>
      </c>
      <c r="K150" s="32">
        <f>ROUND(G150*AP150,2)</f>
        <v>0</v>
      </c>
      <c r="L150" s="32">
        <f>ROUND(G150*H150,2)</f>
        <v>0</v>
      </c>
      <c r="M150" s="32">
        <f>L150*(1+BW150/100)</f>
        <v>0</v>
      </c>
      <c r="N150" s="34">
        <f>IF(L649=0,0,L150/L649)</f>
        <v>0</v>
      </c>
      <c r="O150" s="32">
        <v>6.0000000000000002E-5</v>
      </c>
      <c r="P150" s="32">
        <f>G150*O150</f>
        <v>9.6000000000000002E-4</v>
      </c>
      <c r="Q150" s="35" t="s">
        <v>77</v>
      </c>
      <c r="Z150" s="32">
        <f>ROUND(IF(AQ150="5",BJ150,0),2)</f>
        <v>0</v>
      </c>
      <c r="AB150" s="32">
        <f>ROUND(IF(AQ150="1",BH150,0),2)</f>
        <v>0</v>
      </c>
      <c r="AC150" s="32">
        <f>ROUND(IF(AQ150="1",BI150,0),2)</f>
        <v>0</v>
      </c>
      <c r="AD150" s="32">
        <f>ROUND(IF(AQ150="7",BH150,0),2)</f>
        <v>0</v>
      </c>
      <c r="AE150" s="32">
        <f>ROUND(IF(AQ150="7",BI150,0),2)</f>
        <v>0</v>
      </c>
      <c r="AF150" s="32">
        <f>ROUND(IF(AQ150="2",BH150,0),2)</f>
        <v>0</v>
      </c>
      <c r="AG150" s="32">
        <f>ROUND(IF(AQ150="2",BI150,0),2)</f>
        <v>0</v>
      </c>
      <c r="AH150" s="32">
        <f>ROUND(IF(AQ150="0",BJ150,0),2)</f>
        <v>0</v>
      </c>
      <c r="AI150" s="12" t="s">
        <v>55</v>
      </c>
      <c r="AJ150" s="32">
        <f>IF(AN150=0,L150,0)</f>
        <v>0</v>
      </c>
      <c r="AK150" s="32">
        <f>IF(AN150=12,L150,0)</f>
        <v>0</v>
      </c>
      <c r="AL150" s="32">
        <f>IF(AN150=21,L150,0)</f>
        <v>0</v>
      </c>
      <c r="AN150" s="32">
        <v>21</v>
      </c>
      <c r="AO150" s="32">
        <f>H150*0.244039835</f>
        <v>0</v>
      </c>
      <c r="AP150" s="32">
        <f>H150*(1-0.244039835)</f>
        <v>0</v>
      </c>
      <c r="AQ150" s="36" t="s">
        <v>90</v>
      </c>
      <c r="AV150" s="32">
        <f>ROUND(AW150+AX150,2)</f>
        <v>0</v>
      </c>
      <c r="AW150" s="32">
        <f>ROUND(G150*AO150,2)</f>
        <v>0</v>
      </c>
      <c r="AX150" s="32">
        <f>ROUND(G150*AP150,2)</f>
        <v>0</v>
      </c>
      <c r="AY150" s="36" t="s">
        <v>332</v>
      </c>
      <c r="AZ150" s="36" t="s">
        <v>245</v>
      </c>
      <c r="BA150" s="12" t="s">
        <v>65</v>
      </c>
      <c r="BC150" s="32">
        <f>AW150+AX150</f>
        <v>0</v>
      </c>
      <c r="BD150" s="32">
        <f>H150/(100-BE150)*100</f>
        <v>0</v>
      </c>
      <c r="BE150" s="32">
        <v>0</v>
      </c>
      <c r="BF150" s="32">
        <f>P150</f>
        <v>9.6000000000000002E-4</v>
      </c>
      <c r="BH150" s="32">
        <f>G150*AO150</f>
        <v>0</v>
      </c>
      <c r="BI150" s="32">
        <f>G150*AP150</f>
        <v>0</v>
      </c>
      <c r="BJ150" s="32">
        <f>G150*H150</f>
        <v>0</v>
      </c>
      <c r="BK150" s="36" t="s">
        <v>66</v>
      </c>
      <c r="BL150" s="32">
        <v>722</v>
      </c>
      <c r="BW150" s="32">
        <f>I150</f>
        <v>21</v>
      </c>
      <c r="BX150" s="4" t="s">
        <v>368</v>
      </c>
    </row>
    <row r="151" spans="1:76" ht="13.5" customHeight="1" x14ac:dyDescent="0.25">
      <c r="A151" s="42"/>
      <c r="C151" s="43"/>
      <c r="D151" s="95" t="s">
        <v>365</v>
      </c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7"/>
    </row>
    <row r="152" spans="1:76" x14ac:dyDescent="0.25">
      <c r="A152" s="2" t="s">
        <v>369</v>
      </c>
      <c r="B152" s="3" t="s">
        <v>55</v>
      </c>
      <c r="C152" s="3" t="s">
        <v>370</v>
      </c>
      <c r="D152" s="89" t="s">
        <v>371</v>
      </c>
      <c r="E152" s="90"/>
      <c r="F152" s="3" t="s">
        <v>136</v>
      </c>
      <c r="G152" s="32">
        <v>10</v>
      </c>
      <c r="H152" s="199">
        <v>0</v>
      </c>
      <c r="I152" s="33">
        <v>21</v>
      </c>
      <c r="J152" s="32">
        <f>ROUND(G152*AO152,2)</f>
        <v>0</v>
      </c>
      <c r="K152" s="32">
        <f>ROUND(G152*AP152,2)</f>
        <v>0</v>
      </c>
      <c r="L152" s="32">
        <f>ROUND(G152*H152,2)</f>
        <v>0</v>
      </c>
      <c r="M152" s="32">
        <f>L152*(1+BW152/100)</f>
        <v>0</v>
      </c>
      <c r="N152" s="34">
        <f>IF(L649=0,0,L152/L649)</f>
        <v>0</v>
      </c>
      <c r="O152" s="32">
        <v>6.0000000000000002E-5</v>
      </c>
      <c r="P152" s="32">
        <f>G152*O152</f>
        <v>6.0000000000000006E-4</v>
      </c>
      <c r="Q152" s="35" t="s">
        <v>77</v>
      </c>
      <c r="Z152" s="32">
        <f>ROUND(IF(AQ152="5",BJ152,0),2)</f>
        <v>0</v>
      </c>
      <c r="AB152" s="32">
        <f>ROUND(IF(AQ152="1",BH152,0),2)</f>
        <v>0</v>
      </c>
      <c r="AC152" s="32">
        <f>ROUND(IF(AQ152="1",BI152,0),2)</f>
        <v>0</v>
      </c>
      <c r="AD152" s="32">
        <f>ROUND(IF(AQ152="7",BH152,0),2)</f>
        <v>0</v>
      </c>
      <c r="AE152" s="32">
        <f>ROUND(IF(AQ152="7",BI152,0),2)</f>
        <v>0</v>
      </c>
      <c r="AF152" s="32">
        <f>ROUND(IF(AQ152="2",BH152,0),2)</f>
        <v>0</v>
      </c>
      <c r="AG152" s="32">
        <f>ROUND(IF(AQ152="2",BI152,0),2)</f>
        <v>0</v>
      </c>
      <c r="AH152" s="32">
        <f>ROUND(IF(AQ152="0",BJ152,0),2)</f>
        <v>0</v>
      </c>
      <c r="AI152" s="12" t="s">
        <v>55</v>
      </c>
      <c r="AJ152" s="32">
        <f>IF(AN152=0,L152,0)</f>
        <v>0</v>
      </c>
      <c r="AK152" s="32">
        <f>IF(AN152=12,L152,0)</f>
        <v>0</v>
      </c>
      <c r="AL152" s="32">
        <f>IF(AN152=21,L152,0)</f>
        <v>0</v>
      </c>
      <c r="AN152" s="32">
        <v>21</v>
      </c>
      <c r="AO152" s="32">
        <f>H152*0.242374429</f>
        <v>0</v>
      </c>
      <c r="AP152" s="32">
        <f>H152*(1-0.242374429)</f>
        <v>0</v>
      </c>
      <c r="AQ152" s="36" t="s">
        <v>90</v>
      </c>
      <c r="AV152" s="32">
        <f>ROUND(AW152+AX152,2)</f>
        <v>0</v>
      </c>
      <c r="AW152" s="32">
        <f>ROUND(G152*AO152,2)</f>
        <v>0</v>
      </c>
      <c r="AX152" s="32">
        <f>ROUND(G152*AP152,2)</f>
        <v>0</v>
      </c>
      <c r="AY152" s="36" t="s">
        <v>332</v>
      </c>
      <c r="AZ152" s="36" t="s">
        <v>245</v>
      </c>
      <c r="BA152" s="12" t="s">
        <v>65</v>
      </c>
      <c r="BC152" s="32">
        <f>AW152+AX152</f>
        <v>0</v>
      </c>
      <c r="BD152" s="32">
        <f>H152/(100-BE152)*100</f>
        <v>0</v>
      </c>
      <c r="BE152" s="32">
        <v>0</v>
      </c>
      <c r="BF152" s="32">
        <f>P152</f>
        <v>6.0000000000000006E-4</v>
      </c>
      <c r="BH152" s="32">
        <f>G152*AO152</f>
        <v>0</v>
      </c>
      <c r="BI152" s="32">
        <f>G152*AP152</f>
        <v>0</v>
      </c>
      <c r="BJ152" s="32">
        <f>G152*H152</f>
        <v>0</v>
      </c>
      <c r="BK152" s="36" t="s">
        <v>66</v>
      </c>
      <c r="BL152" s="32">
        <v>722</v>
      </c>
      <c r="BW152" s="32">
        <f>I152</f>
        <v>21</v>
      </c>
      <c r="BX152" s="4" t="s">
        <v>371</v>
      </c>
    </row>
    <row r="153" spans="1:76" ht="13.5" customHeight="1" x14ac:dyDescent="0.25">
      <c r="A153" s="42"/>
      <c r="C153" s="43"/>
      <c r="D153" s="95" t="s">
        <v>365</v>
      </c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7"/>
    </row>
    <row r="154" spans="1:76" x14ac:dyDescent="0.25">
      <c r="A154" s="2" t="s">
        <v>372</v>
      </c>
      <c r="B154" s="3" t="s">
        <v>55</v>
      </c>
      <c r="C154" s="3" t="s">
        <v>373</v>
      </c>
      <c r="D154" s="89" t="s">
        <v>374</v>
      </c>
      <c r="E154" s="90"/>
      <c r="F154" s="3" t="s">
        <v>136</v>
      </c>
      <c r="G154" s="32">
        <v>30</v>
      </c>
      <c r="H154" s="199">
        <v>0</v>
      </c>
      <c r="I154" s="33">
        <v>21</v>
      </c>
      <c r="J154" s="32">
        <f>ROUND(G154*AO154,2)</f>
        <v>0</v>
      </c>
      <c r="K154" s="32">
        <f>ROUND(G154*AP154,2)</f>
        <v>0</v>
      </c>
      <c r="L154" s="32">
        <f>ROUND(G154*H154,2)</f>
        <v>0</v>
      </c>
      <c r="M154" s="32">
        <f>L154*(1+BW154/100)</f>
        <v>0</v>
      </c>
      <c r="N154" s="34">
        <f>IF(L649=0,0,L154/L649)</f>
        <v>0</v>
      </c>
      <c r="O154" s="32">
        <v>3.0000000000000001E-5</v>
      </c>
      <c r="P154" s="32">
        <f>G154*O154</f>
        <v>8.9999999999999998E-4</v>
      </c>
      <c r="Q154" s="35" t="s">
        <v>77</v>
      </c>
      <c r="Z154" s="32">
        <f>ROUND(IF(AQ154="5",BJ154,0),2)</f>
        <v>0</v>
      </c>
      <c r="AB154" s="32">
        <f>ROUND(IF(AQ154="1",BH154,0),2)</f>
        <v>0</v>
      </c>
      <c r="AC154" s="32">
        <f>ROUND(IF(AQ154="1",BI154,0),2)</f>
        <v>0</v>
      </c>
      <c r="AD154" s="32">
        <f>ROUND(IF(AQ154="7",BH154,0),2)</f>
        <v>0</v>
      </c>
      <c r="AE154" s="32">
        <f>ROUND(IF(AQ154="7",BI154,0),2)</f>
        <v>0</v>
      </c>
      <c r="AF154" s="32">
        <f>ROUND(IF(AQ154="2",BH154,0),2)</f>
        <v>0</v>
      </c>
      <c r="AG154" s="32">
        <f>ROUND(IF(AQ154="2",BI154,0),2)</f>
        <v>0</v>
      </c>
      <c r="AH154" s="32">
        <f>ROUND(IF(AQ154="0",BJ154,0),2)</f>
        <v>0</v>
      </c>
      <c r="AI154" s="12" t="s">
        <v>55</v>
      </c>
      <c r="AJ154" s="32">
        <f>IF(AN154=0,L154,0)</f>
        <v>0</v>
      </c>
      <c r="AK154" s="32">
        <f>IF(AN154=12,L154,0)</f>
        <v>0</v>
      </c>
      <c r="AL154" s="32">
        <f>IF(AN154=21,L154,0)</f>
        <v>0</v>
      </c>
      <c r="AN154" s="32">
        <v>21</v>
      </c>
      <c r="AO154" s="32">
        <f>H154*0.509247762</f>
        <v>0</v>
      </c>
      <c r="AP154" s="32">
        <f>H154*(1-0.509247762)</f>
        <v>0</v>
      </c>
      <c r="AQ154" s="36" t="s">
        <v>90</v>
      </c>
      <c r="AV154" s="32">
        <f>ROUND(AW154+AX154,2)</f>
        <v>0</v>
      </c>
      <c r="AW154" s="32">
        <f>ROUND(G154*AO154,2)</f>
        <v>0</v>
      </c>
      <c r="AX154" s="32">
        <f>ROUND(G154*AP154,2)</f>
        <v>0</v>
      </c>
      <c r="AY154" s="36" t="s">
        <v>332</v>
      </c>
      <c r="AZ154" s="36" t="s">
        <v>245</v>
      </c>
      <c r="BA154" s="12" t="s">
        <v>65</v>
      </c>
      <c r="BC154" s="32">
        <f>AW154+AX154</f>
        <v>0</v>
      </c>
      <c r="BD154" s="32">
        <f>H154/(100-BE154)*100</f>
        <v>0</v>
      </c>
      <c r="BE154" s="32">
        <v>0</v>
      </c>
      <c r="BF154" s="32">
        <f>P154</f>
        <v>8.9999999999999998E-4</v>
      </c>
      <c r="BH154" s="32">
        <f>G154*AO154</f>
        <v>0</v>
      </c>
      <c r="BI154" s="32">
        <f>G154*AP154</f>
        <v>0</v>
      </c>
      <c r="BJ154" s="32">
        <f>G154*H154</f>
        <v>0</v>
      </c>
      <c r="BK154" s="36" t="s">
        <v>66</v>
      </c>
      <c r="BL154" s="32">
        <v>722</v>
      </c>
      <c r="BW154" s="32">
        <f>I154</f>
        <v>21</v>
      </c>
      <c r="BX154" s="4" t="s">
        <v>374</v>
      </c>
    </row>
    <row r="155" spans="1:76" ht="13.5" customHeight="1" x14ac:dyDescent="0.25">
      <c r="A155" s="42"/>
      <c r="C155" s="43"/>
      <c r="D155" s="95" t="s">
        <v>375</v>
      </c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7"/>
    </row>
    <row r="156" spans="1:76" x14ac:dyDescent="0.25">
      <c r="A156" s="2" t="s">
        <v>376</v>
      </c>
      <c r="B156" s="3" t="s">
        <v>55</v>
      </c>
      <c r="C156" s="3" t="s">
        <v>377</v>
      </c>
      <c r="D156" s="89" t="s">
        <v>378</v>
      </c>
      <c r="E156" s="90"/>
      <c r="F156" s="3" t="s">
        <v>136</v>
      </c>
      <c r="G156" s="32">
        <v>10</v>
      </c>
      <c r="H156" s="199">
        <v>0</v>
      </c>
      <c r="I156" s="33">
        <v>21</v>
      </c>
      <c r="J156" s="32">
        <f>ROUND(G156*AO156,2)</f>
        <v>0</v>
      </c>
      <c r="K156" s="32">
        <f>ROUND(G156*AP156,2)</f>
        <v>0</v>
      </c>
      <c r="L156" s="32">
        <f>ROUND(G156*H156,2)</f>
        <v>0</v>
      </c>
      <c r="M156" s="32">
        <f>L156*(1+BW156/100)</f>
        <v>0</v>
      </c>
      <c r="N156" s="34">
        <f>IF(L649=0,0,L156/L649)</f>
        <v>0</v>
      </c>
      <c r="O156" s="32">
        <v>4.0000000000000003E-5</v>
      </c>
      <c r="P156" s="32">
        <f>G156*O156</f>
        <v>4.0000000000000002E-4</v>
      </c>
      <c r="Q156" s="35" t="s">
        <v>77</v>
      </c>
      <c r="Z156" s="32">
        <f>ROUND(IF(AQ156="5",BJ156,0),2)</f>
        <v>0</v>
      </c>
      <c r="AB156" s="32">
        <f>ROUND(IF(AQ156="1",BH156,0),2)</f>
        <v>0</v>
      </c>
      <c r="AC156" s="32">
        <f>ROUND(IF(AQ156="1",BI156,0),2)</f>
        <v>0</v>
      </c>
      <c r="AD156" s="32">
        <f>ROUND(IF(AQ156="7",BH156,0),2)</f>
        <v>0</v>
      </c>
      <c r="AE156" s="32">
        <f>ROUND(IF(AQ156="7",BI156,0),2)</f>
        <v>0</v>
      </c>
      <c r="AF156" s="32">
        <f>ROUND(IF(AQ156="2",BH156,0),2)</f>
        <v>0</v>
      </c>
      <c r="AG156" s="32">
        <f>ROUND(IF(AQ156="2",BI156,0),2)</f>
        <v>0</v>
      </c>
      <c r="AH156" s="32">
        <f>ROUND(IF(AQ156="0",BJ156,0),2)</f>
        <v>0</v>
      </c>
      <c r="AI156" s="12" t="s">
        <v>55</v>
      </c>
      <c r="AJ156" s="32">
        <f>IF(AN156=0,L156,0)</f>
        <v>0</v>
      </c>
      <c r="AK156" s="32">
        <f>IF(AN156=12,L156,0)</f>
        <v>0</v>
      </c>
      <c r="AL156" s="32">
        <f>IF(AN156=21,L156,0)</f>
        <v>0</v>
      </c>
      <c r="AN156" s="32">
        <v>21</v>
      </c>
      <c r="AO156" s="32">
        <f>H156*0.40878671</f>
        <v>0</v>
      </c>
      <c r="AP156" s="32">
        <f>H156*(1-0.40878671)</f>
        <v>0</v>
      </c>
      <c r="AQ156" s="36" t="s">
        <v>90</v>
      </c>
      <c r="AV156" s="32">
        <f>ROUND(AW156+AX156,2)</f>
        <v>0</v>
      </c>
      <c r="AW156" s="32">
        <f>ROUND(G156*AO156,2)</f>
        <v>0</v>
      </c>
      <c r="AX156" s="32">
        <f>ROUND(G156*AP156,2)</f>
        <v>0</v>
      </c>
      <c r="AY156" s="36" t="s">
        <v>332</v>
      </c>
      <c r="AZ156" s="36" t="s">
        <v>245</v>
      </c>
      <c r="BA156" s="12" t="s">
        <v>65</v>
      </c>
      <c r="BC156" s="32">
        <f>AW156+AX156</f>
        <v>0</v>
      </c>
      <c r="BD156" s="32">
        <f>H156/(100-BE156)*100</f>
        <v>0</v>
      </c>
      <c r="BE156" s="32">
        <v>0</v>
      </c>
      <c r="BF156" s="32">
        <f>P156</f>
        <v>4.0000000000000002E-4</v>
      </c>
      <c r="BH156" s="32">
        <f>G156*AO156</f>
        <v>0</v>
      </c>
      <c r="BI156" s="32">
        <f>G156*AP156</f>
        <v>0</v>
      </c>
      <c r="BJ156" s="32">
        <f>G156*H156</f>
        <v>0</v>
      </c>
      <c r="BK156" s="36" t="s">
        <v>66</v>
      </c>
      <c r="BL156" s="32">
        <v>722</v>
      </c>
      <c r="BW156" s="32">
        <f>I156</f>
        <v>21</v>
      </c>
      <c r="BX156" s="4" t="s">
        <v>378</v>
      </c>
    </row>
    <row r="157" spans="1:76" ht="13.5" customHeight="1" x14ac:dyDescent="0.25">
      <c r="A157" s="42"/>
      <c r="C157" s="43"/>
      <c r="D157" s="95" t="s">
        <v>375</v>
      </c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7"/>
    </row>
    <row r="158" spans="1:76" x14ac:dyDescent="0.25">
      <c r="A158" s="2" t="s">
        <v>379</v>
      </c>
      <c r="B158" s="3" t="s">
        <v>55</v>
      </c>
      <c r="C158" s="3" t="s">
        <v>380</v>
      </c>
      <c r="D158" s="89" t="s">
        <v>381</v>
      </c>
      <c r="E158" s="90"/>
      <c r="F158" s="3" t="s">
        <v>136</v>
      </c>
      <c r="G158" s="32">
        <v>10</v>
      </c>
      <c r="H158" s="199">
        <v>0</v>
      </c>
      <c r="I158" s="33">
        <v>21</v>
      </c>
      <c r="J158" s="32">
        <f>ROUND(G158*AO158,2)</f>
        <v>0</v>
      </c>
      <c r="K158" s="32">
        <f>ROUND(G158*AP158,2)</f>
        <v>0</v>
      </c>
      <c r="L158" s="32">
        <f>ROUND(G158*H158,2)</f>
        <v>0</v>
      </c>
      <c r="M158" s="32">
        <f>L158*(1+BW158/100)</f>
        <v>0</v>
      </c>
      <c r="N158" s="34">
        <f>IF(L649=0,0,L158/L649)</f>
        <v>0</v>
      </c>
      <c r="O158" s="32">
        <v>6.0000000000000002E-5</v>
      </c>
      <c r="P158" s="32">
        <f>G158*O158</f>
        <v>6.0000000000000006E-4</v>
      </c>
      <c r="Q158" s="35" t="s">
        <v>77</v>
      </c>
      <c r="Z158" s="32">
        <f>ROUND(IF(AQ158="5",BJ158,0),2)</f>
        <v>0</v>
      </c>
      <c r="AB158" s="32">
        <f>ROUND(IF(AQ158="1",BH158,0),2)</f>
        <v>0</v>
      </c>
      <c r="AC158" s="32">
        <f>ROUND(IF(AQ158="1",BI158,0),2)</f>
        <v>0</v>
      </c>
      <c r="AD158" s="32">
        <f>ROUND(IF(AQ158="7",BH158,0),2)</f>
        <v>0</v>
      </c>
      <c r="AE158" s="32">
        <f>ROUND(IF(AQ158="7",BI158,0),2)</f>
        <v>0</v>
      </c>
      <c r="AF158" s="32">
        <f>ROUND(IF(AQ158="2",BH158,0),2)</f>
        <v>0</v>
      </c>
      <c r="AG158" s="32">
        <f>ROUND(IF(AQ158="2",BI158,0),2)</f>
        <v>0</v>
      </c>
      <c r="AH158" s="32">
        <f>ROUND(IF(AQ158="0",BJ158,0),2)</f>
        <v>0</v>
      </c>
      <c r="AI158" s="12" t="s">
        <v>55</v>
      </c>
      <c r="AJ158" s="32">
        <f>IF(AN158=0,L158,0)</f>
        <v>0</v>
      </c>
      <c r="AK158" s="32">
        <f>IF(AN158=12,L158,0)</f>
        <v>0</v>
      </c>
      <c r="AL158" s="32">
        <f>IF(AN158=21,L158,0)</f>
        <v>0</v>
      </c>
      <c r="AN158" s="32">
        <v>21</v>
      </c>
      <c r="AO158" s="32">
        <f>H158*0.441554054</f>
        <v>0</v>
      </c>
      <c r="AP158" s="32">
        <f>H158*(1-0.441554054)</f>
        <v>0</v>
      </c>
      <c r="AQ158" s="36" t="s">
        <v>90</v>
      </c>
      <c r="AV158" s="32">
        <f>ROUND(AW158+AX158,2)</f>
        <v>0</v>
      </c>
      <c r="AW158" s="32">
        <f>ROUND(G158*AO158,2)</f>
        <v>0</v>
      </c>
      <c r="AX158" s="32">
        <f>ROUND(G158*AP158,2)</f>
        <v>0</v>
      </c>
      <c r="AY158" s="36" t="s">
        <v>332</v>
      </c>
      <c r="AZ158" s="36" t="s">
        <v>245</v>
      </c>
      <c r="BA158" s="12" t="s">
        <v>65</v>
      </c>
      <c r="BC158" s="32">
        <f>AW158+AX158</f>
        <v>0</v>
      </c>
      <c r="BD158" s="32">
        <f>H158/(100-BE158)*100</f>
        <v>0</v>
      </c>
      <c r="BE158" s="32">
        <v>0</v>
      </c>
      <c r="BF158" s="32">
        <f>P158</f>
        <v>6.0000000000000006E-4</v>
      </c>
      <c r="BH158" s="32">
        <f>G158*AO158</f>
        <v>0</v>
      </c>
      <c r="BI158" s="32">
        <f>G158*AP158</f>
        <v>0</v>
      </c>
      <c r="BJ158" s="32">
        <f>G158*H158</f>
        <v>0</v>
      </c>
      <c r="BK158" s="36" t="s">
        <v>66</v>
      </c>
      <c r="BL158" s="32">
        <v>722</v>
      </c>
      <c r="BW158" s="32">
        <f>I158</f>
        <v>21</v>
      </c>
      <c r="BX158" s="4" t="s">
        <v>381</v>
      </c>
    </row>
    <row r="159" spans="1:76" ht="13.5" customHeight="1" x14ac:dyDescent="0.25">
      <c r="A159" s="42"/>
      <c r="C159" s="43"/>
      <c r="D159" s="95" t="s">
        <v>375</v>
      </c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7"/>
    </row>
    <row r="160" spans="1:76" ht="15" customHeight="1" x14ac:dyDescent="0.25">
      <c r="A160" s="2" t="s">
        <v>382</v>
      </c>
      <c r="B160" s="3" t="s">
        <v>55</v>
      </c>
      <c r="C160" s="3" t="s">
        <v>383</v>
      </c>
      <c r="D160" s="89" t="s">
        <v>1459</v>
      </c>
      <c r="E160" s="90"/>
      <c r="F160" s="3" t="s">
        <v>88</v>
      </c>
      <c r="G160" s="32">
        <v>50</v>
      </c>
      <c r="H160" s="199">
        <v>0</v>
      </c>
      <c r="I160" s="33">
        <v>21</v>
      </c>
      <c r="J160" s="32">
        <f>ROUND(G160*AO160,2)</f>
        <v>0</v>
      </c>
      <c r="K160" s="32">
        <f>ROUND(G160*AP160,2)</f>
        <v>0</v>
      </c>
      <c r="L160" s="32">
        <f>ROUND(G160*H160,2)</f>
        <v>0</v>
      </c>
      <c r="M160" s="32">
        <f>L160*(1+BW160/100)</f>
        <v>0</v>
      </c>
      <c r="N160" s="34">
        <f>IF(L649=0,0,L160/L649)</f>
        <v>0</v>
      </c>
      <c r="O160" s="32">
        <v>2.9999999999999997E-4</v>
      </c>
      <c r="P160" s="32">
        <f>G160*O160</f>
        <v>1.4999999999999999E-2</v>
      </c>
      <c r="Q160" s="35" t="s">
        <v>77</v>
      </c>
      <c r="Z160" s="32">
        <f>ROUND(IF(AQ160="5",BJ160,0),2)</f>
        <v>0</v>
      </c>
      <c r="AB160" s="32">
        <f>ROUND(IF(AQ160="1",BH160,0),2)</f>
        <v>0</v>
      </c>
      <c r="AC160" s="32">
        <f>ROUND(IF(AQ160="1",BI160,0),2)</f>
        <v>0</v>
      </c>
      <c r="AD160" s="32">
        <f>ROUND(IF(AQ160="7",BH160,0),2)</f>
        <v>0</v>
      </c>
      <c r="AE160" s="32">
        <f>ROUND(IF(AQ160="7",BI160,0),2)</f>
        <v>0</v>
      </c>
      <c r="AF160" s="32">
        <f>ROUND(IF(AQ160="2",BH160,0),2)</f>
        <v>0</v>
      </c>
      <c r="AG160" s="32">
        <f>ROUND(IF(AQ160="2",BI160,0),2)</f>
        <v>0</v>
      </c>
      <c r="AH160" s="32">
        <f>ROUND(IF(AQ160="0",BJ160,0),2)</f>
        <v>0</v>
      </c>
      <c r="AI160" s="12" t="s">
        <v>55</v>
      </c>
      <c r="AJ160" s="32">
        <f>IF(AN160=0,L160,0)</f>
        <v>0</v>
      </c>
      <c r="AK160" s="32">
        <f>IF(AN160=12,L160,0)</f>
        <v>0</v>
      </c>
      <c r="AL160" s="32">
        <f>IF(AN160=21,L160,0)</f>
        <v>0</v>
      </c>
      <c r="AN160" s="32">
        <v>21</v>
      </c>
      <c r="AO160" s="32">
        <f>H160*0.109650489</f>
        <v>0</v>
      </c>
      <c r="AP160" s="32">
        <f>H160*(1-0.109650489)</f>
        <v>0</v>
      </c>
      <c r="AQ160" s="36" t="s">
        <v>90</v>
      </c>
      <c r="AV160" s="32">
        <f>ROUND(AW160+AX160,2)</f>
        <v>0</v>
      </c>
      <c r="AW160" s="32">
        <f>ROUND(G160*AO160,2)</f>
        <v>0</v>
      </c>
      <c r="AX160" s="32">
        <f>ROUND(G160*AP160,2)</f>
        <v>0</v>
      </c>
      <c r="AY160" s="36" t="s">
        <v>332</v>
      </c>
      <c r="AZ160" s="36" t="s">
        <v>245</v>
      </c>
      <c r="BA160" s="12" t="s">
        <v>65</v>
      </c>
      <c r="BC160" s="32">
        <f>AW160+AX160</f>
        <v>0</v>
      </c>
      <c r="BD160" s="32">
        <f>H160/(100-BE160)*100</f>
        <v>0</v>
      </c>
      <c r="BE160" s="32">
        <v>0</v>
      </c>
      <c r="BF160" s="32">
        <f>P160</f>
        <v>1.4999999999999999E-2</v>
      </c>
      <c r="BH160" s="32">
        <f>G160*AO160</f>
        <v>0</v>
      </c>
      <c r="BI160" s="32">
        <f>G160*AP160</f>
        <v>0</v>
      </c>
      <c r="BJ160" s="32">
        <f>G160*H160</f>
        <v>0</v>
      </c>
      <c r="BK160" s="36" t="s">
        <v>66</v>
      </c>
      <c r="BL160" s="32">
        <v>722</v>
      </c>
      <c r="BW160" s="32">
        <f>I160</f>
        <v>21</v>
      </c>
      <c r="BX160" s="4" t="s">
        <v>384</v>
      </c>
    </row>
    <row r="161" spans="1:76" ht="15" customHeight="1" x14ac:dyDescent="0.25">
      <c r="A161" s="2" t="s">
        <v>385</v>
      </c>
      <c r="B161" s="3" t="s">
        <v>55</v>
      </c>
      <c r="C161" s="3" t="s">
        <v>386</v>
      </c>
      <c r="D161" s="100" t="s">
        <v>1460</v>
      </c>
      <c r="E161" s="90"/>
      <c r="F161" s="3" t="s">
        <v>88</v>
      </c>
      <c r="G161" s="32">
        <v>20</v>
      </c>
      <c r="H161" s="199">
        <v>0</v>
      </c>
      <c r="I161" s="33">
        <v>21</v>
      </c>
      <c r="J161" s="32">
        <f>ROUND(G161*AO161,2)</f>
        <v>0</v>
      </c>
      <c r="K161" s="32">
        <f>ROUND(G161*AP161,2)</f>
        <v>0</v>
      </c>
      <c r="L161" s="32">
        <f>ROUND(G161*H161,2)</f>
        <v>0</v>
      </c>
      <c r="M161" s="32">
        <f>L161*(1+BW161/100)</f>
        <v>0</v>
      </c>
      <c r="N161" s="34">
        <f>IF(L649=0,0,L161/L649)</f>
        <v>0</v>
      </c>
      <c r="O161" s="32">
        <v>2.9999999999999997E-4</v>
      </c>
      <c r="P161" s="32">
        <f>G161*O161</f>
        <v>5.9999999999999993E-3</v>
      </c>
      <c r="Q161" s="35" t="s">
        <v>77</v>
      </c>
      <c r="Z161" s="32">
        <f>ROUND(IF(AQ161="5",BJ161,0),2)</f>
        <v>0</v>
      </c>
      <c r="AB161" s="32">
        <f>ROUND(IF(AQ161="1",BH161,0),2)</f>
        <v>0</v>
      </c>
      <c r="AC161" s="32">
        <f>ROUND(IF(AQ161="1",BI161,0),2)</f>
        <v>0</v>
      </c>
      <c r="AD161" s="32">
        <f>ROUND(IF(AQ161="7",BH161,0),2)</f>
        <v>0</v>
      </c>
      <c r="AE161" s="32">
        <f>ROUND(IF(AQ161="7",BI161,0),2)</f>
        <v>0</v>
      </c>
      <c r="AF161" s="32">
        <f>ROUND(IF(AQ161="2",BH161,0),2)</f>
        <v>0</v>
      </c>
      <c r="AG161" s="32">
        <f>ROUND(IF(AQ161="2",BI161,0),2)</f>
        <v>0</v>
      </c>
      <c r="AH161" s="32">
        <f>ROUND(IF(AQ161="0",BJ161,0),2)</f>
        <v>0</v>
      </c>
      <c r="AI161" s="12" t="s">
        <v>55</v>
      </c>
      <c r="AJ161" s="32">
        <f>IF(AN161=0,L161,0)</f>
        <v>0</v>
      </c>
      <c r="AK161" s="32">
        <f>IF(AN161=12,L161,0)</f>
        <v>0</v>
      </c>
      <c r="AL161" s="32">
        <f>IF(AN161=21,L161,0)</f>
        <v>0</v>
      </c>
      <c r="AN161" s="32">
        <v>21</v>
      </c>
      <c r="AO161" s="32">
        <f>H161*0.111111111</f>
        <v>0</v>
      </c>
      <c r="AP161" s="32">
        <f>H161*(1-0.111111111)</f>
        <v>0</v>
      </c>
      <c r="AQ161" s="36" t="s">
        <v>90</v>
      </c>
      <c r="AV161" s="32">
        <f>ROUND(AW161+AX161,2)</f>
        <v>0</v>
      </c>
      <c r="AW161" s="32">
        <f>ROUND(G161*AO161,2)</f>
        <v>0</v>
      </c>
      <c r="AX161" s="32">
        <f>ROUND(G161*AP161,2)</f>
        <v>0</v>
      </c>
      <c r="AY161" s="36" t="s">
        <v>332</v>
      </c>
      <c r="AZ161" s="36" t="s">
        <v>245</v>
      </c>
      <c r="BA161" s="12" t="s">
        <v>65</v>
      </c>
      <c r="BC161" s="32">
        <f>AW161+AX161</f>
        <v>0</v>
      </c>
      <c r="BD161" s="32">
        <f>H161/(100-BE161)*100</f>
        <v>0</v>
      </c>
      <c r="BE161" s="32">
        <v>0</v>
      </c>
      <c r="BF161" s="32">
        <f>P161</f>
        <v>5.9999999999999993E-3</v>
      </c>
      <c r="BH161" s="32">
        <f>G161*AO161</f>
        <v>0</v>
      </c>
      <c r="BI161" s="32">
        <f>G161*AP161</f>
        <v>0</v>
      </c>
      <c r="BJ161" s="32">
        <f>G161*H161</f>
        <v>0</v>
      </c>
      <c r="BK161" s="36" t="s">
        <v>66</v>
      </c>
      <c r="BL161" s="32">
        <v>722</v>
      </c>
      <c r="BW161" s="32">
        <f>I161</f>
        <v>21</v>
      </c>
      <c r="BX161" s="4" t="s">
        <v>387</v>
      </c>
    </row>
    <row r="162" spans="1:76" ht="15" customHeight="1" x14ac:dyDescent="0.25">
      <c r="A162" s="2" t="s">
        <v>388</v>
      </c>
      <c r="B162" s="3" t="s">
        <v>55</v>
      </c>
      <c r="C162" s="3" t="s">
        <v>386</v>
      </c>
      <c r="D162" s="100" t="s">
        <v>1461</v>
      </c>
      <c r="E162" s="90"/>
      <c r="F162" s="3" t="s">
        <v>88</v>
      </c>
      <c r="G162" s="32">
        <v>20</v>
      </c>
      <c r="H162" s="199">
        <v>0</v>
      </c>
      <c r="I162" s="33">
        <v>21</v>
      </c>
      <c r="J162" s="32">
        <f>ROUND(G162*AO162,2)</f>
        <v>0</v>
      </c>
      <c r="K162" s="32">
        <f>ROUND(G162*AP162,2)</f>
        <v>0</v>
      </c>
      <c r="L162" s="32">
        <f>ROUND(G162*H162,2)</f>
        <v>0</v>
      </c>
      <c r="M162" s="32">
        <f>L162*(1+BW162/100)</f>
        <v>0</v>
      </c>
      <c r="N162" s="34">
        <f>IF(L649=0,0,L162/L649)</f>
        <v>0</v>
      </c>
      <c r="O162" s="32">
        <v>2.9999999999999997E-4</v>
      </c>
      <c r="P162" s="32">
        <f>G162*O162</f>
        <v>5.9999999999999993E-3</v>
      </c>
      <c r="Q162" s="35" t="s">
        <v>77</v>
      </c>
      <c r="Z162" s="32">
        <f>ROUND(IF(AQ162="5",BJ162,0),2)</f>
        <v>0</v>
      </c>
      <c r="AB162" s="32">
        <f>ROUND(IF(AQ162="1",BH162,0),2)</f>
        <v>0</v>
      </c>
      <c r="AC162" s="32">
        <f>ROUND(IF(AQ162="1",BI162,0),2)</f>
        <v>0</v>
      </c>
      <c r="AD162" s="32">
        <f>ROUND(IF(AQ162="7",BH162,0),2)</f>
        <v>0</v>
      </c>
      <c r="AE162" s="32">
        <f>ROUND(IF(AQ162="7",BI162,0),2)</f>
        <v>0</v>
      </c>
      <c r="AF162" s="32">
        <f>ROUND(IF(AQ162="2",BH162,0),2)</f>
        <v>0</v>
      </c>
      <c r="AG162" s="32">
        <f>ROUND(IF(AQ162="2",BI162,0),2)</f>
        <v>0</v>
      </c>
      <c r="AH162" s="32">
        <f>ROUND(IF(AQ162="0",BJ162,0),2)</f>
        <v>0</v>
      </c>
      <c r="AI162" s="12" t="s">
        <v>55</v>
      </c>
      <c r="AJ162" s="32">
        <f>IF(AN162=0,L162,0)</f>
        <v>0</v>
      </c>
      <c r="AK162" s="32">
        <f>IF(AN162=12,L162,0)</f>
        <v>0</v>
      </c>
      <c r="AL162" s="32">
        <f>IF(AN162=21,L162,0)</f>
        <v>0</v>
      </c>
      <c r="AN162" s="32">
        <v>21</v>
      </c>
      <c r="AO162" s="32">
        <f>H162*0.111111111</f>
        <v>0</v>
      </c>
      <c r="AP162" s="32">
        <f>H162*(1-0.111111111)</f>
        <v>0</v>
      </c>
      <c r="AQ162" s="36" t="s">
        <v>90</v>
      </c>
      <c r="AV162" s="32">
        <f>ROUND(AW162+AX162,2)</f>
        <v>0</v>
      </c>
      <c r="AW162" s="32">
        <f>ROUND(G162*AO162,2)</f>
        <v>0</v>
      </c>
      <c r="AX162" s="32">
        <f>ROUND(G162*AP162,2)</f>
        <v>0</v>
      </c>
      <c r="AY162" s="36" t="s">
        <v>332</v>
      </c>
      <c r="AZ162" s="36" t="s">
        <v>245</v>
      </c>
      <c r="BA162" s="12" t="s">
        <v>65</v>
      </c>
      <c r="BC162" s="32">
        <f>AW162+AX162</f>
        <v>0</v>
      </c>
      <c r="BD162" s="32">
        <f>H162/(100-BE162)*100</f>
        <v>0</v>
      </c>
      <c r="BE162" s="32">
        <v>0</v>
      </c>
      <c r="BF162" s="32">
        <f>P162</f>
        <v>5.9999999999999993E-3</v>
      </c>
      <c r="BH162" s="32">
        <f>G162*AO162</f>
        <v>0</v>
      </c>
      <c r="BI162" s="32">
        <f>G162*AP162</f>
        <v>0</v>
      </c>
      <c r="BJ162" s="32">
        <f>G162*H162</f>
        <v>0</v>
      </c>
      <c r="BK162" s="36" t="s">
        <v>66</v>
      </c>
      <c r="BL162" s="32">
        <v>722</v>
      </c>
      <c r="BW162" s="32">
        <f>I162</f>
        <v>21</v>
      </c>
      <c r="BX162" s="4" t="s">
        <v>389</v>
      </c>
    </row>
    <row r="163" spans="1:76" x14ac:dyDescent="0.25">
      <c r="A163" s="2" t="s">
        <v>390</v>
      </c>
      <c r="B163" s="3" t="s">
        <v>55</v>
      </c>
      <c r="C163" s="3" t="s">
        <v>391</v>
      </c>
      <c r="D163" s="89" t="s">
        <v>392</v>
      </c>
      <c r="E163" s="90"/>
      <c r="F163" s="3" t="s">
        <v>88</v>
      </c>
      <c r="G163" s="32">
        <v>1</v>
      </c>
      <c r="H163" s="199">
        <v>0</v>
      </c>
      <c r="I163" s="33">
        <v>21</v>
      </c>
      <c r="J163" s="32">
        <f>ROUND(G163*AO163,2)</f>
        <v>0</v>
      </c>
      <c r="K163" s="32">
        <f>ROUND(G163*AP163,2)</f>
        <v>0</v>
      </c>
      <c r="L163" s="32">
        <f>ROUND(G163*H163,2)</f>
        <v>0</v>
      </c>
      <c r="M163" s="32">
        <f>L163*(1+BW163/100)</f>
        <v>0</v>
      </c>
      <c r="N163" s="34">
        <f>IF(L649=0,0,L163/L649)</f>
        <v>0</v>
      </c>
      <c r="O163" s="32">
        <v>2.9999999999999997E-4</v>
      </c>
      <c r="P163" s="32">
        <f>G163*O163</f>
        <v>2.9999999999999997E-4</v>
      </c>
      <c r="Q163" s="35" t="s">
        <v>55</v>
      </c>
      <c r="Z163" s="32">
        <f>ROUND(IF(AQ163="5",BJ163,0),2)</f>
        <v>0</v>
      </c>
      <c r="AB163" s="32">
        <f>ROUND(IF(AQ163="1",BH163,0),2)</f>
        <v>0</v>
      </c>
      <c r="AC163" s="32">
        <f>ROUND(IF(AQ163="1",BI163,0),2)</f>
        <v>0</v>
      </c>
      <c r="AD163" s="32">
        <f>ROUND(IF(AQ163="7",BH163,0),2)</f>
        <v>0</v>
      </c>
      <c r="AE163" s="32">
        <f>ROUND(IF(AQ163="7",BI163,0),2)</f>
        <v>0</v>
      </c>
      <c r="AF163" s="32">
        <f>ROUND(IF(AQ163="2",BH163,0),2)</f>
        <v>0</v>
      </c>
      <c r="AG163" s="32">
        <f>ROUND(IF(AQ163="2",BI163,0),2)</f>
        <v>0</v>
      </c>
      <c r="AH163" s="32">
        <f>ROUND(IF(AQ163="0",BJ163,0),2)</f>
        <v>0</v>
      </c>
      <c r="AI163" s="12" t="s">
        <v>55</v>
      </c>
      <c r="AJ163" s="32">
        <f>IF(AN163=0,L163,0)</f>
        <v>0</v>
      </c>
      <c r="AK163" s="32">
        <f>IF(AN163=12,L163,0)</f>
        <v>0</v>
      </c>
      <c r="AL163" s="32">
        <f>IF(AN163=21,L163,0)</f>
        <v>0</v>
      </c>
      <c r="AN163" s="32">
        <v>21</v>
      </c>
      <c r="AO163" s="32">
        <f>H163*0.800717949</f>
        <v>0</v>
      </c>
      <c r="AP163" s="32">
        <f>H163*(1-0.800717949)</f>
        <v>0</v>
      </c>
      <c r="AQ163" s="36" t="s">
        <v>90</v>
      </c>
      <c r="AV163" s="32">
        <f>ROUND(AW163+AX163,2)</f>
        <v>0</v>
      </c>
      <c r="AW163" s="32">
        <f>ROUND(G163*AO163,2)</f>
        <v>0</v>
      </c>
      <c r="AX163" s="32">
        <f>ROUND(G163*AP163,2)</f>
        <v>0</v>
      </c>
      <c r="AY163" s="36" t="s">
        <v>332</v>
      </c>
      <c r="AZ163" s="36" t="s">
        <v>245</v>
      </c>
      <c r="BA163" s="12" t="s">
        <v>65</v>
      </c>
      <c r="BC163" s="32">
        <f>AW163+AX163</f>
        <v>0</v>
      </c>
      <c r="BD163" s="32">
        <f>H163/(100-BE163)*100</f>
        <v>0</v>
      </c>
      <c r="BE163" s="32">
        <v>0</v>
      </c>
      <c r="BF163" s="32">
        <f>P163</f>
        <v>2.9999999999999997E-4</v>
      </c>
      <c r="BH163" s="32">
        <f>G163*AO163</f>
        <v>0</v>
      </c>
      <c r="BI163" s="32">
        <f>G163*AP163</f>
        <v>0</v>
      </c>
      <c r="BJ163" s="32">
        <f>G163*H163</f>
        <v>0</v>
      </c>
      <c r="BK163" s="36" t="s">
        <v>66</v>
      </c>
      <c r="BL163" s="32">
        <v>722</v>
      </c>
      <c r="BW163" s="32">
        <f>I163</f>
        <v>21</v>
      </c>
      <c r="BX163" s="4" t="s">
        <v>392</v>
      </c>
    </row>
    <row r="164" spans="1:76" ht="13.5" customHeight="1" x14ac:dyDescent="0.25">
      <c r="A164" s="42"/>
      <c r="C164" s="43"/>
      <c r="D164" s="95" t="s">
        <v>393</v>
      </c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7"/>
    </row>
    <row r="165" spans="1:76" x14ac:dyDescent="0.25">
      <c r="A165" s="2" t="s">
        <v>394</v>
      </c>
      <c r="B165" s="3" t="s">
        <v>55</v>
      </c>
      <c r="C165" s="3" t="s">
        <v>395</v>
      </c>
      <c r="D165" s="89" t="s">
        <v>396</v>
      </c>
      <c r="E165" s="90"/>
      <c r="F165" s="3" t="s">
        <v>88</v>
      </c>
      <c r="G165" s="32">
        <v>1</v>
      </c>
      <c r="H165" s="199">
        <v>0</v>
      </c>
      <c r="I165" s="33">
        <v>21</v>
      </c>
      <c r="J165" s="32">
        <f>ROUND(G165*AO165,2)</f>
        <v>0</v>
      </c>
      <c r="K165" s="32">
        <f>ROUND(G165*AP165,2)</f>
        <v>0</v>
      </c>
      <c r="L165" s="32">
        <f>ROUND(G165*H165,2)</f>
        <v>0</v>
      </c>
      <c r="M165" s="32">
        <f>L165*(1+BW165/100)</f>
        <v>0</v>
      </c>
      <c r="N165" s="34">
        <f>IF(L649=0,0,L165/L649)</f>
        <v>0</v>
      </c>
      <c r="O165" s="32">
        <v>3.2000000000000003E-4</v>
      </c>
      <c r="P165" s="32">
        <f>G165*O165</f>
        <v>3.2000000000000003E-4</v>
      </c>
      <c r="Q165" s="35" t="s">
        <v>77</v>
      </c>
      <c r="Z165" s="32">
        <f>ROUND(IF(AQ165="5",BJ165,0),2)</f>
        <v>0</v>
      </c>
      <c r="AB165" s="32">
        <f>ROUND(IF(AQ165="1",BH165,0),2)</f>
        <v>0</v>
      </c>
      <c r="AC165" s="32">
        <f>ROUND(IF(AQ165="1",BI165,0),2)</f>
        <v>0</v>
      </c>
      <c r="AD165" s="32">
        <f>ROUND(IF(AQ165="7",BH165,0),2)</f>
        <v>0</v>
      </c>
      <c r="AE165" s="32">
        <f>ROUND(IF(AQ165="7",BI165,0),2)</f>
        <v>0</v>
      </c>
      <c r="AF165" s="32">
        <f>ROUND(IF(AQ165="2",BH165,0),2)</f>
        <v>0</v>
      </c>
      <c r="AG165" s="32">
        <f>ROUND(IF(AQ165="2",BI165,0),2)</f>
        <v>0</v>
      </c>
      <c r="AH165" s="32">
        <f>ROUND(IF(AQ165="0",BJ165,0),2)</f>
        <v>0</v>
      </c>
      <c r="AI165" s="12" t="s">
        <v>55</v>
      </c>
      <c r="AJ165" s="32">
        <f>IF(AN165=0,L165,0)</f>
        <v>0</v>
      </c>
      <c r="AK165" s="32">
        <f>IF(AN165=12,L165,0)</f>
        <v>0</v>
      </c>
      <c r="AL165" s="32">
        <f>IF(AN165=21,L165,0)</f>
        <v>0</v>
      </c>
      <c r="AN165" s="32">
        <v>21</v>
      </c>
      <c r="AO165" s="32">
        <f>H165*0.710200803</f>
        <v>0</v>
      </c>
      <c r="AP165" s="32">
        <f>H165*(1-0.710200803)</f>
        <v>0</v>
      </c>
      <c r="AQ165" s="36" t="s">
        <v>90</v>
      </c>
      <c r="AV165" s="32">
        <f>ROUND(AW165+AX165,2)</f>
        <v>0</v>
      </c>
      <c r="AW165" s="32">
        <f>ROUND(G165*AO165,2)</f>
        <v>0</v>
      </c>
      <c r="AX165" s="32">
        <f>ROUND(G165*AP165,2)</f>
        <v>0</v>
      </c>
      <c r="AY165" s="36" t="s">
        <v>332</v>
      </c>
      <c r="AZ165" s="36" t="s">
        <v>245</v>
      </c>
      <c r="BA165" s="12" t="s">
        <v>65</v>
      </c>
      <c r="BC165" s="32">
        <f>AW165+AX165</f>
        <v>0</v>
      </c>
      <c r="BD165" s="32">
        <f>H165/(100-BE165)*100</f>
        <v>0</v>
      </c>
      <c r="BE165" s="32">
        <v>0</v>
      </c>
      <c r="BF165" s="32">
        <f>P165</f>
        <v>3.2000000000000003E-4</v>
      </c>
      <c r="BH165" s="32">
        <f>G165*AO165</f>
        <v>0</v>
      </c>
      <c r="BI165" s="32">
        <f>G165*AP165</f>
        <v>0</v>
      </c>
      <c r="BJ165" s="32">
        <f>G165*H165</f>
        <v>0</v>
      </c>
      <c r="BK165" s="36" t="s">
        <v>66</v>
      </c>
      <c r="BL165" s="32">
        <v>722</v>
      </c>
      <c r="BW165" s="32">
        <f>I165</f>
        <v>21</v>
      </c>
      <c r="BX165" s="4" t="s">
        <v>396</v>
      </c>
    </row>
    <row r="166" spans="1:76" ht="13.5" customHeight="1" x14ac:dyDescent="0.25">
      <c r="A166" s="42"/>
      <c r="C166" s="43"/>
      <c r="D166" s="95" t="s">
        <v>393</v>
      </c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7"/>
    </row>
    <row r="167" spans="1:76" x14ac:dyDescent="0.25">
      <c r="A167" s="2" t="s">
        <v>397</v>
      </c>
      <c r="B167" s="3" t="s">
        <v>55</v>
      </c>
      <c r="C167" s="3" t="s">
        <v>398</v>
      </c>
      <c r="D167" s="89" t="s">
        <v>399</v>
      </c>
      <c r="E167" s="90"/>
      <c r="F167" s="3" t="s">
        <v>136</v>
      </c>
      <c r="G167" s="32">
        <v>2</v>
      </c>
      <c r="H167" s="199">
        <v>0</v>
      </c>
      <c r="I167" s="33">
        <v>21</v>
      </c>
      <c r="J167" s="32">
        <f>ROUND(G167*AO167,2)</f>
        <v>0</v>
      </c>
      <c r="K167" s="32">
        <f>ROUND(G167*AP167,2)</f>
        <v>0</v>
      </c>
      <c r="L167" s="32">
        <f>ROUND(G167*H167,2)</f>
        <v>0</v>
      </c>
      <c r="M167" s="32">
        <f>L167*(1+BW167/100)</f>
        <v>0</v>
      </c>
      <c r="N167" s="34">
        <f>IF(L649=0,0,L167/L649)</f>
        <v>0</v>
      </c>
      <c r="O167" s="32">
        <v>7.9000000000000001E-4</v>
      </c>
      <c r="P167" s="32">
        <f>G167*O167</f>
        <v>1.58E-3</v>
      </c>
      <c r="Q167" s="35" t="s">
        <v>77</v>
      </c>
      <c r="Z167" s="32">
        <f>ROUND(IF(AQ167="5",BJ167,0),2)</f>
        <v>0</v>
      </c>
      <c r="AB167" s="32">
        <f>ROUND(IF(AQ167="1",BH167,0),2)</f>
        <v>0</v>
      </c>
      <c r="AC167" s="32">
        <f>ROUND(IF(AQ167="1",BI167,0),2)</f>
        <v>0</v>
      </c>
      <c r="AD167" s="32">
        <f>ROUND(IF(AQ167="7",BH167,0),2)</f>
        <v>0</v>
      </c>
      <c r="AE167" s="32">
        <f>ROUND(IF(AQ167="7",BI167,0),2)</f>
        <v>0</v>
      </c>
      <c r="AF167" s="32">
        <f>ROUND(IF(AQ167="2",BH167,0),2)</f>
        <v>0</v>
      </c>
      <c r="AG167" s="32">
        <f>ROUND(IF(AQ167="2",BI167,0),2)</f>
        <v>0</v>
      </c>
      <c r="AH167" s="32">
        <f>ROUND(IF(AQ167="0",BJ167,0),2)</f>
        <v>0</v>
      </c>
      <c r="AI167" s="12" t="s">
        <v>55</v>
      </c>
      <c r="AJ167" s="32">
        <f>IF(AN167=0,L167,0)</f>
        <v>0</v>
      </c>
      <c r="AK167" s="32">
        <f>IF(AN167=12,L167,0)</f>
        <v>0</v>
      </c>
      <c r="AL167" s="32">
        <f>IF(AN167=21,L167,0)</f>
        <v>0</v>
      </c>
      <c r="AN167" s="32">
        <v>21</v>
      </c>
      <c r="AO167" s="32">
        <f>H167*0.446237514</f>
        <v>0</v>
      </c>
      <c r="AP167" s="32">
        <f>H167*(1-0.446237514)</f>
        <v>0</v>
      </c>
      <c r="AQ167" s="36" t="s">
        <v>90</v>
      </c>
      <c r="AV167" s="32">
        <f>ROUND(AW167+AX167,2)</f>
        <v>0</v>
      </c>
      <c r="AW167" s="32">
        <f>ROUND(G167*AO167,2)</f>
        <v>0</v>
      </c>
      <c r="AX167" s="32">
        <f>ROUND(G167*AP167,2)</f>
        <v>0</v>
      </c>
      <c r="AY167" s="36" t="s">
        <v>332</v>
      </c>
      <c r="AZ167" s="36" t="s">
        <v>245</v>
      </c>
      <c r="BA167" s="12" t="s">
        <v>65</v>
      </c>
      <c r="BC167" s="32">
        <f>AW167+AX167</f>
        <v>0</v>
      </c>
      <c r="BD167" s="32">
        <f>H167/(100-BE167)*100</f>
        <v>0</v>
      </c>
      <c r="BE167" s="32">
        <v>0</v>
      </c>
      <c r="BF167" s="32">
        <f>P167</f>
        <v>1.58E-3</v>
      </c>
      <c r="BH167" s="32">
        <f>G167*AO167</f>
        <v>0</v>
      </c>
      <c r="BI167" s="32">
        <f>G167*AP167</f>
        <v>0</v>
      </c>
      <c r="BJ167" s="32">
        <f>G167*H167</f>
        <v>0</v>
      </c>
      <c r="BK167" s="36" t="s">
        <v>66</v>
      </c>
      <c r="BL167" s="32">
        <v>722</v>
      </c>
      <c r="BW167" s="32">
        <f>I167</f>
        <v>21</v>
      </c>
      <c r="BX167" s="4" t="s">
        <v>399</v>
      </c>
    </row>
    <row r="168" spans="1:76" ht="13.5" customHeight="1" x14ac:dyDescent="0.25">
      <c r="A168" s="42"/>
      <c r="C168" s="43"/>
      <c r="D168" s="95" t="s">
        <v>393</v>
      </c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7"/>
    </row>
    <row r="169" spans="1:76" x14ac:dyDescent="0.25">
      <c r="A169" s="2" t="s">
        <v>400</v>
      </c>
      <c r="B169" s="3" t="s">
        <v>55</v>
      </c>
      <c r="C169" s="3" t="s">
        <v>401</v>
      </c>
      <c r="D169" s="89" t="s">
        <v>402</v>
      </c>
      <c r="E169" s="90"/>
      <c r="F169" s="3" t="s">
        <v>88</v>
      </c>
      <c r="G169" s="32">
        <v>1</v>
      </c>
      <c r="H169" s="199">
        <v>0</v>
      </c>
      <c r="I169" s="33">
        <v>21</v>
      </c>
      <c r="J169" s="32">
        <f>ROUND(G169*AO169,2)</f>
        <v>0</v>
      </c>
      <c r="K169" s="32">
        <f>ROUND(G169*AP169,2)</f>
        <v>0</v>
      </c>
      <c r="L169" s="32">
        <f>ROUND(G169*H169,2)</f>
        <v>0</v>
      </c>
      <c r="M169" s="32">
        <f>L169*(1+BW169/100)</f>
        <v>0</v>
      </c>
      <c r="N169" s="34">
        <f>IF(L649=0,0,L169/L649)</f>
        <v>0</v>
      </c>
      <c r="O169" s="32">
        <v>1.1E-4</v>
      </c>
      <c r="P169" s="32">
        <f>G169*O169</f>
        <v>1.1E-4</v>
      </c>
      <c r="Q169" s="35" t="s">
        <v>77</v>
      </c>
      <c r="Z169" s="32">
        <f>ROUND(IF(AQ169="5",BJ169,0),2)</f>
        <v>0</v>
      </c>
      <c r="AB169" s="32">
        <f>ROUND(IF(AQ169="1",BH169,0),2)</f>
        <v>0</v>
      </c>
      <c r="AC169" s="32">
        <f>ROUND(IF(AQ169="1",BI169,0),2)</f>
        <v>0</v>
      </c>
      <c r="AD169" s="32">
        <f>ROUND(IF(AQ169="7",BH169,0),2)</f>
        <v>0</v>
      </c>
      <c r="AE169" s="32">
        <f>ROUND(IF(AQ169="7",BI169,0),2)</f>
        <v>0</v>
      </c>
      <c r="AF169" s="32">
        <f>ROUND(IF(AQ169="2",BH169,0),2)</f>
        <v>0</v>
      </c>
      <c r="AG169" s="32">
        <f>ROUND(IF(AQ169="2",BI169,0),2)</f>
        <v>0</v>
      </c>
      <c r="AH169" s="32">
        <f>ROUND(IF(AQ169="0",BJ169,0),2)</f>
        <v>0</v>
      </c>
      <c r="AI169" s="12" t="s">
        <v>55</v>
      </c>
      <c r="AJ169" s="32">
        <f>IF(AN169=0,L169,0)</f>
        <v>0</v>
      </c>
      <c r="AK169" s="32">
        <f>IF(AN169=12,L169,0)</f>
        <v>0</v>
      </c>
      <c r="AL169" s="32">
        <f>IF(AN169=21,L169,0)</f>
        <v>0</v>
      </c>
      <c r="AN169" s="32">
        <v>21</v>
      </c>
      <c r="AO169" s="32">
        <f>H169*0.711933702</f>
        <v>0</v>
      </c>
      <c r="AP169" s="32">
        <f>H169*(1-0.711933702)</f>
        <v>0</v>
      </c>
      <c r="AQ169" s="36" t="s">
        <v>90</v>
      </c>
      <c r="AV169" s="32">
        <f>ROUND(AW169+AX169,2)</f>
        <v>0</v>
      </c>
      <c r="AW169" s="32">
        <f>ROUND(G169*AO169,2)</f>
        <v>0</v>
      </c>
      <c r="AX169" s="32">
        <f>ROUND(G169*AP169,2)</f>
        <v>0</v>
      </c>
      <c r="AY169" s="36" t="s">
        <v>332</v>
      </c>
      <c r="AZ169" s="36" t="s">
        <v>245</v>
      </c>
      <c r="BA169" s="12" t="s">
        <v>65</v>
      </c>
      <c r="BC169" s="32">
        <f>AW169+AX169</f>
        <v>0</v>
      </c>
      <c r="BD169" s="32">
        <f>H169/(100-BE169)*100</f>
        <v>0</v>
      </c>
      <c r="BE169" s="32">
        <v>0</v>
      </c>
      <c r="BF169" s="32">
        <f>P169</f>
        <v>1.1E-4</v>
      </c>
      <c r="BH169" s="32">
        <f>G169*AO169</f>
        <v>0</v>
      </c>
      <c r="BI169" s="32">
        <f>G169*AP169</f>
        <v>0</v>
      </c>
      <c r="BJ169" s="32">
        <f>G169*H169</f>
        <v>0</v>
      </c>
      <c r="BK169" s="36" t="s">
        <v>66</v>
      </c>
      <c r="BL169" s="32">
        <v>722</v>
      </c>
      <c r="BW169" s="32">
        <f>I169</f>
        <v>21</v>
      </c>
      <c r="BX169" s="4" t="s">
        <v>402</v>
      </c>
    </row>
    <row r="170" spans="1:76" ht="13.5" customHeight="1" x14ac:dyDescent="0.25">
      <c r="A170" s="42"/>
      <c r="C170" s="43"/>
      <c r="D170" s="95" t="s">
        <v>393</v>
      </c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7"/>
    </row>
    <row r="171" spans="1:76" x14ac:dyDescent="0.25">
      <c r="A171" s="2" t="s">
        <v>403</v>
      </c>
      <c r="B171" s="3" t="s">
        <v>55</v>
      </c>
      <c r="C171" s="3" t="s">
        <v>391</v>
      </c>
      <c r="D171" s="89" t="s">
        <v>392</v>
      </c>
      <c r="E171" s="90"/>
      <c r="F171" s="3" t="s">
        <v>88</v>
      </c>
      <c r="G171" s="32">
        <v>1</v>
      </c>
      <c r="H171" s="199">
        <v>0</v>
      </c>
      <c r="I171" s="33">
        <v>21</v>
      </c>
      <c r="J171" s="32">
        <f>ROUND(G171*AO171,2)</f>
        <v>0</v>
      </c>
      <c r="K171" s="32">
        <f>ROUND(G171*AP171,2)</f>
        <v>0</v>
      </c>
      <c r="L171" s="32">
        <f>ROUND(G171*H171,2)</f>
        <v>0</v>
      </c>
      <c r="M171" s="32">
        <f>L171*(1+BW171/100)</f>
        <v>0</v>
      </c>
      <c r="N171" s="34">
        <f>IF(L649=0,0,L171/L649)</f>
        <v>0</v>
      </c>
      <c r="O171" s="32">
        <v>2.9999999999999997E-4</v>
      </c>
      <c r="P171" s="32">
        <f>G171*O171</f>
        <v>2.9999999999999997E-4</v>
      </c>
      <c r="Q171" s="35" t="s">
        <v>55</v>
      </c>
      <c r="Z171" s="32">
        <f>ROUND(IF(AQ171="5",BJ171,0),2)</f>
        <v>0</v>
      </c>
      <c r="AB171" s="32">
        <f>ROUND(IF(AQ171="1",BH171,0),2)</f>
        <v>0</v>
      </c>
      <c r="AC171" s="32">
        <f>ROUND(IF(AQ171="1",BI171,0),2)</f>
        <v>0</v>
      </c>
      <c r="AD171" s="32">
        <f>ROUND(IF(AQ171="7",BH171,0),2)</f>
        <v>0</v>
      </c>
      <c r="AE171" s="32">
        <f>ROUND(IF(AQ171="7",BI171,0),2)</f>
        <v>0</v>
      </c>
      <c r="AF171" s="32">
        <f>ROUND(IF(AQ171="2",BH171,0),2)</f>
        <v>0</v>
      </c>
      <c r="AG171" s="32">
        <f>ROUND(IF(AQ171="2",BI171,0),2)</f>
        <v>0</v>
      </c>
      <c r="AH171" s="32">
        <f>ROUND(IF(AQ171="0",BJ171,0),2)</f>
        <v>0</v>
      </c>
      <c r="AI171" s="12" t="s">
        <v>55</v>
      </c>
      <c r="AJ171" s="32">
        <f>IF(AN171=0,L171,0)</f>
        <v>0</v>
      </c>
      <c r="AK171" s="32">
        <f>IF(AN171=12,L171,0)</f>
        <v>0</v>
      </c>
      <c r="AL171" s="32">
        <f>IF(AN171=21,L171,0)</f>
        <v>0</v>
      </c>
      <c r="AN171" s="32">
        <v>21</v>
      </c>
      <c r="AO171" s="32">
        <f>H171*0.800717949</f>
        <v>0</v>
      </c>
      <c r="AP171" s="32">
        <f>H171*(1-0.800717949)</f>
        <v>0</v>
      </c>
      <c r="AQ171" s="36" t="s">
        <v>90</v>
      </c>
      <c r="AV171" s="32">
        <f>ROUND(AW171+AX171,2)</f>
        <v>0</v>
      </c>
      <c r="AW171" s="32">
        <f>ROUND(G171*AO171,2)</f>
        <v>0</v>
      </c>
      <c r="AX171" s="32">
        <f>ROUND(G171*AP171,2)</f>
        <v>0</v>
      </c>
      <c r="AY171" s="36" t="s">
        <v>332</v>
      </c>
      <c r="AZ171" s="36" t="s">
        <v>245</v>
      </c>
      <c r="BA171" s="12" t="s">
        <v>65</v>
      </c>
      <c r="BC171" s="32">
        <f>AW171+AX171</f>
        <v>0</v>
      </c>
      <c r="BD171" s="32">
        <f>H171/(100-BE171)*100</f>
        <v>0</v>
      </c>
      <c r="BE171" s="32">
        <v>0</v>
      </c>
      <c r="BF171" s="32">
        <f>P171</f>
        <v>2.9999999999999997E-4</v>
      </c>
      <c r="BH171" s="32">
        <f>G171*AO171</f>
        <v>0</v>
      </c>
      <c r="BI171" s="32">
        <f>G171*AP171</f>
        <v>0</v>
      </c>
      <c r="BJ171" s="32">
        <f>G171*H171</f>
        <v>0</v>
      </c>
      <c r="BK171" s="36" t="s">
        <v>66</v>
      </c>
      <c r="BL171" s="32">
        <v>722</v>
      </c>
      <c r="BW171" s="32">
        <f>I171</f>
        <v>21</v>
      </c>
      <c r="BX171" s="4" t="s">
        <v>392</v>
      </c>
    </row>
    <row r="172" spans="1:76" ht="13.5" customHeight="1" x14ac:dyDescent="0.25">
      <c r="A172" s="42"/>
      <c r="C172" s="43"/>
      <c r="D172" s="95" t="s">
        <v>404</v>
      </c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7"/>
    </row>
    <row r="173" spans="1:76" x14ac:dyDescent="0.25">
      <c r="A173" s="2" t="s">
        <v>405</v>
      </c>
      <c r="B173" s="3" t="s">
        <v>55</v>
      </c>
      <c r="C173" s="3" t="s">
        <v>395</v>
      </c>
      <c r="D173" s="89" t="s">
        <v>396</v>
      </c>
      <c r="E173" s="90"/>
      <c r="F173" s="3" t="s">
        <v>88</v>
      </c>
      <c r="G173" s="32">
        <v>1</v>
      </c>
      <c r="H173" s="199">
        <v>0</v>
      </c>
      <c r="I173" s="33">
        <v>21</v>
      </c>
      <c r="J173" s="32">
        <f>ROUND(G173*AO173,2)</f>
        <v>0</v>
      </c>
      <c r="K173" s="32">
        <f>ROUND(G173*AP173,2)</f>
        <v>0</v>
      </c>
      <c r="L173" s="32">
        <f>ROUND(G173*H173,2)</f>
        <v>0</v>
      </c>
      <c r="M173" s="32">
        <f>L173*(1+BW173/100)</f>
        <v>0</v>
      </c>
      <c r="N173" s="34">
        <f>IF(L649=0,0,L173/L649)</f>
        <v>0</v>
      </c>
      <c r="O173" s="32">
        <v>3.2000000000000003E-4</v>
      </c>
      <c r="P173" s="32">
        <f>G173*O173</f>
        <v>3.2000000000000003E-4</v>
      </c>
      <c r="Q173" s="35"/>
      <c r="Z173" s="32">
        <f>ROUND(IF(AQ173="5",BJ173,0),2)</f>
        <v>0</v>
      </c>
      <c r="AB173" s="32">
        <f>ROUND(IF(AQ173="1",BH173,0),2)</f>
        <v>0</v>
      </c>
      <c r="AC173" s="32">
        <f>ROUND(IF(AQ173="1",BI173,0),2)</f>
        <v>0</v>
      </c>
      <c r="AD173" s="32">
        <f>ROUND(IF(AQ173="7",BH173,0),2)</f>
        <v>0</v>
      </c>
      <c r="AE173" s="32">
        <f>ROUND(IF(AQ173="7",BI173,0),2)</f>
        <v>0</v>
      </c>
      <c r="AF173" s="32">
        <f>ROUND(IF(AQ173="2",BH173,0),2)</f>
        <v>0</v>
      </c>
      <c r="AG173" s="32">
        <f>ROUND(IF(AQ173="2",BI173,0),2)</f>
        <v>0</v>
      </c>
      <c r="AH173" s="32">
        <f>ROUND(IF(AQ173="0",BJ173,0),2)</f>
        <v>0</v>
      </c>
      <c r="AI173" s="12" t="s">
        <v>55</v>
      </c>
      <c r="AJ173" s="32">
        <f>IF(AN173=0,L173,0)</f>
        <v>0</v>
      </c>
      <c r="AK173" s="32">
        <f>IF(AN173=12,L173,0)</f>
        <v>0</v>
      </c>
      <c r="AL173" s="32">
        <f>IF(AN173=21,L173,0)</f>
        <v>0</v>
      </c>
      <c r="AN173" s="32">
        <v>21</v>
      </c>
      <c r="AO173" s="32">
        <f>H173*0.710200803</f>
        <v>0</v>
      </c>
      <c r="AP173" s="32">
        <f>H173*(1-0.710200803)</f>
        <v>0</v>
      </c>
      <c r="AQ173" s="36" t="s">
        <v>90</v>
      </c>
      <c r="AV173" s="32">
        <f>ROUND(AW173+AX173,2)</f>
        <v>0</v>
      </c>
      <c r="AW173" s="32">
        <f>ROUND(G173*AO173,2)</f>
        <v>0</v>
      </c>
      <c r="AX173" s="32">
        <f>ROUND(G173*AP173,2)</f>
        <v>0</v>
      </c>
      <c r="AY173" s="36" t="s">
        <v>332</v>
      </c>
      <c r="AZ173" s="36" t="s">
        <v>245</v>
      </c>
      <c r="BA173" s="12" t="s">
        <v>65</v>
      </c>
      <c r="BC173" s="32">
        <f>AW173+AX173</f>
        <v>0</v>
      </c>
      <c r="BD173" s="32">
        <f>H173/(100-BE173)*100</f>
        <v>0</v>
      </c>
      <c r="BE173" s="32">
        <v>0</v>
      </c>
      <c r="BF173" s="32">
        <f>P173</f>
        <v>3.2000000000000003E-4</v>
      </c>
      <c r="BH173" s="32">
        <f>G173*AO173</f>
        <v>0</v>
      </c>
      <c r="BI173" s="32">
        <f>G173*AP173</f>
        <v>0</v>
      </c>
      <c r="BJ173" s="32">
        <f>G173*H173</f>
        <v>0</v>
      </c>
      <c r="BK173" s="36" t="s">
        <v>66</v>
      </c>
      <c r="BL173" s="32">
        <v>722</v>
      </c>
      <c r="BW173" s="32">
        <f>I173</f>
        <v>21</v>
      </c>
      <c r="BX173" s="4" t="s">
        <v>396</v>
      </c>
    </row>
    <row r="174" spans="1:76" ht="13.5" customHeight="1" x14ac:dyDescent="0.25">
      <c r="A174" s="42"/>
      <c r="C174" s="43"/>
      <c r="D174" s="95" t="s">
        <v>404</v>
      </c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7"/>
    </row>
    <row r="175" spans="1:76" x14ac:dyDescent="0.25">
      <c r="A175" s="2" t="s">
        <v>406</v>
      </c>
      <c r="B175" s="3" t="s">
        <v>55</v>
      </c>
      <c r="C175" s="3" t="s">
        <v>407</v>
      </c>
      <c r="D175" s="89" t="s">
        <v>408</v>
      </c>
      <c r="E175" s="90"/>
      <c r="F175" s="3" t="s">
        <v>88</v>
      </c>
      <c r="G175" s="32">
        <v>3</v>
      </c>
      <c r="H175" s="199">
        <v>0</v>
      </c>
      <c r="I175" s="33">
        <v>21</v>
      </c>
      <c r="J175" s="32">
        <f>ROUND(G175*AO175,2)</f>
        <v>0</v>
      </c>
      <c r="K175" s="32">
        <f>ROUND(G175*AP175,2)</f>
        <v>0</v>
      </c>
      <c r="L175" s="32">
        <f>ROUND(G175*H175,2)</f>
        <v>0</v>
      </c>
      <c r="M175" s="32">
        <f>L175*(1+BW175/100)</f>
        <v>0</v>
      </c>
      <c r="N175" s="34">
        <f>IF(L649=0,0,L175/L649)</f>
        <v>0</v>
      </c>
      <c r="O175" s="32">
        <v>1.1E-4</v>
      </c>
      <c r="P175" s="32">
        <f>G175*O175</f>
        <v>3.3E-4</v>
      </c>
      <c r="Q175" s="35"/>
      <c r="Z175" s="32">
        <f>ROUND(IF(AQ175="5",BJ175,0),2)</f>
        <v>0</v>
      </c>
      <c r="AB175" s="32">
        <f>ROUND(IF(AQ175="1",BH175,0),2)</f>
        <v>0</v>
      </c>
      <c r="AC175" s="32">
        <f>ROUND(IF(AQ175="1",BI175,0),2)</f>
        <v>0</v>
      </c>
      <c r="AD175" s="32">
        <f>ROUND(IF(AQ175="7",BH175,0),2)</f>
        <v>0</v>
      </c>
      <c r="AE175" s="32">
        <f>ROUND(IF(AQ175="7",BI175,0),2)</f>
        <v>0</v>
      </c>
      <c r="AF175" s="32">
        <f>ROUND(IF(AQ175="2",BH175,0),2)</f>
        <v>0</v>
      </c>
      <c r="AG175" s="32">
        <f>ROUND(IF(AQ175="2",BI175,0),2)</f>
        <v>0</v>
      </c>
      <c r="AH175" s="32">
        <f>ROUND(IF(AQ175="0",BJ175,0),2)</f>
        <v>0</v>
      </c>
      <c r="AI175" s="12" t="s">
        <v>55</v>
      </c>
      <c r="AJ175" s="32">
        <f>IF(AN175=0,L175,0)</f>
        <v>0</v>
      </c>
      <c r="AK175" s="32">
        <f>IF(AN175=12,L175,0)</f>
        <v>0</v>
      </c>
      <c r="AL175" s="32">
        <f>IF(AN175=21,L175,0)</f>
        <v>0</v>
      </c>
      <c r="AN175" s="32">
        <v>21</v>
      </c>
      <c r="AO175" s="32">
        <f>H175*0.517847235</f>
        <v>0</v>
      </c>
      <c r="AP175" s="32">
        <f>H175*(1-0.517847235)</f>
        <v>0</v>
      </c>
      <c r="AQ175" s="36" t="s">
        <v>90</v>
      </c>
      <c r="AV175" s="32">
        <f>ROUND(AW175+AX175,2)</f>
        <v>0</v>
      </c>
      <c r="AW175" s="32">
        <f>ROUND(G175*AO175,2)</f>
        <v>0</v>
      </c>
      <c r="AX175" s="32">
        <f>ROUND(G175*AP175,2)</f>
        <v>0</v>
      </c>
      <c r="AY175" s="36" t="s">
        <v>332</v>
      </c>
      <c r="AZ175" s="36" t="s">
        <v>245</v>
      </c>
      <c r="BA175" s="12" t="s">
        <v>65</v>
      </c>
      <c r="BC175" s="32">
        <f>AW175+AX175</f>
        <v>0</v>
      </c>
      <c r="BD175" s="32">
        <f>H175/(100-BE175)*100</f>
        <v>0</v>
      </c>
      <c r="BE175" s="32">
        <v>0</v>
      </c>
      <c r="BF175" s="32">
        <f>P175</f>
        <v>3.3E-4</v>
      </c>
      <c r="BH175" s="32">
        <f>G175*AO175</f>
        <v>0</v>
      </c>
      <c r="BI175" s="32">
        <f>G175*AP175</f>
        <v>0</v>
      </c>
      <c r="BJ175" s="32">
        <f>G175*H175</f>
        <v>0</v>
      </c>
      <c r="BK175" s="36" t="s">
        <v>66</v>
      </c>
      <c r="BL175" s="32">
        <v>722</v>
      </c>
      <c r="BW175" s="32">
        <f>I175</f>
        <v>21</v>
      </c>
      <c r="BX175" s="4" t="s">
        <v>408</v>
      </c>
    </row>
    <row r="176" spans="1:76" ht="13.5" customHeight="1" x14ac:dyDescent="0.25">
      <c r="A176" s="42"/>
      <c r="C176" s="43"/>
      <c r="D176" s="95" t="s">
        <v>404</v>
      </c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7"/>
    </row>
    <row r="177" spans="1:76" x14ac:dyDescent="0.25">
      <c r="A177" s="2" t="s">
        <v>409</v>
      </c>
      <c r="B177" s="3" t="s">
        <v>55</v>
      </c>
      <c r="C177" s="3" t="s">
        <v>410</v>
      </c>
      <c r="D177" s="89" t="s">
        <v>411</v>
      </c>
      <c r="E177" s="90"/>
      <c r="F177" s="3" t="s">
        <v>88</v>
      </c>
      <c r="G177" s="32">
        <v>1</v>
      </c>
      <c r="H177" s="199">
        <v>0</v>
      </c>
      <c r="I177" s="33">
        <v>21</v>
      </c>
      <c r="J177" s="32">
        <f>ROUND(G177*AO177,2)</f>
        <v>0</v>
      </c>
      <c r="K177" s="32">
        <f>ROUND(G177*AP177,2)</f>
        <v>0</v>
      </c>
      <c r="L177" s="32">
        <f>ROUND(G177*H177,2)</f>
        <v>0</v>
      </c>
      <c r="M177" s="32">
        <f>L177*(1+BW177/100)</f>
        <v>0</v>
      </c>
      <c r="N177" s="34">
        <f>IF(L649=0,0,L177/L649)</f>
        <v>0</v>
      </c>
      <c r="O177" s="32">
        <v>1.1E-4</v>
      </c>
      <c r="P177" s="32">
        <f>G177*O177</f>
        <v>1.1E-4</v>
      </c>
      <c r="Q177" s="35"/>
      <c r="Z177" s="32">
        <f>ROUND(IF(AQ177="5",BJ177,0),2)</f>
        <v>0</v>
      </c>
      <c r="AB177" s="32">
        <f>ROUND(IF(AQ177="1",BH177,0),2)</f>
        <v>0</v>
      </c>
      <c r="AC177" s="32">
        <f>ROUND(IF(AQ177="1",BI177,0),2)</f>
        <v>0</v>
      </c>
      <c r="AD177" s="32">
        <f>ROUND(IF(AQ177="7",BH177,0),2)</f>
        <v>0</v>
      </c>
      <c r="AE177" s="32">
        <f>ROUND(IF(AQ177="7",BI177,0),2)</f>
        <v>0</v>
      </c>
      <c r="AF177" s="32">
        <f>ROUND(IF(AQ177="2",BH177,0),2)</f>
        <v>0</v>
      </c>
      <c r="AG177" s="32">
        <f>ROUND(IF(AQ177="2",BI177,0),2)</f>
        <v>0</v>
      </c>
      <c r="AH177" s="32">
        <f>ROUND(IF(AQ177="0",BJ177,0),2)</f>
        <v>0</v>
      </c>
      <c r="AI177" s="12" t="s">
        <v>55</v>
      </c>
      <c r="AJ177" s="32">
        <f>IF(AN177=0,L177,0)</f>
        <v>0</v>
      </c>
      <c r="AK177" s="32">
        <f>IF(AN177=12,L177,0)</f>
        <v>0</v>
      </c>
      <c r="AL177" s="32">
        <f>IF(AN177=21,L177,0)</f>
        <v>0</v>
      </c>
      <c r="AN177" s="32">
        <v>21</v>
      </c>
      <c r="AO177" s="32">
        <f>H177*0.443186672</f>
        <v>0</v>
      </c>
      <c r="AP177" s="32">
        <f>H177*(1-0.443186672)</f>
        <v>0</v>
      </c>
      <c r="AQ177" s="36" t="s">
        <v>90</v>
      </c>
      <c r="AV177" s="32">
        <f>ROUND(AW177+AX177,2)</f>
        <v>0</v>
      </c>
      <c r="AW177" s="32">
        <f>ROUND(G177*AO177,2)</f>
        <v>0</v>
      </c>
      <c r="AX177" s="32">
        <f>ROUND(G177*AP177,2)</f>
        <v>0</v>
      </c>
      <c r="AY177" s="36" t="s">
        <v>332</v>
      </c>
      <c r="AZ177" s="36" t="s">
        <v>245</v>
      </c>
      <c r="BA177" s="12" t="s">
        <v>65</v>
      </c>
      <c r="BC177" s="32">
        <f>AW177+AX177</f>
        <v>0</v>
      </c>
      <c r="BD177" s="32">
        <f>H177/(100-BE177)*100</f>
        <v>0</v>
      </c>
      <c r="BE177" s="32">
        <v>0</v>
      </c>
      <c r="BF177" s="32">
        <f>P177</f>
        <v>1.1E-4</v>
      </c>
      <c r="BH177" s="32">
        <f>G177*AO177</f>
        <v>0</v>
      </c>
      <c r="BI177" s="32">
        <f>G177*AP177</f>
        <v>0</v>
      </c>
      <c r="BJ177" s="32">
        <f>G177*H177</f>
        <v>0</v>
      </c>
      <c r="BK177" s="36" t="s">
        <v>66</v>
      </c>
      <c r="BL177" s="32">
        <v>722</v>
      </c>
      <c r="BW177" s="32">
        <f>I177</f>
        <v>21</v>
      </c>
      <c r="BX177" s="4" t="s">
        <v>411</v>
      </c>
    </row>
    <row r="178" spans="1:76" ht="13.5" customHeight="1" x14ac:dyDescent="0.25">
      <c r="A178" s="42"/>
      <c r="C178" s="43"/>
      <c r="D178" s="95" t="s">
        <v>404</v>
      </c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7"/>
    </row>
    <row r="179" spans="1:76" x14ac:dyDescent="0.25">
      <c r="A179" s="2" t="s">
        <v>412</v>
      </c>
      <c r="B179" s="3" t="s">
        <v>55</v>
      </c>
      <c r="C179" s="3" t="s">
        <v>413</v>
      </c>
      <c r="D179" s="89" t="s">
        <v>414</v>
      </c>
      <c r="E179" s="90"/>
      <c r="F179" s="3" t="s">
        <v>88</v>
      </c>
      <c r="G179" s="32">
        <v>2</v>
      </c>
      <c r="H179" s="199">
        <v>0</v>
      </c>
      <c r="I179" s="33">
        <v>21</v>
      </c>
      <c r="J179" s="32">
        <f>ROUND(G179*AO179,2)</f>
        <v>0</v>
      </c>
      <c r="K179" s="32">
        <f>ROUND(G179*AP179,2)</f>
        <v>0</v>
      </c>
      <c r="L179" s="32">
        <f>ROUND(G179*H179,2)</f>
        <v>0</v>
      </c>
      <c r="M179" s="32">
        <f>L179*(1+BW179/100)</f>
        <v>0</v>
      </c>
      <c r="N179" s="34">
        <f>IF(L649=0,0,L179/L649)</f>
        <v>0</v>
      </c>
      <c r="O179" s="32">
        <v>1.1E-4</v>
      </c>
      <c r="P179" s="32">
        <f>G179*O179</f>
        <v>2.2000000000000001E-4</v>
      </c>
      <c r="Q179" s="35"/>
      <c r="Z179" s="32">
        <f>ROUND(IF(AQ179="5",BJ179,0),2)</f>
        <v>0</v>
      </c>
      <c r="AB179" s="32">
        <f>ROUND(IF(AQ179="1",BH179,0),2)</f>
        <v>0</v>
      </c>
      <c r="AC179" s="32">
        <f>ROUND(IF(AQ179="1",BI179,0),2)</f>
        <v>0</v>
      </c>
      <c r="AD179" s="32">
        <f>ROUND(IF(AQ179="7",BH179,0),2)</f>
        <v>0</v>
      </c>
      <c r="AE179" s="32">
        <f>ROUND(IF(AQ179="7",BI179,0),2)</f>
        <v>0</v>
      </c>
      <c r="AF179" s="32">
        <f>ROUND(IF(AQ179="2",BH179,0),2)</f>
        <v>0</v>
      </c>
      <c r="AG179" s="32">
        <f>ROUND(IF(AQ179="2",BI179,0),2)</f>
        <v>0</v>
      </c>
      <c r="AH179" s="32">
        <f>ROUND(IF(AQ179="0",BJ179,0),2)</f>
        <v>0</v>
      </c>
      <c r="AI179" s="12" t="s">
        <v>55</v>
      </c>
      <c r="AJ179" s="32">
        <f>IF(AN179=0,L179,0)</f>
        <v>0</v>
      </c>
      <c r="AK179" s="32">
        <f>IF(AN179=12,L179,0)</f>
        <v>0</v>
      </c>
      <c r="AL179" s="32">
        <f>IF(AN179=21,L179,0)</f>
        <v>0</v>
      </c>
      <c r="AN179" s="32">
        <v>21</v>
      </c>
      <c r="AO179" s="32">
        <f>H179*0.702295307</f>
        <v>0</v>
      </c>
      <c r="AP179" s="32">
        <f>H179*(1-0.702295307)</f>
        <v>0</v>
      </c>
      <c r="AQ179" s="36" t="s">
        <v>90</v>
      </c>
      <c r="AV179" s="32">
        <f>ROUND(AW179+AX179,2)</f>
        <v>0</v>
      </c>
      <c r="AW179" s="32">
        <f>ROUND(G179*AO179,2)</f>
        <v>0</v>
      </c>
      <c r="AX179" s="32">
        <f>ROUND(G179*AP179,2)</f>
        <v>0</v>
      </c>
      <c r="AY179" s="36" t="s">
        <v>332</v>
      </c>
      <c r="AZ179" s="36" t="s">
        <v>245</v>
      </c>
      <c r="BA179" s="12" t="s">
        <v>65</v>
      </c>
      <c r="BC179" s="32">
        <f>AW179+AX179</f>
        <v>0</v>
      </c>
      <c r="BD179" s="32">
        <f>H179/(100-BE179)*100</f>
        <v>0</v>
      </c>
      <c r="BE179" s="32">
        <v>0</v>
      </c>
      <c r="BF179" s="32">
        <f>P179</f>
        <v>2.2000000000000001E-4</v>
      </c>
      <c r="BH179" s="32">
        <f>G179*AO179</f>
        <v>0</v>
      </c>
      <c r="BI179" s="32">
        <f>G179*AP179</f>
        <v>0</v>
      </c>
      <c r="BJ179" s="32">
        <f>G179*H179</f>
        <v>0</v>
      </c>
      <c r="BK179" s="36" t="s">
        <v>66</v>
      </c>
      <c r="BL179" s="32">
        <v>722</v>
      </c>
      <c r="BW179" s="32">
        <f>I179</f>
        <v>21</v>
      </c>
      <c r="BX179" s="4" t="s">
        <v>414</v>
      </c>
    </row>
    <row r="180" spans="1:76" ht="13.5" customHeight="1" x14ac:dyDescent="0.25">
      <c r="A180" s="42"/>
      <c r="C180" s="43"/>
      <c r="D180" s="95" t="s">
        <v>404</v>
      </c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7"/>
    </row>
    <row r="181" spans="1:76" x14ac:dyDescent="0.25">
      <c r="A181" s="2" t="s">
        <v>415</v>
      </c>
      <c r="B181" s="3" t="s">
        <v>55</v>
      </c>
      <c r="C181" s="3" t="s">
        <v>416</v>
      </c>
      <c r="D181" s="89" t="s">
        <v>417</v>
      </c>
      <c r="E181" s="90"/>
      <c r="F181" s="3" t="s">
        <v>88</v>
      </c>
      <c r="G181" s="32">
        <v>1</v>
      </c>
      <c r="H181" s="199">
        <v>0</v>
      </c>
      <c r="I181" s="33">
        <v>21</v>
      </c>
      <c r="J181" s="32">
        <f>ROUND(G181*AO181,2)</f>
        <v>0</v>
      </c>
      <c r="K181" s="32">
        <f>ROUND(G181*AP181,2)</f>
        <v>0</v>
      </c>
      <c r="L181" s="32">
        <f>ROUND(G181*H181,2)</f>
        <v>0</v>
      </c>
      <c r="M181" s="32">
        <f>L181*(1+BW181/100)</f>
        <v>0</v>
      </c>
      <c r="N181" s="34">
        <f>IF(L649=0,0,L181/L649)</f>
        <v>0</v>
      </c>
      <c r="O181" s="32">
        <v>1.7000000000000001E-4</v>
      </c>
      <c r="P181" s="32">
        <f>G181*O181</f>
        <v>1.7000000000000001E-4</v>
      </c>
      <c r="Q181" s="35"/>
      <c r="Z181" s="32">
        <f>ROUND(IF(AQ181="5",BJ181,0),2)</f>
        <v>0</v>
      </c>
      <c r="AB181" s="32">
        <f>ROUND(IF(AQ181="1",BH181,0),2)</f>
        <v>0</v>
      </c>
      <c r="AC181" s="32">
        <f>ROUND(IF(AQ181="1",BI181,0),2)</f>
        <v>0</v>
      </c>
      <c r="AD181" s="32">
        <f>ROUND(IF(AQ181="7",BH181,0),2)</f>
        <v>0</v>
      </c>
      <c r="AE181" s="32">
        <f>ROUND(IF(AQ181="7",BI181,0),2)</f>
        <v>0</v>
      </c>
      <c r="AF181" s="32">
        <f>ROUND(IF(AQ181="2",BH181,0),2)</f>
        <v>0</v>
      </c>
      <c r="AG181" s="32">
        <f>ROUND(IF(AQ181="2",BI181,0),2)</f>
        <v>0</v>
      </c>
      <c r="AH181" s="32">
        <f>ROUND(IF(AQ181="0",BJ181,0),2)</f>
        <v>0</v>
      </c>
      <c r="AI181" s="12" t="s">
        <v>55</v>
      </c>
      <c r="AJ181" s="32">
        <f>IF(AN181=0,L181,0)</f>
        <v>0</v>
      </c>
      <c r="AK181" s="32">
        <f>IF(AN181=12,L181,0)</f>
        <v>0</v>
      </c>
      <c r="AL181" s="32">
        <f>IF(AN181=21,L181,0)</f>
        <v>0</v>
      </c>
      <c r="AN181" s="32">
        <v>21</v>
      </c>
      <c r="AO181" s="32">
        <f>H181*0.849662403</f>
        <v>0</v>
      </c>
      <c r="AP181" s="32">
        <f>H181*(1-0.849662403)</f>
        <v>0</v>
      </c>
      <c r="AQ181" s="36" t="s">
        <v>90</v>
      </c>
      <c r="AV181" s="32">
        <f>ROUND(AW181+AX181,2)</f>
        <v>0</v>
      </c>
      <c r="AW181" s="32">
        <f>ROUND(G181*AO181,2)</f>
        <v>0</v>
      </c>
      <c r="AX181" s="32">
        <f>ROUND(G181*AP181,2)</f>
        <v>0</v>
      </c>
      <c r="AY181" s="36" t="s">
        <v>332</v>
      </c>
      <c r="AZ181" s="36" t="s">
        <v>245</v>
      </c>
      <c r="BA181" s="12" t="s">
        <v>65</v>
      </c>
      <c r="BC181" s="32">
        <f>AW181+AX181</f>
        <v>0</v>
      </c>
      <c r="BD181" s="32">
        <f>H181/(100-BE181)*100</f>
        <v>0</v>
      </c>
      <c r="BE181" s="32">
        <v>0</v>
      </c>
      <c r="BF181" s="32">
        <f>P181</f>
        <v>1.7000000000000001E-4</v>
      </c>
      <c r="BH181" s="32">
        <f>G181*AO181</f>
        <v>0</v>
      </c>
      <c r="BI181" s="32">
        <f>G181*AP181</f>
        <v>0</v>
      </c>
      <c r="BJ181" s="32">
        <f>G181*H181</f>
        <v>0</v>
      </c>
      <c r="BK181" s="36" t="s">
        <v>66</v>
      </c>
      <c r="BL181" s="32">
        <v>722</v>
      </c>
      <c r="BW181" s="32">
        <f>I181</f>
        <v>21</v>
      </c>
      <c r="BX181" s="4" t="s">
        <v>417</v>
      </c>
    </row>
    <row r="182" spans="1:76" ht="13.5" customHeight="1" x14ac:dyDescent="0.25">
      <c r="A182" s="42"/>
      <c r="C182" s="43"/>
      <c r="D182" s="95" t="s">
        <v>404</v>
      </c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7"/>
    </row>
    <row r="183" spans="1:76" x14ac:dyDescent="0.25">
      <c r="A183" s="2" t="s">
        <v>418</v>
      </c>
      <c r="B183" s="3" t="s">
        <v>55</v>
      </c>
      <c r="C183" s="3" t="s">
        <v>419</v>
      </c>
      <c r="D183" s="89" t="s">
        <v>420</v>
      </c>
      <c r="E183" s="90"/>
      <c r="F183" s="3" t="s">
        <v>88</v>
      </c>
      <c r="G183" s="32">
        <v>1</v>
      </c>
      <c r="H183" s="199">
        <v>0</v>
      </c>
      <c r="I183" s="33">
        <v>21</v>
      </c>
      <c r="J183" s="32">
        <f>ROUND(G183*AO183,2)</f>
        <v>0</v>
      </c>
      <c r="K183" s="32">
        <f>ROUND(G183*AP183,2)</f>
        <v>0</v>
      </c>
      <c r="L183" s="32">
        <f>ROUND(G183*H183,2)</f>
        <v>0</v>
      </c>
      <c r="M183" s="32">
        <f>L183*(1+BW183/100)</f>
        <v>0</v>
      </c>
      <c r="N183" s="34">
        <f>IF(L649=0,0,L183/L649)</f>
        <v>0</v>
      </c>
      <c r="O183" s="32">
        <v>1.1E-4</v>
      </c>
      <c r="P183" s="32">
        <f>G183*O183</f>
        <v>1.1E-4</v>
      </c>
      <c r="Q183" s="35"/>
      <c r="Z183" s="32">
        <f>ROUND(IF(AQ183="5",BJ183,0),2)</f>
        <v>0</v>
      </c>
      <c r="AB183" s="32">
        <f>ROUND(IF(AQ183="1",BH183,0),2)</f>
        <v>0</v>
      </c>
      <c r="AC183" s="32">
        <f>ROUND(IF(AQ183="1",BI183,0),2)</f>
        <v>0</v>
      </c>
      <c r="AD183" s="32">
        <f>ROUND(IF(AQ183="7",BH183,0),2)</f>
        <v>0</v>
      </c>
      <c r="AE183" s="32">
        <f>ROUND(IF(AQ183="7",BI183,0),2)</f>
        <v>0</v>
      </c>
      <c r="AF183" s="32">
        <f>ROUND(IF(AQ183="2",BH183,0),2)</f>
        <v>0</v>
      </c>
      <c r="AG183" s="32">
        <f>ROUND(IF(AQ183="2",BI183,0),2)</f>
        <v>0</v>
      </c>
      <c r="AH183" s="32">
        <f>ROUND(IF(AQ183="0",BJ183,0),2)</f>
        <v>0</v>
      </c>
      <c r="AI183" s="12" t="s">
        <v>55</v>
      </c>
      <c r="AJ183" s="32">
        <f>IF(AN183=0,L183,0)</f>
        <v>0</v>
      </c>
      <c r="AK183" s="32">
        <f>IF(AN183=12,L183,0)</f>
        <v>0</v>
      </c>
      <c r="AL183" s="32">
        <f>IF(AN183=21,L183,0)</f>
        <v>0</v>
      </c>
      <c r="AN183" s="32">
        <v>21</v>
      </c>
      <c r="AO183" s="32">
        <f>H183*0.451965524</f>
        <v>0</v>
      </c>
      <c r="AP183" s="32">
        <f>H183*(1-0.451965524)</f>
        <v>0</v>
      </c>
      <c r="AQ183" s="36" t="s">
        <v>90</v>
      </c>
      <c r="AV183" s="32">
        <f>ROUND(AW183+AX183,2)</f>
        <v>0</v>
      </c>
      <c r="AW183" s="32">
        <f>ROUND(G183*AO183,2)</f>
        <v>0</v>
      </c>
      <c r="AX183" s="32">
        <f>ROUND(G183*AP183,2)</f>
        <v>0</v>
      </c>
      <c r="AY183" s="36" t="s">
        <v>332</v>
      </c>
      <c r="AZ183" s="36" t="s">
        <v>245</v>
      </c>
      <c r="BA183" s="12" t="s">
        <v>65</v>
      </c>
      <c r="BC183" s="32">
        <f>AW183+AX183</f>
        <v>0</v>
      </c>
      <c r="BD183" s="32">
        <f>H183/(100-BE183)*100</f>
        <v>0</v>
      </c>
      <c r="BE183" s="32">
        <v>0</v>
      </c>
      <c r="BF183" s="32">
        <f>P183</f>
        <v>1.1E-4</v>
      </c>
      <c r="BH183" s="32">
        <f>G183*AO183</f>
        <v>0</v>
      </c>
      <c r="BI183" s="32">
        <f>G183*AP183</f>
        <v>0</v>
      </c>
      <c r="BJ183" s="32">
        <f>G183*H183</f>
        <v>0</v>
      </c>
      <c r="BK183" s="36" t="s">
        <v>66</v>
      </c>
      <c r="BL183" s="32">
        <v>722</v>
      </c>
      <c r="BW183" s="32">
        <f>I183</f>
        <v>21</v>
      </c>
      <c r="BX183" s="4" t="s">
        <v>420</v>
      </c>
    </row>
    <row r="184" spans="1:76" ht="13.5" customHeight="1" x14ac:dyDescent="0.25">
      <c r="A184" s="42"/>
      <c r="C184" s="43"/>
      <c r="D184" s="95" t="s">
        <v>404</v>
      </c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7"/>
    </row>
    <row r="185" spans="1:76" x14ac:dyDescent="0.25">
      <c r="A185" s="2" t="s">
        <v>421</v>
      </c>
      <c r="B185" s="3" t="s">
        <v>55</v>
      </c>
      <c r="C185" s="3" t="s">
        <v>422</v>
      </c>
      <c r="D185" s="89" t="s">
        <v>423</v>
      </c>
      <c r="E185" s="90"/>
      <c r="F185" s="3" t="s">
        <v>88</v>
      </c>
      <c r="G185" s="32">
        <v>1</v>
      </c>
      <c r="H185" s="199">
        <v>0</v>
      </c>
      <c r="I185" s="33">
        <v>21</v>
      </c>
      <c r="J185" s="32">
        <f>ROUND(G185*AO185,2)</f>
        <v>0</v>
      </c>
      <c r="K185" s="32">
        <f>ROUND(G185*AP185,2)</f>
        <v>0</v>
      </c>
      <c r="L185" s="32">
        <f>ROUND(G185*H185,2)</f>
        <v>0</v>
      </c>
      <c r="M185" s="32">
        <f>L185*(1+BW185/100)</f>
        <v>0</v>
      </c>
      <c r="N185" s="34">
        <f>IF(L649=0,0,L185/L649)</f>
        <v>0</v>
      </c>
      <c r="O185" s="32">
        <v>2.5000000000000001E-4</v>
      </c>
      <c r="P185" s="32">
        <f>G185*O185</f>
        <v>2.5000000000000001E-4</v>
      </c>
      <c r="Q185" s="35"/>
      <c r="Z185" s="32">
        <f>ROUND(IF(AQ185="5",BJ185,0),2)</f>
        <v>0</v>
      </c>
      <c r="AB185" s="32">
        <f>ROUND(IF(AQ185="1",BH185,0),2)</f>
        <v>0</v>
      </c>
      <c r="AC185" s="32">
        <f>ROUND(IF(AQ185="1",BI185,0),2)</f>
        <v>0</v>
      </c>
      <c r="AD185" s="32">
        <f>ROUND(IF(AQ185="7",BH185,0),2)</f>
        <v>0</v>
      </c>
      <c r="AE185" s="32">
        <f>ROUND(IF(AQ185="7",BI185,0),2)</f>
        <v>0</v>
      </c>
      <c r="AF185" s="32">
        <f>ROUND(IF(AQ185="2",BH185,0),2)</f>
        <v>0</v>
      </c>
      <c r="AG185" s="32">
        <f>ROUND(IF(AQ185="2",BI185,0),2)</f>
        <v>0</v>
      </c>
      <c r="AH185" s="32">
        <f>ROUND(IF(AQ185="0",BJ185,0),2)</f>
        <v>0</v>
      </c>
      <c r="AI185" s="12" t="s">
        <v>55</v>
      </c>
      <c r="AJ185" s="32">
        <f>IF(AN185=0,L185,0)</f>
        <v>0</v>
      </c>
      <c r="AK185" s="32">
        <f>IF(AN185=12,L185,0)</f>
        <v>0</v>
      </c>
      <c r="AL185" s="32">
        <f>IF(AN185=21,L185,0)</f>
        <v>0</v>
      </c>
      <c r="AN185" s="32">
        <v>21</v>
      </c>
      <c r="AO185" s="32">
        <f>H185*0.435752212</f>
        <v>0</v>
      </c>
      <c r="AP185" s="32">
        <f>H185*(1-0.435752212)</f>
        <v>0</v>
      </c>
      <c r="AQ185" s="36" t="s">
        <v>90</v>
      </c>
      <c r="AV185" s="32">
        <f>ROUND(AW185+AX185,2)</f>
        <v>0</v>
      </c>
      <c r="AW185" s="32">
        <f>ROUND(G185*AO185,2)</f>
        <v>0</v>
      </c>
      <c r="AX185" s="32">
        <f>ROUND(G185*AP185,2)</f>
        <v>0</v>
      </c>
      <c r="AY185" s="36" t="s">
        <v>332</v>
      </c>
      <c r="AZ185" s="36" t="s">
        <v>245</v>
      </c>
      <c r="BA185" s="12" t="s">
        <v>65</v>
      </c>
      <c r="BC185" s="32">
        <f>AW185+AX185</f>
        <v>0</v>
      </c>
      <c r="BD185" s="32">
        <f>H185/(100-BE185)*100</f>
        <v>0</v>
      </c>
      <c r="BE185" s="32">
        <v>0</v>
      </c>
      <c r="BF185" s="32">
        <f>P185</f>
        <v>2.5000000000000001E-4</v>
      </c>
      <c r="BH185" s="32">
        <f>G185*AO185</f>
        <v>0</v>
      </c>
      <c r="BI185" s="32">
        <f>G185*AP185</f>
        <v>0</v>
      </c>
      <c r="BJ185" s="32">
        <f>G185*H185</f>
        <v>0</v>
      </c>
      <c r="BK185" s="36" t="s">
        <v>66</v>
      </c>
      <c r="BL185" s="32">
        <v>722</v>
      </c>
      <c r="BW185" s="32">
        <f>I185</f>
        <v>21</v>
      </c>
      <c r="BX185" s="4" t="s">
        <v>423</v>
      </c>
    </row>
    <row r="186" spans="1:76" ht="13.5" customHeight="1" x14ac:dyDescent="0.25">
      <c r="A186" s="42"/>
      <c r="C186" s="43"/>
      <c r="D186" s="95" t="s">
        <v>404</v>
      </c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7"/>
    </row>
    <row r="187" spans="1:76" x14ac:dyDescent="0.25">
      <c r="A187" s="2" t="s">
        <v>424</v>
      </c>
      <c r="B187" s="3" t="s">
        <v>55</v>
      </c>
      <c r="C187" s="3" t="s">
        <v>425</v>
      </c>
      <c r="D187" s="89" t="s">
        <v>426</v>
      </c>
      <c r="E187" s="90"/>
      <c r="F187" s="3" t="s">
        <v>88</v>
      </c>
      <c r="G187" s="32">
        <v>1</v>
      </c>
      <c r="H187" s="199">
        <v>0</v>
      </c>
      <c r="I187" s="33">
        <v>21</v>
      </c>
      <c r="J187" s="32">
        <f>ROUND(G187*AO187,2)</f>
        <v>0</v>
      </c>
      <c r="K187" s="32">
        <f>ROUND(G187*AP187,2)</f>
        <v>0</v>
      </c>
      <c r="L187" s="32">
        <f>ROUND(G187*H187,2)</f>
        <v>0</v>
      </c>
      <c r="M187" s="32">
        <f>L187*(1+BW187/100)</f>
        <v>0</v>
      </c>
      <c r="N187" s="34">
        <f>IF(L649=0,0,L187/L649)</f>
        <v>0</v>
      </c>
      <c r="O187" s="32">
        <v>1.9000000000000001E-4</v>
      </c>
      <c r="P187" s="32">
        <f>G187*O187</f>
        <v>1.9000000000000001E-4</v>
      </c>
      <c r="Q187" s="35"/>
      <c r="Z187" s="32">
        <f>ROUND(IF(AQ187="5",BJ187,0),2)</f>
        <v>0</v>
      </c>
      <c r="AB187" s="32">
        <f>ROUND(IF(AQ187="1",BH187,0),2)</f>
        <v>0</v>
      </c>
      <c r="AC187" s="32">
        <f>ROUND(IF(AQ187="1",BI187,0),2)</f>
        <v>0</v>
      </c>
      <c r="AD187" s="32">
        <f>ROUND(IF(AQ187="7",BH187,0),2)</f>
        <v>0</v>
      </c>
      <c r="AE187" s="32">
        <f>ROUND(IF(AQ187="7",BI187,0),2)</f>
        <v>0</v>
      </c>
      <c r="AF187" s="32">
        <f>ROUND(IF(AQ187="2",BH187,0),2)</f>
        <v>0</v>
      </c>
      <c r="AG187" s="32">
        <f>ROUND(IF(AQ187="2",BI187,0),2)</f>
        <v>0</v>
      </c>
      <c r="AH187" s="32">
        <f>ROUND(IF(AQ187="0",BJ187,0),2)</f>
        <v>0</v>
      </c>
      <c r="AI187" s="12" t="s">
        <v>55</v>
      </c>
      <c r="AJ187" s="32">
        <f>IF(AN187=0,L187,0)</f>
        <v>0</v>
      </c>
      <c r="AK187" s="32">
        <f>IF(AN187=12,L187,0)</f>
        <v>0</v>
      </c>
      <c r="AL187" s="32">
        <f>IF(AN187=21,L187,0)</f>
        <v>0</v>
      </c>
      <c r="AN187" s="32">
        <v>21</v>
      </c>
      <c r="AO187" s="32">
        <f>H187*0.769282297</f>
        <v>0</v>
      </c>
      <c r="AP187" s="32">
        <f>H187*(1-0.769282297)</f>
        <v>0</v>
      </c>
      <c r="AQ187" s="36" t="s">
        <v>90</v>
      </c>
      <c r="AV187" s="32">
        <f>ROUND(AW187+AX187,2)</f>
        <v>0</v>
      </c>
      <c r="AW187" s="32">
        <f>ROUND(G187*AO187,2)</f>
        <v>0</v>
      </c>
      <c r="AX187" s="32">
        <f>ROUND(G187*AP187,2)</f>
        <v>0</v>
      </c>
      <c r="AY187" s="36" t="s">
        <v>332</v>
      </c>
      <c r="AZ187" s="36" t="s">
        <v>245</v>
      </c>
      <c r="BA187" s="12" t="s">
        <v>65</v>
      </c>
      <c r="BC187" s="32">
        <f>AW187+AX187</f>
        <v>0</v>
      </c>
      <c r="BD187" s="32">
        <f>H187/(100-BE187)*100</f>
        <v>0</v>
      </c>
      <c r="BE187" s="32">
        <v>0</v>
      </c>
      <c r="BF187" s="32">
        <f>P187</f>
        <v>1.9000000000000001E-4</v>
      </c>
      <c r="BH187" s="32">
        <f>G187*AO187</f>
        <v>0</v>
      </c>
      <c r="BI187" s="32">
        <f>G187*AP187</f>
        <v>0</v>
      </c>
      <c r="BJ187" s="32">
        <f>G187*H187</f>
        <v>0</v>
      </c>
      <c r="BK187" s="36" t="s">
        <v>66</v>
      </c>
      <c r="BL187" s="32">
        <v>722</v>
      </c>
      <c r="BW187" s="32">
        <f>I187</f>
        <v>21</v>
      </c>
      <c r="BX187" s="4" t="s">
        <v>426</v>
      </c>
    </row>
    <row r="188" spans="1:76" ht="13.5" customHeight="1" x14ac:dyDescent="0.25">
      <c r="A188" s="42"/>
      <c r="C188" s="43"/>
      <c r="D188" s="95" t="s">
        <v>404</v>
      </c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7"/>
    </row>
    <row r="189" spans="1:76" x14ac:dyDescent="0.25">
      <c r="A189" s="2" t="s">
        <v>427</v>
      </c>
      <c r="B189" s="3" t="s">
        <v>55</v>
      </c>
      <c r="C189" s="3" t="s">
        <v>428</v>
      </c>
      <c r="D189" s="89" t="s">
        <v>429</v>
      </c>
      <c r="E189" s="90"/>
      <c r="F189" s="3" t="s">
        <v>88</v>
      </c>
      <c r="G189" s="32">
        <v>2</v>
      </c>
      <c r="H189" s="199">
        <v>0</v>
      </c>
      <c r="I189" s="33">
        <v>21</v>
      </c>
      <c r="J189" s="32">
        <f>ROUND(G189*AO189,2)</f>
        <v>0</v>
      </c>
      <c r="K189" s="32">
        <f>ROUND(G189*AP189,2)</f>
        <v>0</v>
      </c>
      <c r="L189" s="32">
        <f>ROUND(G189*H189,2)</f>
        <v>0</v>
      </c>
      <c r="M189" s="32">
        <f>L189*(1+BW189/100)</f>
        <v>0</v>
      </c>
      <c r="N189" s="34">
        <f>IF(L649=0,0,L189/L649)</f>
        <v>0</v>
      </c>
      <c r="O189" s="32">
        <v>1.1E-4</v>
      </c>
      <c r="P189" s="32">
        <f>G189*O189</f>
        <v>2.2000000000000001E-4</v>
      </c>
      <c r="Q189" s="35"/>
      <c r="Z189" s="32">
        <f>ROUND(IF(AQ189="5",BJ189,0),2)</f>
        <v>0</v>
      </c>
      <c r="AB189" s="32">
        <f>ROUND(IF(AQ189="1",BH189,0),2)</f>
        <v>0</v>
      </c>
      <c r="AC189" s="32">
        <f>ROUND(IF(AQ189="1",BI189,0),2)</f>
        <v>0</v>
      </c>
      <c r="AD189" s="32">
        <f>ROUND(IF(AQ189="7",BH189,0),2)</f>
        <v>0</v>
      </c>
      <c r="AE189" s="32">
        <f>ROUND(IF(AQ189="7",BI189,0),2)</f>
        <v>0</v>
      </c>
      <c r="AF189" s="32">
        <f>ROUND(IF(AQ189="2",BH189,0),2)</f>
        <v>0</v>
      </c>
      <c r="AG189" s="32">
        <f>ROUND(IF(AQ189="2",BI189,0),2)</f>
        <v>0</v>
      </c>
      <c r="AH189" s="32">
        <f>ROUND(IF(AQ189="0",BJ189,0),2)</f>
        <v>0</v>
      </c>
      <c r="AI189" s="12" t="s">
        <v>55</v>
      </c>
      <c r="AJ189" s="32">
        <f>IF(AN189=0,L189,0)</f>
        <v>0</v>
      </c>
      <c r="AK189" s="32">
        <f>IF(AN189=12,L189,0)</f>
        <v>0</v>
      </c>
      <c r="AL189" s="32">
        <f>IF(AN189=21,L189,0)</f>
        <v>0</v>
      </c>
      <c r="AN189" s="32">
        <v>21</v>
      </c>
      <c r="AO189" s="32">
        <f>H189*0.630579566</f>
        <v>0</v>
      </c>
      <c r="AP189" s="32">
        <f>H189*(1-0.630579566)</f>
        <v>0</v>
      </c>
      <c r="AQ189" s="36" t="s">
        <v>90</v>
      </c>
      <c r="AV189" s="32">
        <f>ROUND(AW189+AX189,2)</f>
        <v>0</v>
      </c>
      <c r="AW189" s="32">
        <f>ROUND(G189*AO189,2)</f>
        <v>0</v>
      </c>
      <c r="AX189" s="32">
        <f>ROUND(G189*AP189,2)</f>
        <v>0</v>
      </c>
      <c r="AY189" s="36" t="s">
        <v>332</v>
      </c>
      <c r="AZ189" s="36" t="s">
        <v>245</v>
      </c>
      <c r="BA189" s="12" t="s">
        <v>65</v>
      </c>
      <c r="BC189" s="32">
        <f>AW189+AX189</f>
        <v>0</v>
      </c>
      <c r="BD189" s="32">
        <f>H189/(100-BE189)*100</f>
        <v>0</v>
      </c>
      <c r="BE189" s="32">
        <v>0</v>
      </c>
      <c r="BF189" s="32">
        <f>P189</f>
        <v>2.2000000000000001E-4</v>
      </c>
      <c r="BH189" s="32">
        <f>G189*AO189</f>
        <v>0</v>
      </c>
      <c r="BI189" s="32">
        <f>G189*AP189</f>
        <v>0</v>
      </c>
      <c r="BJ189" s="32">
        <f>G189*H189</f>
        <v>0</v>
      </c>
      <c r="BK189" s="36" t="s">
        <v>66</v>
      </c>
      <c r="BL189" s="32">
        <v>722</v>
      </c>
      <c r="BW189" s="32">
        <f>I189</f>
        <v>21</v>
      </c>
      <c r="BX189" s="4" t="s">
        <v>429</v>
      </c>
    </row>
    <row r="190" spans="1:76" ht="13.5" customHeight="1" x14ac:dyDescent="0.25">
      <c r="A190" s="42"/>
      <c r="C190" s="43"/>
      <c r="D190" s="95" t="s">
        <v>430</v>
      </c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7"/>
    </row>
    <row r="191" spans="1:76" x14ac:dyDescent="0.25">
      <c r="A191" s="2" t="s">
        <v>431</v>
      </c>
      <c r="B191" s="3" t="s">
        <v>55</v>
      </c>
      <c r="C191" s="3" t="s">
        <v>432</v>
      </c>
      <c r="D191" s="89" t="s">
        <v>433</v>
      </c>
      <c r="E191" s="90"/>
      <c r="F191" s="3" t="s">
        <v>88</v>
      </c>
      <c r="G191" s="32">
        <v>0</v>
      </c>
      <c r="H191" s="199">
        <v>0</v>
      </c>
      <c r="I191" s="33">
        <v>21</v>
      </c>
      <c r="J191" s="32">
        <f>ROUND(G191*AO191,2)</f>
        <v>0</v>
      </c>
      <c r="K191" s="32">
        <f>ROUND(G191*AP191,2)</f>
        <v>0</v>
      </c>
      <c r="L191" s="32">
        <f>ROUND(G191*H191,2)</f>
        <v>0</v>
      </c>
      <c r="M191" s="32">
        <f>L191*(1+BW191/100)</f>
        <v>0</v>
      </c>
      <c r="N191" s="34">
        <f>IF(L649=0,0,L191/L649)</f>
        <v>0</v>
      </c>
      <c r="O191" s="32">
        <v>1.1E-4</v>
      </c>
      <c r="P191" s="32">
        <f>G191*O191</f>
        <v>0</v>
      </c>
      <c r="Q191" s="35"/>
      <c r="Z191" s="32">
        <f>ROUND(IF(AQ191="5",BJ191,0),2)</f>
        <v>0</v>
      </c>
      <c r="AB191" s="32">
        <f>ROUND(IF(AQ191="1",BH191,0),2)</f>
        <v>0</v>
      </c>
      <c r="AC191" s="32">
        <f>ROUND(IF(AQ191="1",BI191,0),2)</f>
        <v>0</v>
      </c>
      <c r="AD191" s="32">
        <f>ROUND(IF(AQ191="7",BH191,0),2)</f>
        <v>0</v>
      </c>
      <c r="AE191" s="32">
        <f>ROUND(IF(AQ191="7",BI191,0),2)</f>
        <v>0</v>
      </c>
      <c r="AF191" s="32">
        <f>ROUND(IF(AQ191="2",BH191,0),2)</f>
        <v>0</v>
      </c>
      <c r="AG191" s="32">
        <f>ROUND(IF(AQ191="2",BI191,0),2)</f>
        <v>0</v>
      </c>
      <c r="AH191" s="32">
        <f>ROUND(IF(AQ191="0",BJ191,0),2)</f>
        <v>0</v>
      </c>
      <c r="AI191" s="12" t="s">
        <v>55</v>
      </c>
      <c r="AJ191" s="32">
        <f>IF(AN191=0,L191,0)</f>
        <v>0</v>
      </c>
      <c r="AK191" s="32">
        <f>IF(AN191=12,L191,0)</f>
        <v>0</v>
      </c>
      <c r="AL191" s="32">
        <f>IF(AN191=21,L191,0)</f>
        <v>0</v>
      </c>
      <c r="AN191" s="32">
        <v>21</v>
      </c>
      <c r="AO191" s="32">
        <f>H191*0</f>
        <v>0</v>
      </c>
      <c r="AP191" s="32">
        <f>H191*(1-0)</f>
        <v>0</v>
      </c>
      <c r="AQ191" s="36" t="s">
        <v>90</v>
      </c>
      <c r="AV191" s="32">
        <f>ROUND(AW191+AX191,2)</f>
        <v>0</v>
      </c>
      <c r="AW191" s="32">
        <f>ROUND(G191*AO191,2)</f>
        <v>0</v>
      </c>
      <c r="AX191" s="32">
        <f>ROUND(G191*AP191,2)</f>
        <v>0</v>
      </c>
      <c r="AY191" s="36" t="s">
        <v>332</v>
      </c>
      <c r="AZ191" s="36" t="s">
        <v>245</v>
      </c>
      <c r="BA191" s="12" t="s">
        <v>65</v>
      </c>
      <c r="BC191" s="32">
        <f>AW191+AX191</f>
        <v>0</v>
      </c>
      <c r="BD191" s="32">
        <f>H191/(100-BE191)*100</f>
        <v>0</v>
      </c>
      <c r="BE191" s="32">
        <v>0</v>
      </c>
      <c r="BF191" s="32">
        <f>P191</f>
        <v>0</v>
      </c>
      <c r="BH191" s="32">
        <f>G191*AO191</f>
        <v>0</v>
      </c>
      <c r="BI191" s="32">
        <f>G191*AP191</f>
        <v>0</v>
      </c>
      <c r="BJ191" s="32">
        <f>G191*H191</f>
        <v>0</v>
      </c>
      <c r="BK191" s="36" t="s">
        <v>66</v>
      </c>
      <c r="BL191" s="32">
        <v>722</v>
      </c>
      <c r="BW191" s="32">
        <f>I191</f>
        <v>21</v>
      </c>
      <c r="BX191" s="4" t="s">
        <v>433</v>
      </c>
    </row>
    <row r="192" spans="1:76" ht="13.5" customHeight="1" x14ac:dyDescent="0.25">
      <c r="A192" s="42"/>
      <c r="C192" s="43"/>
      <c r="D192" s="95" t="s">
        <v>430</v>
      </c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7"/>
    </row>
    <row r="193" spans="1:76" x14ac:dyDescent="0.25">
      <c r="A193" s="2" t="s">
        <v>434</v>
      </c>
      <c r="B193" s="3" t="s">
        <v>55</v>
      </c>
      <c r="C193" s="3" t="s">
        <v>391</v>
      </c>
      <c r="D193" s="89" t="s">
        <v>392</v>
      </c>
      <c r="E193" s="90"/>
      <c r="F193" s="3" t="s">
        <v>88</v>
      </c>
      <c r="G193" s="32">
        <v>2</v>
      </c>
      <c r="H193" s="199">
        <v>0</v>
      </c>
      <c r="I193" s="33">
        <v>21</v>
      </c>
      <c r="J193" s="32">
        <f>ROUND(G193*AO193,2)</f>
        <v>0</v>
      </c>
      <c r="K193" s="32">
        <f>ROUND(G193*AP193,2)</f>
        <v>0</v>
      </c>
      <c r="L193" s="32">
        <f>ROUND(G193*H193,2)</f>
        <v>0</v>
      </c>
      <c r="M193" s="32">
        <f>L193*(1+BW193/100)</f>
        <v>0</v>
      </c>
      <c r="N193" s="34">
        <f>IF(L649=0,0,L193/L649)</f>
        <v>0</v>
      </c>
      <c r="O193" s="32">
        <v>2.9999999999999997E-4</v>
      </c>
      <c r="P193" s="32">
        <f>G193*O193</f>
        <v>5.9999999999999995E-4</v>
      </c>
      <c r="Q193" s="35" t="s">
        <v>55</v>
      </c>
      <c r="Z193" s="32">
        <f>ROUND(IF(AQ193="5",BJ193,0),2)</f>
        <v>0</v>
      </c>
      <c r="AB193" s="32">
        <f>ROUND(IF(AQ193="1",BH193,0),2)</f>
        <v>0</v>
      </c>
      <c r="AC193" s="32">
        <f>ROUND(IF(AQ193="1",BI193,0),2)</f>
        <v>0</v>
      </c>
      <c r="AD193" s="32">
        <f>ROUND(IF(AQ193="7",BH193,0),2)</f>
        <v>0</v>
      </c>
      <c r="AE193" s="32">
        <f>ROUND(IF(AQ193="7",BI193,0),2)</f>
        <v>0</v>
      </c>
      <c r="AF193" s="32">
        <f>ROUND(IF(AQ193="2",BH193,0),2)</f>
        <v>0</v>
      </c>
      <c r="AG193" s="32">
        <f>ROUND(IF(AQ193="2",BI193,0),2)</f>
        <v>0</v>
      </c>
      <c r="AH193" s="32">
        <f>ROUND(IF(AQ193="0",BJ193,0),2)</f>
        <v>0</v>
      </c>
      <c r="AI193" s="12" t="s">
        <v>55</v>
      </c>
      <c r="AJ193" s="32">
        <f>IF(AN193=0,L193,0)</f>
        <v>0</v>
      </c>
      <c r="AK193" s="32">
        <f>IF(AN193=12,L193,0)</f>
        <v>0</v>
      </c>
      <c r="AL193" s="32">
        <f>IF(AN193=21,L193,0)</f>
        <v>0</v>
      </c>
      <c r="AN193" s="32">
        <v>21</v>
      </c>
      <c r="AO193" s="32">
        <f>H193*0.800717949</f>
        <v>0</v>
      </c>
      <c r="AP193" s="32">
        <f>H193*(1-0.800717949)</f>
        <v>0</v>
      </c>
      <c r="AQ193" s="36" t="s">
        <v>90</v>
      </c>
      <c r="AV193" s="32">
        <f>ROUND(AW193+AX193,2)</f>
        <v>0</v>
      </c>
      <c r="AW193" s="32">
        <f>ROUND(G193*AO193,2)</f>
        <v>0</v>
      </c>
      <c r="AX193" s="32">
        <f>ROUND(G193*AP193,2)</f>
        <v>0</v>
      </c>
      <c r="AY193" s="36" t="s">
        <v>332</v>
      </c>
      <c r="AZ193" s="36" t="s">
        <v>245</v>
      </c>
      <c r="BA193" s="12" t="s">
        <v>65</v>
      </c>
      <c r="BC193" s="32">
        <f>AW193+AX193</f>
        <v>0</v>
      </c>
      <c r="BD193" s="32">
        <f>H193/(100-BE193)*100</f>
        <v>0</v>
      </c>
      <c r="BE193" s="32">
        <v>0</v>
      </c>
      <c r="BF193" s="32">
        <f>P193</f>
        <v>5.9999999999999995E-4</v>
      </c>
      <c r="BH193" s="32">
        <f>G193*AO193</f>
        <v>0</v>
      </c>
      <c r="BI193" s="32">
        <f>G193*AP193</f>
        <v>0</v>
      </c>
      <c r="BJ193" s="32">
        <f>G193*H193</f>
        <v>0</v>
      </c>
      <c r="BK193" s="36" t="s">
        <v>66</v>
      </c>
      <c r="BL193" s="32">
        <v>722</v>
      </c>
      <c r="BW193" s="32">
        <f>I193</f>
        <v>21</v>
      </c>
      <c r="BX193" s="4" t="s">
        <v>392</v>
      </c>
    </row>
    <row r="194" spans="1:76" ht="13.5" customHeight="1" x14ac:dyDescent="0.25">
      <c r="A194" s="42"/>
      <c r="C194" s="43"/>
      <c r="D194" s="95" t="s">
        <v>430</v>
      </c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7"/>
    </row>
    <row r="195" spans="1:76" x14ac:dyDescent="0.25">
      <c r="A195" s="2" t="s">
        <v>435</v>
      </c>
      <c r="B195" s="3" t="s">
        <v>55</v>
      </c>
      <c r="C195" s="3" t="s">
        <v>398</v>
      </c>
      <c r="D195" s="89" t="s">
        <v>399</v>
      </c>
      <c r="E195" s="90"/>
      <c r="F195" s="3" t="s">
        <v>136</v>
      </c>
      <c r="G195" s="32">
        <v>2</v>
      </c>
      <c r="H195" s="199">
        <v>0</v>
      </c>
      <c r="I195" s="33">
        <v>21</v>
      </c>
      <c r="J195" s="32">
        <f>ROUND(G195*AO195,2)</f>
        <v>0</v>
      </c>
      <c r="K195" s="32">
        <f>ROUND(G195*AP195,2)</f>
        <v>0</v>
      </c>
      <c r="L195" s="32">
        <f>ROUND(G195*H195,2)</f>
        <v>0</v>
      </c>
      <c r="M195" s="32">
        <f>L195*(1+BW195/100)</f>
        <v>0</v>
      </c>
      <c r="N195" s="34">
        <f>IF(L649=0,0,L195/L649)</f>
        <v>0</v>
      </c>
      <c r="O195" s="32">
        <v>7.9000000000000001E-4</v>
      </c>
      <c r="P195" s="32">
        <f>G195*O195</f>
        <v>1.58E-3</v>
      </c>
      <c r="Q195" s="35" t="s">
        <v>77</v>
      </c>
      <c r="Z195" s="32">
        <f>ROUND(IF(AQ195="5",BJ195,0),2)</f>
        <v>0</v>
      </c>
      <c r="AB195" s="32">
        <f>ROUND(IF(AQ195="1",BH195,0),2)</f>
        <v>0</v>
      </c>
      <c r="AC195" s="32">
        <f>ROUND(IF(AQ195="1",BI195,0),2)</f>
        <v>0</v>
      </c>
      <c r="AD195" s="32">
        <f>ROUND(IF(AQ195="7",BH195,0),2)</f>
        <v>0</v>
      </c>
      <c r="AE195" s="32">
        <f>ROUND(IF(AQ195="7",BI195,0),2)</f>
        <v>0</v>
      </c>
      <c r="AF195" s="32">
        <f>ROUND(IF(AQ195="2",BH195,0),2)</f>
        <v>0</v>
      </c>
      <c r="AG195" s="32">
        <f>ROUND(IF(AQ195="2",BI195,0),2)</f>
        <v>0</v>
      </c>
      <c r="AH195" s="32">
        <f>ROUND(IF(AQ195="0",BJ195,0),2)</f>
        <v>0</v>
      </c>
      <c r="AI195" s="12" t="s">
        <v>55</v>
      </c>
      <c r="AJ195" s="32">
        <f>IF(AN195=0,L195,0)</f>
        <v>0</v>
      </c>
      <c r="AK195" s="32">
        <f>IF(AN195=12,L195,0)</f>
        <v>0</v>
      </c>
      <c r="AL195" s="32">
        <f>IF(AN195=21,L195,0)</f>
        <v>0</v>
      </c>
      <c r="AN195" s="32">
        <v>21</v>
      </c>
      <c r="AO195" s="32">
        <f>H195*0.446237514</f>
        <v>0</v>
      </c>
      <c r="AP195" s="32">
        <f>H195*(1-0.446237514)</f>
        <v>0</v>
      </c>
      <c r="AQ195" s="36" t="s">
        <v>90</v>
      </c>
      <c r="AV195" s="32">
        <f>ROUND(AW195+AX195,2)</f>
        <v>0</v>
      </c>
      <c r="AW195" s="32">
        <f>ROUND(G195*AO195,2)</f>
        <v>0</v>
      </c>
      <c r="AX195" s="32">
        <f>ROUND(G195*AP195,2)</f>
        <v>0</v>
      </c>
      <c r="AY195" s="36" t="s">
        <v>332</v>
      </c>
      <c r="AZ195" s="36" t="s">
        <v>245</v>
      </c>
      <c r="BA195" s="12" t="s">
        <v>65</v>
      </c>
      <c r="BC195" s="32">
        <f>AW195+AX195</f>
        <v>0</v>
      </c>
      <c r="BD195" s="32">
        <f>H195/(100-BE195)*100</f>
        <v>0</v>
      </c>
      <c r="BE195" s="32">
        <v>0</v>
      </c>
      <c r="BF195" s="32">
        <f>P195</f>
        <v>1.58E-3</v>
      </c>
      <c r="BH195" s="32">
        <f>G195*AO195</f>
        <v>0</v>
      </c>
      <c r="BI195" s="32">
        <f>G195*AP195</f>
        <v>0</v>
      </c>
      <c r="BJ195" s="32">
        <f>G195*H195</f>
        <v>0</v>
      </c>
      <c r="BK195" s="36" t="s">
        <v>66</v>
      </c>
      <c r="BL195" s="32">
        <v>722</v>
      </c>
      <c r="BW195" s="32">
        <f>I195</f>
        <v>21</v>
      </c>
      <c r="BX195" s="4" t="s">
        <v>399</v>
      </c>
    </row>
    <row r="196" spans="1:76" ht="13.5" customHeight="1" x14ac:dyDescent="0.25">
      <c r="A196" s="42"/>
      <c r="C196" s="43"/>
      <c r="D196" s="95" t="s">
        <v>430</v>
      </c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7"/>
    </row>
    <row r="197" spans="1:76" x14ac:dyDescent="0.25">
      <c r="A197" s="2" t="s">
        <v>436</v>
      </c>
      <c r="B197" s="3" t="s">
        <v>55</v>
      </c>
      <c r="C197" s="3" t="s">
        <v>401</v>
      </c>
      <c r="D197" s="89" t="s">
        <v>402</v>
      </c>
      <c r="E197" s="90"/>
      <c r="F197" s="3" t="s">
        <v>88</v>
      </c>
      <c r="G197" s="32">
        <v>1</v>
      </c>
      <c r="H197" s="199">
        <v>0</v>
      </c>
      <c r="I197" s="33">
        <v>21</v>
      </c>
      <c r="J197" s="32">
        <f>ROUND(G197*AO197,2)</f>
        <v>0</v>
      </c>
      <c r="K197" s="32">
        <f>ROUND(G197*AP197,2)</f>
        <v>0</v>
      </c>
      <c r="L197" s="32">
        <f>ROUND(G197*H197,2)</f>
        <v>0</v>
      </c>
      <c r="M197" s="32">
        <f>L197*(1+BW197/100)</f>
        <v>0</v>
      </c>
      <c r="N197" s="34">
        <f>IF(L649=0,0,L197/L649)</f>
        <v>0</v>
      </c>
      <c r="O197" s="32">
        <v>1.1E-4</v>
      </c>
      <c r="P197" s="32">
        <f>G197*O197</f>
        <v>1.1E-4</v>
      </c>
      <c r="Q197" s="35" t="s">
        <v>77</v>
      </c>
      <c r="Z197" s="32">
        <f>ROUND(IF(AQ197="5",BJ197,0),2)</f>
        <v>0</v>
      </c>
      <c r="AB197" s="32">
        <f>ROUND(IF(AQ197="1",BH197,0),2)</f>
        <v>0</v>
      </c>
      <c r="AC197" s="32">
        <f>ROUND(IF(AQ197="1",BI197,0),2)</f>
        <v>0</v>
      </c>
      <c r="AD197" s="32">
        <f>ROUND(IF(AQ197="7",BH197,0),2)</f>
        <v>0</v>
      </c>
      <c r="AE197" s="32">
        <f>ROUND(IF(AQ197="7",BI197,0),2)</f>
        <v>0</v>
      </c>
      <c r="AF197" s="32">
        <f>ROUND(IF(AQ197="2",BH197,0),2)</f>
        <v>0</v>
      </c>
      <c r="AG197" s="32">
        <f>ROUND(IF(AQ197="2",BI197,0),2)</f>
        <v>0</v>
      </c>
      <c r="AH197" s="32">
        <f>ROUND(IF(AQ197="0",BJ197,0),2)</f>
        <v>0</v>
      </c>
      <c r="AI197" s="12" t="s">
        <v>55</v>
      </c>
      <c r="AJ197" s="32">
        <f>IF(AN197=0,L197,0)</f>
        <v>0</v>
      </c>
      <c r="AK197" s="32">
        <f>IF(AN197=12,L197,0)</f>
        <v>0</v>
      </c>
      <c r="AL197" s="32">
        <f>IF(AN197=21,L197,0)</f>
        <v>0</v>
      </c>
      <c r="AN197" s="32">
        <v>21</v>
      </c>
      <c r="AO197" s="32">
        <f>H197*0.711933702</f>
        <v>0</v>
      </c>
      <c r="AP197" s="32">
        <f>H197*(1-0.711933702)</f>
        <v>0</v>
      </c>
      <c r="AQ197" s="36" t="s">
        <v>90</v>
      </c>
      <c r="AV197" s="32">
        <f>ROUND(AW197+AX197,2)</f>
        <v>0</v>
      </c>
      <c r="AW197" s="32">
        <f>ROUND(G197*AO197,2)</f>
        <v>0</v>
      </c>
      <c r="AX197" s="32">
        <f>ROUND(G197*AP197,2)</f>
        <v>0</v>
      </c>
      <c r="AY197" s="36" t="s">
        <v>332</v>
      </c>
      <c r="AZ197" s="36" t="s">
        <v>245</v>
      </c>
      <c r="BA197" s="12" t="s">
        <v>65</v>
      </c>
      <c r="BC197" s="32">
        <f>AW197+AX197</f>
        <v>0</v>
      </c>
      <c r="BD197" s="32">
        <f>H197/(100-BE197)*100</f>
        <v>0</v>
      </c>
      <c r="BE197" s="32">
        <v>0</v>
      </c>
      <c r="BF197" s="32">
        <f>P197</f>
        <v>1.1E-4</v>
      </c>
      <c r="BH197" s="32">
        <f>G197*AO197</f>
        <v>0</v>
      </c>
      <c r="BI197" s="32">
        <f>G197*AP197</f>
        <v>0</v>
      </c>
      <c r="BJ197" s="32">
        <f>G197*H197</f>
        <v>0</v>
      </c>
      <c r="BK197" s="36" t="s">
        <v>66</v>
      </c>
      <c r="BL197" s="32">
        <v>722</v>
      </c>
      <c r="BW197" s="32">
        <f>I197</f>
        <v>21</v>
      </c>
      <c r="BX197" s="4" t="s">
        <v>402</v>
      </c>
    </row>
    <row r="198" spans="1:76" ht="13.5" customHeight="1" x14ac:dyDescent="0.25">
      <c r="A198" s="42"/>
      <c r="C198" s="43"/>
      <c r="D198" s="95" t="s">
        <v>430</v>
      </c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7"/>
    </row>
    <row r="199" spans="1:76" ht="15" customHeight="1" x14ac:dyDescent="0.25">
      <c r="A199" s="2" t="s">
        <v>437</v>
      </c>
      <c r="B199" s="3" t="s">
        <v>55</v>
      </c>
      <c r="C199" s="3" t="s">
        <v>438</v>
      </c>
      <c r="D199" s="100" t="s">
        <v>1475</v>
      </c>
      <c r="E199" s="90"/>
      <c r="F199" s="3" t="s">
        <v>88</v>
      </c>
      <c r="G199" s="32">
        <v>1</v>
      </c>
      <c r="H199" s="199">
        <v>0</v>
      </c>
      <c r="I199" s="33">
        <v>21</v>
      </c>
      <c r="J199" s="32">
        <f>ROUND(G199*AO199,2)</f>
        <v>0</v>
      </c>
      <c r="K199" s="32">
        <f>ROUND(G199*AP199,2)</f>
        <v>0</v>
      </c>
      <c r="L199" s="32">
        <f>ROUND(G199*H199,2)</f>
        <v>0</v>
      </c>
      <c r="M199" s="32">
        <f>L199*(1+BW199/100)</f>
        <v>0</v>
      </c>
      <c r="N199" s="34">
        <f>IF(L649=0,0,L199/L649)</f>
        <v>0</v>
      </c>
      <c r="O199" s="32">
        <v>5.4599999999999996E-3</v>
      </c>
      <c r="P199" s="32">
        <f>G199*O199</f>
        <v>5.4599999999999996E-3</v>
      </c>
      <c r="Q199" s="35" t="s">
        <v>77</v>
      </c>
      <c r="Z199" s="32">
        <f>ROUND(IF(AQ199="5",BJ199,0),2)</f>
        <v>0</v>
      </c>
      <c r="AB199" s="32">
        <f>ROUND(IF(AQ199="1",BH199,0),2)</f>
        <v>0</v>
      </c>
      <c r="AC199" s="32">
        <f>ROUND(IF(AQ199="1",BI199,0),2)</f>
        <v>0</v>
      </c>
      <c r="AD199" s="32">
        <f>ROUND(IF(AQ199="7",BH199,0),2)</f>
        <v>0</v>
      </c>
      <c r="AE199" s="32">
        <f>ROUND(IF(AQ199="7",BI199,0),2)</f>
        <v>0</v>
      </c>
      <c r="AF199" s="32">
        <f>ROUND(IF(AQ199="2",BH199,0),2)</f>
        <v>0</v>
      </c>
      <c r="AG199" s="32">
        <f>ROUND(IF(AQ199="2",BI199,0),2)</f>
        <v>0</v>
      </c>
      <c r="AH199" s="32">
        <f>ROUND(IF(AQ199="0",BJ199,0),2)</f>
        <v>0</v>
      </c>
      <c r="AI199" s="12" t="s">
        <v>55</v>
      </c>
      <c r="AJ199" s="32">
        <f>IF(AN199=0,L199,0)</f>
        <v>0</v>
      </c>
      <c r="AK199" s="32">
        <f>IF(AN199=12,L199,0)</f>
        <v>0</v>
      </c>
      <c r="AL199" s="32">
        <f>IF(AN199=21,L199,0)</f>
        <v>0</v>
      </c>
      <c r="AN199" s="32">
        <v>21</v>
      </c>
      <c r="AO199" s="32">
        <f>H199*0.819501277</f>
        <v>0</v>
      </c>
      <c r="AP199" s="32">
        <f>H199*(1-0.819501277)</f>
        <v>0</v>
      </c>
      <c r="AQ199" s="36" t="s">
        <v>90</v>
      </c>
      <c r="AV199" s="32">
        <f>ROUND(AW199+AX199,2)</f>
        <v>0</v>
      </c>
      <c r="AW199" s="32">
        <f>ROUND(G199*AO199,2)</f>
        <v>0</v>
      </c>
      <c r="AX199" s="32">
        <f>ROUND(G199*AP199,2)</f>
        <v>0</v>
      </c>
      <c r="AY199" s="36" t="s">
        <v>332</v>
      </c>
      <c r="AZ199" s="36" t="s">
        <v>245</v>
      </c>
      <c r="BA199" s="12" t="s">
        <v>65</v>
      </c>
      <c r="BC199" s="32">
        <f>AW199+AX199</f>
        <v>0</v>
      </c>
      <c r="BD199" s="32">
        <f>H199/(100-BE199)*100</f>
        <v>0</v>
      </c>
      <c r="BE199" s="32">
        <v>0</v>
      </c>
      <c r="BF199" s="32">
        <f>P199</f>
        <v>5.4599999999999996E-3</v>
      </c>
      <c r="BH199" s="32">
        <f>G199*AO199</f>
        <v>0</v>
      </c>
      <c r="BI199" s="32">
        <f>G199*AP199</f>
        <v>0</v>
      </c>
      <c r="BJ199" s="32">
        <f>G199*H199</f>
        <v>0</v>
      </c>
      <c r="BK199" s="36" t="s">
        <v>66</v>
      </c>
      <c r="BL199" s="32">
        <v>722</v>
      </c>
      <c r="BW199" s="32">
        <f>I199</f>
        <v>21</v>
      </c>
      <c r="BX199" s="4" t="s">
        <v>439</v>
      </c>
    </row>
    <row r="200" spans="1:76" ht="13.5" customHeight="1" x14ac:dyDescent="0.25">
      <c r="A200" s="42"/>
      <c r="C200" s="43"/>
      <c r="D200" s="95" t="s">
        <v>440</v>
      </c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7"/>
    </row>
    <row r="201" spans="1:76" x14ac:dyDescent="0.25">
      <c r="A201" s="2" t="s">
        <v>441</v>
      </c>
      <c r="B201" s="3" t="s">
        <v>55</v>
      </c>
      <c r="C201" s="3" t="s">
        <v>442</v>
      </c>
      <c r="D201" s="89" t="s">
        <v>443</v>
      </c>
      <c r="E201" s="90"/>
      <c r="F201" s="3" t="s">
        <v>88</v>
      </c>
      <c r="G201" s="32">
        <v>1</v>
      </c>
      <c r="H201" s="199">
        <v>0</v>
      </c>
      <c r="I201" s="33">
        <v>21</v>
      </c>
      <c r="J201" s="32">
        <f>ROUND(G201*AO201,2)</f>
        <v>0</v>
      </c>
      <c r="K201" s="32">
        <f>ROUND(G201*AP201,2)</f>
        <v>0</v>
      </c>
      <c r="L201" s="32">
        <f>ROUND(G201*H201,2)</f>
        <v>0</v>
      </c>
      <c r="M201" s="32">
        <f>L201*(1+BW201/100)</f>
        <v>0</v>
      </c>
      <c r="N201" s="34">
        <f>IF(L649=0,0,L201/L649)</f>
        <v>0</v>
      </c>
      <c r="O201" s="32">
        <v>0</v>
      </c>
      <c r="P201" s="32">
        <f>G201*O201</f>
        <v>0</v>
      </c>
      <c r="Q201" s="35" t="s">
        <v>77</v>
      </c>
      <c r="Z201" s="32">
        <f>ROUND(IF(AQ201="5",BJ201,0),2)</f>
        <v>0</v>
      </c>
      <c r="AB201" s="32">
        <f>ROUND(IF(AQ201="1",BH201,0),2)</f>
        <v>0</v>
      </c>
      <c r="AC201" s="32">
        <f>ROUND(IF(AQ201="1",BI201,0),2)</f>
        <v>0</v>
      </c>
      <c r="AD201" s="32">
        <f>ROUND(IF(AQ201="7",BH201,0),2)</f>
        <v>0</v>
      </c>
      <c r="AE201" s="32">
        <f>ROUND(IF(AQ201="7",BI201,0),2)</f>
        <v>0</v>
      </c>
      <c r="AF201" s="32">
        <f>ROUND(IF(AQ201="2",BH201,0),2)</f>
        <v>0</v>
      </c>
      <c r="AG201" s="32">
        <f>ROUND(IF(AQ201="2",BI201,0),2)</f>
        <v>0</v>
      </c>
      <c r="AH201" s="32">
        <f>ROUND(IF(AQ201="0",BJ201,0),2)</f>
        <v>0</v>
      </c>
      <c r="AI201" s="12" t="s">
        <v>55</v>
      </c>
      <c r="AJ201" s="32">
        <f>IF(AN201=0,L201,0)</f>
        <v>0</v>
      </c>
      <c r="AK201" s="32">
        <f>IF(AN201=12,L201,0)</f>
        <v>0</v>
      </c>
      <c r="AL201" s="32">
        <f>IF(AN201=21,L201,0)</f>
        <v>0</v>
      </c>
      <c r="AN201" s="32">
        <v>21</v>
      </c>
      <c r="AO201" s="32">
        <f>H201*0.611286977</f>
        <v>0</v>
      </c>
      <c r="AP201" s="32">
        <f>H201*(1-0.611286977)</f>
        <v>0</v>
      </c>
      <c r="AQ201" s="36" t="s">
        <v>67</v>
      </c>
      <c r="AV201" s="32">
        <f>ROUND(AW201+AX201,2)</f>
        <v>0</v>
      </c>
      <c r="AW201" s="32">
        <f>ROUND(G201*AO201,2)</f>
        <v>0</v>
      </c>
      <c r="AX201" s="32">
        <f>ROUND(G201*AP201,2)</f>
        <v>0</v>
      </c>
      <c r="AY201" s="36" t="s">
        <v>332</v>
      </c>
      <c r="AZ201" s="36" t="s">
        <v>245</v>
      </c>
      <c r="BA201" s="12" t="s">
        <v>65</v>
      </c>
      <c r="BC201" s="32">
        <f>AW201+AX201</f>
        <v>0</v>
      </c>
      <c r="BD201" s="32">
        <f>H201/(100-BE201)*100</f>
        <v>0</v>
      </c>
      <c r="BE201" s="32">
        <v>0</v>
      </c>
      <c r="BF201" s="32">
        <f>P201</f>
        <v>0</v>
      </c>
      <c r="BH201" s="32">
        <f>G201*AO201</f>
        <v>0</v>
      </c>
      <c r="BI201" s="32">
        <f>G201*AP201</f>
        <v>0</v>
      </c>
      <c r="BJ201" s="32">
        <f>G201*H201</f>
        <v>0</v>
      </c>
      <c r="BK201" s="36" t="s">
        <v>66</v>
      </c>
      <c r="BL201" s="32">
        <v>722</v>
      </c>
      <c r="BW201" s="32">
        <f>I201</f>
        <v>21</v>
      </c>
      <c r="BX201" s="4" t="s">
        <v>443</v>
      </c>
    </row>
    <row r="202" spans="1:76" x14ac:dyDescent="0.25">
      <c r="A202" s="2" t="s">
        <v>444</v>
      </c>
      <c r="B202" s="3" t="s">
        <v>55</v>
      </c>
      <c r="C202" s="3" t="s">
        <v>445</v>
      </c>
      <c r="D202" s="89" t="s">
        <v>446</v>
      </c>
      <c r="E202" s="90"/>
      <c r="F202" s="3" t="s">
        <v>88</v>
      </c>
      <c r="G202" s="32">
        <v>1</v>
      </c>
      <c r="H202" s="199">
        <v>0</v>
      </c>
      <c r="I202" s="33">
        <v>21</v>
      </c>
      <c r="J202" s="32">
        <f>ROUND(G202*AO202,2)</f>
        <v>0</v>
      </c>
      <c r="K202" s="32">
        <f>ROUND(G202*AP202,2)</f>
        <v>0</v>
      </c>
      <c r="L202" s="32">
        <f>ROUND(G202*H202,2)</f>
        <v>0</v>
      </c>
      <c r="M202" s="32">
        <f>L202*(1+BW202/100)</f>
        <v>0</v>
      </c>
      <c r="N202" s="34">
        <f>IF(L649=0,0,L202/L649)</f>
        <v>0</v>
      </c>
      <c r="O202" s="32">
        <v>1.8000000000000001E-4</v>
      </c>
      <c r="P202" s="32">
        <f>G202*O202</f>
        <v>1.8000000000000001E-4</v>
      </c>
      <c r="Q202" s="35" t="s">
        <v>77</v>
      </c>
      <c r="Z202" s="32">
        <f>ROUND(IF(AQ202="5",BJ202,0),2)</f>
        <v>0</v>
      </c>
      <c r="AB202" s="32">
        <f>ROUND(IF(AQ202="1",BH202,0),2)</f>
        <v>0</v>
      </c>
      <c r="AC202" s="32">
        <f>ROUND(IF(AQ202="1",BI202,0),2)</f>
        <v>0</v>
      </c>
      <c r="AD202" s="32">
        <f>ROUND(IF(AQ202="7",BH202,0),2)</f>
        <v>0</v>
      </c>
      <c r="AE202" s="32">
        <f>ROUND(IF(AQ202="7",BI202,0),2)</f>
        <v>0</v>
      </c>
      <c r="AF202" s="32">
        <f>ROUND(IF(AQ202="2",BH202,0),2)</f>
        <v>0</v>
      </c>
      <c r="AG202" s="32">
        <f>ROUND(IF(AQ202="2",BI202,0),2)</f>
        <v>0</v>
      </c>
      <c r="AH202" s="32">
        <f>ROUND(IF(AQ202="0",BJ202,0),2)</f>
        <v>0</v>
      </c>
      <c r="AI202" s="12" t="s">
        <v>55</v>
      </c>
      <c r="AJ202" s="32">
        <f>IF(AN202=0,L202,0)</f>
        <v>0</v>
      </c>
      <c r="AK202" s="32">
        <f>IF(AN202=12,L202,0)</f>
        <v>0</v>
      </c>
      <c r="AL202" s="32">
        <f>IF(AN202=21,L202,0)</f>
        <v>0</v>
      </c>
      <c r="AN202" s="32">
        <v>21</v>
      </c>
      <c r="AO202" s="32">
        <f>H202*0.66217674</f>
        <v>0</v>
      </c>
      <c r="AP202" s="32">
        <f>H202*(1-0.66217674)</f>
        <v>0</v>
      </c>
      <c r="AQ202" s="36" t="s">
        <v>90</v>
      </c>
      <c r="AV202" s="32">
        <f>ROUND(AW202+AX202,2)</f>
        <v>0</v>
      </c>
      <c r="AW202" s="32">
        <f>ROUND(G202*AO202,2)</f>
        <v>0</v>
      </c>
      <c r="AX202" s="32">
        <f>ROUND(G202*AP202,2)</f>
        <v>0</v>
      </c>
      <c r="AY202" s="36" t="s">
        <v>332</v>
      </c>
      <c r="AZ202" s="36" t="s">
        <v>245</v>
      </c>
      <c r="BA202" s="12" t="s">
        <v>65</v>
      </c>
      <c r="BC202" s="32">
        <f>AW202+AX202</f>
        <v>0</v>
      </c>
      <c r="BD202" s="32">
        <f>H202/(100-BE202)*100</f>
        <v>0</v>
      </c>
      <c r="BE202" s="32">
        <v>0</v>
      </c>
      <c r="BF202" s="32">
        <f>P202</f>
        <v>1.8000000000000001E-4</v>
      </c>
      <c r="BH202" s="32">
        <f>G202*AO202</f>
        <v>0</v>
      </c>
      <c r="BI202" s="32">
        <f>G202*AP202</f>
        <v>0</v>
      </c>
      <c r="BJ202" s="32">
        <f>G202*H202</f>
        <v>0</v>
      </c>
      <c r="BK202" s="36" t="s">
        <v>66</v>
      </c>
      <c r="BL202" s="32">
        <v>722</v>
      </c>
      <c r="BW202" s="32">
        <f>I202</f>
        <v>21</v>
      </c>
      <c r="BX202" s="4" t="s">
        <v>446</v>
      </c>
    </row>
    <row r="203" spans="1:76" x14ac:dyDescent="0.25">
      <c r="A203" s="2" t="s">
        <v>447</v>
      </c>
      <c r="B203" s="3" t="s">
        <v>55</v>
      </c>
      <c r="C203" s="3" t="s">
        <v>395</v>
      </c>
      <c r="D203" s="89" t="s">
        <v>396</v>
      </c>
      <c r="E203" s="90"/>
      <c r="F203" s="3" t="s">
        <v>88</v>
      </c>
      <c r="G203" s="32">
        <v>1</v>
      </c>
      <c r="H203" s="199">
        <v>0</v>
      </c>
      <c r="I203" s="33">
        <v>21</v>
      </c>
      <c r="J203" s="32">
        <f>ROUND(G203*AO203,2)</f>
        <v>0</v>
      </c>
      <c r="K203" s="32">
        <f>ROUND(G203*AP203,2)</f>
        <v>0</v>
      </c>
      <c r="L203" s="32">
        <f>ROUND(G203*H203,2)</f>
        <v>0</v>
      </c>
      <c r="M203" s="32">
        <f>L203*(1+BW203/100)</f>
        <v>0</v>
      </c>
      <c r="N203" s="34">
        <f>IF(L649=0,0,L203/L649)</f>
        <v>0</v>
      </c>
      <c r="O203" s="32">
        <v>3.2000000000000003E-4</v>
      </c>
      <c r="P203" s="32">
        <f>G203*O203</f>
        <v>3.2000000000000003E-4</v>
      </c>
      <c r="Q203" s="35" t="s">
        <v>77</v>
      </c>
      <c r="Z203" s="32">
        <f>ROUND(IF(AQ203="5",BJ203,0),2)</f>
        <v>0</v>
      </c>
      <c r="AB203" s="32">
        <f>ROUND(IF(AQ203="1",BH203,0),2)</f>
        <v>0</v>
      </c>
      <c r="AC203" s="32">
        <f>ROUND(IF(AQ203="1",BI203,0),2)</f>
        <v>0</v>
      </c>
      <c r="AD203" s="32">
        <f>ROUND(IF(AQ203="7",BH203,0),2)</f>
        <v>0</v>
      </c>
      <c r="AE203" s="32">
        <f>ROUND(IF(AQ203="7",BI203,0),2)</f>
        <v>0</v>
      </c>
      <c r="AF203" s="32">
        <f>ROUND(IF(AQ203="2",BH203,0),2)</f>
        <v>0</v>
      </c>
      <c r="AG203" s="32">
        <f>ROUND(IF(AQ203="2",BI203,0),2)</f>
        <v>0</v>
      </c>
      <c r="AH203" s="32">
        <f>ROUND(IF(AQ203="0",BJ203,0),2)</f>
        <v>0</v>
      </c>
      <c r="AI203" s="12" t="s">
        <v>55</v>
      </c>
      <c r="AJ203" s="32">
        <f>IF(AN203=0,L203,0)</f>
        <v>0</v>
      </c>
      <c r="AK203" s="32">
        <f>IF(AN203=12,L203,0)</f>
        <v>0</v>
      </c>
      <c r="AL203" s="32">
        <f>IF(AN203=21,L203,0)</f>
        <v>0</v>
      </c>
      <c r="AN203" s="32">
        <v>21</v>
      </c>
      <c r="AO203" s="32">
        <f>H203*0.710200803</f>
        <v>0</v>
      </c>
      <c r="AP203" s="32">
        <f>H203*(1-0.710200803)</f>
        <v>0</v>
      </c>
      <c r="AQ203" s="36" t="s">
        <v>90</v>
      </c>
      <c r="AV203" s="32">
        <f>ROUND(AW203+AX203,2)</f>
        <v>0</v>
      </c>
      <c r="AW203" s="32">
        <f>ROUND(G203*AO203,2)</f>
        <v>0</v>
      </c>
      <c r="AX203" s="32">
        <f>ROUND(G203*AP203,2)</f>
        <v>0</v>
      </c>
      <c r="AY203" s="36" t="s">
        <v>332</v>
      </c>
      <c r="AZ203" s="36" t="s">
        <v>245</v>
      </c>
      <c r="BA203" s="12" t="s">
        <v>65</v>
      </c>
      <c r="BC203" s="32">
        <f>AW203+AX203</f>
        <v>0</v>
      </c>
      <c r="BD203" s="32">
        <f>H203/(100-BE203)*100</f>
        <v>0</v>
      </c>
      <c r="BE203" s="32">
        <v>0</v>
      </c>
      <c r="BF203" s="32">
        <f>P203</f>
        <v>3.2000000000000003E-4</v>
      </c>
      <c r="BH203" s="32">
        <f>G203*AO203</f>
        <v>0</v>
      </c>
      <c r="BI203" s="32">
        <f>G203*AP203</f>
        <v>0</v>
      </c>
      <c r="BJ203" s="32">
        <f>G203*H203</f>
        <v>0</v>
      </c>
      <c r="BK203" s="36" t="s">
        <v>66</v>
      </c>
      <c r="BL203" s="32">
        <v>722</v>
      </c>
      <c r="BW203" s="32">
        <f>I203</f>
        <v>21</v>
      </c>
      <c r="BX203" s="4" t="s">
        <v>396</v>
      </c>
    </row>
    <row r="204" spans="1:76" x14ac:dyDescent="0.25">
      <c r="A204" s="2" t="s">
        <v>448</v>
      </c>
      <c r="B204" s="3" t="s">
        <v>55</v>
      </c>
      <c r="C204" s="3" t="s">
        <v>449</v>
      </c>
      <c r="D204" s="89" t="s">
        <v>450</v>
      </c>
      <c r="E204" s="90"/>
      <c r="F204" s="3" t="s">
        <v>316</v>
      </c>
      <c r="G204" s="32">
        <v>1</v>
      </c>
      <c r="H204" s="199">
        <v>0</v>
      </c>
      <c r="I204" s="33">
        <v>21</v>
      </c>
      <c r="J204" s="32">
        <f>ROUND(G204*AO204,2)</f>
        <v>0</v>
      </c>
      <c r="K204" s="32">
        <f>ROUND(G204*AP204,2)</f>
        <v>0</v>
      </c>
      <c r="L204" s="32">
        <f>ROUND(G204*H204,2)</f>
        <v>0</v>
      </c>
      <c r="M204" s="32">
        <f>L204*(1+BW204/100)</f>
        <v>0</v>
      </c>
      <c r="N204" s="34">
        <f>IF(L649=0,0,L204/L649)</f>
        <v>0</v>
      </c>
      <c r="O204" s="32">
        <v>1.0000000000000001E-5</v>
      </c>
      <c r="P204" s="32">
        <f>G204*O204</f>
        <v>1.0000000000000001E-5</v>
      </c>
      <c r="Q204" s="35" t="s">
        <v>77</v>
      </c>
      <c r="Z204" s="32">
        <f>ROUND(IF(AQ204="5",BJ204,0),2)</f>
        <v>0</v>
      </c>
      <c r="AB204" s="32">
        <f>ROUND(IF(AQ204="1",BH204,0),2)</f>
        <v>0</v>
      </c>
      <c r="AC204" s="32">
        <f>ROUND(IF(AQ204="1",BI204,0),2)</f>
        <v>0</v>
      </c>
      <c r="AD204" s="32">
        <f>ROUND(IF(AQ204="7",BH204,0),2)</f>
        <v>0</v>
      </c>
      <c r="AE204" s="32">
        <f>ROUND(IF(AQ204="7",BI204,0),2)</f>
        <v>0</v>
      </c>
      <c r="AF204" s="32">
        <f>ROUND(IF(AQ204="2",BH204,0),2)</f>
        <v>0</v>
      </c>
      <c r="AG204" s="32">
        <f>ROUND(IF(AQ204="2",BI204,0),2)</f>
        <v>0</v>
      </c>
      <c r="AH204" s="32">
        <f>ROUND(IF(AQ204="0",BJ204,0),2)</f>
        <v>0</v>
      </c>
      <c r="AI204" s="12" t="s">
        <v>55</v>
      </c>
      <c r="AJ204" s="32">
        <f>IF(AN204=0,L204,0)</f>
        <v>0</v>
      </c>
      <c r="AK204" s="32">
        <f>IF(AN204=12,L204,0)</f>
        <v>0</v>
      </c>
      <c r="AL204" s="32">
        <f>IF(AN204=21,L204,0)</f>
        <v>0</v>
      </c>
      <c r="AN204" s="32">
        <v>21</v>
      </c>
      <c r="AO204" s="32">
        <f>H204*0.051684455</f>
        <v>0</v>
      </c>
      <c r="AP204" s="32">
        <f>H204*(1-0.051684455)</f>
        <v>0</v>
      </c>
      <c r="AQ204" s="36" t="s">
        <v>90</v>
      </c>
      <c r="AV204" s="32">
        <f>ROUND(AW204+AX204,2)</f>
        <v>0</v>
      </c>
      <c r="AW204" s="32">
        <f>ROUND(G204*AO204,2)</f>
        <v>0</v>
      </c>
      <c r="AX204" s="32">
        <f>ROUND(G204*AP204,2)</f>
        <v>0</v>
      </c>
      <c r="AY204" s="36" t="s">
        <v>332</v>
      </c>
      <c r="AZ204" s="36" t="s">
        <v>245</v>
      </c>
      <c r="BA204" s="12" t="s">
        <v>65</v>
      </c>
      <c r="BC204" s="32">
        <f>AW204+AX204</f>
        <v>0</v>
      </c>
      <c r="BD204" s="32">
        <f>H204/(100-BE204)*100</f>
        <v>0</v>
      </c>
      <c r="BE204" s="32">
        <v>0</v>
      </c>
      <c r="BF204" s="32">
        <f>P204</f>
        <v>1.0000000000000001E-5</v>
      </c>
      <c r="BH204" s="32">
        <f>G204*AO204</f>
        <v>0</v>
      </c>
      <c r="BI204" s="32">
        <f>G204*AP204</f>
        <v>0</v>
      </c>
      <c r="BJ204" s="32">
        <f>G204*H204</f>
        <v>0</v>
      </c>
      <c r="BK204" s="36" t="s">
        <v>66</v>
      </c>
      <c r="BL204" s="32">
        <v>722</v>
      </c>
      <c r="BW204" s="32">
        <f>I204</f>
        <v>21</v>
      </c>
      <c r="BX204" s="4" t="s">
        <v>450</v>
      </c>
    </row>
    <row r="205" spans="1:76" x14ac:dyDescent="0.25">
      <c r="A205" s="2" t="s">
        <v>451</v>
      </c>
      <c r="B205" s="3" t="s">
        <v>55</v>
      </c>
      <c r="C205" s="3" t="s">
        <v>452</v>
      </c>
      <c r="D205" s="89" t="s">
        <v>453</v>
      </c>
      <c r="E205" s="90"/>
      <c r="F205" s="3" t="s">
        <v>316</v>
      </c>
      <c r="G205" s="32">
        <v>1</v>
      </c>
      <c r="H205" s="199">
        <v>0</v>
      </c>
      <c r="I205" s="33">
        <v>21</v>
      </c>
      <c r="J205" s="32">
        <f>ROUND(G205*AO205,2)</f>
        <v>0</v>
      </c>
      <c r="K205" s="32">
        <f>ROUND(G205*AP205,2)</f>
        <v>0</v>
      </c>
      <c r="L205" s="32">
        <f>ROUND(G205*H205,2)</f>
        <v>0</v>
      </c>
      <c r="M205" s="32">
        <f>L205*(1+BW205/100)</f>
        <v>0</v>
      </c>
      <c r="N205" s="34">
        <f>IF(L649=0,0,L205/L649)</f>
        <v>0</v>
      </c>
      <c r="O205" s="32">
        <v>0</v>
      </c>
      <c r="P205" s="32">
        <f>G205*O205</f>
        <v>0</v>
      </c>
      <c r="Q205" s="35"/>
      <c r="Z205" s="32">
        <f>ROUND(IF(AQ205="5",BJ205,0),2)</f>
        <v>0</v>
      </c>
      <c r="AB205" s="32">
        <f>ROUND(IF(AQ205="1",BH205,0),2)</f>
        <v>0</v>
      </c>
      <c r="AC205" s="32">
        <f>ROUND(IF(AQ205="1",BI205,0),2)</f>
        <v>0</v>
      </c>
      <c r="AD205" s="32">
        <f>ROUND(IF(AQ205="7",BH205,0),2)</f>
        <v>0</v>
      </c>
      <c r="AE205" s="32">
        <f>ROUND(IF(AQ205="7",BI205,0),2)</f>
        <v>0</v>
      </c>
      <c r="AF205" s="32">
        <f>ROUND(IF(AQ205="2",BH205,0),2)</f>
        <v>0</v>
      </c>
      <c r="AG205" s="32">
        <f>ROUND(IF(AQ205="2",BI205,0),2)</f>
        <v>0</v>
      </c>
      <c r="AH205" s="32">
        <f>ROUND(IF(AQ205="0",BJ205,0),2)</f>
        <v>0</v>
      </c>
      <c r="AI205" s="12" t="s">
        <v>55</v>
      </c>
      <c r="AJ205" s="32">
        <f>IF(AN205=0,L205,0)</f>
        <v>0</v>
      </c>
      <c r="AK205" s="32">
        <f>IF(AN205=12,L205,0)</f>
        <v>0</v>
      </c>
      <c r="AL205" s="32">
        <f>IF(AN205=21,L205,0)</f>
        <v>0</v>
      </c>
      <c r="AN205" s="32">
        <v>21</v>
      </c>
      <c r="AO205" s="32">
        <f>H205*0.783786681</f>
        <v>0</v>
      </c>
      <c r="AP205" s="32">
        <f>H205*(1-0.783786681)</f>
        <v>0</v>
      </c>
      <c r="AQ205" s="36" t="s">
        <v>62</v>
      </c>
      <c r="AV205" s="32">
        <f>ROUND(AW205+AX205,2)</f>
        <v>0</v>
      </c>
      <c r="AW205" s="32">
        <f>ROUND(G205*AO205,2)</f>
        <v>0</v>
      </c>
      <c r="AX205" s="32">
        <f>ROUND(G205*AP205,2)</f>
        <v>0</v>
      </c>
      <c r="AY205" s="36" t="s">
        <v>332</v>
      </c>
      <c r="AZ205" s="36" t="s">
        <v>245</v>
      </c>
      <c r="BA205" s="12" t="s">
        <v>65</v>
      </c>
      <c r="BC205" s="32">
        <f>AW205+AX205</f>
        <v>0</v>
      </c>
      <c r="BD205" s="32">
        <f>H205/(100-BE205)*100</f>
        <v>0</v>
      </c>
      <c r="BE205" s="32">
        <v>0</v>
      </c>
      <c r="BF205" s="32">
        <f>P205</f>
        <v>0</v>
      </c>
      <c r="BH205" s="32">
        <f>G205*AO205</f>
        <v>0</v>
      </c>
      <c r="BI205" s="32">
        <f>G205*AP205</f>
        <v>0</v>
      </c>
      <c r="BJ205" s="32">
        <f>G205*H205</f>
        <v>0</v>
      </c>
      <c r="BK205" s="36" t="s">
        <v>66</v>
      </c>
      <c r="BL205" s="32">
        <v>722</v>
      </c>
      <c r="BW205" s="32">
        <f>I205</f>
        <v>21</v>
      </c>
      <c r="BX205" s="4" t="s">
        <v>453</v>
      </c>
    </row>
    <row r="206" spans="1:76" ht="13.5" customHeight="1" x14ac:dyDescent="0.25">
      <c r="A206" s="42"/>
      <c r="C206" s="43"/>
      <c r="D206" s="95" t="s">
        <v>454</v>
      </c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7"/>
    </row>
    <row r="207" spans="1:76" x14ac:dyDescent="0.25">
      <c r="A207" s="2" t="s">
        <v>455</v>
      </c>
      <c r="B207" s="3" t="s">
        <v>55</v>
      </c>
      <c r="C207" s="3" t="s">
        <v>456</v>
      </c>
      <c r="D207" s="89" t="s">
        <v>457</v>
      </c>
      <c r="E207" s="90"/>
      <c r="F207" s="3" t="s">
        <v>316</v>
      </c>
      <c r="G207" s="32">
        <v>1</v>
      </c>
      <c r="H207" s="199">
        <v>0</v>
      </c>
      <c r="I207" s="33">
        <v>21</v>
      </c>
      <c r="J207" s="32">
        <f>ROUND(G207*AO207,2)</f>
        <v>0</v>
      </c>
      <c r="K207" s="32">
        <f>ROUND(G207*AP207,2)</f>
        <v>0</v>
      </c>
      <c r="L207" s="32">
        <f>ROUND(G207*H207,2)</f>
        <v>0</v>
      </c>
      <c r="M207" s="32">
        <f>L207*(1+BW207/100)</f>
        <v>0</v>
      </c>
      <c r="N207" s="34">
        <f>IF(L649=0,0,L207/L649)</f>
        <v>0</v>
      </c>
      <c r="O207" s="32">
        <v>1.8000000000000001E-4</v>
      </c>
      <c r="P207" s="32">
        <f>G207*O207</f>
        <v>1.8000000000000001E-4</v>
      </c>
      <c r="Q207" s="35" t="s">
        <v>77</v>
      </c>
      <c r="Z207" s="32">
        <f>ROUND(IF(AQ207="5",BJ207,0),2)</f>
        <v>0</v>
      </c>
      <c r="AB207" s="32">
        <f>ROUND(IF(AQ207="1",BH207,0),2)</f>
        <v>0</v>
      </c>
      <c r="AC207" s="32">
        <f>ROUND(IF(AQ207="1",BI207,0),2)</f>
        <v>0</v>
      </c>
      <c r="AD207" s="32">
        <f>ROUND(IF(AQ207="7",BH207,0),2)</f>
        <v>0</v>
      </c>
      <c r="AE207" s="32">
        <f>ROUND(IF(AQ207="7",BI207,0),2)</f>
        <v>0</v>
      </c>
      <c r="AF207" s="32">
        <f>ROUND(IF(AQ207="2",BH207,0),2)</f>
        <v>0</v>
      </c>
      <c r="AG207" s="32">
        <f>ROUND(IF(AQ207="2",BI207,0),2)</f>
        <v>0</v>
      </c>
      <c r="AH207" s="32">
        <f>ROUND(IF(AQ207="0",BJ207,0),2)</f>
        <v>0</v>
      </c>
      <c r="AI207" s="12" t="s">
        <v>55</v>
      </c>
      <c r="AJ207" s="32">
        <f>IF(AN207=0,L207,0)</f>
        <v>0</v>
      </c>
      <c r="AK207" s="32">
        <f>IF(AN207=12,L207,0)</f>
        <v>0</v>
      </c>
      <c r="AL207" s="32">
        <f>IF(AN207=21,L207,0)</f>
        <v>0</v>
      </c>
      <c r="AN207" s="32">
        <v>21</v>
      </c>
      <c r="AO207" s="32">
        <f>H207*0.222223529</f>
        <v>0</v>
      </c>
      <c r="AP207" s="32">
        <f>H207*(1-0.222223529)</f>
        <v>0</v>
      </c>
      <c r="AQ207" s="36" t="s">
        <v>90</v>
      </c>
      <c r="AV207" s="32">
        <f>ROUND(AW207+AX207,2)</f>
        <v>0</v>
      </c>
      <c r="AW207" s="32">
        <f>ROUND(G207*AO207,2)</f>
        <v>0</v>
      </c>
      <c r="AX207" s="32">
        <f>ROUND(G207*AP207,2)</f>
        <v>0</v>
      </c>
      <c r="AY207" s="36" t="s">
        <v>332</v>
      </c>
      <c r="AZ207" s="36" t="s">
        <v>245</v>
      </c>
      <c r="BA207" s="12" t="s">
        <v>65</v>
      </c>
      <c r="BC207" s="32">
        <f>AW207+AX207</f>
        <v>0</v>
      </c>
      <c r="BD207" s="32">
        <f>H207/(100-BE207)*100</f>
        <v>0</v>
      </c>
      <c r="BE207" s="32">
        <v>0</v>
      </c>
      <c r="BF207" s="32">
        <f>P207</f>
        <v>1.8000000000000001E-4</v>
      </c>
      <c r="BH207" s="32">
        <f>G207*AO207</f>
        <v>0</v>
      </c>
      <c r="BI207" s="32">
        <f>G207*AP207</f>
        <v>0</v>
      </c>
      <c r="BJ207" s="32">
        <f>G207*H207</f>
        <v>0</v>
      </c>
      <c r="BK207" s="36" t="s">
        <v>66</v>
      </c>
      <c r="BL207" s="32">
        <v>722</v>
      </c>
      <c r="BW207" s="32">
        <f>I207</f>
        <v>21</v>
      </c>
      <c r="BX207" s="4" t="s">
        <v>457</v>
      </c>
    </row>
    <row r="208" spans="1:76" x14ac:dyDescent="0.25">
      <c r="A208" s="2" t="s">
        <v>458</v>
      </c>
      <c r="B208" s="3" t="s">
        <v>55</v>
      </c>
      <c r="C208" s="3" t="s">
        <v>452</v>
      </c>
      <c r="D208" s="89" t="s">
        <v>319</v>
      </c>
      <c r="E208" s="90"/>
      <c r="F208" s="3" t="s">
        <v>316</v>
      </c>
      <c r="G208" s="32">
        <v>1</v>
      </c>
      <c r="H208" s="199">
        <v>0</v>
      </c>
      <c r="I208" s="33">
        <v>21</v>
      </c>
      <c r="J208" s="32">
        <f>ROUND(G208*AO208,2)</f>
        <v>0</v>
      </c>
      <c r="K208" s="32">
        <f>ROUND(G208*AP208,2)</f>
        <v>0</v>
      </c>
      <c r="L208" s="32">
        <f>ROUND(G208*H208,2)</f>
        <v>0</v>
      </c>
      <c r="M208" s="32">
        <f>L208*(1+BW208/100)</f>
        <v>0</v>
      </c>
      <c r="N208" s="34">
        <f>IF(L649=0,0,L208/L649)</f>
        <v>0</v>
      </c>
      <c r="O208" s="32">
        <v>0</v>
      </c>
      <c r="P208" s="32">
        <f>G208*O208</f>
        <v>0</v>
      </c>
      <c r="Q208" s="35"/>
      <c r="Z208" s="32">
        <f>ROUND(IF(AQ208="5",BJ208,0),2)</f>
        <v>0</v>
      </c>
      <c r="AB208" s="32">
        <f>ROUND(IF(AQ208="1",BH208,0),2)</f>
        <v>0</v>
      </c>
      <c r="AC208" s="32">
        <f>ROUND(IF(AQ208="1",BI208,0),2)</f>
        <v>0</v>
      </c>
      <c r="AD208" s="32">
        <f>ROUND(IF(AQ208="7",BH208,0),2)</f>
        <v>0</v>
      </c>
      <c r="AE208" s="32">
        <f>ROUND(IF(AQ208="7",BI208,0),2)</f>
        <v>0</v>
      </c>
      <c r="AF208" s="32">
        <f>ROUND(IF(AQ208="2",BH208,0),2)</f>
        <v>0</v>
      </c>
      <c r="AG208" s="32">
        <f>ROUND(IF(AQ208="2",BI208,0),2)</f>
        <v>0</v>
      </c>
      <c r="AH208" s="32">
        <f>ROUND(IF(AQ208="0",BJ208,0),2)</f>
        <v>0</v>
      </c>
      <c r="AI208" s="12" t="s">
        <v>55</v>
      </c>
      <c r="AJ208" s="32">
        <f>IF(AN208=0,L208,0)</f>
        <v>0</v>
      </c>
      <c r="AK208" s="32">
        <f>IF(AN208=12,L208,0)</f>
        <v>0</v>
      </c>
      <c r="AL208" s="32">
        <f>IF(AN208=21,L208,0)</f>
        <v>0</v>
      </c>
      <c r="AN208" s="32">
        <v>21</v>
      </c>
      <c r="AO208" s="32">
        <f>H208*0.518390818</f>
        <v>0</v>
      </c>
      <c r="AP208" s="32">
        <f>H208*(1-0.518390818)</f>
        <v>0</v>
      </c>
      <c r="AQ208" s="36" t="s">
        <v>90</v>
      </c>
      <c r="AV208" s="32">
        <f>ROUND(AW208+AX208,2)</f>
        <v>0</v>
      </c>
      <c r="AW208" s="32">
        <f>ROUND(G208*AO208,2)</f>
        <v>0</v>
      </c>
      <c r="AX208" s="32">
        <f>ROUND(G208*AP208,2)</f>
        <v>0</v>
      </c>
      <c r="AY208" s="36" t="s">
        <v>332</v>
      </c>
      <c r="AZ208" s="36" t="s">
        <v>245</v>
      </c>
      <c r="BA208" s="12" t="s">
        <v>65</v>
      </c>
      <c r="BC208" s="32">
        <f>AW208+AX208</f>
        <v>0</v>
      </c>
      <c r="BD208" s="32">
        <f>H208/(100-BE208)*100</f>
        <v>0</v>
      </c>
      <c r="BE208" s="32">
        <v>0</v>
      </c>
      <c r="BF208" s="32">
        <f>P208</f>
        <v>0</v>
      </c>
      <c r="BH208" s="32">
        <f>G208*AO208</f>
        <v>0</v>
      </c>
      <c r="BI208" s="32">
        <f>G208*AP208</f>
        <v>0</v>
      </c>
      <c r="BJ208" s="32">
        <f>G208*H208</f>
        <v>0</v>
      </c>
      <c r="BK208" s="36" t="s">
        <v>66</v>
      </c>
      <c r="BL208" s="32">
        <v>722</v>
      </c>
      <c r="BW208" s="32">
        <f>I208</f>
        <v>21</v>
      </c>
      <c r="BX208" s="4" t="s">
        <v>319</v>
      </c>
    </row>
    <row r="209" spans="1:76" ht="13.5" customHeight="1" x14ac:dyDescent="0.25">
      <c r="A209" s="42"/>
      <c r="C209" s="43"/>
      <c r="D209" s="95" t="s">
        <v>459</v>
      </c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7"/>
    </row>
    <row r="210" spans="1:76" x14ac:dyDescent="0.25">
      <c r="A210" s="2" t="s">
        <v>460</v>
      </c>
      <c r="B210" s="3" t="s">
        <v>55</v>
      </c>
      <c r="C210" s="3" t="s">
        <v>452</v>
      </c>
      <c r="D210" s="89" t="s">
        <v>461</v>
      </c>
      <c r="E210" s="90"/>
      <c r="F210" s="3" t="s">
        <v>316</v>
      </c>
      <c r="G210" s="32">
        <v>1</v>
      </c>
      <c r="H210" s="199">
        <v>0</v>
      </c>
      <c r="I210" s="33">
        <v>21</v>
      </c>
      <c r="J210" s="32">
        <f>ROUND(G210*AO210,2)</f>
        <v>0</v>
      </c>
      <c r="K210" s="32">
        <f>ROUND(G210*AP210,2)</f>
        <v>0</v>
      </c>
      <c r="L210" s="32">
        <f>ROUND(G210*H210,2)</f>
        <v>0</v>
      </c>
      <c r="M210" s="32">
        <f>L210*(1+BW210/100)</f>
        <v>0</v>
      </c>
      <c r="N210" s="34">
        <f>IF(L649=0,0,L210/L649)</f>
        <v>0</v>
      </c>
      <c r="O210" s="32">
        <v>0</v>
      </c>
      <c r="P210" s="32">
        <f>G210*O210</f>
        <v>0</v>
      </c>
      <c r="Q210" s="35"/>
      <c r="Z210" s="32">
        <f>ROUND(IF(AQ210="5",BJ210,0),2)</f>
        <v>0</v>
      </c>
      <c r="AB210" s="32">
        <f>ROUND(IF(AQ210="1",BH210,0),2)</f>
        <v>0</v>
      </c>
      <c r="AC210" s="32">
        <f>ROUND(IF(AQ210="1",BI210,0),2)</f>
        <v>0</v>
      </c>
      <c r="AD210" s="32">
        <f>ROUND(IF(AQ210="7",BH210,0),2)</f>
        <v>0</v>
      </c>
      <c r="AE210" s="32">
        <f>ROUND(IF(AQ210="7",BI210,0),2)</f>
        <v>0</v>
      </c>
      <c r="AF210" s="32">
        <f>ROUND(IF(AQ210="2",BH210,0),2)</f>
        <v>0</v>
      </c>
      <c r="AG210" s="32">
        <f>ROUND(IF(AQ210="2",BI210,0),2)</f>
        <v>0</v>
      </c>
      <c r="AH210" s="32">
        <f>ROUND(IF(AQ210="0",BJ210,0),2)</f>
        <v>0</v>
      </c>
      <c r="AI210" s="12" t="s">
        <v>55</v>
      </c>
      <c r="AJ210" s="32">
        <f>IF(AN210=0,L210,0)</f>
        <v>0</v>
      </c>
      <c r="AK210" s="32">
        <f>IF(AN210=12,L210,0)</f>
        <v>0</v>
      </c>
      <c r="AL210" s="32">
        <f>IF(AN210=21,L210,0)</f>
        <v>0</v>
      </c>
      <c r="AN210" s="32">
        <v>21</v>
      </c>
      <c r="AO210" s="32">
        <f>H210*0</f>
        <v>0</v>
      </c>
      <c r="AP210" s="32">
        <f>H210*(1-0)</f>
        <v>0</v>
      </c>
      <c r="AQ210" s="36" t="s">
        <v>90</v>
      </c>
      <c r="AV210" s="32">
        <f>ROUND(AW210+AX210,2)</f>
        <v>0</v>
      </c>
      <c r="AW210" s="32">
        <f>ROUND(G210*AO210,2)</f>
        <v>0</v>
      </c>
      <c r="AX210" s="32">
        <f>ROUND(G210*AP210,2)</f>
        <v>0</v>
      </c>
      <c r="AY210" s="36" t="s">
        <v>332</v>
      </c>
      <c r="AZ210" s="36" t="s">
        <v>245</v>
      </c>
      <c r="BA210" s="12" t="s">
        <v>65</v>
      </c>
      <c r="BC210" s="32">
        <f>AW210+AX210</f>
        <v>0</v>
      </c>
      <c r="BD210" s="32">
        <f>H210/(100-BE210)*100</f>
        <v>0</v>
      </c>
      <c r="BE210" s="32">
        <v>0</v>
      </c>
      <c r="BF210" s="32">
        <f>P210</f>
        <v>0</v>
      </c>
      <c r="BH210" s="32">
        <f>G210*AO210</f>
        <v>0</v>
      </c>
      <c r="BI210" s="32">
        <f>G210*AP210</f>
        <v>0</v>
      </c>
      <c r="BJ210" s="32">
        <f>G210*H210</f>
        <v>0</v>
      </c>
      <c r="BK210" s="36" t="s">
        <v>66</v>
      </c>
      <c r="BL210" s="32">
        <v>722</v>
      </c>
      <c r="BW210" s="32">
        <f>I210</f>
        <v>21</v>
      </c>
      <c r="BX210" s="4" t="s">
        <v>461</v>
      </c>
    </row>
    <row r="211" spans="1:76" ht="13.5" customHeight="1" x14ac:dyDescent="0.25">
      <c r="A211" s="42"/>
      <c r="C211" s="43"/>
      <c r="D211" s="95" t="s">
        <v>323</v>
      </c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7"/>
    </row>
    <row r="212" spans="1:76" x14ac:dyDescent="0.25">
      <c r="A212" s="37" t="s">
        <v>55</v>
      </c>
      <c r="B212" s="38" t="s">
        <v>55</v>
      </c>
      <c r="C212" s="38" t="s">
        <v>462</v>
      </c>
      <c r="D212" s="98" t="s">
        <v>463</v>
      </c>
      <c r="E212" s="99"/>
      <c r="F212" s="39" t="s">
        <v>3</v>
      </c>
      <c r="G212" s="39" t="s">
        <v>3</v>
      </c>
      <c r="H212" s="39" t="s">
        <v>3</v>
      </c>
      <c r="I212" s="39" t="s">
        <v>3</v>
      </c>
      <c r="J212" s="1">
        <f>SUM(J213:J227)</f>
        <v>0</v>
      </c>
      <c r="K212" s="1">
        <f>SUM(K213:K227)</f>
        <v>0</v>
      </c>
      <c r="L212" s="1">
        <f>SUM(L213:L227)</f>
        <v>0</v>
      </c>
      <c r="M212" s="1">
        <f>SUM(M213:M227)</f>
        <v>0</v>
      </c>
      <c r="N212" s="40">
        <f>IF(L649=0,0,L212/L649)</f>
        <v>0</v>
      </c>
      <c r="O212" s="12" t="s">
        <v>55</v>
      </c>
      <c r="P212" s="1">
        <f>SUM(P213:P227)</f>
        <v>1.814E-2</v>
      </c>
      <c r="Q212" s="41" t="s">
        <v>55</v>
      </c>
      <c r="AI212" s="12" t="s">
        <v>55</v>
      </c>
      <c r="AS212" s="1">
        <f>SUM(AJ213:AJ227)</f>
        <v>0</v>
      </c>
      <c r="AT212" s="1">
        <f>SUM(AK213:AK227)</f>
        <v>0</v>
      </c>
      <c r="AU212" s="1">
        <f>SUM(AL213:AL227)</f>
        <v>0</v>
      </c>
    </row>
    <row r="213" spans="1:76" ht="25.5" x14ac:dyDescent="0.25">
      <c r="A213" s="2" t="s">
        <v>464</v>
      </c>
      <c r="B213" s="3" t="s">
        <v>55</v>
      </c>
      <c r="C213" s="3" t="s">
        <v>465</v>
      </c>
      <c r="D213" s="89" t="s">
        <v>466</v>
      </c>
      <c r="E213" s="90"/>
      <c r="F213" s="3" t="s">
        <v>136</v>
      </c>
      <c r="G213" s="32">
        <v>11</v>
      </c>
      <c r="H213" s="199">
        <v>0</v>
      </c>
      <c r="I213" s="33">
        <v>21</v>
      </c>
      <c r="J213" s="32">
        <f>ROUND(G213*AO213,2)</f>
        <v>0</v>
      </c>
      <c r="K213" s="32">
        <f>ROUND(G213*AP213,2)</f>
        <v>0</v>
      </c>
      <c r="L213" s="32">
        <f>ROUND(G213*H213,2)</f>
        <v>0</v>
      </c>
      <c r="M213" s="32">
        <f>L213*(1+BW213/100)</f>
        <v>0</v>
      </c>
      <c r="N213" s="34">
        <f>IF(L649=0,0,L213/L649)</f>
        <v>0</v>
      </c>
      <c r="O213" s="32">
        <v>5.9000000000000003E-4</v>
      </c>
      <c r="P213" s="32">
        <f>G213*O213</f>
        <v>6.4900000000000001E-3</v>
      </c>
      <c r="Q213" s="35" t="s">
        <v>77</v>
      </c>
      <c r="Z213" s="32">
        <f>ROUND(IF(AQ213="5",BJ213,0),2)</f>
        <v>0</v>
      </c>
      <c r="AB213" s="32">
        <f>ROUND(IF(AQ213="1",BH213,0),2)</f>
        <v>0</v>
      </c>
      <c r="AC213" s="32">
        <f>ROUND(IF(AQ213="1",BI213,0),2)</f>
        <v>0</v>
      </c>
      <c r="AD213" s="32">
        <f>ROUND(IF(AQ213="7",BH213,0),2)</f>
        <v>0</v>
      </c>
      <c r="AE213" s="32">
        <f>ROUND(IF(AQ213="7",BI213,0),2)</f>
        <v>0</v>
      </c>
      <c r="AF213" s="32">
        <f>ROUND(IF(AQ213="2",BH213,0),2)</f>
        <v>0</v>
      </c>
      <c r="AG213" s="32">
        <f>ROUND(IF(AQ213="2",BI213,0),2)</f>
        <v>0</v>
      </c>
      <c r="AH213" s="32">
        <f>ROUND(IF(AQ213="0",BJ213,0),2)</f>
        <v>0</v>
      </c>
      <c r="AI213" s="12" t="s">
        <v>55</v>
      </c>
      <c r="AJ213" s="32">
        <f>IF(AN213=0,L213,0)</f>
        <v>0</v>
      </c>
      <c r="AK213" s="32">
        <f>IF(AN213=12,L213,0)</f>
        <v>0</v>
      </c>
      <c r="AL213" s="32">
        <f>IF(AN213=21,L213,0)</f>
        <v>0</v>
      </c>
      <c r="AN213" s="32">
        <v>21</v>
      </c>
      <c r="AO213" s="32">
        <f>H213*0.732529679</f>
        <v>0</v>
      </c>
      <c r="AP213" s="32">
        <f>H213*(1-0.732529679)</f>
        <v>0</v>
      </c>
      <c r="AQ213" s="36" t="s">
        <v>90</v>
      </c>
      <c r="AV213" s="32">
        <f>ROUND(AW213+AX213,2)</f>
        <v>0</v>
      </c>
      <c r="AW213" s="32">
        <f>ROUND(G213*AO213,2)</f>
        <v>0</v>
      </c>
      <c r="AX213" s="32">
        <f>ROUND(G213*AP213,2)</f>
        <v>0</v>
      </c>
      <c r="AY213" s="36" t="s">
        <v>467</v>
      </c>
      <c r="AZ213" s="36" t="s">
        <v>245</v>
      </c>
      <c r="BA213" s="12" t="s">
        <v>65</v>
      </c>
      <c r="BC213" s="32">
        <f>AW213+AX213</f>
        <v>0</v>
      </c>
      <c r="BD213" s="32">
        <f>H213/(100-BE213)*100</f>
        <v>0</v>
      </c>
      <c r="BE213" s="32">
        <v>0</v>
      </c>
      <c r="BF213" s="32">
        <f>P213</f>
        <v>6.4900000000000001E-3</v>
      </c>
      <c r="BH213" s="32">
        <f>G213*AO213</f>
        <v>0</v>
      </c>
      <c r="BI213" s="32">
        <f>G213*AP213</f>
        <v>0</v>
      </c>
      <c r="BJ213" s="32">
        <f>G213*H213</f>
        <v>0</v>
      </c>
      <c r="BK213" s="36" t="s">
        <v>66</v>
      </c>
      <c r="BL213" s="32">
        <v>723</v>
      </c>
      <c r="BW213" s="32">
        <f>I213</f>
        <v>21</v>
      </c>
      <c r="BX213" s="4" t="s">
        <v>466</v>
      </c>
    </row>
    <row r="214" spans="1:76" ht="13.5" customHeight="1" x14ac:dyDescent="0.25">
      <c r="A214" s="42"/>
      <c r="C214" s="43"/>
      <c r="D214" s="95" t="s">
        <v>468</v>
      </c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7"/>
    </row>
    <row r="215" spans="1:76" x14ac:dyDescent="0.25">
      <c r="A215" s="2" t="s">
        <v>469</v>
      </c>
      <c r="B215" s="3" t="s">
        <v>55</v>
      </c>
      <c r="C215" s="3" t="s">
        <v>470</v>
      </c>
      <c r="D215" s="89" t="s">
        <v>471</v>
      </c>
      <c r="E215" s="90"/>
      <c r="F215" s="3" t="s">
        <v>136</v>
      </c>
      <c r="G215" s="32">
        <v>11</v>
      </c>
      <c r="H215" s="199">
        <v>0</v>
      </c>
      <c r="I215" s="33">
        <v>21</v>
      </c>
      <c r="J215" s="32">
        <f t="shared" ref="J215:J222" si="26">ROUND(G215*AO215,2)</f>
        <v>0</v>
      </c>
      <c r="K215" s="32">
        <f t="shared" ref="K215:K222" si="27">ROUND(G215*AP215,2)</f>
        <v>0</v>
      </c>
      <c r="L215" s="32">
        <f t="shared" ref="L215:L222" si="28">ROUND(G215*H215,2)</f>
        <v>0</v>
      </c>
      <c r="M215" s="32">
        <f t="shared" ref="M215:M222" si="29">L215*(1+BW215/100)</f>
        <v>0</v>
      </c>
      <c r="N215" s="34">
        <f>IF(L649=0,0,L215/L649)</f>
        <v>0</v>
      </c>
      <c r="O215" s="32">
        <v>0</v>
      </c>
      <c r="P215" s="32">
        <f t="shared" ref="P215:P222" si="30">G215*O215</f>
        <v>0</v>
      </c>
      <c r="Q215" s="35" t="s">
        <v>55</v>
      </c>
      <c r="Z215" s="32">
        <f t="shared" ref="Z215:Z222" si="31">ROUND(IF(AQ215="5",BJ215,0),2)</f>
        <v>0</v>
      </c>
      <c r="AB215" s="32">
        <f t="shared" ref="AB215:AB222" si="32">ROUND(IF(AQ215="1",BH215,0),2)</f>
        <v>0</v>
      </c>
      <c r="AC215" s="32">
        <f t="shared" ref="AC215:AC222" si="33">ROUND(IF(AQ215="1",BI215,0),2)</f>
        <v>0</v>
      </c>
      <c r="AD215" s="32">
        <f t="shared" ref="AD215:AD222" si="34">ROUND(IF(AQ215="7",BH215,0),2)</f>
        <v>0</v>
      </c>
      <c r="AE215" s="32">
        <f t="shared" ref="AE215:AE222" si="35">ROUND(IF(AQ215="7",BI215,0),2)</f>
        <v>0</v>
      </c>
      <c r="AF215" s="32">
        <f t="shared" ref="AF215:AF222" si="36">ROUND(IF(AQ215="2",BH215,0),2)</f>
        <v>0</v>
      </c>
      <c r="AG215" s="32">
        <f t="shared" ref="AG215:AG222" si="37">ROUND(IF(AQ215="2",BI215,0),2)</f>
        <v>0</v>
      </c>
      <c r="AH215" s="32">
        <f t="shared" ref="AH215:AH222" si="38">ROUND(IF(AQ215="0",BJ215,0),2)</f>
        <v>0</v>
      </c>
      <c r="AI215" s="12" t="s">
        <v>55</v>
      </c>
      <c r="AJ215" s="32">
        <f t="shared" ref="AJ215:AJ222" si="39">IF(AN215=0,L215,0)</f>
        <v>0</v>
      </c>
      <c r="AK215" s="32">
        <f t="shared" ref="AK215:AK222" si="40">IF(AN215=12,L215,0)</f>
        <v>0</v>
      </c>
      <c r="AL215" s="32">
        <f t="shared" ref="AL215:AL222" si="41">IF(AN215=21,L215,0)</f>
        <v>0</v>
      </c>
      <c r="AN215" s="32">
        <v>21</v>
      </c>
      <c r="AO215" s="32">
        <f>H215*0.546332046</f>
        <v>0</v>
      </c>
      <c r="AP215" s="32">
        <f>H215*(1-0.546332046)</f>
        <v>0</v>
      </c>
      <c r="AQ215" s="36" t="s">
        <v>90</v>
      </c>
      <c r="AV215" s="32">
        <f t="shared" ref="AV215:AV222" si="42">ROUND(AW215+AX215,2)</f>
        <v>0</v>
      </c>
      <c r="AW215" s="32">
        <f t="shared" ref="AW215:AW222" si="43">ROUND(G215*AO215,2)</f>
        <v>0</v>
      </c>
      <c r="AX215" s="32">
        <f t="shared" ref="AX215:AX222" si="44">ROUND(G215*AP215,2)</f>
        <v>0</v>
      </c>
      <c r="AY215" s="36" t="s">
        <v>467</v>
      </c>
      <c r="AZ215" s="36" t="s">
        <v>245</v>
      </c>
      <c r="BA215" s="12" t="s">
        <v>65</v>
      </c>
      <c r="BC215" s="32">
        <f t="shared" ref="BC215:BC222" si="45">AW215+AX215</f>
        <v>0</v>
      </c>
      <c r="BD215" s="32">
        <f t="shared" ref="BD215:BD222" si="46">H215/(100-BE215)*100</f>
        <v>0</v>
      </c>
      <c r="BE215" s="32">
        <v>0</v>
      </c>
      <c r="BF215" s="32">
        <f t="shared" ref="BF215:BF222" si="47">P215</f>
        <v>0</v>
      </c>
      <c r="BH215" s="32">
        <f t="shared" ref="BH215:BH222" si="48">G215*AO215</f>
        <v>0</v>
      </c>
      <c r="BI215" s="32">
        <f t="shared" ref="BI215:BI222" si="49">G215*AP215</f>
        <v>0</v>
      </c>
      <c r="BJ215" s="32">
        <f t="shared" ref="BJ215:BJ222" si="50">G215*H215</f>
        <v>0</v>
      </c>
      <c r="BK215" s="36" t="s">
        <v>66</v>
      </c>
      <c r="BL215" s="32">
        <v>723</v>
      </c>
      <c r="BW215" s="32">
        <f t="shared" ref="BW215:BW222" si="51">I215</f>
        <v>21</v>
      </c>
      <c r="BX215" s="4" t="s">
        <v>471</v>
      </c>
    </row>
    <row r="216" spans="1:76" x14ac:dyDescent="0.25">
      <c r="A216" s="2" t="s">
        <v>472</v>
      </c>
      <c r="B216" s="3" t="s">
        <v>55</v>
      </c>
      <c r="C216" s="3" t="s">
        <v>473</v>
      </c>
      <c r="D216" s="89" t="s">
        <v>474</v>
      </c>
      <c r="E216" s="90"/>
      <c r="F216" s="3" t="s">
        <v>475</v>
      </c>
      <c r="G216" s="32">
        <v>1</v>
      </c>
      <c r="H216" s="199">
        <v>0</v>
      </c>
      <c r="I216" s="33">
        <v>21</v>
      </c>
      <c r="J216" s="32">
        <f t="shared" si="26"/>
        <v>0</v>
      </c>
      <c r="K216" s="32">
        <f t="shared" si="27"/>
        <v>0</v>
      </c>
      <c r="L216" s="32">
        <f t="shared" si="28"/>
        <v>0</v>
      </c>
      <c r="M216" s="32">
        <f t="shared" si="29"/>
        <v>0</v>
      </c>
      <c r="N216" s="34">
        <f>IF(L649=0,0,L216/L649)</f>
        <v>0</v>
      </c>
      <c r="O216" s="32">
        <v>0</v>
      </c>
      <c r="P216" s="32">
        <f t="shared" si="30"/>
        <v>0</v>
      </c>
      <c r="Q216" s="35"/>
      <c r="Z216" s="32">
        <f t="shared" si="31"/>
        <v>0</v>
      </c>
      <c r="AB216" s="32">
        <f t="shared" si="32"/>
        <v>0</v>
      </c>
      <c r="AC216" s="32">
        <f t="shared" si="33"/>
        <v>0</v>
      </c>
      <c r="AD216" s="32">
        <f t="shared" si="34"/>
        <v>0</v>
      </c>
      <c r="AE216" s="32">
        <f t="shared" si="35"/>
        <v>0</v>
      </c>
      <c r="AF216" s="32">
        <f t="shared" si="36"/>
        <v>0</v>
      </c>
      <c r="AG216" s="32">
        <f t="shared" si="37"/>
        <v>0</v>
      </c>
      <c r="AH216" s="32">
        <f t="shared" si="38"/>
        <v>0</v>
      </c>
      <c r="AI216" s="12" t="s">
        <v>55</v>
      </c>
      <c r="AJ216" s="32">
        <f t="shared" si="39"/>
        <v>0</v>
      </c>
      <c r="AK216" s="32">
        <f t="shared" si="40"/>
        <v>0</v>
      </c>
      <c r="AL216" s="32">
        <f t="shared" si="41"/>
        <v>0</v>
      </c>
      <c r="AN216" s="32">
        <v>21</v>
      </c>
      <c r="AO216" s="32">
        <f>H216*0.715133531</f>
        <v>0</v>
      </c>
      <c r="AP216" s="32">
        <f>H216*(1-0.715133531)</f>
        <v>0</v>
      </c>
      <c r="AQ216" s="36" t="s">
        <v>90</v>
      </c>
      <c r="AV216" s="32">
        <f t="shared" si="42"/>
        <v>0</v>
      </c>
      <c r="AW216" s="32">
        <f t="shared" si="43"/>
        <v>0</v>
      </c>
      <c r="AX216" s="32">
        <f t="shared" si="44"/>
        <v>0</v>
      </c>
      <c r="AY216" s="36" t="s">
        <v>467</v>
      </c>
      <c r="AZ216" s="36" t="s">
        <v>245</v>
      </c>
      <c r="BA216" s="12" t="s">
        <v>65</v>
      </c>
      <c r="BC216" s="32">
        <f t="shared" si="45"/>
        <v>0</v>
      </c>
      <c r="BD216" s="32">
        <f t="shared" si="46"/>
        <v>0</v>
      </c>
      <c r="BE216" s="32">
        <v>0</v>
      </c>
      <c r="BF216" s="32">
        <f t="shared" si="47"/>
        <v>0</v>
      </c>
      <c r="BH216" s="32">
        <f t="shared" si="48"/>
        <v>0</v>
      </c>
      <c r="BI216" s="32">
        <f t="shared" si="49"/>
        <v>0</v>
      </c>
      <c r="BJ216" s="32">
        <f t="shared" si="50"/>
        <v>0</v>
      </c>
      <c r="BK216" s="36" t="s">
        <v>66</v>
      </c>
      <c r="BL216" s="32">
        <v>723</v>
      </c>
      <c r="BW216" s="32">
        <f t="shared" si="51"/>
        <v>21</v>
      </c>
      <c r="BX216" s="4" t="s">
        <v>474</v>
      </c>
    </row>
    <row r="217" spans="1:76" x14ac:dyDescent="0.25">
      <c r="A217" s="2" t="s">
        <v>476</v>
      </c>
      <c r="B217" s="3" t="s">
        <v>55</v>
      </c>
      <c r="C217" s="3" t="s">
        <v>477</v>
      </c>
      <c r="D217" s="89" t="s">
        <v>478</v>
      </c>
      <c r="E217" s="90"/>
      <c r="F217" s="3" t="s">
        <v>88</v>
      </c>
      <c r="G217" s="32">
        <v>1</v>
      </c>
      <c r="H217" s="199">
        <v>0</v>
      </c>
      <c r="I217" s="33">
        <v>21</v>
      </c>
      <c r="J217" s="32">
        <f t="shared" si="26"/>
        <v>0</v>
      </c>
      <c r="K217" s="32">
        <f t="shared" si="27"/>
        <v>0</v>
      </c>
      <c r="L217" s="32">
        <f t="shared" si="28"/>
        <v>0</v>
      </c>
      <c r="M217" s="32">
        <f t="shared" si="29"/>
        <v>0</v>
      </c>
      <c r="N217" s="34">
        <f>IF(L649=0,0,L217/L649)</f>
        <v>0</v>
      </c>
      <c r="O217" s="32">
        <v>3.0000000000000001E-5</v>
      </c>
      <c r="P217" s="32">
        <f t="shared" si="30"/>
        <v>3.0000000000000001E-5</v>
      </c>
      <c r="Q217" s="35" t="s">
        <v>77</v>
      </c>
      <c r="Z217" s="32">
        <f t="shared" si="31"/>
        <v>0</v>
      </c>
      <c r="AB217" s="32">
        <f t="shared" si="32"/>
        <v>0</v>
      </c>
      <c r="AC217" s="32">
        <f t="shared" si="33"/>
        <v>0</v>
      </c>
      <c r="AD217" s="32">
        <f t="shared" si="34"/>
        <v>0</v>
      </c>
      <c r="AE217" s="32">
        <f t="shared" si="35"/>
        <v>0</v>
      </c>
      <c r="AF217" s="32">
        <f t="shared" si="36"/>
        <v>0</v>
      </c>
      <c r="AG217" s="32">
        <f t="shared" si="37"/>
        <v>0</v>
      </c>
      <c r="AH217" s="32">
        <f t="shared" si="38"/>
        <v>0</v>
      </c>
      <c r="AI217" s="12" t="s">
        <v>55</v>
      </c>
      <c r="AJ217" s="32">
        <f t="shared" si="39"/>
        <v>0</v>
      </c>
      <c r="AK217" s="32">
        <f t="shared" si="40"/>
        <v>0</v>
      </c>
      <c r="AL217" s="32">
        <f t="shared" si="41"/>
        <v>0</v>
      </c>
      <c r="AN217" s="32">
        <v>21</v>
      </c>
      <c r="AO217" s="32">
        <f>H217*0.453792261</f>
        <v>0</v>
      </c>
      <c r="AP217" s="32">
        <f>H217*(1-0.453792261)</f>
        <v>0</v>
      </c>
      <c r="AQ217" s="36" t="s">
        <v>90</v>
      </c>
      <c r="AV217" s="32">
        <f t="shared" si="42"/>
        <v>0</v>
      </c>
      <c r="AW217" s="32">
        <f t="shared" si="43"/>
        <v>0</v>
      </c>
      <c r="AX217" s="32">
        <f t="shared" si="44"/>
        <v>0</v>
      </c>
      <c r="AY217" s="36" t="s">
        <v>467</v>
      </c>
      <c r="AZ217" s="36" t="s">
        <v>245</v>
      </c>
      <c r="BA217" s="12" t="s">
        <v>65</v>
      </c>
      <c r="BC217" s="32">
        <f t="shared" si="45"/>
        <v>0</v>
      </c>
      <c r="BD217" s="32">
        <f t="shared" si="46"/>
        <v>0</v>
      </c>
      <c r="BE217" s="32">
        <v>0</v>
      </c>
      <c r="BF217" s="32">
        <f t="shared" si="47"/>
        <v>3.0000000000000001E-5</v>
      </c>
      <c r="BH217" s="32">
        <f t="shared" si="48"/>
        <v>0</v>
      </c>
      <c r="BI217" s="32">
        <f t="shared" si="49"/>
        <v>0</v>
      </c>
      <c r="BJ217" s="32">
        <f t="shared" si="50"/>
        <v>0</v>
      </c>
      <c r="BK217" s="36" t="s">
        <v>66</v>
      </c>
      <c r="BL217" s="32">
        <v>723</v>
      </c>
      <c r="BW217" s="32">
        <f t="shared" si="51"/>
        <v>21</v>
      </c>
      <c r="BX217" s="4" t="s">
        <v>478</v>
      </c>
    </row>
    <row r="218" spans="1:76" x14ac:dyDescent="0.25">
      <c r="A218" s="2" t="s">
        <v>479</v>
      </c>
      <c r="B218" s="3" t="s">
        <v>55</v>
      </c>
      <c r="C218" s="3" t="s">
        <v>480</v>
      </c>
      <c r="D218" s="89" t="s">
        <v>481</v>
      </c>
      <c r="E218" s="90"/>
      <c r="F218" s="3" t="s">
        <v>88</v>
      </c>
      <c r="G218" s="32">
        <v>1</v>
      </c>
      <c r="H218" s="199">
        <v>0</v>
      </c>
      <c r="I218" s="33">
        <v>21</v>
      </c>
      <c r="J218" s="32">
        <f t="shared" si="26"/>
        <v>0</v>
      </c>
      <c r="K218" s="32">
        <f t="shared" si="27"/>
        <v>0</v>
      </c>
      <c r="L218" s="32">
        <f t="shared" si="28"/>
        <v>0</v>
      </c>
      <c r="M218" s="32">
        <f t="shared" si="29"/>
        <v>0</v>
      </c>
      <c r="N218" s="34">
        <f>IF(L649=0,0,L218/L649)</f>
        <v>0</v>
      </c>
      <c r="O218" s="32">
        <v>8.9999999999999998E-4</v>
      </c>
      <c r="P218" s="32">
        <f t="shared" si="30"/>
        <v>8.9999999999999998E-4</v>
      </c>
      <c r="Q218" s="35" t="s">
        <v>77</v>
      </c>
      <c r="Z218" s="32">
        <f t="shared" si="31"/>
        <v>0</v>
      </c>
      <c r="AB218" s="32">
        <f t="shared" si="32"/>
        <v>0</v>
      </c>
      <c r="AC218" s="32">
        <f t="shared" si="33"/>
        <v>0</v>
      </c>
      <c r="AD218" s="32">
        <f t="shared" si="34"/>
        <v>0</v>
      </c>
      <c r="AE218" s="32">
        <f t="shared" si="35"/>
        <v>0</v>
      </c>
      <c r="AF218" s="32">
        <f t="shared" si="36"/>
        <v>0</v>
      </c>
      <c r="AG218" s="32">
        <f t="shared" si="37"/>
        <v>0</v>
      </c>
      <c r="AH218" s="32">
        <f t="shared" si="38"/>
        <v>0</v>
      </c>
      <c r="AI218" s="12" t="s">
        <v>55</v>
      </c>
      <c r="AJ218" s="32">
        <f t="shared" si="39"/>
        <v>0</v>
      </c>
      <c r="AK218" s="32">
        <f t="shared" si="40"/>
        <v>0</v>
      </c>
      <c r="AL218" s="32">
        <f t="shared" si="41"/>
        <v>0</v>
      </c>
      <c r="AN218" s="32">
        <v>21</v>
      </c>
      <c r="AO218" s="32">
        <f>H218*0.925137608</f>
        <v>0</v>
      </c>
      <c r="AP218" s="32">
        <f>H218*(1-0.925137608)</f>
        <v>0</v>
      </c>
      <c r="AQ218" s="36" t="s">
        <v>90</v>
      </c>
      <c r="AV218" s="32">
        <f t="shared" si="42"/>
        <v>0</v>
      </c>
      <c r="AW218" s="32">
        <f t="shared" si="43"/>
        <v>0</v>
      </c>
      <c r="AX218" s="32">
        <f t="shared" si="44"/>
        <v>0</v>
      </c>
      <c r="AY218" s="36" t="s">
        <v>467</v>
      </c>
      <c r="AZ218" s="36" t="s">
        <v>245</v>
      </c>
      <c r="BA218" s="12" t="s">
        <v>65</v>
      </c>
      <c r="BC218" s="32">
        <f t="shared" si="45"/>
        <v>0</v>
      </c>
      <c r="BD218" s="32">
        <f t="shared" si="46"/>
        <v>0</v>
      </c>
      <c r="BE218" s="32">
        <v>0</v>
      </c>
      <c r="BF218" s="32">
        <f t="shared" si="47"/>
        <v>8.9999999999999998E-4</v>
      </c>
      <c r="BH218" s="32">
        <f t="shared" si="48"/>
        <v>0</v>
      </c>
      <c r="BI218" s="32">
        <f t="shared" si="49"/>
        <v>0</v>
      </c>
      <c r="BJ218" s="32">
        <f t="shared" si="50"/>
        <v>0</v>
      </c>
      <c r="BK218" s="36" t="s">
        <v>66</v>
      </c>
      <c r="BL218" s="32">
        <v>723</v>
      </c>
      <c r="BW218" s="32">
        <f t="shared" si="51"/>
        <v>21</v>
      </c>
      <c r="BX218" s="4" t="s">
        <v>481</v>
      </c>
    </row>
    <row r="219" spans="1:76" x14ac:dyDescent="0.25">
      <c r="A219" s="2" t="s">
        <v>482</v>
      </c>
      <c r="B219" s="3" t="s">
        <v>55</v>
      </c>
      <c r="C219" s="3" t="s">
        <v>483</v>
      </c>
      <c r="D219" s="89" t="s">
        <v>484</v>
      </c>
      <c r="E219" s="90"/>
      <c r="F219" s="3" t="s">
        <v>88</v>
      </c>
      <c r="G219" s="32">
        <v>2</v>
      </c>
      <c r="H219" s="199">
        <v>0</v>
      </c>
      <c r="I219" s="33">
        <v>21</v>
      </c>
      <c r="J219" s="32">
        <f t="shared" si="26"/>
        <v>0</v>
      </c>
      <c r="K219" s="32">
        <f t="shared" si="27"/>
        <v>0</v>
      </c>
      <c r="L219" s="32">
        <f t="shared" si="28"/>
        <v>0</v>
      </c>
      <c r="M219" s="32">
        <f t="shared" si="29"/>
        <v>0</v>
      </c>
      <c r="N219" s="34">
        <f>IF(L649=0,0,L219/L649)</f>
        <v>0</v>
      </c>
      <c r="O219" s="32">
        <v>6.0999999999999997E-4</v>
      </c>
      <c r="P219" s="32">
        <f t="shared" si="30"/>
        <v>1.2199999999999999E-3</v>
      </c>
      <c r="Q219" s="35" t="s">
        <v>77</v>
      </c>
      <c r="Z219" s="32">
        <f t="shared" si="31"/>
        <v>0</v>
      </c>
      <c r="AB219" s="32">
        <f t="shared" si="32"/>
        <v>0</v>
      </c>
      <c r="AC219" s="32">
        <f t="shared" si="33"/>
        <v>0</v>
      </c>
      <c r="AD219" s="32">
        <f t="shared" si="34"/>
        <v>0</v>
      </c>
      <c r="AE219" s="32">
        <f t="shared" si="35"/>
        <v>0</v>
      </c>
      <c r="AF219" s="32">
        <f t="shared" si="36"/>
        <v>0</v>
      </c>
      <c r="AG219" s="32">
        <f t="shared" si="37"/>
        <v>0</v>
      </c>
      <c r="AH219" s="32">
        <f t="shared" si="38"/>
        <v>0</v>
      </c>
      <c r="AI219" s="12" t="s">
        <v>55</v>
      </c>
      <c r="AJ219" s="32">
        <f t="shared" si="39"/>
        <v>0</v>
      </c>
      <c r="AK219" s="32">
        <f t="shared" si="40"/>
        <v>0</v>
      </c>
      <c r="AL219" s="32">
        <f t="shared" si="41"/>
        <v>0</v>
      </c>
      <c r="AN219" s="32">
        <v>21</v>
      </c>
      <c r="AO219" s="32">
        <f>H219*0.786368836</f>
        <v>0</v>
      </c>
      <c r="AP219" s="32">
        <f>H219*(1-0.786368836)</f>
        <v>0</v>
      </c>
      <c r="AQ219" s="36" t="s">
        <v>90</v>
      </c>
      <c r="AV219" s="32">
        <f t="shared" si="42"/>
        <v>0</v>
      </c>
      <c r="AW219" s="32">
        <f t="shared" si="43"/>
        <v>0</v>
      </c>
      <c r="AX219" s="32">
        <f t="shared" si="44"/>
        <v>0</v>
      </c>
      <c r="AY219" s="36" t="s">
        <v>467</v>
      </c>
      <c r="AZ219" s="36" t="s">
        <v>245</v>
      </c>
      <c r="BA219" s="12" t="s">
        <v>65</v>
      </c>
      <c r="BC219" s="32">
        <f t="shared" si="45"/>
        <v>0</v>
      </c>
      <c r="BD219" s="32">
        <f t="shared" si="46"/>
        <v>0</v>
      </c>
      <c r="BE219" s="32">
        <v>0</v>
      </c>
      <c r="BF219" s="32">
        <f t="shared" si="47"/>
        <v>1.2199999999999999E-3</v>
      </c>
      <c r="BH219" s="32">
        <f t="shared" si="48"/>
        <v>0</v>
      </c>
      <c r="BI219" s="32">
        <f t="shared" si="49"/>
        <v>0</v>
      </c>
      <c r="BJ219" s="32">
        <f t="shared" si="50"/>
        <v>0</v>
      </c>
      <c r="BK219" s="36" t="s">
        <v>66</v>
      </c>
      <c r="BL219" s="32">
        <v>723</v>
      </c>
      <c r="BW219" s="32">
        <f t="shared" si="51"/>
        <v>21</v>
      </c>
      <c r="BX219" s="4" t="s">
        <v>484</v>
      </c>
    </row>
    <row r="220" spans="1:76" x14ac:dyDescent="0.25">
      <c r="A220" s="2" t="s">
        <v>485</v>
      </c>
      <c r="B220" s="3" t="s">
        <v>55</v>
      </c>
      <c r="C220" s="3" t="s">
        <v>486</v>
      </c>
      <c r="D220" s="89" t="s">
        <v>487</v>
      </c>
      <c r="E220" s="90"/>
      <c r="F220" s="3" t="s">
        <v>88</v>
      </c>
      <c r="G220" s="32">
        <v>1</v>
      </c>
      <c r="H220" s="199">
        <v>0</v>
      </c>
      <c r="I220" s="33">
        <v>21</v>
      </c>
      <c r="J220" s="32">
        <f t="shared" si="26"/>
        <v>0</v>
      </c>
      <c r="K220" s="32">
        <f t="shared" si="27"/>
        <v>0</v>
      </c>
      <c r="L220" s="32">
        <f t="shared" si="28"/>
        <v>0</v>
      </c>
      <c r="M220" s="32">
        <f t="shared" si="29"/>
        <v>0</v>
      </c>
      <c r="N220" s="34">
        <f>IF(L649=0,0,L220/L649)</f>
        <v>0</v>
      </c>
      <c r="O220" s="32">
        <v>4.3E-3</v>
      </c>
      <c r="P220" s="32">
        <f t="shared" si="30"/>
        <v>4.3E-3</v>
      </c>
      <c r="Q220" s="35" t="s">
        <v>77</v>
      </c>
      <c r="Z220" s="32">
        <f t="shared" si="31"/>
        <v>0</v>
      </c>
      <c r="AB220" s="32">
        <f t="shared" si="32"/>
        <v>0</v>
      </c>
      <c r="AC220" s="32">
        <f t="shared" si="33"/>
        <v>0</v>
      </c>
      <c r="AD220" s="32">
        <f t="shared" si="34"/>
        <v>0</v>
      </c>
      <c r="AE220" s="32">
        <f t="shared" si="35"/>
        <v>0</v>
      </c>
      <c r="AF220" s="32">
        <f t="shared" si="36"/>
        <v>0</v>
      </c>
      <c r="AG220" s="32">
        <f t="shared" si="37"/>
        <v>0</v>
      </c>
      <c r="AH220" s="32">
        <f t="shared" si="38"/>
        <v>0</v>
      </c>
      <c r="AI220" s="12" t="s">
        <v>55</v>
      </c>
      <c r="AJ220" s="32">
        <f t="shared" si="39"/>
        <v>0</v>
      </c>
      <c r="AK220" s="32">
        <f t="shared" si="40"/>
        <v>0</v>
      </c>
      <c r="AL220" s="32">
        <f t="shared" si="41"/>
        <v>0</v>
      </c>
      <c r="AN220" s="32">
        <v>21</v>
      </c>
      <c r="AO220" s="32">
        <f>H220*0.52746991</f>
        <v>0</v>
      </c>
      <c r="AP220" s="32">
        <f>H220*(1-0.52746991)</f>
        <v>0</v>
      </c>
      <c r="AQ220" s="36" t="s">
        <v>90</v>
      </c>
      <c r="AV220" s="32">
        <f t="shared" si="42"/>
        <v>0</v>
      </c>
      <c r="AW220" s="32">
        <f t="shared" si="43"/>
        <v>0</v>
      </c>
      <c r="AX220" s="32">
        <f t="shared" si="44"/>
        <v>0</v>
      </c>
      <c r="AY220" s="36" t="s">
        <v>467</v>
      </c>
      <c r="AZ220" s="36" t="s">
        <v>245</v>
      </c>
      <c r="BA220" s="12" t="s">
        <v>65</v>
      </c>
      <c r="BC220" s="32">
        <f t="shared" si="45"/>
        <v>0</v>
      </c>
      <c r="BD220" s="32">
        <f t="shared" si="46"/>
        <v>0</v>
      </c>
      <c r="BE220" s="32">
        <v>0</v>
      </c>
      <c r="BF220" s="32">
        <f t="shared" si="47"/>
        <v>4.3E-3</v>
      </c>
      <c r="BH220" s="32">
        <f t="shared" si="48"/>
        <v>0</v>
      </c>
      <c r="BI220" s="32">
        <f t="shared" si="49"/>
        <v>0</v>
      </c>
      <c r="BJ220" s="32">
        <f t="shared" si="50"/>
        <v>0</v>
      </c>
      <c r="BK220" s="36" t="s">
        <v>66</v>
      </c>
      <c r="BL220" s="32">
        <v>723</v>
      </c>
      <c r="BW220" s="32">
        <f t="shared" si="51"/>
        <v>21</v>
      </c>
      <c r="BX220" s="4" t="s">
        <v>487</v>
      </c>
    </row>
    <row r="221" spans="1:76" x14ac:dyDescent="0.25">
      <c r="A221" s="2" t="s">
        <v>488</v>
      </c>
      <c r="B221" s="3" t="s">
        <v>55</v>
      </c>
      <c r="C221" s="3" t="s">
        <v>489</v>
      </c>
      <c r="D221" s="89" t="s">
        <v>490</v>
      </c>
      <c r="E221" s="90"/>
      <c r="F221" s="3" t="s">
        <v>88</v>
      </c>
      <c r="G221" s="32">
        <v>1</v>
      </c>
      <c r="H221" s="199">
        <v>0</v>
      </c>
      <c r="I221" s="33">
        <v>21</v>
      </c>
      <c r="J221" s="32">
        <f t="shared" si="26"/>
        <v>0</v>
      </c>
      <c r="K221" s="32">
        <f t="shared" si="27"/>
        <v>0</v>
      </c>
      <c r="L221" s="32">
        <f t="shared" si="28"/>
        <v>0</v>
      </c>
      <c r="M221" s="32">
        <f t="shared" si="29"/>
        <v>0</v>
      </c>
      <c r="N221" s="34">
        <f>IF(L649=0,0,L221/L649)</f>
        <v>0</v>
      </c>
      <c r="O221" s="32">
        <v>2.2000000000000001E-4</v>
      </c>
      <c r="P221" s="32">
        <f t="shared" si="30"/>
        <v>2.2000000000000001E-4</v>
      </c>
      <c r="Q221" s="35" t="s">
        <v>77</v>
      </c>
      <c r="Z221" s="32">
        <f t="shared" si="31"/>
        <v>0</v>
      </c>
      <c r="AB221" s="32">
        <f t="shared" si="32"/>
        <v>0</v>
      </c>
      <c r="AC221" s="32">
        <f t="shared" si="33"/>
        <v>0</v>
      </c>
      <c r="AD221" s="32">
        <f t="shared" si="34"/>
        <v>0</v>
      </c>
      <c r="AE221" s="32">
        <f t="shared" si="35"/>
        <v>0</v>
      </c>
      <c r="AF221" s="32">
        <f t="shared" si="36"/>
        <v>0</v>
      </c>
      <c r="AG221" s="32">
        <f t="shared" si="37"/>
        <v>0</v>
      </c>
      <c r="AH221" s="32">
        <f t="shared" si="38"/>
        <v>0</v>
      </c>
      <c r="AI221" s="12" t="s">
        <v>55</v>
      </c>
      <c r="AJ221" s="32">
        <f t="shared" si="39"/>
        <v>0</v>
      </c>
      <c r="AK221" s="32">
        <f t="shared" si="40"/>
        <v>0</v>
      </c>
      <c r="AL221" s="32">
        <f t="shared" si="41"/>
        <v>0</v>
      </c>
      <c r="AN221" s="32">
        <v>21</v>
      </c>
      <c r="AO221" s="32">
        <f>H221*0.056808176</f>
        <v>0</v>
      </c>
      <c r="AP221" s="32">
        <f>H221*(1-0.056808176)</f>
        <v>0</v>
      </c>
      <c r="AQ221" s="36" t="s">
        <v>90</v>
      </c>
      <c r="AV221" s="32">
        <f t="shared" si="42"/>
        <v>0</v>
      </c>
      <c r="AW221" s="32">
        <f t="shared" si="43"/>
        <v>0</v>
      </c>
      <c r="AX221" s="32">
        <f t="shared" si="44"/>
        <v>0</v>
      </c>
      <c r="AY221" s="36" t="s">
        <v>467</v>
      </c>
      <c r="AZ221" s="36" t="s">
        <v>245</v>
      </c>
      <c r="BA221" s="12" t="s">
        <v>65</v>
      </c>
      <c r="BC221" s="32">
        <f t="shared" si="45"/>
        <v>0</v>
      </c>
      <c r="BD221" s="32">
        <f t="shared" si="46"/>
        <v>0</v>
      </c>
      <c r="BE221" s="32">
        <v>0</v>
      </c>
      <c r="BF221" s="32">
        <f t="shared" si="47"/>
        <v>2.2000000000000001E-4</v>
      </c>
      <c r="BH221" s="32">
        <f t="shared" si="48"/>
        <v>0</v>
      </c>
      <c r="BI221" s="32">
        <f t="shared" si="49"/>
        <v>0</v>
      </c>
      <c r="BJ221" s="32">
        <f t="shared" si="50"/>
        <v>0</v>
      </c>
      <c r="BK221" s="36" t="s">
        <v>66</v>
      </c>
      <c r="BL221" s="32">
        <v>723</v>
      </c>
      <c r="BW221" s="32">
        <f t="shared" si="51"/>
        <v>21</v>
      </c>
      <c r="BX221" s="4" t="s">
        <v>490</v>
      </c>
    </row>
    <row r="222" spans="1:76" x14ac:dyDescent="0.25">
      <c r="A222" s="2" t="s">
        <v>491</v>
      </c>
      <c r="B222" s="3" t="s">
        <v>55</v>
      </c>
      <c r="C222" s="3" t="s">
        <v>492</v>
      </c>
      <c r="D222" s="89" t="s">
        <v>453</v>
      </c>
      <c r="E222" s="90"/>
      <c r="F222" s="3" t="s">
        <v>316</v>
      </c>
      <c r="G222" s="32">
        <v>1</v>
      </c>
      <c r="H222" s="199">
        <v>0</v>
      </c>
      <c r="I222" s="33">
        <v>21</v>
      </c>
      <c r="J222" s="32">
        <f t="shared" si="26"/>
        <v>0</v>
      </c>
      <c r="K222" s="32">
        <f t="shared" si="27"/>
        <v>0</v>
      </c>
      <c r="L222" s="32">
        <f t="shared" si="28"/>
        <v>0</v>
      </c>
      <c r="M222" s="32">
        <f t="shared" si="29"/>
        <v>0</v>
      </c>
      <c r="N222" s="34">
        <f>IF(L649=0,0,L222/L649)</f>
        <v>0</v>
      </c>
      <c r="O222" s="32">
        <v>4.9800000000000001E-3</v>
      </c>
      <c r="P222" s="32">
        <f t="shared" si="30"/>
        <v>4.9800000000000001E-3</v>
      </c>
      <c r="Q222" s="35"/>
      <c r="Z222" s="32">
        <f t="shared" si="31"/>
        <v>0</v>
      </c>
      <c r="AB222" s="32">
        <f t="shared" si="32"/>
        <v>0</v>
      </c>
      <c r="AC222" s="32">
        <f t="shared" si="33"/>
        <v>0</v>
      </c>
      <c r="AD222" s="32">
        <f t="shared" si="34"/>
        <v>0</v>
      </c>
      <c r="AE222" s="32">
        <f t="shared" si="35"/>
        <v>0</v>
      </c>
      <c r="AF222" s="32">
        <f t="shared" si="36"/>
        <v>0</v>
      </c>
      <c r="AG222" s="32">
        <f t="shared" si="37"/>
        <v>0</v>
      </c>
      <c r="AH222" s="32">
        <f t="shared" si="38"/>
        <v>0</v>
      </c>
      <c r="AI222" s="12" t="s">
        <v>55</v>
      </c>
      <c r="AJ222" s="32">
        <f t="shared" si="39"/>
        <v>0</v>
      </c>
      <c r="AK222" s="32">
        <f t="shared" si="40"/>
        <v>0</v>
      </c>
      <c r="AL222" s="32">
        <f t="shared" si="41"/>
        <v>0</v>
      </c>
      <c r="AN222" s="32">
        <v>21</v>
      </c>
      <c r="AO222" s="32">
        <f>H222*0.253044084</f>
        <v>0</v>
      </c>
      <c r="AP222" s="32">
        <f>H222*(1-0.253044084)</f>
        <v>0</v>
      </c>
      <c r="AQ222" s="36" t="s">
        <v>90</v>
      </c>
      <c r="AV222" s="32">
        <f t="shared" si="42"/>
        <v>0</v>
      </c>
      <c r="AW222" s="32">
        <f t="shared" si="43"/>
        <v>0</v>
      </c>
      <c r="AX222" s="32">
        <f t="shared" si="44"/>
        <v>0</v>
      </c>
      <c r="AY222" s="36" t="s">
        <v>467</v>
      </c>
      <c r="AZ222" s="36" t="s">
        <v>245</v>
      </c>
      <c r="BA222" s="12" t="s">
        <v>65</v>
      </c>
      <c r="BC222" s="32">
        <f t="shared" si="45"/>
        <v>0</v>
      </c>
      <c r="BD222" s="32">
        <f t="shared" si="46"/>
        <v>0</v>
      </c>
      <c r="BE222" s="32">
        <v>0</v>
      </c>
      <c r="BF222" s="32">
        <f t="shared" si="47"/>
        <v>4.9800000000000001E-3</v>
      </c>
      <c r="BH222" s="32">
        <f t="shared" si="48"/>
        <v>0</v>
      </c>
      <c r="BI222" s="32">
        <f t="shared" si="49"/>
        <v>0</v>
      </c>
      <c r="BJ222" s="32">
        <f t="shared" si="50"/>
        <v>0</v>
      </c>
      <c r="BK222" s="36" t="s">
        <v>66</v>
      </c>
      <c r="BL222" s="32">
        <v>723</v>
      </c>
      <c r="BW222" s="32">
        <f t="shared" si="51"/>
        <v>21</v>
      </c>
      <c r="BX222" s="4" t="s">
        <v>453</v>
      </c>
    </row>
    <row r="223" spans="1:76" ht="13.5" customHeight="1" x14ac:dyDescent="0.25">
      <c r="A223" s="42"/>
      <c r="C223" s="43"/>
      <c r="D223" s="95" t="s">
        <v>454</v>
      </c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7"/>
    </row>
    <row r="224" spans="1:76" x14ac:dyDescent="0.25">
      <c r="A224" s="2" t="s">
        <v>493</v>
      </c>
      <c r="B224" s="3" t="s">
        <v>55</v>
      </c>
      <c r="C224" s="3" t="s">
        <v>494</v>
      </c>
      <c r="D224" s="89" t="s">
        <v>319</v>
      </c>
      <c r="E224" s="90"/>
      <c r="F224" s="3" t="s">
        <v>316</v>
      </c>
      <c r="G224" s="32">
        <v>1</v>
      </c>
      <c r="H224" s="199">
        <v>0</v>
      </c>
      <c r="I224" s="33">
        <v>21</v>
      </c>
      <c r="J224" s="32">
        <f>ROUND(G224*AO224,2)</f>
        <v>0</v>
      </c>
      <c r="K224" s="32">
        <f>ROUND(G224*AP224,2)</f>
        <v>0</v>
      </c>
      <c r="L224" s="32">
        <f>ROUND(G224*H224,2)</f>
        <v>0</v>
      </c>
      <c r="M224" s="32">
        <f>L224*(1+BW224/100)</f>
        <v>0</v>
      </c>
      <c r="N224" s="34">
        <f>IF(L649=0,0,L224/L649)</f>
        <v>0</v>
      </c>
      <c r="O224" s="32">
        <v>0</v>
      </c>
      <c r="P224" s="32">
        <f>G224*O224</f>
        <v>0</v>
      </c>
      <c r="Q224" s="35"/>
      <c r="Z224" s="32">
        <f>ROUND(IF(AQ224="5",BJ224,0),2)</f>
        <v>0</v>
      </c>
      <c r="AB224" s="32">
        <f>ROUND(IF(AQ224="1",BH224,0),2)</f>
        <v>0</v>
      </c>
      <c r="AC224" s="32">
        <f>ROUND(IF(AQ224="1",BI224,0),2)</f>
        <v>0</v>
      </c>
      <c r="AD224" s="32">
        <f>ROUND(IF(AQ224="7",BH224,0),2)</f>
        <v>0</v>
      </c>
      <c r="AE224" s="32">
        <f>ROUND(IF(AQ224="7",BI224,0),2)</f>
        <v>0</v>
      </c>
      <c r="AF224" s="32">
        <f>ROUND(IF(AQ224="2",BH224,0),2)</f>
        <v>0</v>
      </c>
      <c r="AG224" s="32">
        <f>ROUND(IF(AQ224="2",BI224,0),2)</f>
        <v>0</v>
      </c>
      <c r="AH224" s="32">
        <f>ROUND(IF(AQ224="0",BJ224,0),2)</f>
        <v>0</v>
      </c>
      <c r="AI224" s="12" t="s">
        <v>55</v>
      </c>
      <c r="AJ224" s="32">
        <f>IF(AN224=0,L224,0)</f>
        <v>0</v>
      </c>
      <c r="AK224" s="32">
        <f>IF(AN224=12,L224,0)</f>
        <v>0</v>
      </c>
      <c r="AL224" s="32">
        <f>IF(AN224=21,L224,0)</f>
        <v>0</v>
      </c>
      <c r="AN224" s="32">
        <v>21</v>
      </c>
      <c r="AO224" s="32">
        <f>H224*0.492791007</f>
        <v>0</v>
      </c>
      <c r="AP224" s="32">
        <f>H224*(1-0.492791007)</f>
        <v>0</v>
      </c>
      <c r="AQ224" s="36" t="s">
        <v>90</v>
      </c>
      <c r="AV224" s="32">
        <f>ROUND(AW224+AX224,2)</f>
        <v>0</v>
      </c>
      <c r="AW224" s="32">
        <f>ROUND(G224*AO224,2)</f>
        <v>0</v>
      </c>
      <c r="AX224" s="32">
        <f>ROUND(G224*AP224,2)</f>
        <v>0</v>
      </c>
      <c r="AY224" s="36" t="s">
        <v>467</v>
      </c>
      <c r="AZ224" s="36" t="s">
        <v>245</v>
      </c>
      <c r="BA224" s="12" t="s">
        <v>65</v>
      </c>
      <c r="BC224" s="32">
        <f>AW224+AX224</f>
        <v>0</v>
      </c>
      <c r="BD224" s="32">
        <f>H224/(100-BE224)*100</f>
        <v>0</v>
      </c>
      <c r="BE224" s="32">
        <v>0</v>
      </c>
      <c r="BF224" s="32">
        <f>P224</f>
        <v>0</v>
      </c>
      <c r="BH224" s="32">
        <f>G224*AO224</f>
        <v>0</v>
      </c>
      <c r="BI224" s="32">
        <f>G224*AP224</f>
        <v>0</v>
      </c>
      <c r="BJ224" s="32">
        <f>G224*H224</f>
        <v>0</v>
      </c>
      <c r="BK224" s="36" t="s">
        <v>66</v>
      </c>
      <c r="BL224" s="32">
        <v>723</v>
      </c>
      <c r="BW224" s="32">
        <f>I224</f>
        <v>21</v>
      </c>
      <c r="BX224" s="4" t="s">
        <v>319</v>
      </c>
    </row>
    <row r="225" spans="1:76" ht="13.5" customHeight="1" x14ac:dyDescent="0.25">
      <c r="A225" s="42"/>
      <c r="C225" s="43"/>
      <c r="D225" s="95" t="s">
        <v>495</v>
      </c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7"/>
    </row>
    <row r="226" spans="1:76" x14ac:dyDescent="0.25">
      <c r="A226" s="2" t="s">
        <v>496</v>
      </c>
      <c r="B226" s="3" t="s">
        <v>55</v>
      </c>
      <c r="C226" s="3" t="s">
        <v>497</v>
      </c>
      <c r="D226" s="89" t="s">
        <v>498</v>
      </c>
      <c r="E226" s="90"/>
      <c r="F226" s="3" t="s">
        <v>316</v>
      </c>
      <c r="G226" s="32">
        <v>1</v>
      </c>
      <c r="H226" s="199">
        <v>0</v>
      </c>
      <c r="I226" s="33">
        <v>21</v>
      </c>
      <c r="J226" s="32">
        <f>ROUND(G226*AO226,2)</f>
        <v>0</v>
      </c>
      <c r="K226" s="32">
        <f>ROUND(G226*AP226,2)</f>
        <v>0</v>
      </c>
      <c r="L226" s="32">
        <f>ROUND(G226*H226,2)</f>
        <v>0</v>
      </c>
      <c r="M226" s="32">
        <f>L226*(1+BW226/100)</f>
        <v>0</v>
      </c>
      <c r="N226" s="34">
        <f>IF(L649=0,0,L226/L649)</f>
        <v>0</v>
      </c>
      <c r="O226" s="32">
        <v>0</v>
      </c>
      <c r="P226" s="32">
        <f>G226*O226</f>
        <v>0</v>
      </c>
      <c r="Q226" s="35" t="s">
        <v>77</v>
      </c>
      <c r="Z226" s="32">
        <f>ROUND(IF(AQ226="5",BJ226,0),2)</f>
        <v>0</v>
      </c>
      <c r="AB226" s="32">
        <f>ROUND(IF(AQ226="1",BH226,0),2)</f>
        <v>0</v>
      </c>
      <c r="AC226" s="32">
        <f>ROUND(IF(AQ226="1",BI226,0),2)</f>
        <v>0</v>
      </c>
      <c r="AD226" s="32">
        <f>ROUND(IF(AQ226="7",BH226,0),2)</f>
        <v>0</v>
      </c>
      <c r="AE226" s="32">
        <f>ROUND(IF(AQ226="7",BI226,0),2)</f>
        <v>0</v>
      </c>
      <c r="AF226" s="32">
        <f>ROUND(IF(AQ226="2",BH226,0),2)</f>
        <v>0</v>
      </c>
      <c r="AG226" s="32">
        <f>ROUND(IF(AQ226="2",BI226,0),2)</f>
        <v>0</v>
      </c>
      <c r="AH226" s="32">
        <f>ROUND(IF(AQ226="0",BJ226,0),2)</f>
        <v>0</v>
      </c>
      <c r="AI226" s="12" t="s">
        <v>55</v>
      </c>
      <c r="AJ226" s="32">
        <f>IF(AN226=0,L226,0)</f>
        <v>0</v>
      </c>
      <c r="AK226" s="32">
        <f>IF(AN226=12,L226,0)</f>
        <v>0</v>
      </c>
      <c r="AL226" s="32">
        <f>IF(AN226=21,L226,0)</f>
        <v>0</v>
      </c>
      <c r="AN226" s="32">
        <v>21</v>
      </c>
      <c r="AO226" s="32">
        <f>H226*0</f>
        <v>0</v>
      </c>
      <c r="AP226" s="32">
        <f>H226*(1-0)</f>
        <v>0</v>
      </c>
      <c r="AQ226" s="36" t="s">
        <v>67</v>
      </c>
      <c r="AV226" s="32">
        <f>ROUND(AW226+AX226,2)</f>
        <v>0</v>
      </c>
      <c r="AW226" s="32">
        <f>ROUND(G226*AO226,2)</f>
        <v>0</v>
      </c>
      <c r="AX226" s="32">
        <f>ROUND(G226*AP226,2)</f>
        <v>0</v>
      </c>
      <c r="AY226" s="36" t="s">
        <v>467</v>
      </c>
      <c r="AZ226" s="36" t="s">
        <v>245</v>
      </c>
      <c r="BA226" s="12" t="s">
        <v>65</v>
      </c>
      <c r="BC226" s="32">
        <f>AW226+AX226</f>
        <v>0</v>
      </c>
      <c r="BD226" s="32">
        <f>H226/(100-BE226)*100</f>
        <v>0</v>
      </c>
      <c r="BE226" s="32">
        <v>0</v>
      </c>
      <c r="BF226" s="32">
        <f>P226</f>
        <v>0</v>
      </c>
      <c r="BH226" s="32">
        <f>G226*AO226</f>
        <v>0</v>
      </c>
      <c r="BI226" s="32">
        <f>G226*AP226</f>
        <v>0</v>
      </c>
      <c r="BJ226" s="32">
        <f>G226*H226</f>
        <v>0</v>
      </c>
      <c r="BK226" s="36" t="s">
        <v>66</v>
      </c>
      <c r="BL226" s="32">
        <v>723</v>
      </c>
      <c r="BW226" s="32">
        <f>I226</f>
        <v>21</v>
      </c>
      <c r="BX226" s="4" t="s">
        <v>498</v>
      </c>
    </row>
    <row r="227" spans="1:76" x14ac:dyDescent="0.25">
      <c r="A227" s="2" t="s">
        <v>499</v>
      </c>
      <c r="B227" s="3" t="s">
        <v>55</v>
      </c>
      <c r="C227" s="3" t="s">
        <v>500</v>
      </c>
      <c r="D227" s="89" t="s">
        <v>501</v>
      </c>
      <c r="E227" s="90"/>
      <c r="F227" s="3" t="s">
        <v>316</v>
      </c>
      <c r="G227" s="32">
        <v>1</v>
      </c>
      <c r="H227" s="199">
        <v>0</v>
      </c>
      <c r="I227" s="33">
        <v>21</v>
      </c>
      <c r="J227" s="32">
        <f>ROUND(G227*AO227,2)</f>
        <v>0</v>
      </c>
      <c r="K227" s="32">
        <f>ROUND(G227*AP227,2)</f>
        <v>0</v>
      </c>
      <c r="L227" s="32">
        <f>ROUND(G227*H227,2)</f>
        <v>0</v>
      </c>
      <c r="M227" s="32">
        <f>L227*(1+BW227/100)</f>
        <v>0</v>
      </c>
      <c r="N227" s="34">
        <f>IF(L649=0,0,L227/L649)</f>
        <v>0</v>
      </c>
      <c r="O227" s="32">
        <v>0</v>
      </c>
      <c r="P227" s="32">
        <f>G227*O227</f>
        <v>0</v>
      </c>
      <c r="Q227" s="35" t="s">
        <v>77</v>
      </c>
      <c r="Z227" s="32">
        <f>ROUND(IF(AQ227="5",BJ227,0),2)</f>
        <v>0</v>
      </c>
      <c r="AB227" s="32">
        <f>ROUND(IF(AQ227="1",BH227,0),2)</f>
        <v>0</v>
      </c>
      <c r="AC227" s="32">
        <f>ROUND(IF(AQ227="1",BI227,0),2)</f>
        <v>0</v>
      </c>
      <c r="AD227" s="32">
        <f>ROUND(IF(AQ227="7",BH227,0),2)</f>
        <v>0</v>
      </c>
      <c r="AE227" s="32">
        <f>ROUND(IF(AQ227="7",BI227,0),2)</f>
        <v>0</v>
      </c>
      <c r="AF227" s="32">
        <f>ROUND(IF(AQ227="2",BH227,0),2)</f>
        <v>0</v>
      </c>
      <c r="AG227" s="32">
        <f>ROUND(IF(AQ227="2",BI227,0),2)</f>
        <v>0</v>
      </c>
      <c r="AH227" s="32">
        <f>ROUND(IF(AQ227="0",BJ227,0),2)</f>
        <v>0</v>
      </c>
      <c r="AI227" s="12" t="s">
        <v>55</v>
      </c>
      <c r="AJ227" s="32">
        <f>IF(AN227=0,L227,0)</f>
        <v>0</v>
      </c>
      <c r="AK227" s="32">
        <f>IF(AN227=12,L227,0)</f>
        <v>0</v>
      </c>
      <c r="AL227" s="32">
        <f>IF(AN227=21,L227,0)</f>
        <v>0</v>
      </c>
      <c r="AN227" s="32">
        <v>21</v>
      </c>
      <c r="AO227" s="32">
        <f>H227*0</f>
        <v>0</v>
      </c>
      <c r="AP227" s="32">
        <f>H227*(1-0)</f>
        <v>0</v>
      </c>
      <c r="AQ227" s="36" t="s">
        <v>90</v>
      </c>
      <c r="AV227" s="32">
        <f>ROUND(AW227+AX227,2)</f>
        <v>0</v>
      </c>
      <c r="AW227" s="32">
        <f>ROUND(G227*AO227,2)</f>
        <v>0</v>
      </c>
      <c r="AX227" s="32">
        <f>ROUND(G227*AP227,2)</f>
        <v>0</v>
      </c>
      <c r="AY227" s="36" t="s">
        <v>467</v>
      </c>
      <c r="AZ227" s="36" t="s">
        <v>245</v>
      </c>
      <c r="BA227" s="12" t="s">
        <v>65</v>
      </c>
      <c r="BC227" s="32">
        <f>AW227+AX227</f>
        <v>0</v>
      </c>
      <c r="BD227" s="32">
        <f>H227/(100-BE227)*100</f>
        <v>0</v>
      </c>
      <c r="BE227" s="32">
        <v>0</v>
      </c>
      <c r="BF227" s="32">
        <f>P227</f>
        <v>0</v>
      </c>
      <c r="BH227" s="32">
        <f>G227*AO227</f>
        <v>0</v>
      </c>
      <c r="BI227" s="32">
        <f>G227*AP227</f>
        <v>0</v>
      </c>
      <c r="BJ227" s="32">
        <f>G227*H227</f>
        <v>0</v>
      </c>
      <c r="BK227" s="36" t="s">
        <v>66</v>
      </c>
      <c r="BL227" s="32">
        <v>723</v>
      </c>
      <c r="BW227" s="32">
        <f>I227</f>
        <v>21</v>
      </c>
      <c r="BX227" s="4" t="s">
        <v>501</v>
      </c>
    </row>
    <row r="228" spans="1:76" x14ac:dyDescent="0.25">
      <c r="A228" s="37" t="s">
        <v>55</v>
      </c>
      <c r="B228" s="38" t="s">
        <v>55</v>
      </c>
      <c r="C228" s="38" t="s">
        <v>502</v>
      </c>
      <c r="D228" s="98" t="s">
        <v>503</v>
      </c>
      <c r="E228" s="99"/>
      <c r="F228" s="39" t="s">
        <v>3</v>
      </c>
      <c r="G228" s="39" t="s">
        <v>3</v>
      </c>
      <c r="H228" s="39" t="s">
        <v>3</v>
      </c>
      <c r="I228" s="39" t="s">
        <v>3</v>
      </c>
      <c r="J228" s="1">
        <f>SUM(J229:J271)</f>
        <v>0</v>
      </c>
      <c r="K228" s="1">
        <f>SUM(K229:K271)</f>
        <v>0</v>
      </c>
      <c r="L228" s="1">
        <f>SUM(L229:L271)</f>
        <v>0</v>
      </c>
      <c r="M228" s="1">
        <f>SUM(M229:M271)</f>
        <v>0</v>
      </c>
      <c r="N228" s="40">
        <f>IF(L649=0,0,L228/L649)</f>
        <v>0</v>
      </c>
      <c r="O228" s="12" t="s">
        <v>55</v>
      </c>
      <c r="P228" s="1">
        <f>SUM(P229:P271)</f>
        <v>0.89314000000000016</v>
      </c>
      <c r="Q228" s="41" t="s">
        <v>55</v>
      </c>
      <c r="AI228" s="12" t="s">
        <v>55</v>
      </c>
      <c r="AS228" s="1">
        <f>SUM(AJ229:AJ271)</f>
        <v>0</v>
      </c>
      <c r="AT228" s="1">
        <f>SUM(AK229:AK271)</f>
        <v>0</v>
      </c>
      <c r="AU228" s="1">
        <f>SUM(AL229:AL271)</f>
        <v>0</v>
      </c>
    </row>
    <row r="229" spans="1:76" x14ac:dyDescent="0.25">
      <c r="A229" s="2" t="s">
        <v>504</v>
      </c>
      <c r="B229" s="3" t="s">
        <v>55</v>
      </c>
      <c r="C229" s="3" t="s">
        <v>505</v>
      </c>
      <c r="D229" s="89" t="s">
        <v>506</v>
      </c>
      <c r="E229" s="90"/>
      <c r="F229" s="3" t="s">
        <v>316</v>
      </c>
      <c r="G229" s="32">
        <v>2</v>
      </c>
      <c r="H229" s="199">
        <v>0</v>
      </c>
      <c r="I229" s="33">
        <v>21</v>
      </c>
      <c r="J229" s="32">
        <f>ROUND(G229*AO229,2)</f>
        <v>0</v>
      </c>
      <c r="K229" s="32">
        <f>ROUND(G229*AP229,2)</f>
        <v>0</v>
      </c>
      <c r="L229" s="32">
        <f>ROUND(G229*H229,2)</f>
        <v>0</v>
      </c>
      <c r="M229" s="32">
        <f>L229*(1+BW229/100)</f>
        <v>0</v>
      </c>
      <c r="N229" s="34">
        <f>IF(L649=0,0,L229/L649)</f>
        <v>0</v>
      </c>
      <c r="O229" s="32">
        <v>1.7999999999999999E-2</v>
      </c>
      <c r="P229" s="32">
        <f>G229*O229</f>
        <v>3.5999999999999997E-2</v>
      </c>
      <c r="Q229" s="35" t="s">
        <v>77</v>
      </c>
      <c r="Z229" s="32">
        <f>ROUND(IF(AQ229="5",BJ229,0),2)</f>
        <v>0</v>
      </c>
      <c r="AB229" s="32">
        <f>ROUND(IF(AQ229="1",BH229,0),2)</f>
        <v>0</v>
      </c>
      <c r="AC229" s="32">
        <f>ROUND(IF(AQ229="1",BI229,0),2)</f>
        <v>0</v>
      </c>
      <c r="AD229" s="32">
        <f>ROUND(IF(AQ229="7",BH229,0),2)</f>
        <v>0</v>
      </c>
      <c r="AE229" s="32">
        <f>ROUND(IF(AQ229="7",BI229,0),2)</f>
        <v>0</v>
      </c>
      <c r="AF229" s="32">
        <f>ROUND(IF(AQ229="2",BH229,0),2)</f>
        <v>0</v>
      </c>
      <c r="AG229" s="32">
        <f>ROUND(IF(AQ229="2",BI229,0),2)</f>
        <v>0</v>
      </c>
      <c r="AH229" s="32">
        <f>ROUND(IF(AQ229="0",BJ229,0),2)</f>
        <v>0</v>
      </c>
      <c r="AI229" s="12" t="s">
        <v>55</v>
      </c>
      <c r="AJ229" s="32">
        <f>IF(AN229=0,L229,0)</f>
        <v>0</v>
      </c>
      <c r="AK229" s="32">
        <f>IF(AN229=12,L229,0)</f>
        <v>0</v>
      </c>
      <c r="AL229" s="32">
        <f>IF(AN229=21,L229,0)</f>
        <v>0</v>
      </c>
      <c r="AN229" s="32">
        <v>21</v>
      </c>
      <c r="AO229" s="32">
        <f>H229*0.833551519</f>
        <v>0</v>
      </c>
      <c r="AP229" s="32">
        <f>H229*(1-0.833551519)</f>
        <v>0</v>
      </c>
      <c r="AQ229" s="36" t="s">
        <v>90</v>
      </c>
      <c r="AV229" s="32">
        <f>ROUND(AW229+AX229,2)</f>
        <v>0</v>
      </c>
      <c r="AW229" s="32">
        <f>ROUND(G229*AO229,2)</f>
        <v>0</v>
      </c>
      <c r="AX229" s="32">
        <f>ROUND(G229*AP229,2)</f>
        <v>0</v>
      </c>
      <c r="AY229" s="36" t="s">
        <v>507</v>
      </c>
      <c r="AZ229" s="36" t="s">
        <v>245</v>
      </c>
      <c r="BA229" s="12" t="s">
        <v>65</v>
      </c>
      <c r="BC229" s="32">
        <f>AW229+AX229</f>
        <v>0</v>
      </c>
      <c r="BD229" s="32">
        <f>H229/(100-BE229)*100</f>
        <v>0</v>
      </c>
      <c r="BE229" s="32">
        <v>0</v>
      </c>
      <c r="BF229" s="32">
        <f>P229</f>
        <v>3.5999999999999997E-2</v>
      </c>
      <c r="BH229" s="32">
        <f>G229*AO229</f>
        <v>0</v>
      </c>
      <c r="BI229" s="32">
        <f>G229*AP229</f>
        <v>0</v>
      </c>
      <c r="BJ229" s="32">
        <f>G229*H229</f>
        <v>0</v>
      </c>
      <c r="BK229" s="36" t="s">
        <v>66</v>
      </c>
      <c r="BL229" s="32">
        <v>725</v>
      </c>
      <c r="BW229" s="32">
        <f>I229</f>
        <v>21</v>
      </c>
      <c r="BX229" s="4" t="s">
        <v>506</v>
      </c>
    </row>
    <row r="230" spans="1:76" x14ac:dyDescent="0.25">
      <c r="A230" s="2" t="s">
        <v>508</v>
      </c>
      <c r="B230" s="3" t="s">
        <v>55</v>
      </c>
      <c r="C230" s="3" t="s">
        <v>509</v>
      </c>
      <c r="D230" s="89" t="s">
        <v>510</v>
      </c>
      <c r="E230" s="90"/>
      <c r="F230" s="3" t="s">
        <v>316</v>
      </c>
      <c r="G230" s="32">
        <v>2</v>
      </c>
      <c r="H230" s="199">
        <v>0</v>
      </c>
      <c r="I230" s="33">
        <v>21</v>
      </c>
      <c r="J230" s="32">
        <f>ROUND(G230*AO230,2)</f>
        <v>0</v>
      </c>
      <c r="K230" s="32">
        <f>ROUND(G230*AP230,2)</f>
        <v>0</v>
      </c>
      <c r="L230" s="32">
        <f>ROUND(G230*H230,2)</f>
        <v>0</v>
      </c>
      <c r="M230" s="32">
        <f>L230*(1+BW230/100)</f>
        <v>0</v>
      </c>
      <c r="N230" s="34">
        <f>IF(L649=0,0,L230/L649)</f>
        <v>0</v>
      </c>
      <c r="O230" s="32">
        <v>1.6369999999999999E-2</v>
      </c>
      <c r="P230" s="32">
        <f>G230*O230</f>
        <v>3.2739999999999998E-2</v>
      </c>
      <c r="Q230" s="35" t="s">
        <v>77</v>
      </c>
      <c r="Z230" s="32">
        <f>ROUND(IF(AQ230="5",BJ230,0),2)</f>
        <v>0</v>
      </c>
      <c r="AB230" s="32">
        <f>ROUND(IF(AQ230="1",BH230,0),2)</f>
        <v>0</v>
      </c>
      <c r="AC230" s="32">
        <f>ROUND(IF(AQ230="1",BI230,0),2)</f>
        <v>0</v>
      </c>
      <c r="AD230" s="32">
        <f>ROUND(IF(AQ230="7",BH230,0),2)</f>
        <v>0</v>
      </c>
      <c r="AE230" s="32">
        <f>ROUND(IF(AQ230="7",BI230,0),2)</f>
        <v>0</v>
      </c>
      <c r="AF230" s="32">
        <f>ROUND(IF(AQ230="2",BH230,0),2)</f>
        <v>0</v>
      </c>
      <c r="AG230" s="32">
        <f>ROUND(IF(AQ230="2",BI230,0),2)</f>
        <v>0</v>
      </c>
      <c r="AH230" s="32">
        <f>ROUND(IF(AQ230="0",BJ230,0),2)</f>
        <v>0</v>
      </c>
      <c r="AI230" s="12" t="s">
        <v>55</v>
      </c>
      <c r="AJ230" s="32">
        <f>IF(AN230=0,L230,0)</f>
        <v>0</v>
      </c>
      <c r="AK230" s="32">
        <f>IF(AN230=12,L230,0)</f>
        <v>0</v>
      </c>
      <c r="AL230" s="32">
        <f>IF(AN230=21,L230,0)</f>
        <v>0</v>
      </c>
      <c r="AN230" s="32">
        <v>21</v>
      </c>
      <c r="AO230" s="32">
        <f>H230*0.847505131</f>
        <v>0</v>
      </c>
      <c r="AP230" s="32">
        <f>H230*(1-0.847505131)</f>
        <v>0</v>
      </c>
      <c r="AQ230" s="36" t="s">
        <v>90</v>
      </c>
      <c r="AV230" s="32">
        <f>ROUND(AW230+AX230,2)</f>
        <v>0</v>
      </c>
      <c r="AW230" s="32">
        <f>ROUND(G230*AO230,2)</f>
        <v>0</v>
      </c>
      <c r="AX230" s="32">
        <f>ROUND(G230*AP230,2)</f>
        <v>0</v>
      </c>
      <c r="AY230" s="36" t="s">
        <v>507</v>
      </c>
      <c r="AZ230" s="36" t="s">
        <v>245</v>
      </c>
      <c r="BA230" s="12" t="s">
        <v>65</v>
      </c>
      <c r="BC230" s="32">
        <f>AW230+AX230</f>
        <v>0</v>
      </c>
      <c r="BD230" s="32">
        <f>H230/(100-BE230)*100</f>
        <v>0</v>
      </c>
      <c r="BE230" s="32">
        <v>0</v>
      </c>
      <c r="BF230" s="32">
        <f>P230</f>
        <v>3.2739999999999998E-2</v>
      </c>
      <c r="BH230" s="32">
        <f>G230*AO230</f>
        <v>0</v>
      </c>
      <c r="BI230" s="32">
        <f>G230*AP230</f>
        <v>0</v>
      </c>
      <c r="BJ230" s="32">
        <f>G230*H230</f>
        <v>0</v>
      </c>
      <c r="BK230" s="36" t="s">
        <v>66</v>
      </c>
      <c r="BL230" s="32">
        <v>725</v>
      </c>
      <c r="BW230" s="32">
        <f>I230</f>
        <v>21</v>
      </c>
      <c r="BX230" s="4" t="s">
        <v>510</v>
      </c>
    </row>
    <row r="231" spans="1:76" ht="13.5" customHeight="1" x14ac:dyDescent="0.25">
      <c r="A231" s="42"/>
      <c r="C231" s="43"/>
      <c r="D231" s="95" t="s">
        <v>511</v>
      </c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7"/>
    </row>
    <row r="232" spans="1:76" x14ac:dyDescent="0.25">
      <c r="A232" s="2" t="s">
        <v>512</v>
      </c>
      <c r="B232" s="3" t="s">
        <v>55</v>
      </c>
      <c r="C232" s="3" t="s">
        <v>513</v>
      </c>
      <c r="D232" s="89" t="s">
        <v>514</v>
      </c>
      <c r="E232" s="90"/>
      <c r="F232" s="3" t="s">
        <v>88</v>
      </c>
      <c r="G232" s="32">
        <v>2</v>
      </c>
      <c r="H232" s="199">
        <v>0</v>
      </c>
      <c r="I232" s="33">
        <v>21</v>
      </c>
      <c r="J232" s="32">
        <f>ROUND(G232*AO232,2)</f>
        <v>0</v>
      </c>
      <c r="K232" s="32">
        <f>ROUND(G232*AP232,2)</f>
        <v>0</v>
      </c>
      <c r="L232" s="32">
        <f>ROUND(G232*H232,2)</f>
        <v>0</v>
      </c>
      <c r="M232" s="32">
        <f>L232*(1+BW232/100)</f>
        <v>0</v>
      </c>
      <c r="N232" s="34">
        <f>IF(L649=0,0,L232/L649)</f>
        <v>0</v>
      </c>
      <c r="O232" s="32">
        <v>1E-3</v>
      </c>
      <c r="P232" s="32">
        <f>G232*O232</f>
        <v>2E-3</v>
      </c>
      <c r="Q232" s="35" t="s">
        <v>77</v>
      </c>
      <c r="Z232" s="32">
        <f>ROUND(IF(AQ232="5",BJ232,0),2)</f>
        <v>0</v>
      </c>
      <c r="AB232" s="32">
        <f>ROUND(IF(AQ232="1",BH232,0),2)</f>
        <v>0</v>
      </c>
      <c r="AC232" s="32">
        <f>ROUND(IF(AQ232="1",BI232,0),2)</f>
        <v>0</v>
      </c>
      <c r="AD232" s="32">
        <f>ROUND(IF(AQ232="7",BH232,0),2)</f>
        <v>0</v>
      </c>
      <c r="AE232" s="32">
        <f>ROUND(IF(AQ232="7",BI232,0),2)</f>
        <v>0</v>
      </c>
      <c r="AF232" s="32">
        <f>ROUND(IF(AQ232="2",BH232,0),2)</f>
        <v>0</v>
      </c>
      <c r="AG232" s="32">
        <f>ROUND(IF(AQ232="2",BI232,0),2)</f>
        <v>0</v>
      </c>
      <c r="AH232" s="32">
        <f>ROUND(IF(AQ232="0",BJ232,0),2)</f>
        <v>0</v>
      </c>
      <c r="AI232" s="12" t="s">
        <v>55</v>
      </c>
      <c r="AJ232" s="32">
        <f>IF(AN232=0,L232,0)</f>
        <v>0</v>
      </c>
      <c r="AK232" s="32">
        <f>IF(AN232=12,L232,0)</f>
        <v>0</v>
      </c>
      <c r="AL232" s="32">
        <f>IF(AN232=21,L232,0)</f>
        <v>0</v>
      </c>
      <c r="AN232" s="32">
        <v>21</v>
      </c>
      <c r="AO232" s="32">
        <f>H232*1</f>
        <v>0</v>
      </c>
      <c r="AP232" s="32">
        <f>H232*(1-1)</f>
        <v>0</v>
      </c>
      <c r="AQ232" s="36" t="s">
        <v>90</v>
      </c>
      <c r="AV232" s="32">
        <f>ROUND(AW232+AX232,2)</f>
        <v>0</v>
      </c>
      <c r="AW232" s="32">
        <f>ROUND(G232*AO232,2)</f>
        <v>0</v>
      </c>
      <c r="AX232" s="32">
        <f>ROUND(G232*AP232,2)</f>
        <v>0</v>
      </c>
      <c r="AY232" s="36" t="s">
        <v>507</v>
      </c>
      <c r="AZ232" s="36" t="s">
        <v>245</v>
      </c>
      <c r="BA232" s="12" t="s">
        <v>65</v>
      </c>
      <c r="BC232" s="32">
        <f>AW232+AX232</f>
        <v>0</v>
      </c>
      <c r="BD232" s="32">
        <f>H232/(100-BE232)*100</f>
        <v>0</v>
      </c>
      <c r="BE232" s="32">
        <v>0</v>
      </c>
      <c r="BF232" s="32">
        <f>P232</f>
        <v>2E-3</v>
      </c>
      <c r="BH232" s="32">
        <f>G232*AO232</f>
        <v>0</v>
      </c>
      <c r="BI232" s="32">
        <f>G232*AP232</f>
        <v>0</v>
      </c>
      <c r="BJ232" s="32">
        <f>G232*H232</f>
        <v>0</v>
      </c>
      <c r="BK232" s="36" t="s">
        <v>147</v>
      </c>
      <c r="BL232" s="32">
        <v>725</v>
      </c>
      <c r="BW232" s="32">
        <f>I232</f>
        <v>21</v>
      </c>
      <c r="BX232" s="4" t="s">
        <v>514</v>
      </c>
    </row>
    <row r="233" spans="1:76" x14ac:dyDescent="0.25">
      <c r="A233" s="42"/>
      <c r="C233" s="43"/>
      <c r="D233" s="95" t="s">
        <v>515</v>
      </c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7"/>
      <c r="BX233" s="44" t="s">
        <v>515</v>
      </c>
    </row>
    <row r="234" spans="1:76" x14ac:dyDescent="0.25">
      <c r="A234" s="2" t="s">
        <v>516</v>
      </c>
      <c r="B234" s="3" t="s">
        <v>55</v>
      </c>
      <c r="C234" s="3" t="s">
        <v>517</v>
      </c>
      <c r="D234" s="89" t="s">
        <v>518</v>
      </c>
      <c r="E234" s="90"/>
      <c r="F234" s="3" t="s">
        <v>88</v>
      </c>
      <c r="G234" s="32">
        <v>2</v>
      </c>
      <c r="H234" s="199">
        <v>0</v>
      </c>
      <c r="I234" s="33">
        <v>21</v>
      </c>
      <c r="J234" s="32">
        <f t="shared" ref="J234:J239" si="52">ROUND(G234*AO234,2)</f>
        <v>0</v>
      </c>
      <c r="K234" s="32">
        <f t="shared" ref="K234:K239" si="53">ROUND(G234*AP234,2)</f>
        <v>0</v>
      </c>
      <c r="L234" s="32">
        <f t="shared" ref="L234:L239" si="54">ROUND(G234*H234,2)</f>
        <v>0</v>
      </c>
      <c r="M234" s="32">
        <f t="shared" ref="M234:M239" si="55">L234*(1+BW234/100)</f>
        <v>0</v>
      </c>
      <c r="N234" s="34">
        <f>IF(L649=0,0,L234/L649)</f>
        <v>0</v>
      </c>
      <c r="O234" s="32">
        <v>5.5999999999999995E-4</v>
      </c>
      <c r="P234" s="32">
        <f t="shared" ref="P234:P239" si="56">G234*O234</f>
        <v>1.1199999999999999E-3</v>
      </c>
      <c r="Q234" s="35" t="s">
        <v>77</v>
      </c>
      <c r="Z234" s="32">
        <f t="shared" ref="Z234:Z239" si="57">ROUND(IF(AQ234="5",BJ234,0),2)</f>
        <v>0</v>
      </c>
      <c r="AB234" s="32">
        <f t="shared" ref="AB234:AB239" si="58">ROUND(IF(AQ234="1",BH234,0),2)</f>
        <v>0</v>
      </c>
      <c r="AC234" s="32">
        <f t="shared" ref="AC234:AC239" si="59">ROUND(IF(AQ234="1",BI234,0),2)</f>
        <v>0</v>
      </c>
      <c r="AD234" s="32">
        <f t="shared" ref="AD234:AD239" si="60">ROUND(IF(AQ234="7",BH234,0),2)</f>
        <v>0</v>
      </c>
      <c r="AE234" s="32">
        <f t="shared" ref="AE234:AE239" si="61">ROUND(IF(AQ234="7",BI234,0),2)</f>
        <v>0</v>
      </c>
      <c r="AF234" s="32">
        <f t="shared" ref="AF234:AF239" si="62">ROUND(IF(AQ234="2",BH234,0),2)</f>
        <v>0</v>
      </c>
      <c r="AG234" s="32">
        <f t="shared" ref="AG234:AG239" si="63">ROUND(IF(AQ234="2",BI234,0),2)</f>
        <v>0</v>
      </c>
      <c r="AH234" s="32">
        <f t="shared" ref="AH234:AH239" si="64">ROUND(IF(AQ234="0",BJ234,0),2)</f>
        <v>0</v>
      </c>
      <c r="AI234" s="12" t="s">
        <v>55</v>
      </c>
      <c r="AJ234" s="32">
        <f t="shared" ref="AJ234:AJ239" si="65">IF(AN234=0,L234,0)</f>
        <v>0</v>
      </c>
      <c r="AK234" s="32">
        <f t="shared" ref="AK234:AK239" si="66">IF(AN234=12,L234,0)</f>
        <v>0</v>
      </c>
      <c r="AL234" s="32">
        <f t="shared" ref="AL234:AL239" si="67">IF(AN234=21,L234,0)</f>
        <v>0</v>
      </c>
      <c r="AN234" s="32">
        <v>21</v>
      </c>
      <c r="AO234" s="32">
        <f>H234*0.847367927</f>
        <v>0</v>
      </c>
      <c r="AP234" s="32">
        <f>H234*(1-0.847367927)</f>
        <v>0</v>
      </c>
      <c r="AQ234" s="36" t="s">
        <v>90</v>
      </c>
      <c r="AV234" s="32">
        <f t="shared" ref="AV234:AV239" si="68">ROUND(AW234+AX234,2)</f>
        <v>0</v>
      </c>
      <c r="AW234" s="32">
        <f t="shared" ref="AW234:AW239" si="69">ROUND(G234*AO234,2)</f>
        <v>0</v>
      </c>
      <c r="AX234" s="32">
        <f t="shared" ref="AX234:AX239" si="70">ROUND(G234*AP234,2)</f>
        <v>0</v>
      </c>
      <c r="AY234" s="36" t="s">
        <v>507</v>
      </c>
      <c r="AZ234" s="36" t="s">
        <v>245</v>
      </c>
      <c r="BA234" s="12" t="s">
        <v>65</v>
      </c>
      <c r="BC234" s="32">
        <f t="shared" ref="BC234:BC239" si="71">AW234+AX234</f>
        <v>0</v>
      </c>
      <c r="BD234" s="32">
        <f t="shared" ref="BD234:BD239" si="72">H234/(100-BE234)*100</f>
        <v>0</v>
      </c>
      <c r="BE234" s="32">
        <v>0</v>
      </c>
      <c r="BF234" s="32">
        <f t="shared" ref="BF234:BF239" si="73">P234</f>
        <v>1.1199999999999999E-3</v>
      </c>
      <c r="BH234" s="32">
        <f t="shared" ref="BH234:BH239" si="74">G234*AO234</f>
        <v>0</v>
      </c>
      <c r="BI234" s="32">
        <f t="shared" ref="BI234:BI239" si="75">G234*AP234</f>
        <v>0</v>
      </c>
      <c r="BJ234" s="32">
        <f t="shared" ref="BJ234:BJ239" si="76">G234*H234</f>
        <v>0</v>
      </c>
      <c r="BK234" s="36" t="s">
        <v>66</v>
      </c>
      <c r="BL234" s="32">
        <v>725</v>
      </c>
      <c r="BW234" s="32">
        <f t="shared" ref="BW234:BW239" si="77">I234</f>
        <v>21</v>
      </c>
      <c r="BX234" s="4" t="s">
        <v>518</v>
      </c>
    </row>
    <row r="235" spans="1:76" x14ac:dyDescent="0.25">
      <c r="A235" s="2" t="s">
        <v>519</v>
      </c>
      <c r="B235" s="3" t="s">
        <v>55</v>
      </c>
      <c r="C235" s="3" t="s">
        <v>520</v>
      </c>
      <c r="D235" s="89" t="s">
        <v>521</v>
      </c>
      <c r="E235" s="90"/>
      <c r="F235" s="3" t="s">
        <v>316</v>
      </c>
      <c r="G235" s="32">
        <v>1</v>
      </c>
      <c r="H235" s="199">
        <v>0</v>
      </c>
      <c r="I235" s="33">
        <v>21</v>
      </c>
      <c r="J235" s="32">
        <f t="shared" si="52"/>
        <v>0</v>
      </c>
      <c r="K235" s="32">
        <f t="shared" si="53"/>
        <v>0</v>
      </c>
      <c r="L235" s="32">
        <f t="shared" si="54"/>
        <v>0</v>
      </c>
      <c r="M235" s="32">
        <f t="shared" si="55"/>
        <v>0</v>
      </c>
      <c r="N235" s="34">
        <f>IF(L649=0,0,L235/L649)</f>
        <v>0</v>
      </c>
      <c r="O235" s="32">
        <v>1.23E-2</v>
      </c>
      <c r="P235" s="32">
        <f t="shared" si="56"/>
        <v>1.23E-2</v>
      </c>
      <c r="Q235" s="35" t="s">
        <v>77</v>
      </c>
      <c r="Z235" s="32">
        <f t="shared" si="57"/>
        <v>0</v>
      </c>
      <c r="AB235" s="32">
        <f t="shared" si="58"/>
        <v>0</v>
      </c>
      <c r="AC235" s="32">
        <f t="shared" si="59"/>
        <v>0</v>
      </c>
      <c r="AD235" s="32">
        <f t="shared" si="60"/>
        <v>0</v>
      </c>
      <c r="AE235" s="32">
        <f t="shared" si="61"/>
        <v>0</v>
      </c>
      <c r="AF235" s="32">
        <f t="shared" si="62"/>
        <v>0</v>
      </c>
      <c r="AG235" s="32">
        <f t="shared" si="63"/>
        <v>0</v>
      </c>
      <c r="AH235" s="32">
        <f t="shared" si="64"/>
        <v>0</v>
      </c>
      <c r="AI235" s="12" t="s">
        <v>55</v>
      </c>
      <c r="AJ235" s="32">
        <f t="shared" si="65"/>
        <v>0</v>
      </c>
      <c r="AK235" s="32">
        <f t="shared" si="66"/>
        <v>0</v>
      </c>
      <c r="AL235" s="32">
        <f t="shared" si="67"/>
        <v>0</v>
      </c>
      <c r="AN235" s="32">
        <v>21</v>
      </c>
      <c r="AO235" s="32">
        <f>H235*0.604891352</f>
        <v>0</v>
      </c>
      <c r="AP235" s="32">
        <f>H235*(1-0.604891352)</f>
        <v>0</v>
      </c>
      <c r="AQ235" s="36" t="s">
        <v>90</v>
      </c>
      <c r="AV235" s="32">
        <f t="shared" si="68"/>
        <v>0</v>
      </c>
      <c r="AW235" s="32">
        <f t="shared" si="69"/>
        <v>0</v>
      </c>
      <c r="AX235" s="32">
        <f t="shared" si="70"/>
        <v>0</v>
      </c>
      <c r="AY235" s="36" t="s">
        <v>507</v>
      </c>
      <c r="AZ235" s="36" t="s">
        <v>245</v>
      </c>
      <c r="BA235" s="12" t="s">
        <v>65</v>
      </c>
      <c r="BC235" s="32">
        <f t="shared" si="71"/>
        <v>0</v>
      </c>
      <c r="BD235" s="32">
        <f t="shared" si="72"/>
        <v>0</v>
      </c>
      <c r="BE235" s="32">
        <v>0</v>
      </c>
      <c r="BF235" s="32">
        <f t="shared" si="73"/>
        <v>1.23E-2</v>
      </c>
      <c r="BH235" s="32">
        <f t="shared" si="74"/>
        <v>0</v>
      </c>
      <c r="BI235" s="32">
        <f t="shared" si="75"/>
        <v>0</v>
      </c>
      <c r="BJ235" s="32">
        <f t="shared" si="76"/>
        <v>0</v>
      </c>
      <c r="BK235" s="36" t="s">
        <v>66</v>
      </c>
      <c r="BL235" s="32">
        <v>725</v>
      </c>
      <c r="BW235" s="32">
        <f t="shared" si="77"/>
        <v>21</v>
      </c>
      <c r="BX235" s="4" t="s">
        <v>521</v>
      </c>
    </row>
    <row r="236" spans="1:76" x14ac:dyDescent="0.25">
      <c r="A236" s="2" t="s">
        <v>522</v>
      </c>
      <c r="B236" s="3" t="s">
        <v>55</v>
      </c>
      <c r="C236" s="3" t="s">
        <v>523</v>
      </c>
      <c r="D236" s="89" t="s">
        <v>524</v>
      </c>
      <c r="E236" s="90"/>
      <c r="F236" s="3" t="s">
        <v>525</v>
      </c>
      <c r="G236" s="32">
        <v>1</v>
      </c>
      <c r="H236" s="199">
        <v>0</v>
      </c>
      <c r="I236" s="33">
        <v>21</v>
      </c>
      <c r="J236" s="32">
        <f t="shared" si="52"/>
        <v>0</v>
      </c>
      <c r="K236" s="32">
        <f t="shared" si="53"/>
        <v>0</v>
      </c>
      <c r="L236" s="32">
        <f t="shared" si="54"/>
        <v>0</v>
      </c>
      <c r="M236" s="32">
        <f t="shared" si="55"/>
        <v>0</v>
      </c>
      <c r="N236" s="34">
        <f>IF(L649=0,0,L236/L649)</f>
        <v>0</v>
      </c>
      <c r="O236" s="32">
        <v>3.8999999999999999E-4</v>
      </c>
      <c r="P236" s="32">
        <f t="shared" si="56"/>
        <v>3.8999999999999999E-4</v>
      </c>
      <c r="Q236" s="35" t="s">
        <v>77</v>
      </c>
      <c r="Z236" s="32">
        <f t="shared" si="57"/>
        <v>0</v>
      </c>
      <c r="AB236" s="32">
        <f t="shared" si="58"/>
        <v>0</v>
      </c>
      <c r="AC236" s="32">
        <f t="shared" si="59"/>
        <v>0</v>
      </c>
      <c r="AD236" s="32">
        <f t="shared" si="60"/>
        <v>0</v>
      </c>
      <c r="AE236" s="32">
        <f t="shared" si="61"/>
        <v>0</v>
      </c>
      <c r="AF236" s="32">
        <f t="shared" si="62"/>
        <v>0</v>
      </c>
      <c r="AG236" s="32">
        <f t="shared" si="63"/>
        <v>0</v>
      </c>
      <c r="AH236" s="32">
        <f t="shared" si="64"/>
        <v>0</v>
      </c>
      <c r="AI236" s="12" t="s">
        <v>55</v>
      </c>
      <c r="AJ236" s="32">
        <f t="shared" si="65"/>
        <v>0</v>
      </c>
      <c r="AK236" s="32">
        <f t="shared" si="66"/>
        <v>0</v>
      </c>
      <c r="AL236" s="32">
        <f t="shared" si="67"/>
        <v>0</v>
      </c>
      <c r="AN236" s="32">
        <v>21</v>
      </c>
      <c r="AO236" s="32">
        <f>H236*0.581941545</f>
        <v>0</v>
      </c>
      <c r="AP236" s="32">
        <f>H236*(1-0.581941545)</f>
        <v>0</v>
      </c>
      <c r="AQ236" s="36" t="s">
        <v>90</v>
      </c>
      <c r="AV236" s="32">
        <f t="shared" si="68"/>
        <v>0</v>
      </c>
      <c r="AW236" s="32">
        <f t="shared" si="69"/>
        <v>0</v>
      </c>
      <c r="AX236" s="32">
        <f t="shared" si="70"/>
        <v>0</v>
      </c>
      <c r="AY236" s="36" t="s">
        <v>507</v>
      </c>
      <c r="AZ236" s="36" t="s">
        <v>245</v>
      </c>
      <c r="BA236" s="12" t="s">
        <v>65</v>
      </c>
      <c r="BC236" s="32">
        <f t="shared" si="71"/>
        <v>0</v>
      </c>
      <c r="BD236" s="32">
        <f t="shared" si="72"/>
        <v>0</v>
      </c>
      <c r="BE236" s="32">
        <v>0</v>
      </c>
      <c r="BF236" s="32">
        <f t="shared" si="73"/>
        <v>3.8999999999999999E-4</v>
      </c>
      <c r="BH236" s="32">
        <f t="shared" si="74"/>
        <v>0</v>
      </c>
      <c r="BI236" s="32">
        <f t="shared" si="75"/>
        <v>0</v>
      </c>
      <c r="BJ236" s="32">
        <f t="shared" si="76"/>
        <v>0</v>
      </c>
      <c r="BK236" s="36" t="s">
        <v>66</v>
      </c>
      <c r="BL236" s="32">
        <v>725</v>
      </c>
      <c r="BW236" s="32">
        <f t="shared" si="77"/>
        <v>21</v>
      </c>
      <c r="BX236" s="4" t="s">
        <v>524</v>
      </c>
    </row>
    <row r="237" spans="1:76" x14ac:dyDescent="0.25">
      <c r="A237" s="2" t="s">
        <v>526</v>
      </c>
      <c r="B237" s="3" t="s">
        <v>55</v>
      </c>
      <c r="C237" s="3" t="s">
        <v>527</v>
      </c>
      <c r="D237" s="89" t="s">
        <v>528</v>
      </c>
      <c r="E237" s="90"/>
      <c r="F237" s="3" t="s">
        <v>88</v>
      </c>
      <c r="G237" s="32">
        <v>1</v>
      </c>
      <c r="H237" s="199">
        <v>0</v>
      </c>
      <c r="I237" s="33">
        <v>21</v>
      </c>
      <c r="J237" s="32">
        <f t="shared" si="52"/>
        <v>0</v>
      </c>
      <c r="K237" s="32">
        <f t="shared" si="53"/>
        <v>0</v>
      </c>
      <c r="L237" s="32">
        <f t="shared" si="54"/>
        <v>0</v>
      </c>
      <c r="M237" s="32">
        <f t="shared" si="55"/>
        <v>0</v>
      </c>
      <c r="N237" s="34">
        <f>IF(L649=0,0,L237/L649)</f>
        <v>0</v>
      </c>
      <c r="O237" s="32">
        <v>0</v>
      </c>
      <c r="P237" s="32">
        <f t="shared" si="56"/>
        <v>0</v>
      </c>
      <c r="Q237" s="35" t="s">
        <v>77</v>
      </c>
      <c r="Z237" s="32">
        <f t="shared" si="57"/>
        <v>0</v>
      </c>
      <c r="AB237" s="32">
        <f t="shared" si="58"/>
        <v>0</v>
      </c>
      <c r="AC237" s="32">
        <f t="shared" si="59"/>
        <v>0</v>
      </c>
      <c r="AD237" s="32">
        <f t="shared" si="60"/>
        <v>0</v>
      </c>
      <c r="AE237" s="32">
        <f t="shared" si="61"/>
        <v>0</v>
      </c>
      <c r="AF237" s="32">
        <f t="shared" si="62"/>
        <v>0</v>
      </c>
      <c r="AG237" s="32">
        <f t="shared" si="63"/>
        <v>0</v>
      </c>
      <c r="AH237" s="32">
        <f t="shared" si="64"/>
        <v>0</v>
      </c>
      <c r="AI237" s="12" t="s">
        <v>55</v>
      </c>
      <c r="AJ237" s="32">
        <f t="shared" si="65"/>
        <v>0</v>
      </c>
      <c r="AK237" s="32">
        <f t="shared" si="66"/>
        <v>0</v>
      </c>
      <c r="AL237" s="32">
        <f t="shared" si="67"/>
        <v>0</v>
      </c>
      <c r="AN237" s="32">
        <v>21</v>
      </c>
      <c r="AO237" s="32">
        <f>H237*0.83056338</f>
        <v>0</v>
      </c>
      <c r="AP237" s="32">
        <f>H237*(1-0.83056338)</f>
        <v>0</v>
      </c>
      <c r="AQ237" s="36" t="s">
        <v>90</v>
      </c>
      <c r="AV237" s="32">
        <f t="shared" si="68"/>
        <v>0</v>
      </c>
      <c r="AW237" s="32">
        <f t="shared" si="69"/>
        <v>0</v>
      </c>
      <c r="AX237" s="32">
        <f t="shared" si="70"/>
        <v>0</v>
      </c>
      <c r="AY237" s="36" t="s">
        <v>507</v>
      </c>
      <c r="AZ237" s="36" t="s">
        <v>245</v>
      </c>
      <c r="BA237" s="12" t="s">
        <v>65</v>
      </c>
      <c r="BC237" s="32">
        <f t="shared" si="71"/>
        <v>0</v>
      </c>
      <c r="BD237" s="32">
        <f t="shared" si="72"/>
        <v>0</v>
      </c>
      <c r="BE237" s="32">
        <v>0</v>
      </c>
      <c r="BF237" s="32">
        <f t="shared" si="73"/>
        <v>0</v>
      </c>
      <c r="BH237" s="32">
        <f t="shared" si="74"/>
        <v>0</v>
      </c>
      <c r="BI237" s="32">
        <f t="shared" si="75"/>
        <v>0</v>
      </c>
      <c r="BJ237" s="32">
        <f t="shared" si="76"/>
        <v>0</v>
      </c>
      <c r="BK237" s="36" t="s">
        <v>66</v>
      </c>
      <c r="BL237" s="32">
        <v>725</v>
      </c>
      <c r="BW237" s="32">
        <f t="shared" si="77"/>
        <v>21</v>
      </c>
      <c r="BX237" s="4" t="s">
        <v>528</v>
      </c>
    </row>
    <row r="238" spans="1:76" x14ac:dyDescent="0.25">
      <c r="A238" s="2" t="s">
        <v>529</v>
      </c>
      <c r="B238" s="3" t="s">
        <v>55</v>
      </c>
      <c r="C238" s="3" t="s">
        <v>530</v>
      </c>
      <c r="D238" s="89" t="s">
        <v>531</v>
      </c>
      <c r="E238" s="90"/>
      <c r="F238" s="3" t="s">
        <v>316</v>
      </c>
      <c r="G238" s="32">
        <v>2</v>
      </c>
      <c r="H238" s="199">
        <v>0</v>
      </c>
      <c r="I238" s="33">
        <v>21</v>
      </c>
      <c r="J238" s="32">
        <f t="shared" si="52"/>
        <v>0</v>
      </c>
      <c r="K238" s="32">
        <f t="shared" si="53"/>
        <v>0</v>
      </c>
      <c r="L238" s="32">
        <f t="shared" si="54"/>
        <v>0</v>
      </c>
      <c r="M238" s="32">
        <f t="shared" si="55"/>
        <v>0</v>
      </c>
      <c r="N238" s="34">
        <f>IF(L649=0,0,L238/L649)</f>
        <v>0</v>
      </c>
      <c r="O238" s="32">
        <v>1.401E-2</v>
      </c>
      <c r="P238" s="32">
        <f t="shared" si="56"/>
        <v>2.802E-2</v>
      </c>
      <c r="Q238" s="35" t="s">
        <v>77</v>
      </c>
      <c r="Z238" s="32">
        <f t="shared" si="57"/>
        <v>0</v>
      </c>
      <c r="AB238" s="32">
        <f t="shared" si="58"/>
        <v>0</v>
      </c>
      <c r="AC238" s="32">
        <f t="shared" si="59"/>
        <v>0</v>
      </c>
      <c r="AD238" s="32">
        <f t="shared" si="60"/>
        <v>0</v>
      </c>
      <c r="AE238" s="32">
        <f t="shared" si="61"/>
        <v>0</v>
      </c>
      <c r="AF238" s="32">
        <f t="shared" si="62"/>
        <v>0</v>
      </c>
      <c r="AG238" s="32">
        <f t="shared" si="63"/>
        <v>0</v>
      </c>
      <c r="AH238" s="32">
        <f t="shared" si="64"/>
        <v>0</v>
      </c>
      <c r="AI238" s="12" t="s">
        <v>55</v>
      </c>
      <c r="AJ238" s="32">
        <f t="shared" si="65"/>
        <v>0</v>
      </c>
      <c r="AK238" s="32">
        <f t="shared" si="66"/>
        <v>0</v>
      </c>
      <c r="AL238" s="32">
        <f t="shared" si="67"/>
        <v>0</v>
      </c>
      <c r="AN238" s="32">
        <v>21</v>
      </c>
      <c r="AO238" s="32">
        <f>H238*0.625704261</f>
        <v>0</v>
      </c>
      <c r="AP238" s="32">
        <f>H238*(1-0.625704261)</f>
        <v>0</v>
      </c>
      <c r="AQ238" s="36" t="s">
        <v>90</v>
      </c>
      <c r="AV238" s="32">
        <f t="shared" si="68"/>
        <v>0</v>
      </c>
      <c r="AW238" s="32">
        <f t="shared" si="69"/>
        <v>0</v>
      </c>
      <c r="AX238" s="32">
        <f t="shared" si="70"/>
        <v>0</v>
      </c>
      <c r="AY238" s="36" t="s">
        <v>507</v>
      </c>
      <c r="AZ238" s="36" t="s">
        <v>245</v>
      </c>
      <c r="BA238" s="12" t="s">
        <v>65</v>
      </c>
      <c r="BC238" s="32">
        <f t="shared" si="71"/>
        <v>0</v>
      </c>
      <c r="BD238" s="32">
        <f t="shared" si="72"/>
        <v>0</v>
      </c>
      <c r="BE238" s="32">
        <v>0</v>
      </c>
      <c r="BF238" s="32">
        <f t="shared" si="73"/>
        <v>2.802E-2</v>
      </c>
      <c r="BH238" s="32">
        <f t="shared" si="74"/>
        <v>0</v>
      </c>
      <c r="BI238" s="32">
        <f t="shared" si="75"/>
        <v>0</v>
      </c>
      <c r="BJ238" s="32">
        <f t="shared" si="76"/>
        <v>0</v>
      </c>
      <c r="BK238" s="36" t="s">
        <v>66</v>
      </c>
      <c r="BL238" s="32">
        <v>725</v>
      </c>
      <c r="BW238" s="32">
        <f t="shared" si="77"/>
        <v>21</v>
      </c>
      <c r="BX238" s="4" t="s">
        <v>531</v>
      </c>
    </row>
    <row r="239" spans="1:76" x14ac:dyDescent="0.25">
      <c r="A239" s="2" t="s">
        <v>532</v>
      </c>
      <c r="B239" s="3" t="s">
        <v>55</v>
      </c>
      <c r="C239" s="3" t="s">
        <v>533</v>
      </c>
      <c r="D239" s="89" t="s">
        <v>534</v>
      </c>
      <c r="E239" s="90"/>
      <c r="F239" s="3" t="s">
        <v>316</v>
      </c>
      <c r="G239" s="32">
        <v>2</v>
      </c>
      <c r="H239" s="199">
        <v>0</v>
      </c>
      <c r="I239" s="33">
        <v>21</v>
      </c>
      <c r="J239" s="32">
        <f t="shared" si="52"/>
        <v>0</v>
      </c>
      <c r="K239" s="32">
        <f t="shared" si="53"/>
        <v>0</v>
      </c>
      <c r="L239" s="32">
        <f t="shared" si="54"/>
        <v>0</v>
      </c>
      <c r="M239" s="32">
        <f t="shared" si="55"/>
        <v>0</v>
      </c>
      <c r="N239" s="34">
        <f>IF(L649=0,0,L239/L649)</f>
        <v>0</v>
      </c>
      <c r="O239" s="32">
        <v>7.1700000000000002E-3</v>
      </c>
      <c r="P239" s="32">
        <f t="shared" si="56"/>
        <v>1.434E-2</v>
      </c>
      <c r="Q239" s="35" t="s">
        <v>77</v>
      </c>
      <c r="Z239" s="32">
        <f t="shared" si="57"/>
        <v>0</v>
      </c>
      <c r="AB239" s="32">
        <f t="shared" si="58"/>
        <v>0</v>
      </c>
      <c r="AC239" s="32">
        <f t="shared" si="59"/>
        <v>0</v>
      </c>
      <c r="AD239" s="32">
        <f t="shared" si="60"/>
        <v>0</v>
      </c>
      <c r="AE239" s="32">
        <f t="shared" si="61"/>
        <v>0</v>
      </c>
      <c r="AF239" s="32">
        <f t="shared" si="62"/>
        <v>0</v>
      </c>
      <c r="AG239" s="32">
        <f t="shared" si="63"/>
        <v>0</v>
      </c>
      <c r="AH239" s="32">
        <f t="shared" si="64"/>
        <v>0</v>
      </c>
      <c r="AI239" s="12" t="s">
        <v>55</v>
      </c>
      <c r="AJ239" s="32">
        <f t="shared" si="65"/>
        <v>0</v>
      </c>
      <c r="AK239" s="32">
        <f t="shared" si="66"/>
        <v>0</v>
      </c>
      <c r="AL239" s="32">
        <f t="shared" si="67"/>
        <v>0</v>
      </c>
      <c r="AN239" s="32">
        <v>21</v>
      </c>
      <c r="AO239" s="32">
        <f>H239*0.927934256</f>
        <v>0</v>
      </c>
      <c r="AP239" s="32">
        <f>H239*(1-0.927934256)</f>
        <v>0</v>
      </c>
      <c r="AQ239" s="36" t="s">
        <v>90</v>
      </c>
      <c r="AV239" s="32">
        <f t="shared" si="68"/>
        <v>0</v>
      </c>
      <c r="AW239" s="32">
        <f t="shared" si="69"/>
        <v>0</v>
      </c>
      <c r="AX239" s="32">
        <f t="shared" si="70"/>
        <v>0</v>
      </c>
      <c r="AY239" s="36" t="s">
        <v>507</v>
      </c>
      <c r="AZ239" s="36" t="s">
        <v>245</v>
      </c>
      <c r="BA239" s="12" t="s">
        <v>65</v>
      </c>
      <c r="BC239" s="32">
        <f t="shared" si="71"/>
        <v>0</v>
      </c>
      <c r="BD239" s="32">
        <f t="shared" si="72"/>
        <v>0</v>
      </c>
      <c r="BE239" s="32">
        <v>0</v>
      </c>
      <c r="BF239" s="32">
        <f t="shared" si="73"/>
        <v>1.434E-2</v>
      </c>
      <c r="BH239" s="32">
        <f t="shared" si="74"/>
        <v>0</v>
      </c>
      <c r="BI239" s="32">
        <f t="shared" si="75"/>
        <v>0</v>
      </c>
      <c r="BJ239" s="32">
        <f t="shared" si="76"/>
        <v>0</v>
      </c>
      <c r="BK239" s="36" t="s">
        <v>66</v>
      </c>
      <c r="BL239" s="32">
        <v>725</v>
      </c>
      <c r="BW239" s="32">
        <f t="shared" si="77"/>
        <v>21</v>
      </c>
      <c r="BX239" s="4" t="s">
        <v>534</v>
      </c>
    </row>
    <row r="240" spans="1:76" x14ac:dyDescent="0.25">
      <c r="A240" s="2" t="s">
        <v>535</v>
      </c>
      <c r="B240" s="3" t="s">
        <v>55</v>
      </c>
      <c r="C240" s="3" t="s">
        <v>523</v>
      </c>
      <c r="D240" s="89" t="s">
        <v>524</v>
      </c>
      <c r="E240" s="90"/>
      <c r="F240" s="3" t="s">
        <v>525</v>
      </c>
      <c r="G240" s="32">
        <v>2</v>
      </c>
      <c r="H240" s="199">
        <v>0</v>
      </c>
      <c r="I240" s="33">
        <v>21</v>
      </c>
      <c r="J240" s="32">
        <f>ROUND(G240*AO240,2)</f>
        <v>0</v>
      </c>
      <c r="K240" s="32">
        <f>ROUND(G240*AP240,2)</f>
        <v>0</v>
      </c>
      <c r="L240" s="32">
        <f>ROUND(G240*H240,2)</f>
        <v>0</v>
      </c>
      <c r="M240" s="32">
        <f>L240*(1+BW240/100)</f>
        <v>0</v>
      </c>
      <c r="N240" s="34">
        <f>IF(L649=0,0,L240/L649)</f>
        <v>0</v>
      </c>
      <c r="O240" s="32">
        <v>3.8999999999999999E-4</v>
      </c>
      <c r="P240" s="32">
        <f>G240*O240</f>
        <v>7.7999999999999999E-4</v>
      </c>
      <c r="Q240" s="35" t="s">
        <v>77</v>
      </c>
      <c r="Z240" s="32">
        <f>ROUND(IF(AQ240="5",BJ240,0),2)</f>
        <v>0</v>
      </c>
      <c r="AB240" s="32">
        <f>ROUND(IF(AQ240="1",BH240,0),2)</f>
        <v>0</v>
      </c>
      <c r="AC240" s="32">
        <f>ROUND(IF(AQ240="1",BI240,0),2)</f>
        <v>0</v>
      </c>
      <c r="AD240" s="32">
        <f>ROUND(IF(AQ240="7",BH240,0),2)</f>
        <v>0</v>
      </c>
      <c r="AE240" s="32">
        <f>ROUND(IF(AQ240="7",BI240,0),2)</f>
        <v>0</v>
      </c>
      <c r="AF240" s="32">
        <f>ROUND(IF(AQ240="2",BH240,0),2)</f>
        <v>0</v>
      </c>
      <c r="AG240" s="32">
        <f>ROUND(IF(AQ240="2",BI240,0),2)</f>
        <v>0</v>
      </c>
      <c r="AH240" s="32">
        <f>ROUND(IF(AQ240="0",BJ240,0),2)</f>
        <v>0</v>
      </c>
      <c r="AI240" s="12" t="s">
        <v>55</v>
      </c>
      <c r="AJ240" s="32">
        <f>IF(AN240=0,L240,0)</f>
        <v>0</v>
      </c>
      <c r="AK240" s="32">
        <f>IF(AN240=12,L240,0)</f>
        <v>0</v>
      </c>
      <c r="AL240" s="32">
        <f>IF(AN240=21,L240,0)</f>
        <v>0</v>
      </c>
      <c r="AN240" s="32">
        <v>21</v>
      </c>
      <c r="AO240" s="32">
        <f>H240*0.581941545</f>
        <v>0</v>
      </c>
      <c r="AP240" s="32">
        <f>H240*(1-0.581941545)</f>
        <v>0</v>
      </c>
      <c r="AQ240" s="36" t="s">
        <v>90</v>
      </c>
      <c r="AV240" s="32">
        <f>ROUND(AW240+AX240,2)</f>
        <v>0</v>
      </c>
      <c r="AW240" s="32">
        <f>ROUND(G240*AO240,2)</f>
        <v>0</v>
      </c>
      <c r="AX240" s="32">
        <f>ROUND(G240*AP240,2)</f>
        <v>0</v>
      </c>
      <c r="AY240" s="36" t="s">
        <v>507</v>
      </c>
      <c r="AZ240" s="36" t="s">
        <v>245</v>
      </c>
      <c r="BA240" s="12" t="s">
        <v>65</v>
      </c>
      <c r="BC240" s="32">
        <f>AW240+AX240</f>
        <v>0</v>
      </c>
      <c r="BD240" s="32">
        <f>H240/(100-BE240)*100</f>
        <v>0</v>
      </c>
      <c r="BE240" s="32">
        <v>0</v>
      </c>
      <c r="BF240" s="32">
        <f>P240</f>
        <v>7.7999999999999999E-4</v>
      </c>
      <c r="BH240" s="32">
        <f>G240*AO240</f>
        <v>0</v>
      </c>
      <c r="BI240" s="32">
        <f>G240*AP240</f>
        <v>0</v>
      </c>
      <c r="BJ240" s="32">
        <f>G240*H240</f>
        <v>0</v>
      </c>
      <c r="BK240" s="36" t="s">
        <v>66</v>
      </c>
      <c r="BL240" s="32">
        <v>725</v>
      </c>
      <c r="BW240" s="32">
        <f>I240</f>
        <v>21</v>
      </c>
      <c r="BX240" s="4" t="s">
        <v>524</v>
      </c>
    </row>
    <row r="241" spans="1:76" x14ac:dyDescent="0.25">
      <c r="A241" s="2" t="s">
        <v>536</v>
      </c>
      <c r="B241" s="3" t="s">
        <v>55</v>
      </c>
      <c r="C241" s="3" t="s">
        <v>527</v>
      </c>
      <c r="D241" s="89" t="s">
        <v>537</v>
      </c>
      <c r="E241" s="90"/>
      <c r="F241" s="3" t="s">
        <v>88</v>
      </c>
      <c r="G241" s="32">
        <v>2</v>
      </c>
      <c r="H241" s="199">
        <v>0</v>
      </c>
      <c r="I241" s="33">
        <v>21</v>
      </c>
      <c r="J241" s="32">
        <f>ROUND(G241*AO241,2)</f>
        <v>0</v>
      </c>
      <c r="K241" s="32">
        <f>ROUND(G241*AP241,2)</f>
        <v>0</v>
      </c>
      <c r="L241" s="32">
        <f>ROUND(G241*H241,2)</f>
        <v>0</v>
      </c>
      <c r="M241" s="32">
        <f>L241*(1+BW241/100)</f>
        <v>0</v>
      </c>
      <c r="N241" s="34">
        <f>IF(L649=0,0,L241/L649)</f>
        <v>0</v>
      </c>
      <c r="O241" s="32">
        <v>0</v>
      </c>
      <c r="P241" s="32">
        <f>G241*O241</f>
        <v>0</v>
      </c>
      <c r="Q241" s="35" t="s">
        <v>77</v>
      </c>
      <c r="Z241" s="32">
        <f>ROUND(IF(AQ241="5",BJ241,0),2)</f>
        <v>0</v>
      </c>
      <c r="AB241" s="32">
        <f>ROUND(IF(AQ241="1",BH241,0),2)</f>
        <v>0</v>
      </c>
      <c r="AC241" s="32">
        <f>ROUND(IF(AQ241="1",BI241,0),2)</f>
        <v>0</v>
      </c>
      <c r="AD241" s="32">
        <f>ROUND(IF(AQ241="7",BH241,0),2)</f>
        <v>0</v>
      </c>
      <c r="AE241" s="32">
        <f>ROUND(IF(AQ241="7",BI241,0),2)</f>
        <v>0</v>
      </c>
      <c r="AF241" s="32">
        <f>ROUND(IF(AQ241="2",BH241,0),2)</f>
        <v>0</v>
      </c>
      <c r="AG241" s="32">
        <f>ROUND(IF(AQ241="2",BI241,0),2)</f>
        <v>0</v>
      </c>
      <c r="AH241" s="32">
        <f>ROUND(IF(AQ241="0",BJ241,0),2)</f>
        <v>0</v>
      </c>
      <c r="AI241" s="12" t="s">
        <v>55</v>
      </c>
      <c r="AJ241" s="32">
        <f>IF(AN241=0,L241,0)</f>
        <v>0</v>
      </c>
      <c r="AK241" s="32">
        <f>IF(AN241=12,L241,0)</f>
        <v>0</v>
      </c>
      <c r="AL241" s="32">
        <f>IF(AN241=21,L241,0)</f>
        <v>0</v>
      </c>
      <c r="AN241" s="32">
        <v>21</v>
      </c>
      <c r="AO241" s="32">
        <f>H241*0.83056338</f>
        <v>0</v>
      </c>
      <c r="AP241" s="32">
        <f>H241*(1-0.83056338)</f>
        <v>0</v>
      </c>
      <c r="AQ241" s="36" t="s">
        <v>90</v>
      </c>
      <c r="AV241" s="32">
        <f>ROUND(AW241+AX241,2)</f>
        <v>0</v>
      </c>
      <c r="AW241" s="32">
        <f>ROUND(G241*AO241,2)</f>
        <v>0</v>
      </c>
      <c r="AX241" s="32">
        <f>ROUND(G241*AP241,2)</f>
        <v>0</v>
      </c>
      <c r="AY241" s="36" t="s">
        <v>507</v>
      </c>
      <c r="AZ241" s="36" t="s">
        <v>245</v>
      </c>
      <c r="BA241" s="12" t="s">
        <v>65</v>
      </c>
      <c r="BC241" s="32">
        <f>AW241+AX241</f>
        <v>0</v>
      </c>
      <c r="BD241" s="32">
        <f>H241/(100-BE241)*100</f>
        <v>0</v>
      </c>
      <c r="BE241" s="32">
        <v>0</v>
      </c>
      <c r="BF241" s="32">
        <f>P241</f>
        <v>0</v>
      </c>
      <c r="BH241" s="32">
        <f>G241*AO241</f>
        <v>0</v>
      </c>
      <c r="BI241" s="32">
        <f>G241*AP241</f>
        <v>0</v>
      </c>
      <c r="BJ241" s="32">
        <f>G241*H241</f>
        <v>0</v>
      </c>
      <c r="BK241" s="36" t="s">
        <v>66</v>
      </c>
      <c r="BL241" s="32">
        <v>725</v>
      </c>
      <c r="BW241" s="32">
        <f>I241</f>
        <v>21</v>
      </c>
      <c r="BX241" s="4" t="s">
        <v>537</v>
      </c>
    </row>
    <row r="242" spans="1:76" x14ac:dyDescent="0.25">
      <c r="A242" s="2" t="s">
        <v>538</v>
      </c>
      <c r="B242" s="3" t="s">
        <v>55</v>
      </c>
      <c r="C242" s="3" t="s">
        <v>539</v>
      </c>
      <c r="D242" s="89" t="s">
        <v>540</v>
      </c>
      <c r="E242" s="90"/>
      <c r="F242" s="3" t="s">
        <v>316</v>
      </c>
      <c r="G242" s="32">
        <v>1</v>
      </c>
      <c r="H242" s="199">
        <v>0</v>
      </c>
      <c r="I242" s="33">
        <v>21</v>
      </c>
      <c r="J242" s="32">
        <f>ROUND(G242*AO242,2)</f>
        <v>0</v>
      </c>
      <c r="K242" s="32">
        <f>ROUND(G242*AP242,2)</f>
        <v>0</v>
      </c>
      <c r="L242" s="32">
        <f>ROUND(G242*H242,2)</f>
        <v>0</v>
      </c>
      <c r="M242" s="32">
        <f>L242*(1+BW242/100)</f>
        <v>0</v>
      </c>
      <c r="N242" s="34">
        <f>IF(L649=0,0,L242/L649)</f>
        <v>0</v>
      </c>
      <c r="O242" s="32">
        <v>4.6519999999999999E-2</v>
      </c>
      <c r="P242" s="32">
        <f>G242*O242</f>
        <v>4.6519999999999999E-2</v>
      </c>
      <c r="Q242" s="35" t="s">
        <v>77</v>
      </c>
      <c r="Z242" s="32">
        <f>ROUND(IF(AQ242="5",BJ242,0),2)</f>
        <v>0</v>
      </c>
      <c r="AB242" s="32">
        <f>ROUND(IF(AQ242="1",BH242,0),2)</f>
        <v>0</v>
      </c>
      <c r="AC242" s="32">
        <f>ROUND(IF(AQ242="1",BI242,0),2)</f>
        <v>0</v>
      </c>
      <c r="AD242" s="32">
        <f>ROUND(IF(AQ242="7",BH242,0),2)</f>
        <v>0</v>
      </c>
      <c r="AE242" s="32">
        <f>ROUND(IF(AQ242="7",BI242,0),2)</f>
        <v>0</v>
      </c>
      <c r="AF242" s="32">
        <f>ROUND(IF(AQ242="2",BH242,0),2)</f>
        <v>0</v>
      </c>
      <c r="AG242" s="32">
        <f>ROUND(IF(AQ242="2",BI242,0),2)</f>
        <v>0</v>
      </c>
      <c r="AH242" s="32">
        <f>ROUND(IF(AQ242="0",BJ242,0),2)</f>
        <v>0</v>
      </c>
      <c r="AI242" s="12" t="s">
        <v>55</v>
      </c>
      <c r="AJ242" s="32">
        <f>IF(AN242=0,L242,0)</f>
        <v>0</v>
      </c>
      <c r="AK242" s="32">
        <f>IF(AN242=12,L242,0)</f>
        <v>0</v>
      </c>
      <c r="AL242" s="32">
        <f>IF(AN242=21,L242,0)</f>
        <v>0</v>
      </c>
      <c r="AN242" s="32">
        <v>21</v>
      </c>
      <c r="AO242" s="32">
        <f>H242*0.72730662</f>
        <v>0</v>
      </c>
      <c r="AP242" s="32">
        <f>H242*(1-0.72730662)</f>
        <v>0</v>
      </c>
      <c r="AQ242" s="36" t="s">
        <v>90</v>
      </c>
      <c r="AV242" s="32">
        <f>ROUND(AW242+AX242,2)</f>
        <v>0</v>
      </c>
      <c r="AW242" s="32">
        <f>ROUND(G242*AO242,2)</f>
        <v>0</v>
      </c>
      <c r="AX242" s="32">
        <f>ROUND(G242*AP242,2)</f>
        <v>0</v>
      </c>
      <c r="AY242" s="36" t="s">
        <v>507</v>
      </c>
      <c r="AZ242" s="36" t="s">
        <v>245</v>
      </c>
      <c r="BA242" s="12" t="s">
        <v>65</v>
      </c>
      <c r="BC242" s="32">
        <f>AW242+AX242</f>
        <v>0</v>
      </c>
      <c r="BD242" s="32">
        <f>H242/(100-BE242)*100</f>
        <v>0</v>
      </c>
      <c r="BE242" s="32">
        <v>0</v>
      </c>
      <c r="BF242" s="32">
        <f>P242</f>
        <v>4.6519999999999999E-2</v>
      </c>
      <c r="BH242" s="32">
        <f>G242*AO242</f>
        <v>0</v>
      </c>
      <c r="BI242" s="32">
        <f>G242*AP242</f>
        <v>0</v>
      </c>
      <c r="BJ242" s="32">
        <f>G242*H242</f>
        <v>0</v>
      </c>
      <c r="BK242" s="36" t="s">
        <v>66</v>
      </c>
      <c r="BL242" s="32">
        <v>725</v>
      </c>
      <c r="BW242" s="32">
        <f>I242</f>
        <v>21</v>
      </c>
      <c r="BX242" s="4" t="s">
        <v>540</v>
      </c>
    </row>
    <row r="243" spans="1:76" x14ac:dyDescent="0.25">
      <c r="A243" s="2" t="s">
        <v>541</v>
      </c>
      <c r="B243" s="3" t="s">
        <v>55</v>
      </c>
      <c r="C243" s="3" t="s">
        <v>542</v>
      </c>
      <c r="D243" s="89" t="s">
        <v>543</v>
      </c>
      <c r="E243" s="90"/>
      <c r="F243" s="3" t="s">
        <v>525</v>
      </c>
      <c r="G243" s="32">
        <v>1</v>
      </c>
      <c r="H243" s="199">
        <v>0</v>
      </c>
      <c r="I243" s="33">
        <v>21</v>
      </c>
      <c r="J243" s="32">
        <f>ROUND(G243*AO243,2)</f>
        <v>0</v>
      </c>
      <c r="K243" s="32">
        <f>ROUND(G243*AP243,2)</f>
        <v>0</v>
      </c>
      <c r="L243" s="32">
        <f>ROUND(G243*H243,2)</f>
        <v>0</v>
      </c>
      <c r="M243" s="32">
        <f>L243*(1+BW243/100)</f>
        <v>0</v>
      </c>
      <c r="N243" s="34">
        <f>IF(L649=0,0,L243/L649)</f>
        <v>0</v>
      </c>
      <c r="O243" s="32">
        <v>1.652E-2</v>
      </c>
      <c r="P243" s="32">
        <f>G243*O243</f>
        <v>1.652E-2</v>
      </c>
      <c r="Q243" s="35" t="s">
        <v>77</v>
      </c>
      <c r="Z243" s="32">
        <f>ROUND(IF(AQ243="5",BJ243,0),2)</f>
        <v>0</v>
      </c>
      <c r="AB243" s="32">
        <f>ROUND(IF(AQ243="1",BH243,0),2)</f>
        <v>0</v>
      </c>
      <c r="AC243" s="32">
        <f>ROUND(IF(AQ243="1",BI243,0),2)</f>
        <v>0</v>
      </c>
      <c r="AD243" s="32">
        <f>ROUND(IF(AQ243="7",BH243,0),2)</f>
        <v>0</v>
      </c>
      <c r="AE243" s="32">
        <f>ROUND(IF(AQ243="7",BI243,0),2)</f>
        <v>0</v>
      </c>
      <c r="AF243" s="32">
        <f>ROUND(IF(AQ243="2",BH243,0),2)</f>
        <v>0</v>
      </c>
      <c r="AG243" s="32">
        <f>ROUND(IF(AQ243="2",BI243,0),2)</f>
        <v>0</v>
      </c>
      <c r="AH243" s="32">
        <f>ROUND(IF(AQ243="0",BJ243,0),2)</f>
        <v>0</v>
      </c>
      <c r="AI243" s="12" t="s">
        <v>55</v>
      </c>
      <c r="AJ243" s="32">
        <f>IF(AN243=0,L243,0)</f>
        <v>0</v>
      </c>
      <c r="AK243" s="32">
        <f>IF(AN243=12,L243,0)</f>
        <v>0</v>
      </c>
      <c r="AL243" s="32">
        <f>IF(AN243=21,L243,0)</f>
        <v>0</v>
      </c>
      <c r="AN243" s="32">
        <v>21</v>
      </c>
      <c r="AO243" s="32">
        <f>H243*0.727318296</f>
        <v>0</v>
      </c>
      <c r="AP243" s="32">
        <f>H243*(1-0.727318296)</f>
        <v>0</v>
      </c>
      <c r="AQ243" s="36" t="s">
        <v>90</v>
      </c>
      <c r="AV243" s="32">
        <f>ROUND(AW243+AX243,2)</f>
        <v>0</v>
      </c>
      <c r="AW243" s="32">
        <f>ROUND(G243*AO243,2)</f>
        <v>0</v>
      </c>
      <c r="AX243" s="32">
        <f>ROUND(G243*AP243,2)</f>
        <v>0</v>
      </c>
      <c r="AY243" s="36" t="s">
        <v>507</v>
      </c>
      <c r="AZ243" s="36" t="s">
        <v>245</v>
      </c>
      <c r="BA243" s="12" t="s">
        <v>65</v>
      </c>
      <c r="BC243" s="32">
        <f>AW243+AX243</f>
        <v>0</v>
      </c>
      <c r="BD243" s="32">
        <f>H243/(100-BE243)*100</f>
        <v>0</v>
      </c>
      <c r="BE243" s="32">
        <v>0</v>
      </c>
      <c r="BF243" s="32">
        <f>P243</f>
        <v>1.652E-2</v>
      </c>
      <c r="BH243" s="32">
        <f>G243*AO243</f>
        <v>0</v>
      </c>
      <c r="BI243" s="32">
        <f>G243*AP243</f>
        <v>0</v>
      </c>
      <c r="BJ243" s="32">
        <f>G243*H243</f>
        <v>0</v>
      </c>
      <c r="BK243" s="36" t="s">
        <v>66</v>
      </c>
      <c r="BL243" s="32">
        <v>725</v>
      </c>
      <c r="BW243" s="32">
        <f>I243</f>
        <v>21</v>
      </c>
      <c r="BX243" s="4" t="s">
        <v>543</v>
      </c>
    </row>
    <row r="244" spans="1:76" x14ac:dyDescent="0.25">
      <c r="A244" s="2" t="s">
        <v>544</v>
      </c>
      <c r="B244" s="3" t="s">
        <v>55</v>
      </c>
      <c r="C244" s="3" t="s">
        <v>545</v>
      </c>
      <c r="D244" s="89" t="s">
        <v>546</v>
      </c>
      <c r="E244" s="90"/>
      <c r="F244" s="3" t="s">
        <v>88</v>
      </c>
      <c r="G244" s="32">
        <v>1</v>
      </c>
      <c r="H244" s="199">
        <v>0</v>
      </c>
      <c r="I244" s="33">
        <v>21</v>
      </c>
      <c r="J244" s="32">
        <f>ROUND(G244*AO244,2)</f>
        <v>0</v>
      </c>
      <c r="K244" s="32">
        <f>ROUND(G244*AP244,2)</f>
        <v>0</v>
      </c>
      <c r="L244" s="32">
        <f>ROUND(G244*H244,2)</f>
        <v>0</v>
      </c>
      <c r="M244" s="32">
        <f>L244*(1+BW244/100)</f>
        <v>0</v>
      </c>
      <c r="N244" s="34">
        <f>IF(L649=0,0,L244/L649)</f>
        <v>0</v>
      </c>
      <c r="O244" s="32">
        <v>3.3E-4</v>
      </c>
      <c r="P244" s="32">
        <f>G244*O244</f>
        <v>3.3E-4</v>
      </c>
      <c r="Q244" s="35" t="s">
        <v>77</v>
      </c>
      <c r="Z244" s="32">
        <f>ROUND(IF(AQ244="5",BJ244,0),2)</f>
        <v>0</v>
      </c>
      <c r="AB244" s="32">
        <f>ROUND(IF(AQ244="1",BH244,0),2)</f>
        <v>0</v>
      </c>
      <c r="AC244" s="32">
        <f>ROUND(IF(AQ244="1",BI244,0),2)</f>
        <v>0</v>
      </c>
      <c r="AD244" s="32">
        <f>ROUND(IF(AQ244="7",BH244,0),2)</f>
        <v>0</v>
      </c>
      <c r="AE244" s="32">
        <f>ROUND(IF(AQ244="7",BI244,0),2)</f>
        <v>0</v>
      </c>
      <c r="AF244" s="32">
        <f>ROUND(IF(AQ244="2",BH244,0),2)</f>
        <v>0</v>
      </c>
      <c r="AG244" s="32">
        <f>ROUND(IF(AQ244="2",BI244,0),2)</f>
        <v>0</v>
      </c>
      <c r="AH244" s="32">
        <f>ROUND(IF(AQ244="0",BJ244,0),2)</f>
        <v>0</v>
      </c>
      <c r="AI244" s="12" t="s">
        <v>55</v>
      </c>
      <c r="AJ244" s="32">
        <f>IF(AN244=0,L244,0)</f>
        <v>0</v>
      </c>
      <c r="AK244" s="32">
        <f>IF(AN244=12,L244,0)</f>
        <v>0</v>
      </c>
      <c r="AL244" s="32">
        <f>IF(AN244=21,L244,0)</f>
        <v>0</v>
      </c>
      <c r="AN244" s="32">
        <v>21</v>
      </c>
      <c r="AO244" s="32">
        <f>H244*0.817939464</f>
        <v>0</v>
      </c>
      <c r="AP244" s="32">
        <f>H244*(1-0.817939464)</f>
        <v>0</v>
      </c>
      <c r="AQ244" s="36" t="s">
        <v>90</v>
      </c>
      <c r="AV244" s="32">
        <f>ROUND(AW244+AX244,2)</f>
        <v>0</v>
      </c>
      <c r="AW244" s="32">
        <f>ROUND(G244*AO244,2)</f>
        <v>0</v>
      </c>
      <c r="AX244" s="32">
        <f>ROUND(G244*AP244,2)</f>
        <v>0</v>
      </c>
      <c r="AY244" s="36" t="s">
        <v>507</v>
      </c>
      <c r="AZ244" s="36" t="s">
        <v>245</v>
      </c>
      <c r="BA244" s="12" t="s">
        <v>65</v>
      </c>
      <c r="BC244" s="32">
        <f>AW244+AX244</f>
        <v>0</v>
      </c>
      <c r="BD244" s="32">
        <f>H244/(100-BE244)*100</f>
        <v>0</v>
      </c>
      <c r="BE244" s="32">
        <v>0</v>
      </c>
      <c r="BF244" s="32">
        <f>P244</f>
        <v>3.3E-4</v>
      </c>
      <c r="BH244" s="32">
        <f>G244*AO244</f>
        <v>0</v>
      </c>
      <c r="BI244" s="32">
        <f>G244*AP244</f>
        <v>0</v>
      </c>
      <c r="BJ244" s="32">
        <f>G244*H244</f>
        <v>0</v>
      </c>
      <c r="BK244" s="36" t="s">
        <v>66</v>
      </c>
      <c r="BL244" s="32">
        <v>725</v>
      </c>
      <c r="BW244" s="32">
        <f>I244</f>
        <v>21</v>
      </c>
      <c r="BX244" s="4" t="s">
        <v>546</v>
      </c>
    </row>
    <row r="245" spans="1:76" ht="13.5" customHeight="1" x14ac:dyDescent="0.25">
      <c r="A245" s="42"/>
      <c r="C245" s="43"/>
      <c r="D245" s="95" t="s">
        <v>547</v>
      </c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7"/>
    </row>
    <row r="246" spans="1:76" x14ac:dyDescent="0.25">
      <c r="A246" s="2" t="s">
        <v>548</v>
      </c>
      <c r="B246" s="3" t="s">
        <v>55</v>
      </c>
      <c r="C246" s="3" t="s">
        <v>549</v>
      </c>
      <c r="D246" s="89" t="s">
        <v>550</v>
      </c>
      <c r="E246" s="90"/>
      <c r="F246" s="3" t="s">
        <v>525</v>
      </c>
      <c r="G246" s="32">
        <v>1</v>
      </c>
      <c r="H246" s="199">
        <v>0</v>
      </c>
      <c r="I246" s="33">
        <v>21</v>
      </c>
      <c r="J246" s="32">
        <f>ROUND(G246*AO246,2)</f>
        <v>0</v>
      </c>
      <c r="K246" s="32">
        <f>ROUND(G246*AP246,2)</f>
        <v>0</v>
      </c>
      <c r="L246" s="32">
        <f>ROUND(G246*H246,2)</f>
        <v>0</v>
      </c>
      <c r="M246" s="32">
        <f>L246*(1+BW246/100)</f>
        <v>0</v>
      </c>
      <c r="N246" s="34">
        <f>IF(L649=0,0,L246/L649)</f>
        <v>0</v>
      </c>
      <c r="O246" s="32">
        <v>1.652E-2</v>
      </c>
      <c r="P246" s="32">
        <f>G246*O246</f>
        <v>1.652E-2</v>
      </c>
      <c r="Q246" s="35" t="s">
        <v>77</v>
      </c>
      <c r="Z246" s="32">
        <f>ROUND(IF(AQ246="5",BJ246,0),2)</f>
        <v>0</v>
      </c>
      <c r="AB246" s="32">
        <f>ROUND(IF(AQ246="1",BH246,0),2)</f>
        <v>0</v>
      </c>
      <c r="AC246" s="32">
        <f>ROUND(IF(AQ246="1",BI246,0),2)</f>
        <v>0</v>
      </c>
      <c r="AD246" s="32">
        <f>ROUND(IF(AQ246="7",BH246,0),2)</f>
        <v>0</v>
      </c>
      <c r="AE246" s="32">
        <f>ROUND(IF(AQ246="7",BI246,0),2)</f>
        <v>0</v>
      </c>
      <c r="AF246" s="32">
        <f>ROUND(IF(AQ246="2",BH246,0),2)</f>
        <v>0</v>
      </c>
      <c r="AG246" s="32">
        <f>ROUND(IF(AQ246="2",BI246,0),2)</f>
        <v>0</v>
      </c>
      <c r="AH246" s="32">
        <f>ROUND(IF(AQ246="0",BJ246,0),2)</f>
        <v>0</v>
      </c>
      <c r="AI246" s="12" t="s">
        <v>55</v>
      </c>
      <c r="AJ246" s="32">
        <f>IF(AN246=0,L246,0)</f>
        <v>0</v>
      </c>
      <c r="AK246" s="32">
        <f>IF(AN246=12,L246,0)</f>
        <v>0</v>
      </c>
      <c r="AL246" s="32">
        <f>IF(AN246=21,L246,0)</f>
        <v>0</v>
      </c>
      <c r="AN246" s="32">
        <v>21</v>
      </c>
      <c r="AO246" s="32">
        <f>H246*0.72730801</f>
        <v>0</v>
      </c>
      <c r="AP246" s="32">
        <f>H246*(1-0.72730801)</f>
        <v>0</v>
      </c>
      <c r="AQ246" s="36" t="s">
        <v>90</v>
      </c>
      <c r="AV246" s="32">
        <f>ROUND(AW246+AX246,2)</f>
        <v>0</v>
      </c>
      <c r="AW246" s="32">
        <f>ROUND(G246*AO246,2)</f>
        <v>0</v>
      </c>
      <c r="AX246" s="32">
        <f>ROUND(G246*AP246,2)</f>
        <v>0</v>
      </c>
      <c r="AY246" s="36" t="s">
        <v>507</v>
      </c>
      <c r="AZ246" s="36" t="s">
        <v>245</v>
      </c>
      <c r="BA246" s="12" t="s">
        <v>65</v>
      </c>
      <c r="BC246" s="32">
        <f>AW246+AX246</f>
        <v>0</v>
      </c>
      <c r="BD246" s="32">
        <f>H246/(100-BE246)*100</f>
        <v>0</v>
      </c>
      <c r="BE246" s="32">
        <v>0</v>
      </c>
      <c r="BF246" s="32">
        <f>P246</f>
        <v>1.652E-2</v>
      </c>
      <c r="BH246" s="32">
        <f>G246*AO246</f>
        <v>0</v>
      </c>
      <c r="BI246" s="32">
        <f>G246*AP246</f>
        <v>0</v>
      </c>
      <c r="BJ246" s="32">
        <f>G246*H246</f>
        <v>0</v>
      </c>
      <c r="BK246" s="36" t="s">
        <v>66</v>
      </c>
      <c r="BL246" s="32">
        <v>725</v>
      </c>
      <c r="BW246" s="32">
        <f>I246</f>
        <v>21</v>
      </c>
      <c r="BX246" s="4" t="s">
        <v>550</v>
      </c>
    </row>
    <row r="247" spans="1:76" x14ac:dyDescent="0.25">
      <c r="A247" s="2" t="s">
        <v>551</v>
      </c>
      <c r="B247" s="3" t="s">
        <v>55</v>
      </c>
      <c r="C247" s="3" t="s">
        <v>552</v>
      </c>
      <c r="D247" s="100" t="s">
        <v>1462</v>
      </c>
      <c r="E247" s="90"/>
      <c r="F247" s="3" t="s">
        <v>88</v>
      </c>
      <c r="G247" s="32">
        <v>1</v>
      </c>
      <c r="H247" s="199">
        <v>0</v>
      </c>
      <c r="I247" s="33">
        <v>21</v>
      </c>
      <c r="J247" s="32">
        <f>ROUND(G247*AO247,2)</f>
        <v>0</v>
      </c>
      <c r="K247" s="32">
        <f>ROUND(G247*AP247,2)</f>
        <v>0</v>
      </c>
      <c r="L247" s="32">
        <f>ROUND(G247*H247,2)</f>
        <v>0</v>
      </c>
      <c r="M247" s="32">
        <f>L247*(1+BW247/100)</f>
        <v>0</v>
      </c>
      <c r="N247" s="34">
        <f>IF(L649=0,0,L247/L649)</f>
        <v>0</v>
      </c>
      <c r="O247" s="32">
        <v>1.652E-2</v>
      </c>
      <c r="P247" s="32">
        <f>G247*O247</f>
        <v>1.652E-2</v>
      </c>
      <c r="Q247" s="35"/>
      <c r="Z247" s="32">
        <f>ROUND(IF(AQ247="5",BJ247,0),2)</f>
        <v>0</v>
      </c>
      <c r="AB247" s="32">
        <f>ROUND(IF(AQ247="1",BH247,0),2)</f>
        <v>0</v>
      </c>
      <c r="AC247" s="32">
        <f>ROUND(IF(AQ247="1",BI247,0),2)</f>
        <v>0</v>
      </c>
      <c r="AD247" s="32">
        <f>ROUND(IF(AQ247="7",BH247,0),2)</f>
        <v>0</v>
      </c>
      <c r="AE247" s="32">
        <f>ROUND(IF(AQ247="7",BI247,0),2)</f>
        <v>0</v>
      </c>
      <c r="AF247" s="32">
        <f>ROUND(IF(AQ247="2",BH247,0),2)</f>
        <v>0</v>
      </c>
      <c r="AG247" s="32">
        <f>ROUND(IF(AQ247="2",BI247,0),2)</f>
        <v>0</v>
      </c>
      <c r="AH247" s="32">
        <f>ROUND(IF(AQ247="0",BJ247,0),2)</f>
        <v>0</v>
      </c>
      <c r="AI247" s="12" t="s">
        <v>55</v>
      </c>
      <c r="AJ247" s="32">
        <f>IF(AN247=0,L247,0)</f>
        <v>0</v>
      </c>
      <c r="AK247" s="32">
        <f>IF(AN247=12,L247,0)</f>
        <v>0</v>
      </c>
      <c r="AL247" s="32">
        <f>IF(AN247=21,L247,0)</f>
        <v>0</v>
      </c>
      <c r="AN247" s="32">
        <v>21</v>
      </c>
      <c r="AO247" s="32">
        <f>H247*0.727317896</f>
        <v>0</v>
      </c>
      <c r="AP247" s="32">
        <f>H247*(1-0.727317896)</f>
        <v>0</v>
      </c>
      <c r="AQ247" s="36" t="s">
        <v>90</v>
      </c>
      <c r="AV247" s="32">
        <f>ROUND(AW247+AX247,2)</f>
        <v>0</v>
      </c>
      <c r="AW247" s="32">
        <f>ROUND(G247*AO247,2)</f>
        <v>0</v>
      </c>
      <c r="AX247" s="32">
        <f>ROUND(G247*AP247,2)</f>
        <v>0</v>
      </c>
      <c r="AY247" s="36" t="s">
        <v>507</v>
      </c>
      <c r="AZ247" s="36" t="s">
        <v>245</v>
      </c>
      <c r="BA247" s="12" t="s">
        <v>65</v>
      </c>
      <c r="BC247" s="32">
        <f>AW247+AX247</f>
        <v>0</v>
      </c>
      <c r="BD247" s="32">
        <f>H247/(100-BE247)*100</f>
        <v>0</v>
      </c>
      <c r="BE247" s="32">
        <v>0</v>
      </c>
      <c r="BF247" s="32">
        <f>P247</f>
        <v>1.652E-2</v>
      </c>
      <c r="BH247" s="32">
        <f>G247*AO247</f>
        <v>0</v>
      </c>
      <c r="BI247" s="32">
        <f>G247*AP247</f>
        <v>0</v>
      </c>
      <c r="BJ247" s="32">
        <f>G247*H247</f>
        <v>0</v>
      </c>
      <c r="BK247" s="36" t="s">
        <v>66</v>
      </c>
      <c r="BL247" s="32">
        <v>725</v>
      </c>
      <c r="BW247" s="32">
        <f>I247</f>
        <v>21</v>
      </c>
      <c r="BX247" s="4" t="s">
        <v>553</v>
      </c>
    </row>
    <row r="248" spans="1:76" ht="13.5" customHeight="1" x14ac:dyDescent="0.25">
      <c r="A248" s="42"/>
      <c r="C248" s="43"/>
      <c r="D248" s="101" t="s">
        <v>454</v>
      </c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7"/>
    </row>
    <row r="249" spans="1:76" x14ac:dyDescent="0.25">
      <c r="A249" s="2" t="s">
        <v>554</v>
      </c>
      <c r="B249" s="3" t="s">
        <v>55</v>
      </c>
      <c r="C249" s="3" t="s">
        <v>555</v>
      </c>
      <c r="D249" s="89" t="s">
        <v>556</v>
      </c>
      <c r="E249" s="90"/>
      <c r="F249" s="3" t="s">
        <v>88</v>
      </c>
      <c r="G249" s="32">
        <v>2</v>
      </c>
      <c r="H249" s="199">
        <v>0</v>
      </c>
      <c r="I249" s="33">
        <v>21</v>
      </c>
      <c r="J249" s="32">
        <f>ROUND(G249*AO249,2)</f>
        <v>0</v>
      </c>
      <c r="K249" s="32">
        <f>ROUND(G249*AP249,2)</f>
        <v>0</v>
      </c>
      <c r="L249" s="32">
        <f>ROUND(G249*H249,2)</f>
        <v>0</v>
      </c>
      <c r="M249" s="32">
        <f>L249*(1+BW249/100)</f>
        <v>0</v>
      </c>
      <c r="N249" s="34">
        <f>IF(L649=0,0,L249/L649)</f>
        <v>0</v>
      </c>
      <c r="O249" s="32">
        <v>0.25768000000000002</v>
      </c>
      <c r="P249" s="32">
        <f>G249*O249</f>
        <v>0.51536000000000004</v>
      </c>
      <c r="Q249" s="35" t="s">
        <v>77</v>
      </c>
      <c r="Z249" s="32">
        <f>ROUND(IF(AQ249="5",BJ249,0),2)</f>
        <v>0</v>
      </c>
      <c r="AB249" s="32">
        <f>ROUND(IF(AQ249="1",BH249,0),2)</f>
        <v>0</v>
      </c>
      <c r="AC249" s="32">
        <f>ROUND(IF(AQ249="1",BI249,0),2)</f>
        <v>0</v>
      </c>
      <c r="AD249" s="32">
        <f>ROUND(IF(AQ249="7",BH249,0),2)</f>
        <v>0</v>
      </c>
      <c r="AE249" s="32">
        <f>ROUND(IF(AQ249="7",BI249,0),2)</f>
        <v>0</v>
      </c>
      <c r="AF249" s="32">
        <f>ROUND(IF(AQ249="2",BH249,0),2)</f>
        <v>0</v>
      </c>
      <c r="AG249" s="32">
        <f>ROUND(IF(AQ249="2",BI249,0),2)</f>
        <v>0</v>
      </c>
      <c r="AH249" s="32">
        <f>ROUND(IF(AQ249="0",BJ249,0),2)</f>
        <v>0</v>
      </c>
      <c r="AI249" s="12" t="s">
        <v>55</v>
      </c>
      <c r="AJ249" s="32">
        <f>IF(AN249=0,L249,0)</f>
        <v>0</v>
      </c>
      <c r="AK249" s="32">
        <f>IF(AN249=12,L249,0)</f>
        <v>0</v>
      </c>
      <c r="AL249" s="32">
        <f>IF(AN249=21,L249,0)</f>
        <v>0</v>
      </c>
      <c r="AN249" s="32">
        <v>21</v>
      </c>
      <c r="AO249" s="32">
        <f>H249*0.544857227</f>
        <v>0</v>
      </c>
      <c r="AP249" s="32">
        <f>H249*(1-0.544857227)</f>
        <v>0</v>
      </c>
      <c r="AQ249" s="36" t="s">
        <v>90</v>
      </c>
      <c r="AV249" s="32">
        <f>ROUND(AW249+AX249,2)</f>
        <v>0</v>
      </c>
      <c r="AW249" s="32">
        <f>ROUND(G249*AO249,2)</f>
        <v>0</v>
      </c>
      <c r="AX249" s="32">
        <f>ROUND(G249*AP249,2)</f>
        <v>0</v>
      </c>
      <c r="AY249" s="36" t="s">
        <v>507</v>
      </c>
      <c r="AZ249" s="36" t="s">
        <v>245</v>
      </c>
      <c r="BA249" s="12" t="s">
        <v>65</v>
      </c>
      <c r="BC249" s="32">
        <f>AW249+AX249</f>
        <v>0</v>
      </c>
      <c r="BD249" s="32">
        <f>H249/(100-BE249)*100</f>
        <v>0</v>
      </c>
      <c r="BE249" s="32">
        <v>0</v>
      </c>
      <c r="BF249" s="32">
        <f>P249</f>
        <v>0.51536000000000004</v>
      </c>
      <c r="BH249" s="32">
        <f>G249*AO249</f>
        <v>0</v>
      </c>
      <c r="BI249" s="32">
        <f>G249*AP249</f>
        <v>0</v>
      </c>
      <c r="BJ249" s="32">
        <f>G249*H249</f>
        <v>0</v>
      </c>
      <c r="BK249" s="36" t="s">
        <v>66</v>
      </c>
      <c r="BL249" s="32">
        <v>725</v>
      </c>
      <c r="BW249" s="32">
        <f>I249</f>
        <v>21</v>
      </c>
      <c r="BX249" s="4" t="s">
        <v>556</v>
      </c>
    </row>
    <row r="250" spans="1:76" ht="13.5" customHeight="1" x14ac:dyDescent="0.25">
      <c r="A250" s="42"/>
      <c r="C250" s="43"/>
      <c r="D250" s="95" t="s">
        <v>454</v>
      </c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7"/>
    </row>
    <row r="251" spans="1:76" x14ac:dyDescent="0.25">
      <c r="A251" s="2" t="s">
        <v>557</v>
      </c>
      <c r="B251" s="3" t="s">
        <v>55</v>
      </c>
      <c r="C251" s="3" t="s">
        <v>558</v>
      </c>
      <c r="D251" s="100" t="s">
        <v>1463</v>
      </c>
      <c r="E251" s="90"/>
      <c r="F251" s="3" t="s">
        <v>88</v>
      </c>
      <c r="G251" s="32">
        <v>1</v>
      </c>
      <c r="H251" s="199">
        <v>0</v>
      </c>
      <c r="I251" s="33">
        <v>21</v>
      </c>
      <c r="J251" s="32">
        <f>ROUND(G251*AO251,2)</f>
        <v>0</v>
      </c>
      <c r="K251" s="32">
        <f>ROUND(G251*AP251,2)</f>
        <v>0</v>
      </c>
      <c r="L251" s="32">
        <f>ROUND(G251*H251,2)</f>
        <v>0</v>
      </c>
      <c r="M251" s="32">
        <f>L251*(1+BW251/100)</f>
        <v>0</v>
      </c>
      <c r="N251" s="34">
        <f>IF(L649=0,0,L251/L649)</f>
        <v>0</v>
      </c>
      <c r="O251" s="32">
        <v>1.652E-2</v>
      </c>
      <c r="P251" s="32">
        <f>G251*O251</f>
        <v>1.652E-2</v>
      </c>
      <c r="Q251" s="35"/>
      <c r="Z251" s="32">
        <f>ROUND(IF(AQ251="5",BJ251,0),2)</f>
        <v>0</v>
      </c>
      <c r="AB251" s="32">
        <f>ROUND(IF(AQ251="1",BH251,0),2)</f>
        <v>0</v>
      </c>
      <c r="AC251" s="32">
        <f>ROUND(IF(AQ251="1",BI251,0),2)</f>
        <v>0</v>
      </c>
      <c r="AD251" s="32">
        <f>ROUND(IF(AQ251="7",BH251,0),2)</f>
        <v>0</v>
      </c>
      <c r="AE251" s="32">
        <f>ROUND(IF(AQ251="7",BI251,0),2)</f>
        <v>0</v>
      </c>
      <c r="AF251" s="32">
        <f>ROUND(IF(AQ251="2",BH251,0),2)</f>
        <v>0</v>
      </c>
      <c r="AG251" s="32">
        <f>ROUND(IF(AQ251="2",BI251,0),2)</f>
        <v>0</v>
      </c>
      <c r="AH251" s="32">
        <f>ROUND(IF(AQ251="0",BJ251,0),2)</f>
        <v>0</v>
      </c>
      <c r="AI251" s="12" t="s">
        <v>55</v>
      </c>
      <c r="AJ251" s="32">
        <f>IF(AN251=0,L251,0)</f>
        <v>0</v>
      </c>
      <c r="AK251" s="32">
        <f>IF(AN251=12,L251,0)</f>
        <v>0</v>
      </c>
      <c r="AL251" s="32">
        <f>IF(AN251=21,L251,0)</f>
        <v>0</v>
      </c>
      <c r="AN251" s="32">
        <v>21</v>
      </c>
      <c r="AO251" s="32">
        <f>H251*0.727318712</f>
        <v>0</v>
      </c>
      <c r="AP251" s="32">
        <f>H251*(1-0.727318712)</f>
        <v>0</v>
      </c>
      <c r="AQ251" s="36" t="s">
        <v>90</v>
      </c>
      <c r="AV251" s="32">
        <f>ROUND(AW251+AX251,2)</f>
        <v>0</v>
      </c>
      <c r="AW251" s="32">
        <f>ROUND(G251*AO251,2)</f>
        <v>0</v>
      </c>
      <c r="AX251" s="32">
        <f>ROUND(G251*AP251,2)</f>
        <v>0</v>
      </c>
      <c r="AY251" s="36" t="s">
        <v>507</v>
      </c>
      <c r="AZ251" s="36" t="s">
        <v>245</v>
      </c>
      <c r="BA251" s="12" t="s">
        <v>65</v>
      </c>
      <c r="BC251" s="32">
        <f>AW251+AX251</f>
        <v>0</v>
      </c>
      <c r="BD251" s="32">
        <f>H251/(100-BE251)*100</f>
        <v>0</v>
      </c>
      <c r="BE251" s="32">
        <v>0</v>
      </c>
      <c r="BF251" s="32">
        <f>P251</f>
        <v>1.652E-2</v>
      </c>
      <c r="BH251" s="32">
        <f>G251*AO251</f>
        <v>0</v>
      </c>
      <c r="BI251" s="32">
        <f>G251*AP251</f>
        <v>0</v>
      </c>
      <c r="BJ251" s="32">
        <f>G251*H251</f>
        <v>0</v>
      </c>
      <c r="BK251" s="36" t="s">
        <v>66</v>
      </c>
      <c r="BL251" s="32">
        <v>725</v>
      </c>
      <c r="BW251" s="32">
        <f>I251</f>
        <v>21</v>
      </c>
      <c r="BX251" s="4" t="s">
        <v>559</v>
      </c>
    </row>
    <row r="252" spans="1:76" ht="13.5" customHeight="1" x14ac:dyDescent="0.25">
      <c r="A252" s="42"/>
      <c r="C252" s="43"/>
      <c r="D252" s="95" t="s">
        <v>560</v>
      </c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7"/>
    </row>
    <row r="253" spans="1:76" x14ac:dyDescent="0.25">
      <c r="A253" s="2" t="s">
        <v>561</v>
      </c>
      <c r="B253" s="3" t="s">
        <v>55</v>
      </c>
      <c r="C253" s="3" t="s">
        <v>562</v>
      </c>
      <c r="D253" s="89" t="s">
        <v>563</v>
      </c>
      <c r="E253" s="90"/>
      <c r="F253" s="3" t="s">
        <v>316</v>
      </c>
      <c r="G253" s="32">
        <v>1</v>
      </c>
      <c r="H253" s="199">
        <v>0</v>
      </c>
      <c r="I253" s="33">
        <v>21</v>
      </c>
      <c r="J253" s="32">
        <f>ROUND(G253*AO253,2)</f>
        <v>0</v>
      </c>
      <c r="K253" s="32">
        <f>ROUND(G253*AP253,2)</f>
        <v>0</v>
      </c>
      <c r="L253" s="32">
        <f>ROUND(G253*H253,2)</f>
        <v>0</v>
      </c>
      <c r="M253" s="32">
        <f>L253*(1+BW253/100)</f>
        <v>0</v>
      </c>
      <c r="N253" s="34">
        <f>IF(L649=0,0,L253/L649)</f>
        <v>0</v>
      </c>
      <c r="O253" s="32">
        <v>5.3249999999999999E-2</v>
      </c>
      <c r="P253" s="32">
        <f>G253*O253</f>
        <v>5.3249999999999999E-2</v>
      </c>
      <c r="Q253" s="35" t="s">
        <v>77</v>
      </c>
      <c r="Z253" s="32">
        <f>ROUND(IF(AQ253="5",BJ253,0),2)</f>
        <v>0</v>
      </c>
      <c r="AB253" s="32">
        <f>ROUND(IF(AQ253="1",BH253,0),2)</f>
        <v>0</v>
      </c>
      <c r="AC253" s="32">
        <f>ROUND(IF(AQ253="1",BI253,0),2)</f>
        <v>0</v>
      </c>
      <c r="AD253" s="32">
        <f>ROUND(IF(AQ253="7",BH253,0),2)</f>
        <v>0</v>
      </c>
      <c r="AE253" s="32">
        <f>ROUND(IF(AQ253="7",BI253,0),2)</f>
        <v>0</v>
      </c>
      <c r="AF253" s="32">
        <f>ROUND(IF(AQ253="2",BH253,0),2)</f>
        <v>0</v>
      </c>
      <c r="AG253" s="32">
        <f>ROUND(IF(AQ253="2",BI253,0),2)</f>
        <v>0</v>
      </c>
      <c r="AH253" s="32">
        <f>ROUND(IF(AQ253="0",BJ253,0),2)</f>
        <v>0</v>
      </c>
      <c r="AI253" s="12" t="s">
        <v>55</v>
      </c>
      <c r="AJ253" s="32">
        <f>IF(AN253=0,L253,0)</f>
        <v>0</v>
      </c>
      <c r="AK253" s="32">
        <f>IF(AN253=12,L253,0)</f>
        <v>0</v>
      </c>
      <c r="AL253" s="32">
        <f>IF(AN253=21,L253,0)</f>
        <v>0</v>
      </c>
      <c r="AN253" s="32">
        <v>21</v>
      </c>
      <c r="AO253" s="32">
        <f>H253*0.748264968</f>
        <v>0</v>
      </c>
      <c r="AP253" s="32">
        <f>H253*(1-0.748264968)</f>
        <v>0</v>
      </c>
      <c r="AQ253" s="36" t="s">
        <v>90</v>
      </c>
      <c r="AV253" s="32">
        <f>ROUND(AW253+AX253,2)</f>
        <v>0</v>
      </c>
      <c r="AW253" s="32">
        <f>ROUND(G253*AO253,2)</f>
        <v>0</v>
      </c>
      <c r="AX253" s="32">
        <f>ROUND(G253*AP253,2)</f>
        <v>0</v>
      </c>
      <c r="AY253" s="36" t="s">
        <v>507</v>
      </c>
      <c r="AZ253" s="36" t="s">
        <v>245</v>
      </c>
      <c r="BA253" s="12" t="s">
        <v>65</v>
      </c>
      <c r="BC253" s="32">
        <f>AW253+AX253</f>
        <v>0</v>
      </c>
      <c r="BD253" s="32">
        <f>H253/(100-BE253)*100</f>
        <v>0</v>
      </c>
      <c r="BE253" s="32">
        <v>0</v>
      </c>
      <c r="BF253" s="32">
        <f>P253</f>
        <v>5.3249999999999999E-2</v>
      </c>
      <c r="BH253" s="32">
        <f>G253*AO253</f>
        <v>0</v>
      </c>
      <c r="BI253" s="32">
        <f>G253*AP253</f>
        <v>0</v>
      </c>
      <c r="BJ253" s="32">
        <f>G253*H253</f>
        <v>0</v>
      </c>
      <c r="BK253" s="36" t="s">
        <v>66</v>
      </c>
      <c r="BL253" s="32">
        <v>725</v>
      </c>
      <c r="BW253" s="32">
        <f>I253</f>
        <v>21</v>
      </c>
      <c r="BX253" s="4" t="s">
        <v>563</v>
      </c>
    </row>
    <row r="254" spans="1:76" ht="13.5" customHeight="1" x14ac:dyDescent="0.25">
      <c r="A254" s="42"/>
      <c r="C254" s="43"/>
      <c r="D254" s="95" t="s">
        <v>564</v>
      </c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7"/>
    </row>
    <row r="255" spans="1:76" x14ac:dyDescent="0.25">
      <c r="A255" s="2" t="s">
        <v>565</v>
      </c>
      <c r="B255" s="3" t="s">
        <v>55</v>
      </c>
      <c r="C255" s="3" t="s">
        <v>566</v>
      </c>
      <c r="D255" s="89" t="s">
        <v>567</v>
      </c>
      <c r="E255" s="90"/>
      <c r="F255" s="3" t="s">
        <v>316</v>
      </c>
      <c r="G255" s="32">
        <v>2</v>
      </c>
      <c r="H255" s="199">
        <v>0</v>
      </c>
      <c r="I255" s="33">
        <v>21</v>
      </c>
      <c r="J255" s="32">
        <f>ROUND(G255*AO255,2)</f>
        <v>0</v>
      </c>
      <c r="K255" s="32">
        <f>ROUND(G255*AP255,2)</f>
        <v>0</v>
      </c>
      <c r="L255" s="32">
        <f>ROUND(G255*H255,2)</f>
        <v>0</v>
      </c>
      <c r="M255" s="32">
        <f>L255*(1+BW255/100)</f>
        <v>0</v>
      </c>
      <c r="N255" s="34">
        <f>IF(L649=0,0,L255/L649)</f>
        <v>0</v>
      </c>
      <c r="O255" s="32">
        <v>2.4E-2</v>
      </c>
      <c r="P255" s="32">
        <f>G255*O255</f>
        <v>4.8000000000000001E-2</v>
      </c>
      <c r="Q255" s="35" t="s">
        <v>77</v>
      </c>
      <c r="Z255" s="32">
        <f>ROUND(IF(AQ255="5",BJ255,0),2)</f>
        <v>0</v>
      </c>
      <c r="AB255" s="32">
        <f>ROUND(IF(AQ255="1",BH255,0),2)</f>
        <v>0</v>
      </c>
      <c r="AC255" s="32">
        <f>ROUND(IF(AQ255="1",BI255,0),2)</f>
        <v>0</v>
      </c>
      <c r="AD255" s="32">
        <f>ROUND(IF(AQ255="7",BH255,0),2)</f>
        <v>0</v>
      </c>
      <c r="AE255" s="32">
        <f>ROUND(IF(AQ255="7",BI255,0),2)</f>
        <v>0</v>
      </c>
      <c r="AF255" s="32">
        <f>ROUND(IF(AQ255="2",BH255,0),2)</f>
        <v>0</v>
      </c>
      <c r="AG255" s="32">
        <f>ROUND(IF(AQ255="2",BI255,0),2)</f>
        <v>0</v>
      </c>
      <c r="AH255" s="32">
        <f>ROUND(IF(AQ255="0",BJ255,0),2)</f>
        <v>0</v>
      </c>
      <c r="AI255" s="12" t="s">
        <v>55</v>
      </c>
      <c r="AJ255" s="32">
        <f>IF(AN255=0,L255,0)</f>
        <v>0</v>
      </c>
      <c r="AK255" s="32">
        <f>IF(AN255=12,L255,0)</f>
        <v>0</v>
      </c>
      <c r="AL255" s="32">
        <f>IF(AN255=21,L255,0)</f>
        <v>0</v>
      </c>
      <c r="AN255" s="32">
        <v>21</v>
      </c>
      <c r="AO255" s="32">
        <f>H255*0.956927425</f>
        <v>0</v>
      </c>
      <c r="AP255" s="32">
        <f>H255*(1-0.956927425)</f>
        <v>0</v>
      </c>
      <c r="AQ255" s="36" t="s">
        <v>90</v>
      </c>
      <c r="AV255" s="32">
        <f>ROUND(AW255+AX255,2)</f>
        <v>0</v>
      </c>
      <c r="AW255" s="32">
        <f>ROUND(G255*AO255,2)</f>
        <v>0</v>
      </c>
      <c r="AX255" s="32">
        <f>ROUND(G255*AP255,2)</f>
        <v>0</v>
      </c>
      <c r="AY255" s="36" t="s">
        <v>507</v>
      </c>
      <c r="AZ255" s="36" t="s">
        <v>245</v>
      </c>
      <c r="BA255" s="12" t="s">
        <v>65</v>
      </c>
      <c r="BC255" s="32">
        <f>AW255+AX255</f>
        <v>0</v>
      </c>
      <c r="BD255" s="32">
        <f>H255/(100-BE255)*100</f>
        <v>0</v>
      </c>
      <c r="BE255" s="32">
        <v>0</v>
      </c>
      <c r="BF255" s="32">
        <f>P255</f>
        <v>4.8000000000000001E-2</v>
      </c>
      <c r="BH255" s="32">
        <f>G255*AO255</f>
        <v>0</v>
      </c>
      <c r="BI255" s="32">
        <f>G255*AP255</f>
        <v>0</v>
      </c>
      <c r="BJ255" s="32">
        <f>G255*H255</f>
        <v>0</v>
      </c>
      <c r="BK255" s="36" t="s">
        <v>66</v>
      </c>
      <c r="BL255" s="32">
        <v>725</v>
      </c>
      <c r="BW255" s="32">
        <f>I255</f>
        <v>21</v>
      </c>
      <c r="BX255" s="4" t="s">
        <v>567</v>
      </c>
    </row>
    <row r="256" spans="1:76" ht="13.5" customHeight="1" x14ac:dyDescent="0.25">
      <c r="A256" s="42"/>
      <c r="C256" s="43"/>
      <c r="D256" s="95" t="s">
        <v>568</v>
      </c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7"/>
    </row>
    <row r="257" spans="1:76" x14ac:dyDescent="0.25">
      <c r="A257" s="2" t="s">
        <v>569</v>
      </c>
      <c r="B257" s="3" t="s">
        <v>55</v>
      </c>
      <c r="C257" s="3" t="s">
        <v>570</v>
      </c>
      <c r="D257" s="89" t="s">
        <v>571</v>
      </c>
      <c r="E257" s="90"/>
      <c r="F257" s="3" t="s">
        <v>88</v>
      </c>
      <c r="G257" s="32">
        <v>1</v>
      </c>
      <c r="H257" s="199">
        <v>0</v>
      </c>
      <c r="I257" s="33">
        <v>21</v>
      </c>
      <c r="J257" s="32">
        <f>ROUND(G257*AO257,2)</f>
        <v>0</v>
      </c>
      <c r="K257" s="32">
        <f>ROUND(G257*AP257,2)</f>
        <v>0</v>
      </c>
      <c r="L257" s="32">
        <f>ROUND(G257*H257,2)</f>
        <v>0</v>
      </c>
      <c r="M257" s="32">
        <f>L257*(1+BW257/100)</f>
        <v>0</v>
      </c>
      <c r="N257" s="34">
        <f>IF(L649=0,0,L257/L649)</f>
        <v>0</v>
      </c>
      <c r="O257" s="32">
        <v>6.4099999999999999E-3</v>
      </c>
      <c r="P257" s="32">
        <f>G257*O257</f>
        <v>6.4099999999999999E-3</v>
      </c>
      <c r="Q257" s="35" t="s">
        <v>77</v>
      </c>
      <c r="Z257" s="32">
        <f>ROUND(IF(AQ257="5",BJ257,0),2)</f>
        <v>0</v>
      </c>
      <c r="AB257" s="32">
        <f>ROUND(IF(AQ257="1",BH257,0),2)</f>
        <v>0</v>
      </c>
      <c r="AC257" s="32">
        <f>ROUND(IF(AQ257="1",BI257,0),2)</f>
        <v>0</v>
      </c>
      <c r="AD257" s="32">
        <f>ROUND(IF(AQ257="7",BH257,0),2)</f>
        <v>0</v>
      </c>
      <c r="AE257" s="32">
        <f>ROUND(IF(AQ257="7",BI257,0),2)</f>
        <v>0</v>
      </c>
      <c r="AF257" s="32">
        <f>ROUND(IF(AQ257="2",BH257,0),2)</f>
        <v>0</v>
      </c>
      <c r="AG257" s="32">
        <f>ROUND(IF(AQ257="2",BI257,0),2)</f>
        <v>0</v>
      </c>
      <c r="AH257" s="32">
        <f>ROUND(IF(AQ257="0",BJ257,0),2)</f>
        <v>0</v>
      </c>
      <c r="AI257" s="12" t="s">
        <v>55</v>
      </c>
      <c r="AJ257" s="32">
        <f>IF(AN257=0,L257,0)</f>
        <v>0</v>
      </c>
      <c r="AK257" s="32">
        <f>IF(AN257=12,L257,0)</f>
        <v>0</v>
      </c>
      <c r="AL257" s="32">
        <f>IF(AN257=21,L257,0)</f>
        <v>0</v>
      </c>
      <c r="AN257" s="32">
        <v>21</v>
      </c>
      <c r="AO257" s="32">
        <f>H257*0.694528939</f>
        <v>0</v>
      </c>
      <c r="AP257" s="32">
        <f>H257*(1-0.694528939)</f>
        <v>0</v>
      </c>
      <c r="AQ257" s="36" t="s">
        <v>90</v>
      </c>
      <c r="AV257" s="32">
        <f>ROUND(AW257+AX257,2)</f>
        <v>0</v>
      </c>
      <c r="AW257" s="32">
        <f>ROUND(G257*AO257,2)</f>
        <v>0</v>
      </c>
      <c r="AX257" s="32">
        <f>ROUND(G257*AP257,2)</f>
        <v>0</v>
      </c>
      <c r="AY257" s="36" t="s">
        <v>507</v>
      </c>
      <c r="AZ257" s="36" t="s">
        <v>245</v>
      </c>
      <c r="BA257" s="12" t="s">
        <v>65</v>
      </c>
      <c r="BC257" s="32">
        <f>AW257+AX257</f>
        <v>0</v>
      </c>
      <c r="BD257" s="32">
        <f>H257/(100-BE257)*100</f>
        <v>0</v>
      </c>
      <c r="BE257" s="32">
        <v>0</v>
      </c>
      <c r="BF257" s="32">
        <f>P257</f>
        <v>6.4099999999999999E-3</v>
      </c>
      <c r="BH257" s="32">
        <f>G257*AO257</f>
        <v>0</v>
      </c>
      <c r="BI257" s="32">
        <f>G257*AP257</f>
        <v>0</v>
      </c>
      <c r="BJ257" s="32">
        <f>G257*H257</f>
        <v>0</v>
      </c>
      <c r="BK257" s="36" t="s">
        <v>66</v>
      </c>
      <c r="BL257" s="32">
        <v>725</v>
      </c>
      <c r="BW257" s="32">
        <f>I257</f>
        <v>21</v>
      </c>
      <c r="BX257" s="4" t="s">
        <v>571</v>
      </c>
    </row>
    <row r="258" spans="1:76" ht="13.5" customHeight="1" x14ac:dyDescent="0.25">
      <c r="A258" s="42"/>
      <c r="C258" s="43"/>
      <c r="D258" s="95" t="s">
        <v>454</v>
      </c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7"/>
    </row>
    <row r="259" spans="1:76" x14ac:dyDescent="0.25">
      <c r="A259" s="2" t="s">
        <v>572</v>
      </c>
      <c r="B259" s="3" t="s">
        <v>55</v>
      </c>
      <c r="C259" s="3" t="s">
        <v>573</v>
      </c>
      <c r="D259" s="89" t="s">
        <v>574</v>
      </c>
      <c r="E259" s="90"/>
      <c r="F259" s="3" t="s">
        <v>88</v>
      </c>
      <c r="G259" s="32">
        <v>1</v>
      </c>
      <c r="H259" s="199">
        <v>0</v>
      </c>
      <c r="I259" s="33">
        <v>21</v>
      </c>
      <c r="J259" s="32">
        <f t="shared" ref="J259:J265" si="78">ROUND(G259*AO259,2)</f>
        <v>0</v>
      </c>
      <c r="K259" s="32">
        <f t="shared" ref="K259:K265" si="79">ROUND(G259*AP259,2)</f>
        <v>0</v>
      </c>
      <c r="L259" s="32">
        <f t="shared" ref="L259:L265" si="80">ROUND(G259*H259,2)</f>
        <v>0</v>
      </c>
      <c r="M259" s="32">
        <f t="shared" ref="M259:M265" si="81">L259*(1+BW259/100)</f>
        <v>0</v>
      </c>
      <c r="N259" s="34">
        <f>IF(L649=0,0,L259/L649)</f>
        <v>0</v>
      </c>
      <c r="O259" s="32">
        <v>2.2000000000000001E-4</v>
      </c>
      <c r="P259" s="32">
        <f t="shared" ref="P259:P265" si="82">G259*O259</f>
        <v>2.2000000000000001E-4</v>
      </c>
      <c r="Q259" s="35" t="s">
        <v>77</v>
      </c>
      <c r="Z259" s="32">
        <f t="shared" ref="Z259:Z265" si="83">ROUND(IF(AQ259="5",BJ259,0),2)</f>
        <v>0</v>
      </c>
      <c r="AB259" s="32">
        <f t="shared" ref="AB259:AB265" si="84">ROUND(IF(AQ259="1",BH259,0),2)</f>
        <v>0</v>
      </c>
      <c r="AC259" s="32">
        <f t="shared" ref="AC259:AC265" si="85">ROUND(IF(AQ259="1",BI259,0),2)</f>
        <v>0</v>
      </c>
      <c r="AD259" s="32">
        <f t="shared" ref="AD259:AD265" si="86">ROUND(IF(AQ259="7",BH259,0),2)</f>
        <v>0</v>
      </c>
      <c r="AE259" s="32">
        <f t="shared" ref="AE259:AE265" si="87">ROUND(IF(AQ259="7",BI259,0),2)</f>
        <v>0</v>
      </c>
      <c r="AF259" s="32">
        <f t="shared" ref="AF259:AF265" si="88">ROUND(IF(AQ259="2",BH259,0),2)</f>
        <v>0</v>
      </c>
      <c r="AG259" s="32">
        <f t="shared" ref="AG259:AG265" si="89">ROUND(IF(AQ259="2",BI259,0),2)</f>
        <v>0</v>
      </c>
      <c r="AH259" s="32">
        <f t="shared" ref="AH259:AH265" si="90">ROUND(IF(AQ259="0",BJ259,0),2)</f>
        <v>0</v>
      </c>
      <c r="AI259" s="12" t="s">
        <v>55</v>
      </c>
      <c r="AJ259" s="32">
        <f t="shared" ref="AJ259:AJ265" si="91">IF(AN259=0,L259,0)</f>
        <v>0</v>
      </c>
      <c r="AK259" s="32">
        <f t="shared" ref="AK259:AK265" si="92">IF(AN259=12,L259,0)</f>
        <v>0</v>
      </c>
      <c r="AL259" s="32">
        <f t="shared" ref="AL259:AL265" si="93">IF(AN259=21,L259,0)</f>
        <v>0</v>
      </c>
      <c r="AN259" s="32">
        <v>21</v>
      </c>
      <c r="AO259" s="32">
        <f>H259*0.67711546</f>
        <v>0</v>
      </c>
      <c r="AP259" s="32">
        <f>H259*(1-0.67711546)</f>
        <v>0</v>
      </c>
      <c r="AQ259" s="36" t="s">
        <v>90</v>
      </c>
      <c r="AV259" s="32">
        <f t="shared" ref="AV259:AV265" si="94">ROUND(AW259+AX259,2)</f>
        <v>0</v>
      </c>
      <c r="AW259" s="32">
        <f t="shared" ref="AW259:AW265" si="95">ROUND(G259*AO259,2)</f>
        <v>0</v>
      </c>
      <c r="AX259" s="32">
        <f t="shared" ref="AX259:AX265" si="96">ROUND(G259*AP259,2)</f>
        <v>0</v>
      </c>
      <c r="AY259" s="36" t="s">
        <v>507</v>
      </c>
      <c r="AZ259" s="36" t="s">
        <v>245</v>
      </c>
      <c r="BA259" s="12" t="s">
        <v>65</v>
      </c>
      <c r="BC259" s="32">
        <f t="shared" ref="BC259:BC265" si="97">AW259+AX259</f>
        <v>0</v>
      </c>
      <c r="BD259" s="32">
        <f t="shared" ref="BD259:BD265" si="98">H259/(100-BE259)*100</f>
        <v>0</v>
      </c>
      <c r="BE259" s="32">
        <v>0</v>
      </c>
      <c r="BF259" s="32">
        <f t="shared" ref="BF259:BF265" si="99">P259</f>
        <v>2.2000000000000001E-4</v>
      </c>
      <c r="BH259" s="32">
        <f t="shared" ref="BH259:BH265" si="100">G259*AO259</f>
        <v>0</v>
      </c>
      <c r="BI259" s="32">
        <f t="shared" ref="BI259:BI265" si="101">G259*AP259</f>
        <v>0</v>
      </c>
      <c r="BJ259" s="32">
        <f t="shared" ref="BJ259:BJ265" si="102">G259*H259</f>
        <v>0</v>
      </c>
      <c r="BK259" s="36" t="s">
        <v>66</v>
      </c>
      <c r="BL259" s="32">
        <v>725</v>
      </c>
      <c r="BW259" s="32">
        <f t="shared" ref="BW259:BW265" si="103">I259</f>
        <v>21</v>
      </c>
      <c r="BX259" s="4" t="s">
        <v>574</v>
      </c>
    </row>
    <row r="260" spans="1:76" x14ac:dyDescent="0.25">
      <c r="A260" s="2" t="s">
        <v>575</v>
      </c>
      <c r="B260" s="3" t="s">
        <v>55</v>
      </c>
      <c r="C260" s="3" t="s">
        <v>576</v>
      </c>
      <c r="D260" s="89" t="s">
        <v>577</v>
      </c>
      <c r="E260" s="90"/>
      <c r="F260" s="3" t="s">
        <v>88</v>
      </c>
      <c r="G260" s="32">
        <v>2</v>
      </c>
      <c r="H260" s="199">
        <v>0</v>
      </c>
      <c r="I260" s="33">
        <v>21</v>
      </c>
      <c r="J260" s="32">
        <f t="shared" si="78"/>
        <v>0</v>
      </c>
      <c r="K260" s="32">
        <f t="shared" si="79"/>
        <v>0</v>
      </c>
      <c r="L260" s="32">
        <f t="shared" si="80"/>
        <v>0</v>
      </c>
      <c r="M260" s="32">
        <f t="shared" si="81"/>
        <v>0</v>
      </c>
      <c r="N260" s="34">
        <f>IF(L649=0,0,L260/L649)</f>
        <v>0</v>
      </c>
      <c r="O260" s="32">
        <v>3.1800000000000001E-3</v>
      </c>
      <c r="P260" s="32">
        <f t="shared" si="82"/>
        <v>6.3600000000000002E-3</v>
      </c>
      <c r="Q260" s="35" t="s">
        <v>77</v>
      </c>
      <c r="Z260" s="32">
        <f t="shared" si="83"/>
        <v>0</v>
      </c>
      <c r="AB260" s="32">
        <f t="shared" si="84"/>
        <v>0</v>
      </c>
      <c r="AC260" s="32">
        <f t="shared" si="85"/>
        <v>0</v>
      </c>
      <c r="AD260" s="32">
        <f t="shared" si="86"/>
        <v>0</v>
      </c>
      <c r="AE260" s="32">
        <f t="shared" si="87"/>
        <v>0</v>
      </c>
      <c r="AF260" s="32">
        <f t="shared" si="88"/>
        <v>0</v>
      </c>
      <c r="AG260" s="32">
        <f t="shared" si="89"/>
        <v>0</v>
      </c>
      <c r="AH260" s="32">
        <f t="shared" si="90"/>
        <v>0</v>
      </c>
      <c r="AI260" s="12" t="s">
        <v>55</v>
      </c>
      <c r="AJ260" s="32">
        <f t="shared" si="91"/>
        <v>0</v>
      </c>
      <c r="AK260" s="32">
        <f t="shared" si="92"/>
        <v>0</v>
      </c>
      <c r="AL260" s="32">
        <f t="shared" si="93"/>
        <v>0</v>
      </c>
      <c r="AN260" s="32">
        <v>21</v>
      </c>
      <c r="AO260" s="32">
        <f>H260*0.444864299</f>
        <v>0</v>
      </c>
      <c r="AP260" s="32">
        <f>H260*(1-0.444864299)</f>
        <v>0</v>
      </c>
      <c r="AQ260" s="36" t="s">
        <v>90</v>
      </c>
      <c r="AV260" s="32">
        <f t="shared" si="94"/>
        <v>0</v>
      </c>
      <c r="AW260" s="32">
        <f t="shared" si="95"/>
        <v>0</v>
      </c>
      <c r="AX260" s="32">
        <f t="shared" si="96"/>
        <v>0</v>
      </c>
      <c r="AY260" s="36" t="s">
        <v>507</v>
      </c>
      <c r="AZ260" s="36" t="s">
        <v>245</v>
      </c>
      <c r="BA260" s="12" t="s">
        <v>65</v>
      </c>
      <c r="BC260" s="32">
        <f t="shared" si="97"/>
        <v>0</v>
      </c>
      <c r="BD260" s="32">
        <f t="shared" si="98"/>
        <v>0</v>
      </c>
      <c r="BE260" s="32">
        <v>0</v>
      </c>
      <c r="BF260" s="32">
        <f t="shared" si="99"/>
        <v>6.3600000000000002E-3</v>
      </c>
      <c r="BH260" s="32">
        <f t="shared" si="100"/>
        <v>0</v>
      </c>
      <c r="BI260" s="32">
        <f t="shared" si="101"/>
        <v>0</v>
      </c>
      <c r="BJ260" s="32">
        <f t="shared" si="102"/>
        <v>0</v>
      </c>
      <c r="BK260" s="36" t="s">
        <v>66</v>
      </c>
      <c r="BL260" s="32">
        <v>725</v>
      </c>
      <c r="BW260" s="32">
        <f t="shared" si="103"/>
        <v>21</v>
      </c>
      <c r="BX260" s="4" t="s">
        <v>577</v>
      </c>
    </row>
    <row r="261" spans="1:76" x14ac:dyDescent="0.25">
      <c r="A261" s="2" t="s">
        <v>578</v>
      </c>
      <c r="B261" s="3" t="s">
        <v>55</v>
      </c>
      <c r="C261" s="3" t="s">
        <v>579</v>
      </c>
      <c r="D261" s="89" t="s">
        <v>580</v>
      </c>
      <c r="E261" s="90"/>
      <c r="F261" s="3" t="s">
        <v>88</v>
      </c>
      <c r="G261" s="32">
        <v>4</v>
      </c>
      <c r="H261" s="199">
        <v>0</v>
      </c>
      <c r="I261" s="33">
        <v>21</v>
      </c>
      <c r="J261" s="32">
        <f t="shared" si="78"/>
        <v>0</v>
      </c>
      <c r="K261" s="32">
        <f t="shared" si="79"/>
        <v>0</v>
      </c>
      <c r="L261" s="32">
        <f t="shared" si="80"/>
        <v>0</v>
      </c>
      <c r="M261" s="32">
        <f t="shared" si="81"/>
        <v>0</v>
      </c>
      <c r="N261" s="34">
        <f>IF(L649=0,0,L261/L649)</f>
        <v>0</v>
      </c>
      <c r="O261" s="32">
        <v>1.41E-3</v>
      </c>
      <c r="P261" s="32">
        <f t="shared" si="82"/>
        <v>5.64E-3</v>
      </c>
      <c r="Q261" s="35" t="s">
        <v>77</v>
      </c>
      <c r="Z261" s="32">
        <f t="shared" si="83"/>
        <v>0</v>
      </c>
      <c r="AB261" s="32">
        <f t="shared" si="84"/>
        <v>0</v>
      </c>
      <c r="AC261" s="32">
        <f t="shared" si="85"/>
        <v>0</v>
      </c>
      <c r="AD261" s="32">
        <f t="shared" si="86"/>
        <v>0</v>
      </c>
      <c r="AE261" s="32">
        <f t="shared" si="87"/>
        <v>0</v>
      </c>
      <c r="AF261" s="32">
        <f t="shared" si="88"/>
        <v>0</v>
      </c>
      <c r="AG261" s="32">
        <f t="shared" si="89"/>
        <v>0</v>
      </c>
      <c r="AH261" s="32">
        <f t="shared" si="90"/>
        <v>0</v>
      </c>
      <c r="AI261" s="12" t="s">
        <v>55</v>
      </c>
      <c r="AJ261" s="32">
        <f t="shared" si="91"/>
        <v>0</v>
      </c>
      <c r="AK261" s="32">
        <f t="shared" si="92"/>
        <v>0</v>
      </c>
      <c r="AL261" s="32">
        <f t="shared" si="93"/>
        <v>0</v>
      </c>
      <c r="AN261" s="32">
        <v>21</v>
      </c>
      <c r="AO261" s="32">
        <f>H261*0.398630726</f>
        <v>0</v>
      </c>
      <c r="AP261" s="32">
        <f>H261*(1-0.398630726)</f>
        <v>0</v>
      </c>
      <c r="AQ261" s="36" t="s">
        <v>90</v>
      </c>
      <c r="AV261" s="32">
        <f t="shared" si="94"/>
        <v>0</v>
      </c>
      <c r="AW261" s="32">
        <f t="shared" si="95"/>
        <v>0</v>
      </c>
      <c r="AX261" s="32">
        <f t="shared" si="96"/>
        <v>0</v>
      </c>
      <c r="AY261" s="36" t="s">
        <v>507</v>
      </c>
      <c r="AZ261" s="36" t="s">
        <v>245</v>
      </c>
      <c r="BA261" s="12" t="s">
        <v>65</v>
      </c>
      <c r="BC261" s="32">
        <f t="shared" si="97"/>
        <v>0</v>
      </c>
      <c r="BD261" s="32">
        <f t="shared" si="98"/>
        <v>0</v>
      </c>
      <c r="BE261" s="32">
        <v>0</v>
      </c>
      <c r="BF261" s="32">
        <f t="shared" si="99"/>
        <v>5.64E-3</v>
      </c>
      <c r="BH261" s="32">
        <f t="shared" si="100"/>
        <v>0</v>
      </c>
      <c r="BI261" s="32">
        <f t="shared" si="101"/>
        <v>0</v>
      </c>
      <c r="BJ261" s="32">
        <f t="shared" si="102"/>
        <v>0</v>
      </c>
      <c r="BK261" s="36" t="s">
        <v>66</v>
      </c>
      <c r="BL261" s="32">
        <v>725</v>
      </c>
      <c r="BW261" s="32">
        <f t="shared" si="103"/>
        <v>21</v>
      </c>
      <c r="BX261" s="4" t="s">
        <v>580</v>
      </c>
    </row>
    <row r="262" spans="1:76" x14ac:dyDescent="0.25">
      <c r="A262" s="2" t="s">
        <v>581</v>
      </c>
      <c r="B262" s="3" t="s">
        <v>55</v>
      </c>
      <c r="C262" s="3" t="s">
        <v>582</v>
      </c>
      <c r="D262" s="89" t="s">
        <v>583</v>
      </c>
      <c r="E262" s="90"/>
      <c r="F262" s="3" t="s">
        <v>88</v>
      </c>
      <c r="G262" s="32">
        <v>3</v>
      </c>
      <c r="H262" s="199">
        <v>0</v>
      </c>
      <c r="I262" s="33">
        <v>21</v>
      </c>
      <c r="J262" s="32">
        <f t="shared" si="78"/>
        <v>0</v>
      </c>
      <c r="K262" s="32">
        <f t="shared" si="79"/>
        <v>0</v>
      </c>
      <c r="L262" s="32">
        <f t="shared" si="80"/>
        <v>0</v>
      </c>
      <c r="M262" s="32">
        <f t="shared" si="81"/>
        <v>0</v>
      </c>
      <c r="N262" s="34">
        <f>IF(L649=0,0,L262/L649)</f>
        <v>0</v>
      </c>
      <c r="O262" s="32">
        <v>1.57E-3</v>
      </c>
      <c r="P262" s="32">
        <f t="shared" si="82"/>
        <v>4.7099999999999998E-3</v>
      </c>
      <c r="Q262" s="35" t="s">
        <v>77</v>
      </c>
      <c r="Z262" s="32">
        <f t="shared" si="83"/>
        <v>0</v>
      </c>
      <c r="AB262" s="32">
        <f t="shared" si="84"/>
        <v>0</v>
      </c>
      <c r="AC262" s="32">
        <f t="shared" si="85"/>
        <v>0</v>
      </c>
      <c r="AD262" s="32">
        <f t="shared" si="86"/>
        <v>0</v>
      </c>
      <c r="AE262" s="32">
        <f t="shared" si="87"/>
        <v>0</v>
      </c>
      <c r="AF262" s="32">
        <f t="shared" si="88"/>
        <v>0</v>
      </c>
      <c r="AG262" s="32">
        <f t="shared" si="89"/>
        <v>0</v>
      </c>
      <c r="AH262" s="32">
        <f t="shared" si="90"/>
        <v>0</v>
      </c>
      <c r="AI262" s="12" t="s">
        <v>55</v>
      </c>
      <c r="AJ262" s="32">
        <f t="shared" si="91"/>
        <v>0</v>
      </c>
      <c r="AK262" s="32">
        <f t="shared" si="92"/>
        <v>0</v>
      </c>
      <c r="AL262" s="32">
        <f t="shared" si="93"/>
        <v>0</v>
      </c>
      <c r="AN262" s="32">
        <v>21</v>
      </c>
      <c r="AO262" s="32">
        <f>H262*0.191773082</f>
        <v>0</v>
      </c>
      <c r="AP262" s="32">
        <f>H262*(1-0.191773082)</f>
        <v>0</v>
      </c>
      <c r="AQ262" s="36" t="s">
        <v>90</v>
      </c>
      <c r="AV262" s="32">
        <f t="shared" si="94"/>
        <v>0</v>
      </c>
      <c r="AW262" s="32">
        <f t="shared" si="95"/>
        <v>0</v>
      </c>
      <c r="AX262" s="32">
        <f t="shared" si="96"/>
        <v>0</v>
      </c>
      <c r="AY262" s="36" t="s">
        <v>507</v>
      </c>
      <c r="AZ262" s="36" t="s">
        <v>245</v>
      </c>
      <c r="BA262" s="12" t="s">
        <v>65</v>
      </c>
      <c r="BC262" s="32">
        <f t="shared" si="97"/>
        <v>0</v>
      </c>
      <c r="BD262" s="32">
        <f t="shared" si="98"/>
        <v>0</v>
      </c>
      <c r="BE262" s="32">
        <v>0</v>
      </c>
      <c r="BF262" s="32">
        <f t="shared" si="99"/>
        <v>4.7099999999999998E-3</v>
      </c>
      <c r="BH262" s="32">
        <f t="shared" si="100"/>
        <v>0</v>
      </c>
      <c r="BI262" s="32">
        <f t="shared" si="101"/>
        <v>0</v>
      </c>
      <c r="BJ262" s="32">
        <f t="shared" si="102"/>
        <v>0</v>
      </c>
      <c r="BK262" s="36" t="s">
        <v>66</v>
      </c>
      <c r="BL262" s="32">
        <v>725</v>
      </c>
      <c r="BW262" s="32">
        <f t="shared" si="103"/>
        <v>21</v>
      </c>
      <c r="BX262" s="4" t="s">
        <v>583</v>
      </c>
    </row>
    <row r="263" spans="1:76" x14ac:dyDescent="0.25">
      <c r="A263" s="2" t="s">
        <v>584</v>
      </c>
      <c r="B263" s="3" t="s">
        <v>55</v>
      </c>
      <c r="C263" s="3" t="s">
        <v>585</v>
      </c>
      <c r="D263" s="89" t="s">
        <v>586</v>
      </c>
      <c r="E263" s="90"/>
      <c r="F263" s="3" t="s">
        <v>88</v>
      </c>
      <c r="G263" s="32">
        <v>1</v>
      </c>
      <c r="H263" s="199">
        <v>0</v>
      </c>
      <c r="I263" s="33">
        <v>21</v>
      </c>
      <c r="J263" s="32">
        <f t="shared" si="78"/>
        <v>0</v>
      </c>
      <c r="K263" s="32">
        <f t="shared" si="79"/>
        <v>0</v>
      </c>
      <c r="L263" s="32">
        <f t="shared" si="80"/>
        <v>0</v>
      </c>
      <c r="M263" s="32">
        <f t="shared" si="81"/>
        <v>0</v>
      </c>
      <c r="N263" s="34">
        <f>IF(L649=0,0,L263/L649)</f>
        <v>0</v>
      </c>
      <c r="O263" s="32">
        <v>0</v>
      </c>
      <c r="P263" s="32">
        <f t="shared" si="82"/>
        <v>0</v>
      </c>
      <c r="Q263" s="35" t="s">
        <v>77</v>
      </c>
      <c r="Z263" s="32">
        <f t="shared" si="83"/>
        <v>0</v>
      </c>
      <c r="AB263" s="32">
        <f t="shared" si="84"/>
        <v>0</v>
      </c>
      <c r="AC263" s="32">
        <f t="shared" si="85"/>
        <v>0</v>
      </c>
      <c r="AD263" s="32">
        <f t="shared" si="86"/>
        <v>0</v>
      </c>
      <c r="AE263" s="32">
        <f t="shared" si="87"/>
        <v>0</v>
      </c>
      <c r="AF263" s="32">
        <f t="shared" si="88"/>
        <v>0</v>
      </c>
      <c r="AG263" s="32">
        <f t="shared" si="89"/>
        <v>0</v>
      </c>
      <c r="AH263" s="32">
        <f t="shared" si="90"/>
        <v>0</v>
      </c>
      <c r="AI263" s="12" t="s">
        <v>55</v>
      </c>
      <c r="AJ263" s="32">
        <f t="shared" si="91"/>
        <v>0</v>
      </c>
      <c r="AK263" s="32">
        <f t="shared" si="92"/>
        <v>0</v>
      </c>
      <c r="AL263" s="32">
        <f t="shared" si="93"/>
        <v>0</v>
      </c>
      <c r="AN263" s="32">
        <v>21</v>
      </c>
      <c r="AO263" s="32">
        <f>H263*0.646430579</f>
        <v>0</v>
      </c>
      <c r="AP263" s="32">
        <f>H263*(1-0.646430579)</f>
        <v>0</v>
      </c>
      <c r="AQ263" s="36" t="s">
        <v>90</v>
      </c>
      <c r="AV263" s="32">
        <f t="shared" si="94"/>
        <v>0</v>
      </c>
      <c r="AW263" s="32">
        <f t="shared" si="95"/>
        <v>0</v>
      </c>
      <c r="AX263" s="32">
        <f t="shared" si="96"/>
        <v>0</v>
      </c>
      <c r="AY263" s="36" t="s">
        <v>507</v>
      </c>
      <c r="AZ263" s="36" t="s">
        <v>245</v>
      </c>
      <c r="BA263" s="12" t="s">
        <v>65</v>
      </c>
      <c r="BC263" s="32">
        <f t="shared" si="97"/>
        <v>0</v>
      </c>
      <c r="BD263" s="32">
        <f t="shared" si="98"/>
        <v>0</v>
      </c>
      <c r="BE263" s="32">
        <v>0</v>
      </c>
      <c r="BF263" s="32">
        <f t="shared" si="99"/>
        <v>0</v>
      </c>
      <c r="BH263" s="32">
        <f t="shared" si="100"/>
        <v>0</v>
      </c>
      <c r="BI263" s="32">
        <f t="shared" si="101"/>
        <v>0</v>
      </c>
      <c r="BJ263" s="32">
        <f t="shared" si="102"/>
        <v>0</v>
      </c>
      <c r="BK263" s="36" t="s">
        <v>66</v>
      </c>
      <c r="BL263" s="32">
        <v>725</v>
      </c>
      <c r="BW263" s="32">
        <f t="shared" si="103"/>
        <v>21</v>
      </c>
      <c r="BX263" s="4" t="s">
        <v>586</v>
      </c>
    </row>
    <row r="264" spans="1:76" x14ac:dyDescent="0.25">
      <c r="A264" s="2" t="s">
        <v>587</v>
      </c>
      <c r="B264" s="3" t="s">
        <v>55</v>
      </c>
      <c r="C264" s="3" t="s">
        <v>588</v>
      </c>
      <c r="D264" s="89" t="s">
        <v>589</v>
      </c>
      <c r="E264" s="90"/>
      <c r="F264" s="3" t="s">
        <v>88</v>
      </c>
      <c r="G264" s="32">
        <v>4</v>
      </c>
      <c r="H264" s="199">
        <v>0</v>
      </c>
      <c r="I264" s="33">
        <v>21</v>
      </c>
      <c r="J264" s="32">
        <f t="shared" si="78"/>
        <v>0</v>
      </c>
      <c r="K264" s="32">
        <f t="shared" si="79"/>
        <v>0</v>
      </c>
      <c r="L264" s="32">
        <f t="shared" si="80"/>
        <v>0</v>
      </c>
      <c r="M264" s="32">
        <f t="shared" si="81"/>
        <v>0</v>
      </c>
      <c r="N264" s="34">
        <f>IF(L649=0,0,L264/L649)</f>
        <v>0</v>
      </c>
      <c r="O264" s="32">
        <v>4.0000000000000003E-5</v>
      </c>
      <c r="P264" s="32">
        <f t="shared" si="82"/>
        <v>1.6000000000000001E-4</v>
      </c>
      <c r="Q264" s="35" t="s">
        <v>77</v>
      </c>
      <c r="Z264" s="32">
        <f t="shared" si="83"/>
        <v>0</v>
      </c>
      <c r="AB264" s="32">
        <f t="shared" si="84"/>
        <v>0</v>
      </c>
      <c r="AC264" s="32">
        <f t="shared" si="85"/>
        <v>0</v>
      </c>
      <c r="AD264" s="32">
        <f t="shared" si="86"/>
        <v>0</v>
      </c>
      <c r="AE264" s="32">
        <f t="shared" si="87"/>
        <v>0</v>
      </c>
      <c r="AF264" s="32">
        <f t="shared" si="88"/>
        <v>0</v>
      </c>
      <c r="AG264" s="32">
        <f t="shared" si="89"/>
        <v>0</v>
      </c>
      <c r="AH264" s="32">
        <f t="shared" si="90"/>
        <v>0</v>
      </c>
      <c r="AI264" s="12" t="s">
        <v>55</v>
      </c>
      <c r="AJ264" s="32">
        <f t="shared" si="91"/>
        <v>0</v>
      </c>
      <c r="AK264" s="32">
        <f t="shared" si="92"/>
        <v>0</v>
      </c>
      <c r="AL264" s="32">
        <f t="shared" si="93"/>
        <v>0</v>
      </c>
      <c r="AN264" s="32">
        <v>21</v>
      </c>
      <c r="AO264" s="32">
        <f>H264*0.031931624</f>
        <v>0</v>
      </c>
      <c r="AP264" s="32">
        <f>H264*(1-0.031931624)</f>
        <v>0</v>
      </c>
      <c r="AQ264" s="36" t="s">
        <v>90</v>
      </c>
      <c r="AV264" s="32">
        <f t="shared" si="94"/>
        <v>0</v>
      </c>
      <c r="AW264" s="32">
        <f t="shared" si="95"/>
        <v>0</v>
      </c>
      <c r="AX264" s="32">
        <f t="shared" si="96"/>
        <v>0</v>
      </c>
      <c r="AY264" s="36" t="s">
        <v>507</v>
      </c>
      <c r="AZ264" s="36" t="s">
        <v>245</v>
      </c>
      <c r="BA264" s="12" t="s">
        <v>65</v>
      </c>
      <c r="BC264" s="32">
        <f t="shared" si="97"/>
        <v>0</v>
      </c>
      <c r="BD264" s="32">
        <f t="shared" si="98"/>
        <v>0</v>
      </c>
      <c r="BE264" s="32">
        <v>0</v>
      </c>
      <c r="BF264" s="32">
        <f t="shared" si="99"/>
        <v>1.6000000000000001E-4</v>
      </c>
      <c r="BH264" s="32">
        <f t="shared" si="100"/>
        <v>0</v>
      </c>
      <c r="BI264" s="32">
        <f t="shared" si="101"/>
        <v>0</v>
      </c>
      <c r="BJ264" s="32">
        <f t="shared" si="102"/>
        <v>0</v>
      </c>
      <c r="BK264" s="36" t="s">
        <v>66</v>
      </c>
      <c r="BL264" s="32">
        <v>725</v>
      </c>
      <c r="BW264" s="32">
        <f t="shared" si="103"/>
        <v>21</v>
      </c>
      <c r="BX264" s="4" t="s">
        <v>589</v>
      </c>
    </row>
    <row r="265" spans="1:76" x14ac:dyDescent="0.25">
      <c r="A265" s="2" t="s">
        <v>590</v>
      </c>
      <c r="B265" s="3" t="s">
        <v>55</v>
      </c>
      <c r="C265" s="3" t="s">
        <v>591</v>
      </c>
      <c r="D265" s="89" t="s">
        <v>592</v>
      </c>
      <c r="E265" s="90"/>
      <c r="F265" s="3" t="s">
        <v>88</v>
      </c>
      <c r="G265" s="32">
        <v>3</v>
      </c>
      <c r="H265" s="199">
        <v>0</v>
      </c>
      <c r="I265" s="33">
        <v>21</v>
      </c>
      <c r="J265" s="32">
        <f t="shared" si="78"/>
        <v>0</v>
      </c>
      <c r="K265" s="32">
        <f t="shared" si="79"/>
        <v>0</v>
      </c>
      <c r="L265" s="32">
        <f t="shared" si="80"/>
        <v>0</v>
      </c>
      <c r="M265" s="32">
        <f t="shared" si="81"/>
        <v>0</v>
      </c>
      <c r="N265" s="34">
        <f>IF(L649=0,0,L265/L649)</f>
        <v>0</v>
      </c>
      <c r="O265" s="32">
        <v>8.4999999999999995E-4</v>
      </c>
      <c r="P265" s="32">
        <f t="shared" si="82"/>
        <v>2.5499999999999997E-3</v>
      </c>
      <c r="Q265" s="35" t="s">
        <v>77</v>
      </c>
      <c r="Z265" s="32">
        <f t="shared" si="83"/>
        <v>0</v>
      </c>
      <c r="AB265" s="32">
        <f t="shared" si="84"/>
        <v>0</v>
      </c>
      <c r="AC265" s="32">
        <f t="shared" si="85"/>
        <v>0</v>
      </c>
      <c r="AD265" s="32">
        <f t="shared" si="86"/>
        <v>0</v>
      </c>
      <c r="AE265" s="32">
        <f t="shared" si="87"/>
        <v>0</v>
      </c>
      <c r="AF265" s="32">
        <f t="shared" si="88"/>
        <v>0</v>
      </c>
      <c r="AG265" s="32">
        <f t="shared" si="89"/>
        <v>0</v>
      </c>
      <c r="AH265" s="32">
        <f t="shared" si="90"/>
        <v>0</v>
      </c>
      <c r="AI265" s="12" t="s">
        <v>55</v>
      </c>
      <c r="AJ265" s="32">
        <f t="shared" si="91"/>
        <v>0</v>
      </c>
      <c r="AK265" s="32">
        <f t="shared" si="92"/>
        <v>0</v>
      </c>
      <c r="AL265" s="32">
        <f t="shared" si="93"/>
        <v>0</v>
      </c>
      <c r="AN265" s="32">
        <v>21</v>
      </c>
      <c r="AO265" s="32">
        <f>H265*0.854912821</f>
        <v>0</v>
      </c>
      <c r="AP265" s="32">
        <f>H265*(1-0.854912821)</f>
        <v>0</v>
      </c>
      <c r="AQ265" s="36" t="s">
        <v>90</v>
      </c>
      <c r="AV265" s="32">
        <f t="shared" si="94"/>
        <v>0</v>
      </c>
      <c r="AW265" s="32">
        <f t="shared" si="95"/>
        <v>0</v>
      </c>
      <c r="AX265" s="32">
        <f t="shared" si="96"/>
        <v>0</v>
      </c>
      <c r="AY265" s="36" t="s">
        <v>507</v>
      </c>
      <c r="AZ265" s="36" t="s">
        <v>245</v>
      </c>
      <c r="BA265" s="12" t="s">
        <v>65</v>
      </c>
      <c r="BC265" s="32">
        <f t="shared" si="97"/>
        <v>0</v>
      </c>
      <c r="BD265" s="32">
        <f t="shared" si="98"/>
        <v>0</v>
      </c>
      <c r="BE265" s="32">
        <v>0</v>
      </c>
      <c r="BF265" s="32">
        <f t="shared" si="99"/>
        <v>2.5499999999999997E-3</v>
      </c>
      <c r="BH265" s="32">
        <f t="shared" si="100"/>
        <v>0</v>
      </c>
      <c r="BI265" s="32">
        <f t="shared" si="101"/>
        <v>0</v>
      </c>
      <c r="BJ265" s="32">
        <f t="shared" si="102"/>
        <v>0</v>
      </c>
      <c r="BK265" s="36" t="s">
        <v>66</v>
      </c>
      <c r="BL265" s="32">
        <v>725</v>
      </c>
      <c r="BW265" s="32">
        <f t="shared" si="103"/>
        <v>21</v>
      </c>
      <c r="BX265" s="4" t="s">
        <v>592</v>
      </c>
    </row>
    <row r="266" spans="1:76" ht="13.5" customHeight="1" x14ac:dyDescent="0.25">
      <c r="A266" s="42"/>
      <c r="C266" s="43"/>
      <c r="D266" s="95" t="s">
        <v>593</v>
      </c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7"/>
    </row>
    <row r="267" spans="1:76" x14ac:dyDescent="0.25">
      <c r="A267" s="2" t="s">
        <v>594</v>
      </c>
      <c r="B267" s="3" t="s">
        <v>55</v>
      </c>
      <c r="C267" s="3" t="s">
        <v>595</v>
      </c>
      <c r="D267" s="89" t="s">
        <v>596</v>
      </c>
      <c r="E267" s="90"/>
      <c r="F267" s="3" t="s">
        <v>525</v>
      </c>
      <c r="G267" s="32">
        <v>4</v>
      </c>
      <c r="H267" s="199">
        <v>0</v>
      </c>
      <c r="I267" s="33">
        <v>21</v>
      </c>
      <c r="J267" s="32">
        <f>ROUND(G267*AO267,2)</f>
        <v>0</v>
      </c>
      <c r="K267" s="32">
        <f>ROUND(G267*AP267,2)</f>
        <v>0</v>
      </c>
      <c r="L267" s="32">
        <f>ROUND(G267*H267,2)</f>
        <v>0</v>
      </c>
      <c r="M267" s="32">
        <f>L267*(1+BW267/100)</f>
        <v>0</v>
      </c>
      <c r="N267" s="34">
        <f>IF(L649=0,0,L267/L649)</f>
        <v>0</v>
      </c>
      <c r="O267" s="32">
        <v>1.7000000000000001E-4</v>
      </c>
      <c r="P267" s="32">
        <f>G267*O267</f>
        <v>6.8000000000000005E-4</v>
      </c>
      <c r="Q267" s="35" t="s">
        <v>77</v>
      </c>
      <c r="Z267" s="32">
        <f>ROUND(IF(AQ267="5",BJ267,0),2)</f>
        <v>0</v>
      </c>
      <c r="AB267" s="32">
        <f>ROUND(IF(AQ267="1",BH267,0),2)</f>
        <v>0</v>
      </c>
      <c r="AC267" s="32">
        <f>ROUND(IF(AQ267="1",BI267,0),2)</f>
        <v>0</v>
      </c>
      <c r="AD267" s="32">
        <f>ROUND(IF(AQ267="7",BH267,0),2)</f>
        <v>0</v>
      </c>
      <c r="AE267" s="32">
        <f>ROUND(IF(AQ267="7",BI267,0),2)</f>
        <v>0</v>
      </c>
      <c r="AF267" s="32">
        <f>ROUND(IF(AQ267="2",BH267,0),2)</f>
        <v>0</v>
      </c>
      <c r="AG267" s="32">
        <f>ROUND(IF(AQ267="2",BI267,0),2)</f>
        <v>0</v>
      </c>
      <c r="AH267" s="32">
        <f>ROUND(IF(AQ267="0",BJ267,0),2)</f>
        <v>0</v>
      </c>
      <c r="AI267" s="12" t="s">
        <v>55</v>
      </c>
      <c r="AJ267" s="32">
        <f>IF(AN267=0,L267,0)</f>
        <v>0</v>
      </c>
      <c r="AK267" s="32">
        <f>IF(AN267=12,L267,0)</f>
        <v>0</v>
      </c>
      <c r="AL267" s="32">
        <f>IF(AN267=21,L267,0)</f>
        <v>0</v>
      </c>
      <c r="AN267" s="32">
        <v>21</v>
      </c>
      <c r="AO267" s="32">
        <f>H267*0.499757366</f>
        <v>0</v>
      </c>
      <c r="AP267" s="32">
        <f>H267*(1-0.499757366)</f>
        <v>0</v>
      </c>
      <c r="AQ267" s="36" t="s">
        <v>90</v>
      </c>
      <c r="AV267" s="32">
        <f>ROUND(AW267+AX267,2)</f>
        <v>0</v>
      </c>
      <c r="AW267" s="32">
        <f>ROUND(G267*AO267,2)</f>
        <v>0</v>
      </c>
      <c r="AX267" s="32">
        <f>ROUND(G267*AP267,2)</f>
        <v>0</v>
      </c>
      <c r="AY267" s="36" t="s">
        <v>507</v>
      </c>
      <c r="AZ267" s="36" t="s">
        <v>245</v>
      </c>
      <c r="BA267" s="12" t="s">
        <v>65</v>
      </c>
      <c r="BC267" s="32">
        <f>AW267+AX267</f>
        <v>0</v>
      </c>
      <c r="BD267" s="32">
        <f>H267/(100-BE267)*100</f>
        <v>0</v>
      </c>
      <c r="BE267" s="32">
        <v>0</v>
      </c>
      <c r="BF267" s="32">
        <f>P267</f>
        <v>6.8000000000000005E-4</v>
      </c>
      <c r="BH267" s="32">
        <f>G267*AO267</f>
        <v>0</v>
      </c>
      <c r="BI267" s="32">
        <f>G267*AP267</f>
        <v>0</v>
      </c>
      <c r="BJ267" s="32">
        <f>G267*H267</f>
        <v>0</v>
      </c>
      <c r="BK267" s="36" t="s">
        <v>66</v>
      </c>
      <c r="BL267" s="32">
        <v>725</v>
      </c>
      <c r="BW267" s="32">
        <f>I267</f>
        <v>21</v>
      </c>
      <c r="BX267" s="4" t="s">
        <v>596</v>
      </c>
    </row>
    <row r="268" spans="1:76" x14ac:dyDescent="0.25">
      <c r="A268" s="2" t="s">
        <v>597</v>
      </c>
      <c r="B268" s="3" t="s">
        <v>55</v>
      </c>
      <c r="C268" s="3" t="s">
        <v>598</v>
      </c>
      <c r="D268" s="89" t="s">
        <v>599</v>
      </c>
      <c r="E268" s="90"/>
      <c r="F268" s="3" t="s">
        <v>88</v>
      </c>
      <c r="G268" s="32">
        <v>3</v>
      </c>
      <c r="H268" s="199">
        <v>0</v>
      </c>
      <c r="I268" s="33">
        <v>21</v>
      </c>
      <c r="J268" s="32">
        <f>ROUND(G268*AO268,2)</f>
        <v>0</v>
      </c>
      <c r="K268" s="32">
        <f>ROUND(G268*AP268,2)</f>
        <v>0</v>
      </c>
      <c r="L268" s="32">
        <f>ROUND(G268*H268,2)</f>
        <v>0</v>
      </c>
      <c r="M268" s="32">
        <f>L268*(1+BW268/100)</f>
        <v>0</v>
      </c>
      <c r="N268" s="34">
        <f>IF(L649=0,0,L268/L649)</f>
        <v>0</v>
      </c>
      <c r="O268" s="32">
        <v>0</v>
      </c>
      <c r="P268" s="32">
        <f>G268*O268</f>
        <v>0</v>
      </c>
      <c r="Q268" s="35" t="s">
        <v>77</v>
      </c>
      <c r="Z268" s="32">
        <f>ROUND(IF(AQ268="5",BJ268,0),2)</f>
        <v>0</v>
      </c>
      <c r="AB268" s="32">
        <f>ROUND(IF(AQ268="1",BH268,0),2)</f>
        <v>0</v>
      </c>
      <c r="AC268" s="32">
        <f>ROUND(IF(AQ268="1",BI268,0),2)</f>
        <v>0</v>
      </c>
      <c r="AD268" s="32">
        <f>ROUND(IF(AQ268="7",BH268,0),2)</f>
        <v>0</v>
      </c>
      <c r="AE268" s="32">
        <f>ROUND(IF(AQ268="7",BI268,0),2)</f>
        <v>0</v>
      </c>
      <c r="AF268" s="32">
        <f>ROUND(IF(AQ268="2",BH268,0),2)</f>
        <v>0</v>
      </c>
      <c r="AG268" s="32">
        <f>ROUND(IF(AQ268="2",BI268,0),2)</f>
        <v>0</v>
      </c>
      <c r="AH268" s="32">
        <f>ROUND(IF(AQ268="0",BJ268,0),2)</f>
        <v>0</v>
      </c>
      <c r="AI268" s="12" t="s">
        <v>55</v>
      </c>
      <c r="AJ268" s="32">
        <f>IF(AN268=0,L268,0)</f>
        <v>0</v>
      </c>
      <c r="AK268" s="32">
        <f>IF(AN268=12,L268,0)</f>
        <v>0</v>
      </c>
      <c r="AL268" s="32">
        <f>IF(AN268=21,L268,0)</f>
        <v>0</v>
      </c>
      <c r="AN268" s="32">
        <v>21</v>
      </c>
      <c r="AO268" s="32">
        <f>H268*0</f>
        <v>0</v>
      </c>
      <c r="AP268" s="32">
        <f>H268*(1-0)</f>
        <v>0</v>
      </c>
      <c r="AQ268" s="36" t="s">
        <v>90</v>
      </c>
      <c r="AV268" s="32">
        <f>ROUND(AW268+AX268,2)</f>
        <v>0</v>
      </c>
      <c r="AW268" s="32">
        <f>ROUND(G268*AO268,2)</f>
        <v>0</v>
      </c>
      <c r="AX268" s="32">
        <f>ROUND(G268*AP268,2)</f>
        <v>0</v>
      </c>
      <c r="AY268" s="36" t="s">
        <v>507</v>
      </c>
      <c r="AZ268" s="36" t="s">
        <v>245</v>
      </c>
      <c r="BA268" s="12" t="s">
        <v>65</v>
      </c>
      <c r="BC268" s="32">
        <f>AW268+AX268</f>
        <v>0</v>
      </c>
      <c r="BD268" s="32">
        <f>H268/(100-BE268)*100</f>
        <v>0</v>
      </c>
      <c r="BE268" s="32">
        <v>0</v>
      </c>
      <c r="BF268" s="32">
        <f>P268</f>
        <v>0</v>
      </c>
      <c r="BH268" s="32">
        <f>G268*AO268</f>
        <v>0</v>
      </c>
      <c r="BI268" s="32">
        <f>G268*AP268</f>
        <v>0</v>
      </c>
      <c r="BJ268" s="32">
        <f>G268*H268</f>
        <v>0</v>
      </c>
      <c r="BK268" s="36" t="s">
        <v>66</v>
      </c>
      <c r="BL268" s="32">
        <v>725</v>
      </c>
      <c r="BW268" s="32">
        <f>I268</f>
        <v>21</v>
      </c>
      <c r="BX268" s="4" t="s">
        <v>599</v>
      </c>
    </row>
    <row r="269" spans="1:76" x14ac:dyDescent="0.25">
      <c r="A269" s="2" t="s">
        <v>600</v>
      </c>
      <c r="B269" s="3" t="s">
        <v>55</v>
      </c>
      <c r="C269" s="3" t="s">
        <v>601</v>
      </c>
      <c r="D269" s="89" t="s">
        <v>602</v>
      </c>
      <c r="E269" s="90"/>
      <c r="F269" s="3" t="s">
        <v>88</v>
      </c>
      <c r="G269" s="32">
        <v>3</v>
      </c>
      <c r="H269" s="199">
        <v>0</v>
      </c>
      <c r="I269" s="33">
        <v>21</v>
      </c>
      <c r="J269" s="32">
        <f>ROUND(G269*AO269,2)</f>
        <v>0</v>
      </c>
      <c r="K269" s="32">
        <f>ROUND(G269*AP269,2)</f>
        <v>0</v>
      </c>
      <c r="L269" s="32">
        <f>ROUND(G269*H269,2)</f>
        <v>0</v>
      </c>
      <c r="M269" s="32">
        <f>L269*(1+BW269/100)</f>
        <v>0</v>
      </c>
      <c r="N269" s="34">
        <f>IF(L649=0,0,L269/L649)</f>
        <v>0</v>
      </c>
      <c r="O269" s="32">
        <v>1.4E-3</v>
      </c>
      <c r="P269" s="32">
        <f>G269*O269</f>
        <v>4.1999999999999997E-3</v>
      </c>
      <c r="Q269" s="35" t="s">
        <v>77</v>
      </c>
      <c r="Z269" s="32">
        <f>ROUND(IF(AQ269="5",BJ269,0),2)</f>
        <v>0</v>
      </c>
      <c r="AB269" s="32">
        <f>ROUND(IF(AQ269="1",BH269,0),2)</f>
        <v>0</v>
      </c>
      <c r="AC269" s="32">
        <f>ROUND(IF(AQ269="1",BI269,0),2)</f>
        <v>0</v>
      </c>
      <c r="AD269" s="32">
        <f>ROUND(IF(AQ269="7",BH269,0),2)</f>
        <v>0</v>
      </c>
      <c r="AE269" s="32">
        <f>ROUND(IF(AQ269="7",BI269,0),2)</f>
        <v>0</v>
      </c>
      <c r="AF269" s="32">
        <f>ROUND(IF(AQ269="2",BH269,0),2)</f>
        <v>0</v>
      </c>
      <c r="AG269" s="32">
        <f>ROUND(IF(AQ269="2",BI269,0),2)</f>
        <v>0</v>
      </c>
      <c r="AH269" s="32">
        <f>ROUND(IF(AQ269="0",BJ269,0),2)</f>
        <v>0</v>
      </c>
      <c r="AI269" s="12" t="s">
        <v>55</v>
      </c>
      <c r="AJ269" s="32">
        <f>IF(AN269=0,L269,0)</f>
        <v>0</v>
      </c>
      <c r="AK269" s="32">
        <f>IF(AN269=12,L269,0)</f>
        <v>0</v>
      </c>
      <c r="AL269" s="32">
        <f>IF(AN269=21,L269,0)</f>
        <v>0</v>
      </c>
      <c r="AN269" s="32">
        <v>21</v>
      </c>
      <c r="AO269" s="32">
        <f>H269*1</f>
        <v>0</v>
      </c>
      <c r="AP269" s="32">
        <f>H269*(1-1)</f>
        <v>0</v>
      </c>
      <c r="AQ269" s="36" t="s">
        <v>90</v>
      </c>
      <c r="AV269" s="32">
        <f>ROUND(AW269+AX269,2)</f>
        <v>0</v>
      </c>
      <c r="AW269" s="32">
        <f>ROUND(G269*AO269,2)</f>
        <v>0</v>
      </c>
      <c r="AX269" s="32">
        <f>ROUND(G269*AP269,2)</f>
        <v>0</v>
      </c>
      <c r="AY269" s="36" t="s">
        <v>507</v>
      </c>
      <c r="AZ269" s="36" t="s">
        <v>245</v>
      </c>
      <c r="BA269" s="12" t="s">
        <v>65</v>
      </c>
      <c r="BC269" s="32">
        <f>AW269+AX269</f>
        <v>0</v>
      </c>
      <c r="BD269" s="32">
        <f>H269/(100-BE269)*100</f>
        <v>0</v>
      </c>
      <c r="BE269" s="32">
        <v>0</v>
      </c>
      <c r="BF269" s="32">
        <f>P269</f>
        <v>4.1999999999999997E-3</v>
      </c>
      <c r="BH269" s="32">
        <f>G269*AO269</f>
        <v>0</v>
      </c>
      <c r="BI269" s="32">
        <f>G269*AP269</f>
        <v>0</v>
      </c>
      <c r="BJ269" s="32">
        <f>G269*H269</f>
        <v>0</v>
      </c>
      <c r="BK269" s="36" t="s">
        <v>147</v>
      </c>
      <c r="BL269" s="32">
        <v>725</v>
      </c>
      <c r="BW269" s="32">
        <f>I269</f>
        <v>21</v>
      </c>
      <c r="BX269" s="4" t="s">
        <v>602</v>
      </c>
    </row>
    <row r="270" spans="1:76" x14ac:dyDescent="0.25">
      <c r="A270" s="2" t="s">
        <v>603</v>
      </c>
      <c r="B270" s="3" t="s">
        <v>55</v>
      </c>
      <c r="C270" s="3" t="s">
        <v>604</v>
      </c>
      <c r="D270" s="89" t="s">
        <v>605</v>
      </c>
      <c r="E270" s="90"/>
      <c r="F270" s="3" t="s">
        <v>88</v>
      </c>
      <c r="G270" s="32">
        <v>3</v>
      </c>
      <c r="H270" s="199">
        <v>0</v>
      </c>
      <c r="I270" s="33">
        <v>21</v>
      </c>
      <c r="J270" s="32">
        <f>ROUND(G270*AO270,2)</f>
        <v>0</v>
      </c>
      <c r="K270" s="32">
        <f>ROUND(G270*AP270,2)</f>
        <v>0</v>
      </c>
      <c r="L270" s="32">
        <f>ROUND(G270*H270,2)</f>
        <v>0</v>
      </c>
      <c r="M270" s="32">
        <f>L270*(1+BW270/100)</f>
        <v>0</v>
      </c>
      <c r="N270" s="34">
        <f>IF(L649=0,0,L270/L649)</f>
        <v>0</v>
      </c>
      <c r="O270" s="32">
        <v>0</v>
      </c>
      <c r="P270" s="32">
        <f>G270*O270</f>
        <v>0</v>
      </c>
      <c r="Q270" s="35" t="s">
        <v>77</v>
      </c>
      <c r="Z270" s="32">
        <f>ROUND(IF(AQ270="5",BJ270,0),2)</f>
        <v>0</v>
      </c>
      <c r="AB270" s="32">
        <f>ROUND(IF(AQ270="1",BH270,0),2)</f>
        <v>0</v>
      </c>
      <c r="AC270" s="32">
        <f>ROUND(IF(AQ270="1",BI270,0),2)</f>
        <v>0</v>
      </c>
      <c r="AD270" s="32">
        <f>ROUND(IF(AQ270="7",BH270,0),2)</f>
        <v>0</v>
      </c>
      <c r="AE270" s="32">
        <f>ROUND(IF(AQ270="7",BI270,0),2)</f>
        <v>0</v>
      </c>
      <c r="AF270" s="32">
        <f>ROUND(IF(AQ270="2",BH270,0),2)</f>
        <v>0</v>
      </c>
      <c r="AG270" s="32">
        <f>ROUND(IF(AQ270="2",BI270,0),2)</f>
        <v>0</v>
      </c>
      <c r="AH270" s="32">
        <f>ROUND(IF(AQ270="0",BJ270,0),2)</f>
        <v>0</v>
      </c>
      <c r="AI270" s="12" t="s">
        <v>55</v>
      </c>
      <c r="AJ270" s="32">
        <f>IF(AN270=0,L270,0)</f>
        <v>0</v>
      </c>
      <c r="AK270" s="32">
        <f>IF(AN270=12,L270,0)</f>
        <v>0</v>
      </c>
      <c r="AL270" s="32">
        <f>IF(AN270=21,L270,0)</f>
        <v>0</v>
      </c>
      <c r="AN270" s="32">
        <v>21</v>
      </c>
      <c r="AO270" s="32">
        <f>H270*1</f>
        <v>0</v>
      </c>
      <c r="AP270" s="32">
        <f>H270*(1-1)</f>
        <v>0</v>
      </c>
      <c r="AQ270" s="36" t="s">
        <v>90</v>
      </c>
      <c r="AV270" s="32">
        <f>ROUND(AW270+AX270,2)</f>
        <v>0</v>
      </c>
      <c r="AW270" s="32">
        <f>ROUND(G270*AO270,2)</f>
        <v>0</v>
      </c>
      <c r="AX270" s="32">
        <f>ROUND(G270*AP270,2)</f>
        <v>0</v>
      </c>
      <c r="AY270" s="36" t="s">
        <v>507</v>
      </c>
      <c r="AZ270" s="36" t="s">
        <v>245</v>
      </c>
      <c r="BA270" s="12" t="s">
        <v>65</v>
      </c>
      <c r="BC270" s="32">
        <f>AW270+AX270</f>
        <v>0</v>
      </c>
      <c r="BD270" s="32">
        <f>H270/(100-BE270)*100</f>
        <v>0</v>
      </c>
      <c r="BE270" s="32">
        <v>0</v>
      </c>
      <c r="BF270" s="32">
        <f>P270</f>
        <v>0</v>
      </c>
      <c r="BH270" s="32">
        <f>G270*AO270</f>
        <v>0</v>
      </c>
      <c r="BI270" s="32">
        <f>G270*AP270</f>
        <v>0</v>
      </c>
      <c r="BJ270" s="32">
        <f>G270*H270</f>
        <v>0</v>
      </c>
      <c r="BK270" s="36" t="s">
        <v>147</v>
      </c>
      <c r="BL270" s="32">
        <v>725</v>
      </c>
      <c r="BW270" s="32">
        <f>I270</f>
        <v>21</v>
      </c>
      <c r="BX270" s="4" t="s">
        <v>605</v>
      </c>
    </row>
    <row r="271" spans="1:76" x14ac:dyDescent="0.25">
      <c r="A271" s="2" t="s">
        <v>606</v>
      </c>
      <c r="B271" s="3" t="s">
        <v>55</v>
      </c>
      <c r="C271" s="3" t="s">
        <v>607</v>
      </c>
      <c r="D271" s="89" t="s">
        <v>453</v>
      </c>
      <c r="E271" s="90"/>
      <c r="F271" s="3" t="s">
        <v>316</v>
      </c>
      <c r="G271" s="32">
        <v>1</v>
      </c>
      <c r="H271" s="199">
        <v>0</v>
      </c>
      <c r="I271" s="33">
        <v>21</v>
      </c>
      <c r="J271" s="32">
        <f>ROUND(G271*AO271,2)</f>
        <v>0</v>
      </c>
      <c r="K271" s="32">
        <f>ROUND(G271*AP271,2)</f>
        <v>0</v>
      </c>
      <c r="L271" s="32">
        <f>ROUND(G271*H271,2)</f>
        <v>0</v>
      </c>
      <c r="M271" s="32">
        <f>L271*(1+BW271/100)</f>
        <v>0</v>
      </c>
      <c r="N271" s="34">
        <f>IF(L649=0,0,L271/L649)</f>
        <v>0</v>
      </c>
      <c r="O271" s="32">
        <v>4.9800000000000001E-3</v>
      </c>
      <c r="P271" s="32">
        <f>G271*O271</f>
        <v>4.9800000000000001E-3</v>
      </c>
      <c r="Q271" s="35" t="s">
        <v>55</v>
      </c>
      <c r="Z271" s="32">
        <f>ROUND(IF(AQ271="5",BJ271,0),2)</f>
        <v>0</v>
      </c>
      <c r="AB271" s="32">
        <f>ROUND(IF(AQ271="1",BH271,0),2)</f>
        <v>0</v>
      </c>
      <c r="AC271" s="32">
        <f>ROUND(IF(AQ271="1",BI271,0),2)</f>
        <v>0</v>
      </c>
      <c r="AD271" s="32">
        <f>ROUND(IF(AQ271="7",BH271,0),2)</f>
        <v>0</v>
      </c>
      <c r="AE271" s="32">
        <f>ROUND(IF(AQ271="7",BI271,0),2)</f>
        <v>0</v>
      </c>
      <c r="AF271" s="32">
        <f>ROUND(IF(AQ271="2",BH271,0),2)</f>
        <v>0</v>
      </c>
      <c r="AG271" s="32">
        <f>ROUND(IF(AQ271="2",BI271,0),2)</f>
        <v>0</v>
      </c>
      <c r="AH271" s="32">
        <f>ROUND(IF(AQ271="0",BJ271,0),2)</f>
        <v>0</v>
      </c>
      <c r="AI271" s="12" t="s">
        <v>55</v>
      </c>
      <c r="AJ271" s="32">
        <f>IF(AN271=0,L271,0)</f>
        <v>0</v>
      </c>
      <c r="AK271" s="32">
        <f>IF(AN271=12,L271,0)</f>
        <v>0</v>
      </c>
      <c r="AL271" s="32">
        <f>IF(AN271=21,L271,0)</f>
        <v>0</v>
      </c>
      <c r="AN271" s="32">
        <v>21</v>
      </c>
      <c r="AO271" s="32">
        <f>H271*0.486432832</f>
        <v>0</v>
      </c>
      <c r="AP271" s="32">
        <f>H271*(1-0.486432832)</f>
        <v>0</v>
      </c>
      <c r="AQ271" s="36" t="s">
        <v>90</v>
      </c>
      <c r="AV271" s="32">
        <f>ROUND(AW271+AX271,2)</f>
        <v>0</v>
      </c>
      <c r="AW271" s="32">
        <f>ROUND(G271*AO271,2)</f>
        <v>0</v>
      </c>
      <c r="AX271" s="32">
        <f>ROUND(G271*AP271,2)</f>
        <v>0</v>
      </c>
      <c r="AY271" s="36" t="s">
        <v>507</v>
      </c>
      <c r="AZ271" s="36" t="s">
        <v>245</v>
      </c>
      <c r="BA271" s="12" t="s">
        <v>65</v>
      </c>
      <c r="BC271" s="32">
        <f>AW271+AX271</f>
        <v>0</v>
      </c>
      <c r="BD271" s="32">
        <f>H271/(100-BE271)*100</f>
        <v>0</v>
      </c>
      <c r="BE271" s="32">
        <v>0</v>
      </c>
      <c r="BF271" s="32">
        <f>P271</f>
        <v>4.9800000000000001E-3</v>
      </c>
      <c r="BH271" s="32">
        <f>G271*AO271</f>
        <v>0</v>
      </c>
      <c r="BI271" s="32">
        <f>G271*AP271</f>
        <v>0</v>
      </c>
      <c r="BJ271" s="32">
        <f>G271*H271</f>
        <v>0</v>
      </c>
      <c r="BK271" s="36" t="s">
        <v>66</v>
      </c>
      <c r="BL271" s="32">
        <v>725</v>
      </c>
      <c r="BW271" s="32">
        <f>I271</f>
        <v>21</v>
      </c>
      <c r="BX271" s="4" t="s">
        <v>453</v>
      </c>
    </row>
    <row r="272" spans="1:76" ht="13.5" customHeight="1" x14ac:dyDescent="0.25">
      <c r="A272" s="42"/>
      <c r="C272" s="43"/>
      <c r="D272" s="95" t="s">
        <v>454</v>
      </c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7"/>
    </row>
    <row r="273" spans="1:76" x14ac:dyDescent="0.25">
      <c r="A273" s="37" t="s">
        <v>55</v>
      </c>
      <c r="B273" s="38" t="s">
        <v>55</v>
      </c>
      <c r="C273" s="38" t="s">
        <v>608</v>
      </c>
      <c r="D273" s="98" t="s">
        <v>609</v>
      </c>
      <c r="E273" s="99"/>
      <c r="F273" s="39" t="s">
        <v>3</v>
      </c>
      <c r="G273" s="39" t="s">
        <v>3</v>
      </c>
      <c r="H273" s="39" t="s">
        <v>3</v>
      </c>
      <c r="I273" s="39" t="s">
        <v>3</v>
      </c>
      <c r="J273" s="1">
        <f>SUM(J274:J296)</f>
        <v>0</v>
      </c>
      <c r="K273" s="1">
        <f>SUM(K274:K296)</f>
        <v>0</v>
      </c>
      <c r="L273" s="1">
        <f>SUM(L274:L296)</f>
        <v>0</v>
      </c>
      <c r="M273" s="1">
        <f>SUM(M274:M296)</f>
        <v>0</v>
      </c>
      <c r="N273" s="40">
        <f>IF(L649=0,0,L273/L649)</f>
        <v>0</v>
      </c>
      <c r="O273" s="12" t="s">
        <v>55</v>
      </c>
      <c r="P273" s="1">
        <f>SUM(P274:P296)</f>
        <v>5.4219999999999997E-2</v>
      </c>
      <c r="Q273" s="41" t="s">
        <v>55</v>
      </c>
      <c r="AI273" s="12" t="s">
        <v>55</v>
      </c>
      <c r="AS273" s="1">
        <f>SUM(AJ274:AJ296)</f>
        <v>0</v>
      </c>
      <c r="AT273" s="1">
        <f>SUM(AK274:AK296)</f>
        <v>0</v>
      </c>
      <c r="AU273" s="1">
        <f>SUM(AL274:AL296)</f>
        <v>0</v>
      </c>
    </row>
    <row r="274" spans="1:76" ht="15" customHeight="1" x14ac:dyDescent="0.25">
      <c r="A274" s="2" t="s">
        <v>610</v>
      </c>
      <c r="B274" s="3" t="s">
        <v>55</v>
      </c>
      <c r="C274" s="3" t="s">
        <v>611</v>
      </c>
      <c r="D274" s="89" t="s">
        <v>1474</v>
      </c>
      <c r="E274" s="90"/>
      <c r="F274" s="3" t="s">
        <v>88</v>
      </c>
      <c r="G274" s="32">
        <v>2</v>
      </c>
      <c r="H274" s="199">
        <v>0</v>
      </c>
      <c r="I274" s="33">
        <v>21</v>
      </c>
      <c r="J274" s="32">
        <f>ROUND(G274*AO274,2)</f>
        <v>0</v>
      </c>
      <c r="K274" s="32">
        <f>ROUND(G274*AP274,2)</f>
        <v>0</v>
      </c>
      <c r="L274" s="32">
        <f>ROUND(G274*H274,2)</f>
        <v>0</v>
      </c>
      <c r="M274" s="32">
        <f>L274*(1+BW274/100)</f>
        <v>0</v>
      </c>
      <c r="N274" s="34">
        <f>IF(L649=0,0,L274/L649)</f>
        <v>0</v>
      </c>
      <c r="O274" s="32">
        <v>5.9000000000000003E-4</v>
      </c>
      <c r="P274" s="32">
        <f>G274*O274</f>
        <v>1.1800000000000001E-3</v>
      </c>
      <c r="Q274" s="35" t="s">
        <v>55</v>
      </c>
      <c r="Z274" s="32">
        <f>ROUND(IF(AQ274="5",BJ274,0),2)</f>
        <v>0</v>
      </c>
      <c r="AB274" s="32">
        <f>ROUND(IF(AQ274="1",BH274,0),2)</f>
        <v>0</v>
      </c>
      <c r="AC274" s="32">
        <f>ROUND(IF(AQ274="1",BI274,0),2)</f>
        <v>0</v>
      </c>
      <c r="AD274" s="32">
        <f>ROUND(IF(AQ274="7",BH274,0),2)</f>
        <v>0</v>
      </c>
      <c r="AE274" s="32">
        <f>ROUND(IF(AQ274="7",BI274,0),2)</f>
        <v>0</v>
      </c>
      <c r="AF274" s="32">
        <f>ROUND(IF(AQ274="2",BH274,0),2)</f>
        <v>0</v>
      </c>
      <c r="AG274" s="32">
        <f>ROUND(IF(AQ274="2",BI274,0),2)</f>
        <v>0</v>
      </c>
      <c r="AH274" s="32">
        <f>ROUND(IF(AQ274="0",BJ274,0),2)</f>
        <v>0</v>
      </c>
      <c r="AI274" s="12" t="s">
        <v>55</v>
      </c>
      <c r="AJ274" s="32">
        <f>IF(AN274=0,L274,0)</f>
        <v>0</v>
      </c>
      <c r="AK274" s="32">
        <f>IF(AN274=12,L274,0)</f>
        <v>0</v>
      </c>
      <c r="AL274" s="32">
        <f>IF(AN274=21,L274,0)</f>
        <v>0</v>
      </c>
      <c r="AN274" s="32">
        <v>21</v>
      </c>
      <c r="AO274" s="32">
        <f>H274*1</f>
        <v>0</v>
      </c>
      <c r="AP274" s="32">
        <f>H274*(1-1)</f>
        <v>0</v>
      </c>
      <c r="AQ274" s="36" t="s">
        <v>90</v>
      </c>
      <c r="AV274" s="32">
        <f>ROUND(AW274+AX274,2)</f>
        <v>0</v>
      </c>
      <c r="AW274" s="32">
        <f>ROUND(G274*AO274,2)</f>
        <v>0</v>
      </c>
      <c r="AX274" s="32">
        <f>ROUND(G274*AP274,2)</f>
        <v>0</v>
      </c>
      <c r="AY274" s="36" t="s">
        <v>613</v>
      </c>
      <c r="AZ274" s="36" t="s">
        <v>245</v>
      </c>
      <c r="BA274" s="12" t="s">
        <v>65</v>
      </c>
      <c r="BC274" s="32">
        <f>AW274+AX274</f>
        <v>0</v>
      </c>
      <c r="BD274" s="32">
        <f>H274/(100-BE274)*100</f>
        <v>0</v>
      </c>
      <c r="BE274" s="32">
        <v>0</v>
      </c>
      <c r="BF274" s="32">
        <f>P274</f>
        <v>1.1800000000000001E-3</v>
      </c>
      <c r="BH274" s="32">
        <f>G274*AO274</f>
        <v>0</v>
      </c>
      <c r="BI274" s="32">
        <f>G274*AP274</f>
        <v>0</v>
      </c>
      <c r="BJ274" s="32">
        <f>G274*H274</f>
        <v>0</v>
      </c>
      <c r="BK274" s="36" t="s">
        <v>147</v>
      </c>
      <c r="BL274" s="32">
        <v>728</v>
      </c>
      <c r="BW274" s="32">
        <f>I274</f>
        <v>21</v>
      </c>
      <c r="BX274" s="4" t="s">
        <v>612</v>
      </c>
    </row>
    <row r="275" spans="1:76" x14ac:dyDescent="0.25">
      <c r="A275" s="42"/>
      <c r="C275" s="43"/>
      <c r="D275" s="95" t="s">
        <v>614</v>
      </c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7"/>
      <c r="BX275" s="44" t="s">
        <v>614</v>
      </c>
    </row>
    <row r="276" spans="1:76" ht="25.5" x14ac:dyDescent="0.25">
      <c r="A276" s="2" t="s">
        <v>615</v>
      </c>
      <c r="B276" s="3" t="s">
        <v>55</v>
      </c>
      <c r="C276" s="3" t="s">
        <v>616</v>
      </c>
      <c r="D276" s="89" t="s">
        <v>617</v>
      </c>
      <c r="E276" s="90"/>
      <c r="F276" s="3" t="s">
        <v>88</v>
      </c>
      <c r="G276" s="32">
        <v>2</v>
      </c>
      <c r="H276" s="199">
        <v>0</v>
      </c>
      <c r="I276" s="33">
        <v>21</v>
      </c>
      <c r="J276" s="32">
        <f>ROUND(G276*AO276,2)</f>
        <v>0</v>
      </c>
      <c r="K276" s="32">
        <f>ROUND(G276*AP276,2)</f>
        <v>0</v>
      </c>
      <c r="L276" s="32">
        <f>ROUND(G276*H276,2)</f>
        <v>0</v>
      </c>
      <c r="M276" s="32">
        <f>L276*(1+BW276/100)</f>
        <v>0</v>
      </c>
      <c r="N276" s="34">
        <f>IF(L649=0,0,L276/L649)</f>
        <v>0</v>
      </c>
      <c r="O276" s="32">
        <v>5.9000000000000003E-4</v>
      </c>
      <c r="P276" s="32">
        <f>G276*O276</f>
        <v>1.1800000000000001E-3</v>
      </c>
      <c r="Q276" s="35" t="s">
        <v>55</v>
      </c>
      <c r="Z276" s="32">
        <f>ROUND(IF(AQ276="5",BJ276,0),2)</f>
        <v>0</v>
      </c>
      <c r="AB276" s="32">
        <f>ROUND(IF(AQ276="1",BH276,0),2)</f>
        <v>0</v>
      </c>
      <c r="AC276" s="32">
        <f>ROUND(IF(AQ276="1",BI276,0),2)</f>
        <v>0</v>
      </c>
      <c r="AD276" s="32">
        <f>ROUND(IF(AQ276="7",BH276,0),2)</f>
        <v>0</v>
      </c>
      <c r="AE276" s="32">
        <f>ROUND(IF(AQ276="7",BI276,0),2)</f>
        <v>0</v>
      </c>
      <c r="AF276" s="32">
        <f>ROUND(IF(AQ276="2",BH276,0),2)</f>
        <v>0</v>
      </c>
      <c r="AG276" s="32">
        <f>ROUND(IF(AQ276="2",BI276,0),2)</f>
        <v>0</v>
      </c>
      <c r="AH276" s="32">
        <f>ROUND(IF(AQ276="0",BJ276,0),2)</f>
        <v>0</v>
      </c>
      <c r="AI276" s="12" t="s">
        <v>55</v>
      </c>
      <c r="AJ276" s="32">
        <f>IF(AN276=0,L276,0)</f>
        <v>0</v>
      </c>
      <c r="AK276" s="32">
        <f>IF(AN276=12,L276,0)</f>
        <v>0</v>
      </c>
      <c r="AL276" s="32">
        <f>IF(AN276=21,L276,0)</f>
        <v>0</v>
      </c>
      <c r="AN276" s="32">
        <v>21</v>
      </c>
      <c r="AO276" s="32">
        <f>H276*1</f>
        <v>0</v>
      </c>
      <c r="AP276" s="32">
        <f>H276*(1-1)</f>
        <v>0</v>
      </c>
      <c r="AQ276" s="36" t="s">
        <v>90</v>
      </c>
      <c r="AV276" s="32">
        <f>ROUND(AW276+AX276,2)</f>
        <v>0</v>
      </c>
      <c r="AW276" s="32">
        <f>ROUND(G276*AO276,2)</f>
        <v>0</v>
      </c>
      <c r="AX276" s="32">
        <f>ROUND(G276*AP276,2)</f>
        <v>0</v>
      </c>
      <c r="AY276" s="36" t="s">
        <v>613</v>
      </c>
      <c r="AZ276" s="36" t="s">
        <v>245</v>
      </c>
      <c r="BA276" s="12" t="s">
        <v>65</v>
      </c>
      <c r="BC276" s="32">
        <f>AW276+AX276</f>
        <v>0</v>
      </c>
      <c r="BD276" s="32">
        <f>H276/(100-BE276)*100</f>
        <v>0</v>
      </c>
      <c r="BE276" s="32">
        <v>0</v>
      </c>
      <c r="BF276" s="32">
        <f>P276</f>
        <v>1.1800000000000001E-3</v>
      </c>
      <c r="BH276" s="32">
        <f>G276*AO276</f>
        <v>0</v>
      </c>
      <c r="BI276" s="32">
        <f>G276*AP276</f>
        <v>0</v>
      </c>
      <c r="BJ276" s="32">
        <f>G276*H276</f>
        <v>0</v>
      </c>
      <c r="BK276" s="36" t="s">
        <v>147</v>
      </c>
      <c r="BL276" s="32">
        <v>728</v>
      </c>
      <c r="BW276" s="32">
        <f>I276</f>
        <v>21</v>
      </c>
      <c r="BX276" s="4" t="s">
        <v>617</v>
      </c>
    </row>
    <row r="277" spans="1:76" x14ac:dyDescent="0.25">
      <c r="A277" s="42"/>
      <c r="C277" s="43"/>
      <c r="D277" s="95" t="s">
        <v>618</v>
      </c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7"/>
      <c r="BX277" s="44" t="s">
        <v>618</v>
      </c>
    </row>
    <row r="278" spans="1:76" x14ac:dyDescent="0.25">
      <c r="A278" s="2" t="s">
        <v>619</v>
      </c>
      <c r="B278" s="3" t="s">
        <v>55</v>
      </c>
      <c r="C278" s="3" t="s">
        <v>620</v>
      </c>
      <c r="D278" s="89" t="s">
        <v>621</v>
      </c>
      <c r="E278" s="90"/>
      <c r="F278" s="3" t="s">
        <v>88</v>
      </c>
      <c r="G278" s="32">
        <v>4</v>
      </c>
      <c r="H278" s="199">
        <v>0</v>
      </c>
      <c r="I278" s="33">
        <v>21</v>
      </c>
      <c r="J278" s="32">
        <f>ROUND(G278*AO278,2)</f>
        <v>0</v>
      </c>
      <c r="K278" s="32">
        <f>ROUND(G278*AP278,2)</f>
        <v>0</v>
      </c>
      <c r="L278" s="32">
        <f>ROUND(G278*H278,2)</f>
        <v>0</v>
      </c>
      <c r="M278" s="32">
        <f>L278*(1+BW278/100)</f>
        <v>0</v>
      </c>
      <c r="N278" s="34">
        <f>IF(L649=0,0,L278/L649)</f>
        <v>0</v>
      </c>
      <c r="O278" s="32">
        <v>0</v>
      </c>
      <c r="P278" s="32">
        <f>G278*O278</f>
        <v>0</v>
      </c>
      <c r="Q278" s="35" t="s">
        <v>77</v>
      </c>
      <c r="Z278" s="32">
        <f>ROUND(IF(AQ278="5",BJ278,0),2)</f>
        <v>0</v>
      </c>
      <c r="AB278" s="32">
        <f>ROUND(IF(AQ278="1",BH278,0),2)</f>
        <v>0</v>
      </c>
      <c r="AC278" s="32">
        <f>ROUND(IF(AQ278="1",BI278,0),2)</f>
        <v>0</v>
      </c>
      <c r="AD278" s="32">
        <f>ROUND(IF(AQ278="7",BH278,0),2)</f>
        <v>0</v>
      </c>
      <c r="AE278" s="32">
        <f>ROUND(IF(AQ278="7",BI278,0),2)</f>
        <v>0</v>
      </c>
      <c r="AF278" s="32">
        <f>ROUND(IF(AQ278="2",BH278,0),2)</f>
        <v>0</v>
      </c>
      <c r="AG278" s="32">
        <f>ROUND(IF(AQ278="2",BI278,0),2)</f>
        <v>0</v>
      </c>
      <c r="AH278" s="32">
        <f>ROUND(IF(AQ278="0",BJ278,0),2)</f>
        <v>0</v>
      </c>
      <c r="AI278" s="12" t="s">
        <v>55</v>
      </c>
      <c r="AJ278" s="32">
        <f>IF(AN278=0,L278,0)</f>
        <v>0</v>
      </c>
      <c r="AK278" s="32">
        <f>IF(AN278=12,L278,0)</f>
        <v>0</v>
      </c>
      <c r="AL278" s="32">
        <f>IF(AN278=21,L278,0)</f>
        <v>0</v>
      </c>
      <c r="AN278" s="32">
        <v>21</v>
      </c>
      <c r="AO278" s="32">
        <f>H278*0</f>
        <v>0</v>
      </c>
      <c r="AP278" s="32">
        <f>H278*(1-0)</f>
        <v>0</v>
      </c>
      <c r="AQ278" s="36" t="s">
        <v>67</v>
      </c>
      <c r="AV278" s="32">
        <f>ROUND(AW278+AX278,2)</f>
        <v>0</v>
      </c>
      <c r="AW278" s="32">
        <f>ROUND(G278*AO278,2)</f>
        <v>0</v>
      </c>
      <c r="AX278" s="32">
        <f>ROUND(G278*AP278,2)</f>
        <v>0</v>
      </c>
      <c r="AY278" s="36" t="s">
        <v>613</v>
      </c>
      <c r="AZ278" s="36" t="s">
        <v>245</v>
      </c>
      <c r="BA278" s="12" t="s">
        <v>65</v>
      </c>
      <c r="BC278" s="32">
        <f>AW278+AX278</f>
        <v>0</v>
      </c>
      <c r="BD278" s="32">
        <f>H278/(100-BE278)*100</f>
        <v>0</v>
      </c>
      <c r="BE278" s="32">
        <v>0</v>
      </c>
      <c r="BF278" s="32">
        <f>P278</f>
        <v>0</v>
      </c>
      <c r="BH278" s="32">
        <f>G278*AO278</f>
        <v>0</v>
      </c>
      <c r="BI278" s="32">
        <f>G278*AP278</f>
        <v>0</v>
      </c>
      <c r="BJ278" s="32">
        <f>G278*H278</f>
        <v>0</v>
      </c>
      <c r="BK278" s="36" t="s">
        <v>66</v>
      </c>
      <c r="BL278" s="32">
        <v>728</v>
      </c>
      <c r="BW278" s="32">
        <f>I278</f>
        <v>21</v>
      </c>
      <c r="BX278" s="4" t="s">
        <v>621</v>
      </c>
    </row>
    <row r="279" spans="1:76" x14ac:dyDescent="0.25">
      <c r="A279" s="2" t="s">
        <v>622</v>
      </c>
      <c r="B279" s="3" t="s">
        <v>55</v>
      </c>
      <c r="C279" s="3" t="s">
        <v>623</v>
      </c>
      <c r="D279" s="89" t="s">
        <v>624</v>
      </c>
      <c r="E279" s="90"/>
      <c r="F279" s="3" t="s">
        <v>88</v>
      </c>
      <c r="G279" s="32">
        <v>3</v>
      </c>
      <c r="H279" s="199">
        <v>0</v>
      </c>
      <c r="I279" s="33">
        <v>21</v>
      </c>
      <c r="J279" s="32">
        <f>ROUND(G279*AO279,2)</f>
        <v>0</v>
      </c>
      <c r="K279" s="32">
        <f>ROUND(G279*AP279,2)</f>
        <v>0</v>
      </c>
      <c r="L279" s="32">
        <f>ROUND(G279*H279,2)</f>
        <v>0</v>
      </c>
      <c r="M279" s="32">
        <f>L279*(1+BW279/100)</f>
        <v>0</v>
      </c>
      <c r="N279" s="34">
        <f>IF(L649=0,0,L279/L649)</f>
        <v>0</v>
      </c>
      <c r="O279" s="32">
        <v>2.9999999999999997E-4</v>
      </c>
      <c r="P279" s="32">
        <f>G279*O279</f>
        <v>8.9999999999999998E-4</v>
      </c>
      <c r="Q279" s="35" t="s">
        <v>55</v>
      </c>
      <c r="Z279" s="32">
        <f>ROUND(IF(AQ279="5",BJ279,0),2)</f>
        <v>0</v>
      </c>
      <c r="AB279" s="32">
        <f>ROUND(IF(AQ279="1",BH279,0),2)</f>
        <v>0</v>
      </c>
      <c r="AC279" s="32">
        <f>ROUND(IF(AQ279="1",BI279,0),2)</f>
        <v>0</v>
      </c>
      <c r="AD279" s="32">
        <f>ROUND(IF(AQ279="7",BH279,0),2)</f>
        <v>0</v>
      </c>
      <c r="AE279" s="32">
        <f>ROUND(IF(AQ279="7",BI279,0),2)</f>
        <v>0</v>
      </c>
      <c r="AF279" s="32">
        <f>ROUND(IF(AQ279="2",BH279,0),2)</f>
        <v>0</v>
      </c>
      <c r="AG279" s="32">
        <f>ROUND(IF(AQ279="2",BI279,0),2)</f>
        <v>0</v>
      </c>
      <c r="AH279" s="32">
        <f>ROUND(IF(AQ279="0",BJ279,0),2)</f>
        <v>0</v>
      </c>
      <c r="AI279" s="12" t="s">
        <v>55</v>
      </c>
      <c r="AJ279" s="32">
        <f>IF(AN279=0,L279,0)</f>
        <v>0</v>
      </c>
      <c r="AK279" s="32">
        <f>IF(AN279=12,L279,0)</f>
        <v>0</v>
      </c>
      <c r="AL279" s="32">
        <f>IF(AN279=21,L279,0)</f>
        <v>0</v>
      </c>
      <c r="AN279" s="32">
        <v>21</v>
      </c>
      <c r="AO279" s="32">
        <f>H279*1</f>
        <v>0</v>
      </c>
      <c r="AP279" s="32">
        <f>H279*(1-1)</f>
        <v>0</v>
      </c>
      <c r="AQ279" s="36" t="s">
        <v>90</v>
      </c>
      <c r="AV279" s="32">
        <f>ROUND(AW279+AX279,2)</f>
        <v>0</v>
      </c>
      <c r="AW279" s="32">
        <f>ROUND(G279*AO279,2)</f>
        <v>0</v>
      </c>
      <c r="AX279" s="32">
        <f>ROUND(G279*AP279,2)</f>
        <v>0</v>
      </c>
      <c r="AY279" s="36" t="s">
        <v>613</v>
      </c>
      <c r="AZ279" s="36" t="s">
        <v>245</v>
      </c>
      <c r="BA279" s="12" t="s">
        <v>65</v>
      </c>
      <c r="BC279" s="32">
        <f>AW279+AX279</f>
        <v>0</v>
      </c>
      <c r="BD279" s="32">
        <f>H279/(100-BE279)*100</f>
        <v>0</v>
      </c>
      <c r="BE279" s="32">
        <v>0</v>
      </c>
      <c r="BF279" s="32">
        <f>P279</f>
        <v>8.9999999999999998E-4</v>
      </c>
      <c r="BH279" s="32">
        <f>G279*AO279</f>
        <v>0</v>
      </c>
      <c r="BI279" s="32">
        <f>G279*AP279</f>
        <v>0</v>
      </c>
      <c r="BJ279" s="32">
        <f>G279*H279</f>
        <v>0</v>
      </c>
      <c r="BK279" s="36" t="s">
        <v>147</v>
      </c>
      <c r="BL279" s="32">
        <v>728</v>
      </c>
      <c r="BW279" s="32">
        <f>I279</f>
        <v>21</v>
      </c>
      <c r="BX279" s="4" t="s">
        <v>624</v>
      </c>
    </row>
    <row r="280" spans="1:76" x14ac:dyDescent="0.25">
      <c r="A280" s="42"/>
      <c r="C280" s="43"/>
      <c r="D280" s="95" t="s">
        <v>625</v>
      </c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7"/>
      <c r="BX280" s="44" t="s">
        <v>625</v>
      </c>
    </row>
    <row r="281" spans="1:76" x14ac:dyDescent="0.25">
      <c r="A281" s="2" t="s">
        <v>626</v>
      </c>
      <c r="B281" s="3" t="s">
        <v>55</v>
      </c>
      <c r="C281" s="3" t="s">
        <v>627</v>
      </c>
      <c r="D281" s="89" t="s">
        <v>628</v>
      </c>
      <c r="E281" s="90"/>
      <c r="F281" s="3" t="s">
        <v>88</v>
      </c>
      <c r="G281" s="32">
        <v>3</v>
      </c>
      <c r="H281" s="199">
        <v>0</v>
      </c>
      <c r="I281" s="33">
        <v>21</v>
      </c>
      <c r="J281" s="32">
        <f>ROUND(G281*AO281,2)</f>
        <v>0</v>
      </c>
      <c r="K281" s="32">
        <f>ROUND(G281*AP281,2)</f>
        <v>0</v>
      </c>
      <c r="L281" s="32">
        <f>ROUND(G281*H281,2)</f>
        <v>0</v>
      </c>
      <c r="M281" s="32">
        <f>L281*(1+BW281/100)</f>
        <v>0</v>
      </c>
      <c r="N281" s="34">
        <f>IF(L649=0,0,L281/L649)</f>
        <v>0</v>
      </c>
      <c r="O281" s="32">
        <v>0</v>
      </c>
      <c r="P281" s="32">
        <f>G281*O281</f>
        <v>0</v>
      </c>
      <c r="Q281" s="35" t="s">
        <v>77</v>
      </c>
      <c r="Z281" s="32">
        <f>ROUND(IF(AQ281="5",BJ281,0),2)</f>
        <v>0</v>
      </c>
      <c r="AB281" s="32">
        <f>ROUND(IF(AQ281="1",BH281,0),2)</f>
        <v>0</v>
      </c>
      <c r="AC281" s="32">
        <f>ROUND(IF(AQ281="1",BI281,0),2)</f>
        <v>0</v>
      </c>
      <c r="AD281" s="32">
        <f>ROUND(IF(AQ281="7",BH281,0),2)</f>
        <v>0</v>
      </c>
      <c r="AE281" s="32">
        <f>ROUND(IF(AQ281="7",BI281,0),2)</f>
        <v>0</v>
      </c>
      <c r="AF281" s="32">
        <f>ROUND(IF(AQ281="2",BH281,0),2)</f>
        <v>0</v>
      </c>
      <c r="AG281" s="32">
        <f>ROUND(IF(AQ281="2",BI281,0),2)</f>
        <v>0</v>
      </c>
      <c r="AH281" s="32">
        <f>ROUND(IF(AQ281="0",BJ281,0),2)</f>
        <v>0</v>
      </c>
      <c r="AI281" s="12" t="s">
        <v>55</v>
      </c>
      <c r="AJ281" s="32">
        <f>IF(AN281=0,L281,0)</f>
        <v>0</v>
      </c>
      <c r="AK281" s="32">
        <f>IF(AN281=12,L281,0)</f>
        <v>0</v>
      </c>
      <c r="AL281" s="32">
        <f>IF(AN281=21,L281,0)</f>
        <v>0</v>
      </c>
      <c r="AN281" s="32">
        <v>21</v>
      </c>
      <c r="AO281" s="32">
        <f>H281*0</f>
        <v>0</v>
      </c>
      <c r="AP281" s="32">
        <f>H281*(1-0)</f>
        <v>0</v>
      </c>
      <c r="AQ281" s="36" t="s">
        <v>90</v>
      </c>
      <c r="AV281" s="32">
        <f>ROUND(AW281+AX281,2)</f>
        <v>0</v>
      </c>
      <c r="AW281" s="32">
        <f>ROUND(G281*AO281,2)</f>
        <v>0</v>
      </c>
      <c r="AX281" s="32">
        <f>ROUND(G281*AP281,2)</f>
        <v>0</v>
      </c>
      <c r="AY281" s="36" t="s">
        <v>613</v>
      </c>
      <c r="AZ281" s="36" t="s">
        <v>245</v>
      </c>
      <c r="BA281" s="12" t="s">
        <v>65</v>
      </c>
      <c r="BC281" s="32">
        <f>AW281+AX281</f>
        <v>0</v>
      </c>
      <c r="BD281" s="32">
        <f>H281/(100-BE281)*100</f>
        <v>0</v>
      </c>
      <c r="BE281" s="32">
        <v>0</v>
      </c>
      <c r="BF281" s="32">
        <f>P281</f>
        <v>0</v>
      </c>
      <c r="BH281" s="32">
        <f>G281*AO281</f>
        <v>0</v>
      </c>
      <c r="BI281" s="32">
        <f>G281*AP281</f>
        <v>0</v>
      </c>
      <c r="BJ281" s="32">
        <f>G281*H281</f>
        <v>0</v>
      </c>
      <c r="BK281" s="36" t="s">
        <v>66</v>
      </c>
      <c r="BL281" s="32">
        <v>728</v>
      </c>
      <c r="BW281" s="32">
        <f>I281</f>
        <v>21</v>
      </c>
      <c r="BX281" s="4" t="s">
        <v>628</v>
      </c>
    </row>
    <row r="282" spans="1:76" x14ac:dyDescent="0.25">
      <c r="A282" s="2" t="s">
        <v>629</v>
      </c>
      <c r="B282" s="3" t="s">
        <v>55</v>
      </c>
      <c r="C282" s="3" t="s">
        <v>630</v>
      </c>
      <c r="D282" s="89" t="s">
        <v>631</v>
      </c>
      <c r="E282" s="90"/>
      <c r="F282" s="3" t="s">
        <v>136</v>
      </c>
      <c r="G282" s="32">
        <v>2</v>
      </c>
      <c r="H282" s="199">
        <v>0</v>
      </c>
      <c r="I282" s="33">
        <v>21</v>
      </c>
      <c r="J282" s="32">
        <f>ROUND(G282*AO282,2)</f>
        <v>0</v>
      </c>
      <c r="K282" s="32">
        <f>ROUND(G282*AP282,2)</f>
        <v>0</v>
      </c>
      <c r="L282" s="32">
        <f>ROUND(G282*H282,2)</f>
        <v>0</v>
      </c>
      <c r="M282" s="32">
        <f>L282*(1+BW282/100)</f>
        <v>0</v>
      </c>
      <c r="N282" s="34">
        <f>IF(L649=0,0,L282/L649)</f>
        <v>0</v>
      </c>
      <c r="O282" s="32">
        <v>9.7999999999999997E-4</v>
      </c>
      <c r="P282" s="32">
        <f>G282*O282</f>
        <v>1.9599999999999999E-3</v>
      </c>
      <c r="Q282" s="35" t="s">
        <v>77</v>
      </c>
      <c r="Z282" s="32">
        <f>ROUND(IF(AQ282="5",BJ282,0),2)</f>
        <v>0</v>
      </c>
      <c r="AB282" s="32">
        <f>ROUND(IF(AQ282="1",BH282,0),2)</f>
        <v>0</v>
      </c>
      <c r="AC282" s="32">
        <f>ROUND(IF(AQ282="1",BI282,0),2)</f>
        <v>0</v>
      </c>
      <c r="AD282" s="32">
        <f>ROUND(IF(AQ282="7",BH282,0),2)</f>
        <v>0</v>
      </c>
      <c r="AE282" s="32">
        <f>ROUND(IF(AQ282="7",BI282,0),2)</f>
        <v>0</v>
      </c>
      <c r="AF282" s="32">
        <f>ROUND(IF(AQ282="2",BH282,0),2)</f>
        <v>0</v>
      </c>
      <c r="AG282" s="32">
        <f>ROUND(IF(AQ282="2",BI282,0),2)</f>
        <v>0</v>
      </c>
      <c r="AH282" s="32">
        <f>ROUND(IF(AQ282="0",BJ282,0),2)</f>
        <v>0</v>
      </c>
      <c r="AI282" s="12" t="s">
        <v>55</v>
      </c>
      <c r="AJ282" s="32">
        <f>IF(AN282=0,L282,0)</f>
        <v>0</v>
      </c>
      <c r="AK282" s="32">
        <f>IF(AN282=12,L282,0)</f>
        <v>0</v>
      </c>
      <c r="AL282" s="32">
        <f>IF(AN282=21,L282,0)</f>
        <v>0</v>
      </c>
      <c r="AN282" s="32">
        <v>21</v>
      </c>
      <c r="AO282" s="32">
        <f>H282*0.421144306</f>
        <v>0</v>
      </c>
      <c r="AP282" s="32">
        <f>H282*(1-0.421144306)</f>
        <v>0</v>
      </c>
      <c r="AQ282" s="36" t="s">
        <v>90</v>
      </c>
      <c r="AV282" s="32">
        <f>ROUND(AW282+AX282,2)</f>
        <v>0</v>
      </c>
      <c r="AW282" s="32">
        <f>ROUND(G282*AO282,2)</f>
        <v>0</v>
      </c>
      <c r="AX282" s="32">
        <f>ROUND(G282*AP282,2)</f>
        <v>0</v>
      </c>
      <c r="AY282" s="36" t="s">
        <v>613</v>
      </c>
      <c r="AZ282" s="36" t="s">
        <v>245</v>
      </c>
      <c r="BA282" s="12" t="s">
        <v>65</v>
      </c>
      <c r="BC282" s="32">
        <f>AW282+AX282</f>
        <v>0</v>
      </c>
      <c r="BD282" s="32">
        <f>H282/(100-BE282)*100</f>
        <v>0</v>
      </c>
      <c r="BE282" s="32">
        <v>0</v>
      </c>
      <c r="BF282" s="32">
        <f>P282</f>
        <v>1.9599999999999999E-3</v>
      </c>
      <c r="BH282" s="32">
        <f>G282*AO282</f>
        <v>0</v>
      </c>
      <c r="BI282" s="32">
        <f>G282*AP282</f>
        <v>0</v>
      </c>
      <c r="BJ282" s="32">
        <f>G282*H282</f>
        <v>0</v>
      </c>
      <c r="BK282" s="36" t="s">
        <v>66</v>
      </c>
      <c r="BL282" s="32">
        <v>728</v>
      </c>
      <c r="BW282" s="32">
        <f>I282</f>
        <v>21</v>
      </c>
      <c r="BX282" s="4" t="s">
        <v>631</v>
      </c>
    </row>
    <row r="283" spans="1:76" ht="13.5" customHeight="1" x14ac:dyDescent="0.25">
      <c r="A283" s="42"/>
      <c r="C283" s="43"/>
      <c r="D283" s="95" t="s">
        <v>632</v>
      </c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7"/>
    </row>
    <row r="284" spans="1:76" x14ac:dyDescent="0.25">
      <c r="A284" s="2" t="s">
        <v>633</v>
      </c>
      <c r="B284" s="3" t="s">
        <v>55</v>
      </c>
      <c r="C284" s="3" t="s">
        <v>634</v>
      </c>
      <c r="D284" s="89" t="s">
        <v>635</v>
      </c>
      <c r="E284" s="90"/>
      <c r="F284" s="3" t="s">
        <v>136</v>
      </c>
      <c r="G284" s="32">
        <v>2</v>
      </c>
      <c r="H284" s="199">
        <v>0</v>
      </c>
      <c r="I284" s="33">
        <v>21</v>
      </c>
      <c r="J284" s="32">
        <f>ROUND(G284*AO284,2)</f>
        <v>0</v>
      </c>
      <c r="K284" s="32">
        <f>ROUND(G284*AP284,2)</f>
        <v>0</v>
      </c>
      <c r="L284" s="32">
        <f>ROUND(G284*H284,2)</f>
        <v>0</v>
      </c>
      <c r="M284" s="32">
        <f>L284*(1+BW284/100)</f>
        <v>0</v>
      </c>
      <c r="N284" s="34">
        <f>IF(L649=0,0,L284/L649)</f>
        <v>0</v>
      </c>
      <c r="O284" s="32">
        <v>1.6900000000000001E-3</v>
      </c>
      <c r="P284" s="32">
        <f>G284*O284</f>
        <v>3.3800000000000002E-3</v>
      </c>
      <c r="Q284" s="35" t="s">
        <v>77</v>
      </c>
      <c r="Z284" s="32">
        <f>ROUND(IF(AQ284="5",BJ284,0),2)</f>
        <v>0</v>
      </c>
      <c r="AB284" s="32">
        <f>ROUND(IF(AQ284="1",BH284,0),2)</f>
        <v>0</v>
      </c>
      <c r="AC284" s="32">
        <f>ROUND(IF(AQ284="1",BI284,0),2)</f>
        <v>0</v>
      </c>
      <c r="AD284" s="32">
        <f>ROUND(IF(AQ284="7",BH284,0),2)</f>
        <v>0</v>
      </c>
      <c r="AE284" s="32">
        <f>ROUND(IF(AQ284="7",BI284,0),2)</f>
        <v>0</v>
      </c>
      <c r="AF284" s="32">
        <f>ROUND(IF(AQ284="2",BH284,0),2)</f>
        <v>0</v>
      </c>
      <c r="AG284" s="32">
        <f>ROUND(IF(AQ284="2",BI284,0),2)</f>
        <v>0</v>
      </c>
      <c r="AH284" s="32">
        <f>ROUND(IF(AQ284="0",BJ284,0),2)</f>
        <v>0</v>
      </c>
      <c r="AI284" s="12" t="s">
        <v>55</v>
      </c>
      <c r="AJ284" s="32">
        <f>IF(AN284=0,L284,0)</f>
        <v>0</v>
      </c>
      <c r="AK284" s="32">
        <f>IF(AN284=12,L284,0)</f>
        <v>0</v>
      </c>
      <c r="AL284" s="32">
        <f>IF(AN284=21,L284,0)</f>
        <v>0</v>
      </c>
      <c r="AN284" s="32">
        <v>21</v>
      </c>
      <c r="AO284" s="32">
        <f>H284*0.469288155</f>
        <v>0</v>
      </c>
      <c r="AP284" s="32">
        <f>H284*(1-0.469288155)</f>
        <v>0</v>
      </c>
      <c r="AQ284" s="36" t="s">
        <v>90</v>
      </c>
      <c r="AV284" s="32">
        <f>ROUND(AW284+AX284,2)</f>
        <v>0</v>
      </c>
      <c r="AW284" s="32">
        <f>ROUND(G284*AO284,2)</f>
        <v>0</v>
      </c>
      <c r="AX284" s="32">
        <f>ROUND(G284*AP284,2)</f>
        <v>0</v>
      </c>
      <c r="AY284" s="36" t="s">
        <v>613</v>
      </c>
      <c r="AZ284" s="36" t="s">
        <v>245</v>
      </c>
      <c r="BA284" s="12" t="s">
        <v>65</v>
      </c>
      <c r="BC284" s="32">
        <f>AW284+AX284</f>
        <v>0</v>
      </c>
      <c r="BD284" s="32">
        <f>H284/(100-BE284)*100</f>
        <v>0</v>
      </c>
      <c r="BE284" s="32">
        <v>0</v>
      </c>
      <c r="BF284" s="32">
        <f>P284</f>
        <v>3.3800000000000002E-3</v>
      </c>
      <c r="BH284" s="32">
        <f>G284*AO284</f>
        <v>0</v>
      </c>
      <c r="BI284" s="32">
        <f>G284*AP284</f>
        <v>0</v>
      </c>
      <c r="BJ284" s="32">
        <f>G284*H284</f>
        <v>0</v>
      </c>
      <c r="BK284" s="36" t="s">
        <v>66</v>
      </c>
      <c r="BL284" s="32">
        <v>728</v>
      </c>
      <c r="BW284" s="32">
        <f>I284</f>
        <v>21</v>
      </c>
      <c r="BX284" s="4" t="s">
        <v>635</v>
      </c>
    </row>
    <row r="285" spans="1:76" ht="13.5" customHeight="1" x14ac:dyDescent="0.25">
      <c r="A285" s="42"/>
      <c r="C285" s="43"/>
      <c r="D285" s="95" t="s">
        <v>636</v>
      </c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7"/>
    </row>
    <row r="286" spans="1:76" x14ac:dyDescent="0.25">
      <c r="A286" s="2" t="s">
        <v>637</v>
      </c>
      <c r="B286" s="3" t="s">
        <v>55</v>
      </c>
      <c r="C286" s="3" t="s">
        <v>638</v>
      </c>
      <c r="D286" s="89" t="s">
        <v>639</v>
      </c>
      <c r="E286" s="90"/>
      <c r="F286" s="3" t="s">
        <v>136</v>
      </c>
      <c r="G286" s="32">
        <v>8</v>
      </c>
      <c r="H286" s="199">
        <v>0</v>
      </c>
      <c r="I286" s="33">
        <v>21</v>
      </c>
      <c r="J286" s="32">
        <f>ROUND(G286*AO286,2)</f>
        <v>0</v>
      </c>
      <c r="K286" s="32">
        <f>ROUND(G286*AP286,2)</f>
        <v>0</v>
      </c>
      <c r="L286" s="32">
        <f>ROUND(G286*H286,2)</f>
        <v>0</v>
      </c>
      <c r="M286" s="32">
        <f>L286*(1+BW286/100)</f>
        <v>0</v>
      </c>
      <c r="N286" s="34">
        <f>IF(L649=0,0,L286/L649)</f>
        <v>0</v>
      </c>
      <c r="O286" s="32">
        <v>1.48E-3</v>
      </c>
      <c r="P286" s="32">
        <f>G286*O286</f>
        <v>1.184E-2</v>
      </c>
      <c r="Q286" s="35" t="s">
        <v>77</v>
      </c>
      <c r="Z286" s="32">
        <f>ROUND(IF(AQ286="5",BJ286,0),2)</f>
        <v>0</v>
      </c>
      <c r="AB286" s="32">
        <f>ROUND(IF(AQ286="1",BH286,0),2)</f>
        <v>0</v>
      </c>
      <c r="AC286" s="32">
        <f>ROUND(IF(AQ286="1",BI286,0),2)</f>
        <v>0</v>
      </c>
      <c r="AD286" s="32">
        <f>ROUND(IF(AQ286="7",BH286,0),2)</f>
        <v>0</v>
      </c>
      <c r="AE286" s="32">
        <f>ROUND(IF(AQ286="7",BI286,0),2)</f>
        <v>0</v>
      </c>
      <c r="AF286" s="32">
        <f>ROUND(IF(AQ286="2",BH286,0),2)</f>
        <v>0</v>
      </c>
      <c r="AG286" s="32">
        <f>ROUND(IF(AQ286="2",BI286,0),2)</f>
        <v>0</v>
      </c>
      <c r="AH286" s="32">
        <f>ROUND(IF(AQ286="0",BJ286,0),2)</f>
        <v>0</v>
      </c>
      <c r="AI286" s="12" t="s">
        <v>55</v>
      </c>
      <c r="AJ286" s="32">
        <f>IF(AN286=0,L286,0)</f>
        <v>0</v>
      </c>
      <c r="AK286" s="32">
        <f>IF(AN286=12,L286,0)</f>
        <v>0</v>
      </c>
      <c r="AL286" s="32">
        <f>IF(AN286=21,L286,0)</f>
        <v>0</v>
      </c>
      <c r="AN286" s="32">
        <v>21</v>
      </c>
      <c r="AO286" s="32">
        <f>H286*0.242262911</f>
        <v>0</v>
      </c>
      <c r="AP286" s="32">
        <f>H286*(1-0.242262911)</f>
        <v>0</v>
      </c>
      <c r="AQ286" s="36" t="s">
        <v>90</v>
      </c>
      <c r="AV286" s="32">
        <f>ROUND(AW286+AX286,2)</f>
        <v>0</v>
      </c>
      <c r="AW286" s="32">
        <f>ROUND(G286*AO286,2)</f>
        <v>0</v>
      </c>
      <c r="AX286" s="32">
        <f>ROUND(G286*AP286,2)</f>
        <v>0</v>
      </c>
      <c r="AY286" s="36" t="s">
        <v>613</v>
      </c>
      <c r="AZ286" s="36" t="s">
        <v>245</v>
      </c>
      <c r="BA286" s="12" t="s">
        <v>65</v>
      </c>
      <c r="BC286" s="32">
        <f>AW286+AX286</f>
        <v>0</v>
      </c>
      <c r="BD286" s="32">
        <f>H286/(100-BE286)*100</f>
        <v>0</v>
      </c>
      <c r="BE286" s="32">
        <v>0</v>
      </c>
      <c r="BF286" s="32">
        <f>P286</f>
        <v>1.184E-2</v>
      </c>
      <c r="BH286" s="32">
        <f>G286*AO286</f>
        <v>0</v>
      </c>
      <c r="BI286" s="32">
        <f>G286*AP286</f>
        <v>0</v>
      </c>
      <c r="BJ286" s="32">
        <f>G286*H286</f>
        <v>0</v>
      </c>
      <c r="BK286" s="36" t="s">
        <v>66</v>
      </c>
      <c r="BL286" s="32">
        <v>728</v>
      </c>
      <c r="BW286" s="32">
        <f>I286</f>
        <v>21</v>
      </c>
      <c r="BX286" s="4" t="s">
        <v>639</v>
      </c>
    </row>
    <row r="287" spans="1:76" ht="13.5" customHeight="1" x14ac:dyDescent="0.25">
      <c r="A287" s="42"/>
      <c r="C287" s="43"/>
      <c r="D287" s="95" t="s">
        <v>640</v>
      </c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7"/>
    </row>
    <row r="288" spans="1:76" x14ac:dyDescent="0.25">
      <c r="A288" s="2" t="s">
        <v>641</v>
      </c>
      <c r="B288" s="3" t="s">
        <v>55</v>
      </c>
      <c r="C288" s="3" t="s">
        <v>642</v>
      </c>
      <c r="D288" s="89" t="s">
        <v>643</v>
      </c>
      <c r="E288" s="90"/>
      <c r="F288" s="3" t="s">
        <v>136</v>
      </c>
      <c r="G288" s="32">
        <v>10</v>
      </c>
      <c r="H288" s="199">
        <v>0</v>
      </c>
      <c r="I288" s="33">
        <v>21</v>
      </c>
      <c r="J288" s="32">
        <f>ROUND(G288*AO288,2)</f>
        <v>0</v>
      </c>
      <c r="K288" s="32">
        <f>ROUND(G288*AP288,2)</f>
        <v>0</v>
      </c>
      <c r="L288" s="32">
        <f>ROUND(G288*H288,2)</f>
        <v>0</v>
      </c>
      <c r="M288" s="32">
        <f>L288*(1+BW288/100)</f>
        <v>0</v>
      </c>
      <c r="N288" s="34">
        <f>IF(L649=0,0,L288/L649)</f>
        <v>0</v>
      </c>
      <c r="O288" s="32">
        <v>2.0699999999999998E-3</v>
      </c>
      <c r="P288" s="32">
        <f>G288*O288</f>
        <v>2.0699999999999996E-2</v>
      </c>
      <c r="Q288" s="35" t="s">
        <v>77</v>
      </c>
      <c r="Z288" s="32">
        <f>ROUND(IF(AQ288="5",BJ288,0),2)</f>
        <v>0</v>
      </c>
      <c r="AB288" s="32">
        <f>ROUND(IF(AQ288="1",BH288,0),2)</f>
        <v>0</v>
      </c>
      <c r="AC288" s="32">
        <f>ROUND(IF(AQ288="1",BI288,0),2)</f>
        <v>0</v>
      </c>
      <c r="AD288" s="32">
        <f>ROUND(IF(AQ288="7",BH288,0),2)</f>
        <v>0</v>
      </c>
      <c r="AE288" s="32">
        <f>ROUND(IF(AQ288="7",BI288,0),2)</f>
        <v>0</v>
      </c>
      <c r="AF288" s="32">
        <f>ROUND(IF(AQ288="2",BH288,0),2)</f>
        <v>0</v>
      </c>
      <c r="AG288" s="32">
        <f>ROUND(IF(AQ288="2",BI288,0),2)</f>
        <v>0</v>
      </c>
      <c r="AH288" s="32">
        <f>ROUND(IF(AQ288="0",BJ288,0),2)</f>
        <v>0</v>
      </c>
      <c r="AI288" s="12" t="s">
        <v>55</v>
      </c>
      <c r="AJ288" s="32">
        <f>IF(AN288=0,L288,0)</f>
        <v>0</v>
      </c>
      <c r="AK288" s="32">
        <f>IF(AN288=12,L288,0)</f>
        <v>0</v>
      </c>
      <c r="AL288" s="32">
        <f>IF(AN288=21,L288,0)</f>
        <v>0</v>
      </c>
      <c r="AN288" s="32">
        <v>21</v>
      </c>
      <c r="AO288" s="32">
        <f>H288*0.389079922</f>
        <v>0</v>
      </c>
      <c r="AP288" s="32">
        <f>H288*(1-0.389079922)</f>
        <v>0</v>
      </c>
      <c r="AQ288" s="36" t="s">
        <v>90</v>
      </c>
      <c r="AV288" s="32">
        <f>ROUND(AW288+AX288,2)</f>
        <v>0</v>
      </c>
      <c r="AW288" s="32">
        <f>ROUND(G288*AO288,2)</f>
        <v>0</v>
      </c>
      <c r="AX288" s="32">
        <f>ROUND(G288*AP288,2)</f>
        <v>0</v>
      </c>
      <c r="AY288" s="36" t="s">
        <v>613</v>
      </c>
      <c r="AZ288" s="36" t="s">
        <v>245</v>
      </c>
      <c r="BA288" s="12" t="s">
        <v>65</v>
      </c>
      <c r="BC288" s="32">
        <f>AW288+AX288</f>
        <v>0</v>
      </c>
      <c r="BD288" s="32">
        <f>H288/(100-BE288)*100</f>
        <v>0</v>
      </c>
      <c r="BE288" s="32">
        <v>0</v>
      </c>
      <c r="BF288" s="32">
        <f>P288</f>
        <v>2.0699999999999996E-2</v>
      </c>
      <c r="BH288" s="32">
        <f>G288*AO288</f>
        <v>0</v>
      </c>
      <c r="BI288" s="32">
        <f>G288*AP288</f>
        <v>0</v>
      </c>
      <c r="BJ288" s="32">
        <f>G288*H288</f>
        <v>0</v>
      </c>
      <c r="BK288" s="36" t="s">
        <v>66</v>
      </c>
      <c r="BL288" s="32">
        <v>728</v>
      </c>
      <c r="BW288" s="32">
        <f>I288</f>
        <v>21</v>
      </c>
      <c r="BX288" s="4" t="s">
        <v>643</v>
      </c>
    </row>
    <row r="289" spans="1:76" ht="13.5" customHeight="1" x14ac:dyDescent="0.25">
      <c r="A289" s="42"/>
      <c r="C289" s="43"/>
      <c r="D289" s="95" t="s">
        <v>644</v>
      </c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7"/>
    </row>
    <row r="290" spans="1:76" x14ac:dyDescent="0.25">
      <c r="A290" s="2" t="s">
        <v>645</v>
      </c>
      <c r="B290" s="3" t="s">
        <v>55</v>
      </c>
      <c r="C290" s="3" t="s">
        <v>646</v>
      </c>
      <c r="D290" s="89" t="s">
        <v>647</v>
      </c>
      <c r="E290" s="90"/>
      <c r="F290" s="3" t="s">
        <v>136</v>
      </c>
      <c r="G290" s="32">
        <v>9</v>
      </c>
      <c r="H290" s="199">
        <v>0</v>
      </c>
      <c r="I290" s="33">
        <v>21</v>
      </c>
      <c r="J290" s="32">
        <f>ROUND(G290*AO290,2)</f>
        <v>0</v>
      </c>
      <c r="K290" s="32">
        <f>ROUND(G290*AP290,2)</f>
        <v>0</v>
      </c>
      <c r="L290" s="32">
        <f>ROUND(G290*H290,2)</f>
        <v>0</v>
      </c>
      <c r="M290" s="32">
        <f>L290*(1+BW290/100)</f>
        <v>0</v>
      </c>
      <c r="N290" s="34">
        <f>IF(L649=0,0,L290/L649)</f>
        <v>0</v>
      </c>
      <c r="O290" s="32">
        <v>3.4000000000000002E-4</v>
      </c>
      <c r="P290" s="32">
        <f>G290*O290</f>
        <v>3.0600000000000002E-3</v>
      </c>
      <c r="Q290" s="35" t="s">
        <v>77</v>
      </c>
      <c r="Z290" s="32">
        <f>ROUND(IF(AQ290="5",BJ290,0),2)</f>
        <v>0</v>
      </c>
      <c r="AB290" s="32">
        <f>ROUND(IF(AQ290="1",BH290,0),2)</f>
        <v>0</v>
      </c>
      <c r="AC290" s="32">
        <f>ROUND(IF(AQ290="1",BI290,0),2)</f>
        <v>0</v>
      </c>
      <c r="AD290" s="32">
        <f>ROUND(IF(AQ290="7",BH290,0),2)</f>
        <v>0</v>
      </c>
      <c r="AE290" s="32">
        <f>ROUND(IF(AQ290="7",BI290,0),2)</f>
        <v>0</v>
      </c>
      <c r="AF290" s="32">
        <f>ROUND(IF(AQ290="2",BH290,0),2)</f>
        <v>0</v>
      </c>
      <c r="AG290" s="32">
        <f>ROUND(IF(AQ290="2",BI290,0),2)</f>
        <v>0</v>
      </c>
      <c r="AH290" s="32">
        <f>ROUND(IF(AQ290="0",BJ290,0),2)</f>
        <v>0</v>
      </c>
      <c r="AI290" s="12" t="s">
        <v>55</v>
      </c>
      <c r="AJ290" s="32">
        <f>IF(AN290=0,L290,0)</f>
        <v>0</v>
      </c>
      <c r="AK290" s="32">
        <f>IF(AN290=12,L290,0)</f>
        <v>0</v>
      </c>
      <c r="AL290" s="32">
        <f>IF(AN290=21,L290,0)</f>
        <v>0</v>
      </c>
      <c r="AN290" s="32">
        <v>21</v>
      </c>
      <c r="AO290" s="32">
        <f>H290*0.775826211</f>
        <v>0</v>
      </c>
      <c r="AP290" s="32">
        <f>H290*(1-0.775826211)</f>
        <v>0</v>
      </c>
      <c r="AQ290" s="36" t="s">
        <v>90</v>
      </c>
      <c r="AV290" s="32">
        <f>ROUND(AW290+AX290,2)</f>
        <v>0</v>
      </c>
      <c r="AW290" s="32">
        <f>ROUND(G290*AO290,2)</f>
        <v>0</v>
      </c>
      <c r="AX290" s="32">
        <f>ROUND(G290*AP290,2)</f>
        <v>0</v>
      </c>
      <c r="AY290" s="36" t="s">
        <v>613</v>
      </c>
      <c r="AZ290" s="36" t="s">
        <v>245</v>
      </c>
      <c r="BA290" s="12" t="s">
        <v>65</v>
      </c>
      <c r="BC290" s="32">
        <f>AW290+AX290</f>
        <v>0</v>
      </c>
      <c r="BD290" s="32">
        <f>H290/(100-BE290)*100</f>
        <v>0</v>
      </c>
      <c r="BE290" s="32">
        <v>0</v>
      </c>
      <c r="BF290" s="32">
        <f>P290</f>
        <v>3.0600000000000002E-3</v>
      </c>
      <c r="BH290" s="32">
        <f>G290*AO290</f>
        <v>0</v>
      </c>
      <c r="BI290" s="32">
        <f>G290*AP290</f>
        <v>0</v>
      </c>
      <c r="BJ290" s="32">
        <f>G290*H290</f>
        <v>0</v>
      </c>
      <c r="BK290" s="36" t="s">
        <v>66</v>
      </c>
      <c r="BL290" s="32">
        <v>728</v>
      </c>
      <c r="BW290" s="32">
        <f>I290</f>
        <v>21</v>
      </c>
      <c r="BX290" s="4" t="s">
        <v>647</v>
      </c>
    </row>
    <row r="291" spans="1:76" ht="13.5" customHeight="1" x14ac:dyDescent="0.25">
      <c r="A291" s="42"/>
      <c r="C291" s="43"/>
      <c r="D291" s="95" t="s">
        <v>648</v>
      </c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7"/>
    </row>
    <row r="292" spans="1:76" x14ac:dyDescent="0.25">
      <c r="A292" s="2" t="s">
        <v>649</v>
      </c>
      <c r="B292" s="3" t="s">
        <v>55</v>
      </c>
      <c r="C292" s="3" t="s">
        <v>650</v>
      </c>
      <c r="D292" s="89" t="s">
        <v>651</v>
      </c>
      <c r="E292" s="90"/>
      <c r="F292" s="3" t="s">
        <v>136</v>
      </c>
      <c r="G292" s="32">
        <v>12</v>
      </c>
      <c r="H292" s="199">
        <v>0</v>
      </c>
      <c r="I292" s="33">
        <v>21</v>
      </c>
      <c r="J292" s="32">
        <f>ROUND(G292*AO292,2)</f>
        <v>0</v>
      </c>
      <c r="K292" s="32">
        <f>ROUND(G292*AP292,2)</f>
        <v>0</v>
      </c>
      <c r="L292" s="32">
        <f>ROUND(G292*H292,2)</f>
        <v>0</v>
      </c>
      <c r="M292" s="32">
        <f>L292*(1+BW292/100)</f>
        <v>0</v>
      </c>
      <c r="N292" s="34">
        <f>IF(L649=0,0,L292/L649)</f>
        <v>0</v>
      </c>
      <c r="O292" s="32">
        <v>4.2000000000000002E-4</v>
      </c>
      <c r="P292" s="32">
        <f>G292*O292</f>
        <v>5.0400000000000002E-3</v>
      </c>
      <c r="Q292" s="35" t="s">
        <v>77</v>
      </c>
      <c r="Z292" s="32">
        <f>ROUND(IF(AQ292="5",BJ292,0),2)</f>
        <v>0</v>
      </c>
      <c r="AB292" s="32">
        <f>ROUND(IF(AQ292="1",BH292,0),2)</f>
        <v>0</v>
      </c>
      <c r="AC292" s="32">
        <f>ROUND(IF(AQ292="1",BI292,0),2)</f>
        <v>0</v>
      </c>
      <c r="AD292" s="32">
        <f>ROUND(IF(AQ292="7",BH292,0),2)</f>
        <v>0</v>
      </c>
      <c r="AE292" s="32">
        <f>ROUND(IF(AQ292="7",BI292,0),2)</f>
        <v>0</v>
      </c>
      <c r="AF292" s="32">
        <f>ROUND(IF(AQ292="2",BH292,0),2)</f>
        <v>0</v>
      </c>
      <c r="AG292" s="32">
        <f>ROUND(IF(AQ292="2",BI292,0),2)</f>
        <v>0</v>
      </c>
      <c r="AH292" s="32">
        <f>ROUND(IF(AQ292="0",BJ292,0),2)</f>
        <v>0</v>
      </c>
      <c r="AI292" s="12" t="s">
        <v>55</v>
      </c>
      <c r="AJ292" s="32">
        <f>IF(AN292=0,L292,0)</f>
        <v>0</v>
      </c>
      <c r="AK292" s="32">
        <f>IF(AN292=12,L292,0)</f>
        <v>0</v>
      </c>
      <c r="AL292" s="32">
        <f>IF(AN292=21,L292,0)</f>
        <v>0</v>
      </c>
      <c r="AN292" s="32">
        <v>21</v>
      </c>
      <c r="AO292" s="32">
        <f>H292*0.797859832</f>
        <v>0</v>
      </c>
      <c r="AP292" s="32">
        <f>H292*(1-0.797859832)</f>
        <v>0</v>
      </c>
      <c r="AQ292" s="36" t="s">
        <v>90</v>
      </c>
      <c r="AV292" s="32">
        <f>ROUND(AW292+AX292,2)</f>
        <v>0</v>
      </c>
      <c r="AW292" s="32">
        <f>ROUND(G292*AO292,2)</f>
        <v>0</v>
      </c>
      <c r="AX292" s="32">
        <f>ROUND(G292*AP292,2)</f>
        <v>0</v>
      </c>
      <c r="AY292" s="36" t="s">
        <v>613</v>
      </c>
      <c r="AZ292" s="36" t="s">
        <v>245</v>
      </c>
      <c r="BA292" s="12" t="s">
        <v>65</v>
      </c>
      <c r="BC292" s="32">
        <f>AW292+AX292</f>
        <v>0</v>
      </c>
      <c r="BD292" s="32">
        <f>H292/(100-BE292)*100</f>
        <v>0</v>
      </c>
      <c r="BE292" s="32">
        <v>0</v>
      </c>
      <c r="BF292" s="32">
        <f>P292</f>
        <v>5.0400000000000002E-3</v>
      </c>
      <c r="BH292" s="32">
        <f>G292*AO292</f>
        <v>0</v>
      </c>
      <c r="BI292" s="32">
        <f>G292*AP292</f>
        <v>0</v>
      </c>
      <c r="BJ292" s="32">
        <f>G292*H292</f>
        <v>0</v>
      </c>
      <c r="BK292" s="36" t="s">
        <v>66</v>
      </c>
      <c r="BL292" s="32">
        <v>728</v>
      </c>
      <c r="BW292" s="32">
        <f>I292</f>
        <v>21</v>
      </c>
      <c r="BX292" s="4" t="s">
        <v>651</v>
      </c>
    </row>
    <row r="293" spans="1:76" ht="13.5" customHeight="1" x14ac:dyDescent="0.25">
      <c r="A293" s="42"/>
      <c r="C293" s="43"/>
      <c r="D293" s="95" t="s">
        <v>648</v>
      </c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7"/>
    </row>
    <row r="294" spans="1:76" x14ac:dyDescent="0.25">
      <c r="A294" s="2" t="s">
        <v>652</v>
      </c>
      <c r="B294" s="3" t="s">
        <v>55</v>
      </c>
      <c r="C294" s="3" t="s">
        <v>653</v>
      </c>
      <c r="D294" s="89" t="s">
        <v>654</v>
      </c>
      <c r="E294" s="90"/>
      <c r="F294" s="3" t="s">
        <v>316</v>
      </c>
      <c r="G294" s="32">
        <v>1</v>
      </c>
      <c r="H294" s="199">
        <v>0</v>
      </c>
      <c r="I294" s="33">
        <v>21</v>
      </c>
      <c r="J294" s="32">
        <f>ROUND(G294*AO294,2)</f>
        <v>0</v>
      </c>
      <c r="K294" s="32">
        <f>ROUND(G294*AP294,2)</f>
        <v>0</v>
      </c>
      <c r="L294" s="32">
        <f>ROUND(G294*H294,2)</f>
        <v>0</v>
      </c>
      <c r="M294" s="32">
        <f>L294*(1+BW294/100)</f>
        <v>0</v>
      </c>
      <c r="N294" s="34">
        <f>IF(L649=0,0,L294/L649)</f>
        <v>0</v>
      </c>
      <c r="O294" s="32">
        <v>4.9800000000000001E-3</v>
      </c>
      <c r="P294" s="32">
        <f>G294*O294</f>
        <v>4.9800000000000001E-3</v>
      </c>
      <c r="Q294" s="35"/>
      <c r="Z294" s="32">
        <f>ROUND(IF(AQ294="5",BJ294,0),2)</f>
        <v>0</v>
      </c>
      <c r="AB294" s="32">
        <f>ROUND(IF(AQ294="1",BH294,0),2)</f>
        <v>0</v>
      </c>
      <c r="AC294" s="32">
        <f>ROUND(IF(AQ294="1",BI294,0),2)</f>
        <v>0</v>
      </c>
      <c r="AD294" s="32">
        <f>ROUND(IF(AQ294="7",BH294,0),2)</f>
        <v>0</v>
      </c>
      <c r="AE294" s="32">
        <f>ROUND(IF(AQ294="7",BI294,0),2)</f>
        <v>0</v>
      </c>
      <c r="AF294" s="32">
        <f>ROUND(IF(AQ294="2",BH294,0),2)</f>
        <v>0</v>
      </c>
      <c r="AG294" s="32">
        <f>ROUND(IF(AQ294="2",BI294,0),2)</f>
        <v>0</v>
      </c>
      <c r="AH294" s="32">
        <f>ROUND(IF(AQ294="0",BJ294,0),2)</f>
        <v>0</v>
      </c>
      <c r="AI294" s="12" t="s">
        <v>55</v>
      </c>
      <c r="AJ294" s="32">
        <f>IF(AN294=0,L294,0)</f>
        <v>0</v>
      </c>
      <c r="AK294" s="32">
        <f>IF(AN294=12,L294,0)</f>
        <v>0</v>
      </c>
      <c r="AL294" s="32">
        <f>IF(AN294=21,L294,0)</f>
        <v>0</v>
      </c>
      <c r="AN294" s="32">
        <v>21</v>
      </c>
      <c r="AO294" s="32">
        <f>H294*0.437119803</f>
        <v>0</v>
      </c>
      <c r="AP294" s="32">
        <f>H294*(1-0.437119803)</f>
        <v>0</v>
      </c>
      <c r="AQ294" s="36" t="s">
        <v>90</v>
      </c>
      <c r="AV294" s="32">
        <f>ROUND(AW294+AX294,2)</f>
        <v>0</v>
      </c>
      <c r="AW294" s="32">
        <f>ROUND(G294*AO294,2)</f>
        <v>0</v>
      </c>
      <c r="AX294" s="32">
        <f>ROUND(G294*AP294,2)</f>
        <v>0</v>
      </c>
      <c r="AY294" s="36" t="s">
        <v>613</v>
      </c>
      <c r="AZ294" s="36" t="s">
        <v>245</v>
      </c>
      <c r="BA294" s="12" t="s">
        <v>65</v>
      </c>
      <c r="BC294" s="32">
        <f>AW294+AX294</f>
        <v>0</v>
      </c>
      <c r="BD294" s="32">
        <f>H294/(100-BE294)*100</f>
        <v>0</v>
      </c>
      <c r="BE294" s="32">
        <v>0</v>
      </c>
      <c r="BF294" s="32">
        <f>P294</f>
        <v>4.9800000000000001E-3</v>
      </c>
      <c r="BH294" s="32">
        <f>G294*AO294</f>
        <v>0</v>
      </c>
      <c r="BI294" s="32">
        <f>G294*AP294</f>
        <v>0</v>
      </c>
      <c r="BJ294" s="32">
        <f>G294*H294</f>
        <v>0</v>
      </c>
      <c r="BK294" s="36" t="s">
        <v>66</v>
      </c>
      <c r="BL294" s="32">
        <v>728</v>
      </c>
      <c r="BW294" s="32">
        <f>I294</f>
        <v>21</v>
      </c>
      <c r="BX294" s="4" t="s">
        <v>654</v>
      </c>
    </row>
    <row r="295" spans="1:76" ht="13.5" customHeight="1" x14ac:dyDescent="0.25">
      <c r="A295" s="42"/>
      <c r="C295" s="43"/>
      <c r="D295" s="95" t="s">
        <v>454</v>
      </c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7"/>
    </row>
    <row r="296" spans="1:76" x14ac:dyDescent="0.25">
      <c r="A296" s="2" t="s">
        <v>655</v>
      </c>
      <c r="B296" s="3" t="s">
        <v>55</v>
      </c>
      <c r="C296" s="3" t="s">
        <v>656</v>
      </c>
      <c r="D296" s="89" t="s">
        <v>319</v>
      </c>
      <c r="E296" s="90"/>
      <c r="F296" s="3" t="s">
        <v>316</v>
      </c>
      <c r="G296" s="32">
        <v>1</v>
      </c>
      <c r="H296" s="199">
        <v>0</v>
      </c>
      <c r="I296" s="33">
        <v>21</v>
      </c>
      <c r="J296" s="32">
        <f>ROUND(G296*AO296,2)</f>
        <v>0</v>
      </c>
      <c r="K296" s="32">
        <f>ROUND(G296*AP296,2)</f>
        <v>0</v>
      </c>
      <c r="L296" s="32">
        <f>ROUND(G296*H296,2)</f>
        <v>0</v>
      </c>
      <c r="M296" s="32">
        <f>L296*(1+BW296/100)</f>
        <v>0</v>
      </c>
      <c r="N296" s="34">
        <f>IF(L649=0,0,L296/L649)</f>
        <v>0</v>
      </c>
      <c r="O296" s="32">
        <v>0</v>
      </c>
      <c r="P296" s="32">
        <f>G296*O296</f>
        <v>0</v>
      </c>
      <c r="Q296" s="35"/>
      <c r="Z296" s="32">
        <f>ROUND(IF(AQ296="5",BJ296,0),2)</f>
        <v>0</v>
      </c>
      <c r="AB296" s="32">
        <f>ROUND(IF(AQ296="1",BH296,0),2)</f>
        <v>0</v>
      </c>
      <c r="AC296" s="32">
        <f>ROUND(IF(AQ296="1",BI296,0),2)</f>
        <v>0</v>
      </c>
      <c r="AD296" s="32">
        <f>ROUND(IF(AQ296="7",BH296,0),2)</f>
        <v>0</v>
      </c>
      <c r="AE296" s="32">
        <f>ROUND(IF(AQ296="7",BI296,0),2)</f>
        <v>0</v>
      </c>
      <c r="AF296" s="32">
        <f>ROUND(IF(AQ296="2",BH296,0),2)</f>
        <v>0</v>
      </c>
      <c r="AG296" s="32">
        <f>ROUND(IF(AQ296="2",BI296,0),2)</f>
        <v>0</v>
      </c>
      <c r="AH296" s="32">
        <f>ROUND(IF(AQ296="0",BJ296,0),2)</f>
        <v>0</v>
      </c>
      <c r="AI296" s="12" t="s">
        <v>55</v>
      </c>
      <c r="AJ296" s="32">
        <f>IF(AN296=0,L296,0)</f>
        <v>0</v>
      </c>
      <c r="AK296" s="32">
        <f>IF(AN296=12,L296,0)</f>
        <v>0</v>
      </c>
      <c r="AL296" s="32">
        <f>IF(AN296=21,L296,0)</f>
        <v>0</v>
      </c>
      <c r="AN296" s="32">
        <v>21</v>
      </c>
      <c r="AO296" s="32">
        <f>H296*0.540892193</f>
        <v>0</v>
      </c>
      <c r="AP296" s="32">
        <f>H296*(1-0.540892193)</f>
        <v>0</v>
      </c>
      <c r="AQ296" s="36" t="s">
        <v>90</v>
      </c>
      <c r="AV296" s="32">
        <f>ROUND(AW296+AX296,2)</f>
        <v>0</v>
      </c>
      <c r="AW296" s="32">
        <f>ROUND(G296*AO296,2)</f>
        <v>0</v>
      </c>
      <c r="AX296" s="32">
        <f>ROUND(G296*AP296,2)</f>
        <v>0</v>
      </c>
      <c r="AY296" s="36" t="s">
        <v>613</v>
      </c>
      <c r="AZ296" s="36" t="s">
        <v>245</v>
      </c>
      <c r="BA296" s="12" t="s">
        <v>65</v>
      </c>
      <c r="BC296" s="32">
        <f>AW296+AX296</f>
        <v>0</v>
      </c>
      <c r="BD296" s="32">
        <f>H296/(100-BE296)*100</f>
        <v>0</v>
      </c>
      <c r="BE296" s="32">
        <v>0</v>
      </c>
      <c r="BF296" s="32">
        <f>P296</f>
        <v>0</v>
      </c>
      <c r="BH296" s="32">
        <f>G296*AO296</f>
        <v>0</v>
      </c>
      <c r="BI296" s="32">
        <f>G296*AP296</f>
        <v>0</v>
      </c>
      <c r="BJ296" s="32">
        <f>G296*H296</f>
        <v>0</v>
      </c>
      <c r="BK296" s="36" t="s">
        <v>66</v>
      </c>
      <c r="BL296" s="32">
        <v>728</v>
      </c>
      <c r="BW296" s="32">
        <f>I296</f>
        <v>21</v>
      </c>
      <c r="BX296" s="4" t="s">
        <v>319</v>
      </c>
    </row>
    <row r="297" spans="1:76" ht="13.5" customHeight="1" x14ac:dyDescent="0.25">
      <c r="A297" s="42"/>
      <c r="C297" s="43"/>
      <c r="D297" s="95" t="s">
        <v>657</v>
      </c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7"/>
    </row>
    <row r="298" spans="1:76" x14ac:dyDescent="0.25">
      <c r="A298" s="37" t="s">
        <v>55</v>
      </c>
      <c r="B298" s="38" t="s">
        <v>55</v>
      </c>
      <c r="C298" s="38" t="s">
        <v>658</v>
      </c>
      <c r="D298" s="98" t="s">
        <v>659</v>
      </c>
      <c r="E298" s="99"/>
      <c r="F298" s="39" t="s">
        <v>3</v>
      </c>
      <c r="G298" s="39" t="s">
        <v>3</v>
      </c>
      <c r="H298" s="39" t="s">
        <v>3</v>
      </c>
      <c r="I298" s="39" t="s">
        <v>3</v>
      </c>
      <c r="J298" s="1">
        <f>SUM(J299:J318)</f>
        <v>0</v>
      </c>
      <c r="K298" s="1">
        <f>SUM(K299:K318)</f>
        <v>0</v>
      </c>
      <c r="L298" s="1">
        <f>SUM(L299:L318)</f>
        <v>0</v>
      </c>
      <c r="M298" s="1">
        <f>SUM(M299:M318)</f>
        <v>0</v>
      </c>
      <c r="N298" s="40">
        <f>IF(L649=0,0,L298/L649)</f>
        <v>0</v>
      </c>
      <c r="O298" s="12" t="s">
        <v>55</v>
      </c>
      <c r="P298" s="1">
        <f>SUM(P299:P318)</f>
        <v>1.2913399999999997</v>
      </c>
      <c r="Q298" s="41" t="s">
        <v>55</v>
      </c>
      <c r="AI298" s="12" t="s">
        <v>55</v>
      </c>
      <c r="AS298" s="1">
        <f>SUM(AJ299:AJ318)</f>
        <v>0</v>
      </c>
      <c r="AT298" s="1">
        <f>SUM(AK299:AK318)</f>
        <v>0</v>
      </c>
      <c r="AU298" s="1">
        <f>SUM(AL299:AL318)</f>
        <v>0</v>
      </c>
    </row>
    <row r="299" spans="1:76" x14ac:dyDescent="0.25">
      <c r="A299" s="2" t="s">
        <v>660</v>
      </c>
      <c r="B299" s="3" t="s">
        <v>55</v>
      </c>
      <c r="C299" s="3" t="s">
        <v>661</v>
      </c>
      <c r="D299" s="89" t="s">
        <v>662</v>
      </c>
      <c r="E299" s="90"/>
      <c r="F299" s="3" t="s">
        <v>88</v>
      </c>
      <c r="G299" s="32">
        <v>1</v>
      </c>
      <c r="H299" s="199">
        <v>0</v>
      </c>
      <c r="I299" s="33">
        <v>21</v>
      </c>
      <c r="J299" s="32">
        <f t="shared" ref="J299:J305" si="104">ROUND(G299*AO299,2)</f>
        <v>0</v>
      </c>
      <c r="K299" s="32">
        <f t="shared" ref="K299:K305" si="105">ROUND(G299*AP299,2)</f>
        <v>0</v>
      </c>
      <c r="L299" s="32">
        <f t="shared" ref="L299:L305" si="106">ROUND(G299*H299,2)</f>
        <v>0</v>
      </c>
      <c r="M299" s="32">
        <f t="shared" ref="M299:M305" si="107">L299*(1+BW299/100)</f>
        <v>0</v>
      </c>
      <c r="N299" s="34">
        <f>IF(L649=0,0,L299/L649)</f>
        <v>0</v>
      </c>
      <c r="O299" s="32">
        <v>4.4999999999999998E-2</v>
      </c>
      <c r="P299" s="32">
        <f t="shared" ref="P299:P305" si="108">G299*O299</f>
        <v>4.4999999999999998E-2</v>
      </c>
      <c r="Q299" s="35" t="s">
        <v>77</v>
      </c>
      <c r="Z299" s="32">
        <f t="shared" ref="Z299:Z305" si="109">ROUND(IF(AQ299="5",BJ299,0),2)</f>
        <v>0</v>
      </c>
      <c r="AB299" s="32">
        <f t="shared" ref="AB299:AB305" si="110">ROUND(IF(AQ299="1",BH299,0),2)</f>
        <v>0</v>
      </c>
      <c r="AC299" s="32">
        <f t="shared" ref="AC299:AC305" si="111">ROUND(IF(AQ299="1",BI299,0),2)</f>
        <v>0</v>
      </c>
      <c r="AD299" s="32">
        <f t="shared" ref="AD299:AD305" si="112">ROUND(IF(AQ299="7",BH299,0),2)</f>
        <v>0</v>
      </c>
      <c r="AE299" s="32">
        <f t="shared" ref="AE299:AE305" si="113">ROUND(IF(AQ299="7",BI299,0),2)</f>
        <v>0</v>
      </c>
      <c r="AF299" s="32">
        <f t="shared" ref="AF299:AF305" si="114">ROUND(IF(AQ299="2",BH299,0),2)</f>
        <v>0</v>
      </c>
      <c r="AG299" s="32">
        <f t="shared" ref="AG299:AG305" si="115">ROUND(IF(AQ299="2",BI299,0),2)</f>
        <v>0</v>
      </c>
      <c r="AH299" s="32">
        <f t="shared" ref="AH299:AH305" si="116">ROUND(IF(AQ299="0",BJ299,0),2)</f>
        <v>0</v>
      </c>
      <c r="AI299" s="12" t="s">
        <v>55</v>
      </c>
      <c r="AJ299" s="32">
        <f t="shared" ref="AJ299:AJ305" si="117">IF(AN299=0,L299,0)</f>
        <v>0</v>
      </c>
      <c r="AK299" s="32">
        <f t="shared" ref="AK299:AK305" si="118">IF(AN299=12,L299,0)</f>
        <v>0</v>
      </c>
      <c r="AL299" s="32">
        <f t="shared" ref="AL299:AL305" si="119">IF(AN299=21,L299,0)</f>
        <v>0</v>
      </c>
      <c r="AN299" s="32">
        <v>21</v>
      </c>
      <c r="AO299" s="32">
        <f t="shared" ref="AO299:AO305" si="120">H299*1</f>
        <v>0</v>
      </c>
      <c r="AP299" s="32">
        <f t="shared" ref="AP299:AP305" si="121">H299*(1-1)</f>
        <v>0</v>
      </c>
      <c r="AQ299" s="36" t="s">
        <v>90</v>
      </c>
      <c r="AV299" s="32">
        <f t="shared" ref="AV299:AV305" si="122">ROUND(AW299+AX299,2)</f>
        <v>0</v>
      </c>
      <c r="AW299" s="32">
        <f t="shared" ref="AW299:AW305" si="123">ROUND(G299*AO299,2)</f>
        <v>0</v>
      </c>
      <c r="AX299" s="32">
        <f t="shared" ref="AX299:AX305" si="124">ROUND(G299*AP299,2)</f>
        <v>0</v>
      </c>
      <c r="AY299" s="36" t="s">
        <v>663</v>
      </c>
      <c r="AZ299" s="36" t="s">
        <v>664</v>
      </c>
      <c r="BA299" s="12" t="s">
        <v>65</v>
      </c>
      <c r="BC299" s="32">
        <f t="shared" ref="BC299:BC305" si="125">AW299+AX299</f>
        <v>0</v>
      </c>
      <c r="BD299" s="32">
        <f t="shared" ref="BD299:BD305" si="126">H299/(100-BE299)*100</f>
        <v>0</v>
      </c>
      <c r="BE299" s="32">
        <v>0</v>
      </c>
      <c r="BF299" s="32">
        <f t="shared" ref="BF299:BF305" si="127">P299</f>
        <v>4.4999999999999998E-2</v>
      </c>
      <c r="BH299" s="32">
        <f t="shared" ref="BH299:BH305" si="128">G299*AO299</f>
        <v>0</v>
      </c>
      <c r="BI299" s="32">
        <f t="shared" ref="BI299:BI305" si="129">G299*AP299</f>
        <v>0</v>
      </c>
      <c r="BJ299" s="32">
        <f t="shared" ref="BJ299:BJ305" si="130">G299*H299</f>
        <v>0</v>
      </c>
      <c r="BK299" s="36" t="s">
        <v>147</v>
      </c>
      <c r="BL299" s="32">
        <v>731</v>
      </c>
      <c r="BW299" s="32">
        <f t="shared" ref="BW299:BW305" si="131">I299</f>
        <v>21</v>
      </c>
      <c r="BX299" s="4" t="s">
        <v>662</v>
      </c>
    </row>
    <row r="300" spans="1:76" x14ac:dyDescent="0.25">
      <c r="A300" s="2" t="s">
        <v>665</v>
      </c>
      <c r="B300" s="3" t="s">
        <v>55</v>
      </c>
      <c r="C300" s="3" t="s">
        <v>666</v>
      </c>
      <c r="D300" s="89" t="s">
        <v>667</v>
      </c>
      <c r="E300" s="90"/>
      <c r="F300" s="3" t="s">
        <v>88</v>
      </c>
      <c r="G300" s="32">
        <v>1</v>
      </c>
      <c r="H300" s="199">
        <v>0</v>
      </c>
      <c r="I300" s="33">
        <v>21</v>
      </c>
      <c r="J300" s="32">
        <f t="shared" si="104"/>
        <v>0</v>
      </c>
      <c r="K300" s="32">
        <f t="shared" si="105"/>
        <v>0</v>
      </c>
      <c r="L300" s="32">
        <f t="shared" si="106"/>
        <v>0</v>
      </c>
      <c r="M300" s="32">
        <f t="shared" si="107"/>
        <v>0</v>
      </c>
      <c r="N300" s="34">
        <f>IF(L649=0,0,L300/L649)</f>
        <v>0</v>
      </c>
      <c r="O300" s="32">
        <v>0</v>
      </c>
      <c r="P300" s="32">
        <f t="shared" si="108"/>
        <v>0</v>
      </c>
      <c r="Q300" s="35"/>
      <c r="Z300" s="32">
        <f t="shared" si="109"/>
        <v>0</v>
      </c>
      <c r="AB300" s="32">
        <f t="shared" si="110"/>
        <v>0</v>
      </c>
      <c r="AC300" s="32">
        <f t="shared" si="111"/>
        <v>0</v>
      </c>
      <c r="AD300" s="32">
        <f t="shared" si="112"/>
        <v>0</v>
      </c>
      <c r="AE300" s="32">
        <f t="shared" si="113"/>
        <v>0</v>
      </c>
      <c r="AF300" s="32">
        <f t="shared" si="114"/>
        <v>0</v>
      </c>
      <c r="AG300" s="32">
        <f t="shared" si="115"/>
        <v>0</v>
      </c>
      <c r="AH300" s="32">
        <f t="shared" si="116"/>
        <v>0</v>
      </c>
      <c r="AI300" s="12" t="s">
        <v>55</v>
      </c>
      <c r="AJ300" s="32">
        <f t="shared" si="117"/>
        <v>0</v>
      </c>
      <c r="AK300" s="32">
        <f t="shared" si="118"/>
        <v>0</v>
      </c>
      <c r="AL300" s="32">
        <f t="shared" si="119"/>
        <v>0</v>
      </c>
      <c r="AN300" s="32">
        <v>21</v>
      </c>
      <c r="AO300" s="32">
        <f t="shared" si="120"/>
        <v>0</v>
      </c>
      <c r="AP300" s="32">
        <f t="shared" si="121"/>
        <v>0</v>
      </c>
      <c r="AQ300" s="36" t="s">
        <v>90</v>
      </c>
      <c r="AV300" s="32">
        <f t="shared" si="122"/>
        <v>0</v>
      </c>
      <c r="AW300" s="32">
        <f t="shared" si="123"/>
        <v>0</v>
      </c>
      <c r="AX300" s="32">
        <f t="shared" si="124"/>
        <v>0</v>
      </c>
      <c r="AY300" s="36" t="s">
        <v>663</v>
      </c>
      <c r="AZ300" s="36" t="s">
        <v>664</v>
      </c>
      <c r="BA300" s="12" t="s">
        <v>65</v>
      </c>
      <c r="BC300" s="32">
        <f t="shared" si="125"/>
        <v>0</v>
      </c>
      <c r="BD300" s="32">
        <f t="shared" si="126"/>
        <v>0</v>
      </c>
      <c r="BE300" s="32">
        <v>0</v>
      </c>
      <c r="BF300" s="32">
        <f t="shared" si="127"/>
        <v>0</v>
      </c>
      <c r="BH300" s="32">
        <f t="shared" si="128"/>
        <v>0</v>
      </c>
      <c r="BI300" s="32">
        <f t="shared" si="129"/>
        <v>0</v>
      </c>
      <c r="BJ300" s="32">
        <f t="shared" si="130"/>
        <v>0</v>
      </c>
      <c r="BK300" s="36" t="s">
        <v>147</v>
      </c>
      <c r="BL300" s="32">
        <v>731</v>
      </c>
      <c r="BW300" s="32">
        <f t="shared" si="131"/>
        <v>21</v>
      </c>
      <c r="BX300" s="4" t="s">
        <v>667</v>
      </c>
    </row>
    <row r="301" spans="1:76" x14ac:dyDescent="0.25">
      <c r="A301" s="2" t="s">
        <v>668</v>
      </c>
      <c r="B301" s="3" t="s">
        <v>55</v>
      </c>
      <c r="C301" s="3" t="s">
        <v>669</v>
      </c>
      <c r="D301" s="89" t="s">
        <v>670</v>
      </c>
      <c r="E301" s="90"/>
      <c r="F301" s="3" t="s">
        <v>88</v>
      </c>
      <c r="G301" s="32">
        <v>1</v>
      </c>
      <c r="H301" s="199">
        <v>0</v>
      </c>
      <c r="I301" s="33">
        <v>21</v>
      </c>
      <c r="J301" s="32">
        <f t="shared" si="104"/>
        <v>0</v>
      </c>
      <c r="K301" s="32">
        <f t="shared" si="105"/>
        <v>0</v>
      </c>
      <c r="L301" s="32">
        <f t="shared" si="106"/>
        <v>0</v>
      </c>
      <c r="M301" s="32">
        <f t="shared" si="107"/>
        <v>0</v>
      </c>
      <c r="N301" s="34">
        <f>IF(L649=0,0,L301/L649)</f>
        <v>0</v>
      </c>
      <c r="O301" s="32">
        <v>0</v>
      </c>
      <c r="P301" s="32">
        <f t="shared" si="108"/>
        <v>0</v>
      </c>
      <c r="Q301" s="35"/>
      <c r="Z301" s="32">
        <f t="shared" si="109"/>
        <v>0</v>
      </c>
      <c r="AB301" s="32">
        <f t="shared" si="110"/>
        <v>0</v>
      </c>
      <c r="AC301" s="32">
        <f t="shared" si="111"/>
        <v>0</v>
      </c>
      <c r="AD301" s="32">
        <f t="shared" si="112"/>
        <v>0</v>
      </c>
      <c r="AE301" s="32">
        <f t="shared" si="113"/>
        <v>0</v>
      </c>
      <c r="AF301" s="32">
        <f t="shared" si="114"/>
        <v>0</v>
      </c>
      <c r="AG301" s="32">
        <f t="shared" si="115"/>
        <v>0</v>
      </c>
      <c r="AH301" s="32">
        <f t="shared" si="116"/>
        <v>0</v>
      </c>
      <c r="AI301" s="12" t="s">
        <v>55</v>
      </c>
      <c r="AJ301" s="32">
        <f t="shared" si="117"/>
        <v>0</v>
      </c>
      <c r="AK301" s="32">
        <f t="shared" si="118"/>
        <v>0</v>
      </c>
      <c r="AL301" s="32">
        <f t="shared" si="119"/>
        <v>0</v>
      </c>
      <c r="AN301" s="32">
        <v>21</v>
      </c>
      <c r="AO301" s="32">
        <f t="shared" si="120"/>
        <v>0</v>
      </c>
      <c r="AP301" s="32">
        <f t="shared" si="121"/>
        <v>0</v>
      </c>
      <c r="AQ301" s="36" t="s">
        <v>90</v>
      </c>
      <c r="AV301" s="32">
        <f t="shared" si="122"/>
        <v>0</v>
      </c>
      <c r="AW301" s="32">
        <f t="shared" si="123"/>
        <v>0</v>
      </c>
      <c r="AX301" s="32">
        <f t="shared" si="124"/>
        <v>0</v>
      </c>
      <c r="AY301" s="36" t="s">
        <v>663</v>
      </c>
      <c r="AZ301" s="36" t="s">
        <v>664</v>
      </c>
      <c r="BA301" s="12" t="s">
        <v>65</v>
      </c>
      <c r="BC301" s="32">
        <f t="shared" si="125"/>
        <v>0</v>
      </c>
      <c r="BD301" s="32">
        <f t="shared" si="126"/>
        <v>0</v>
      </c>
      <c r="BE301" s="32">
        <v>0</v>
      </c>
      <c r="BF301" s="32">
        <f t="shared" si="127"/>
        <v>0</v>
      </c>
      <c r="BH301" s="32">
        <f t="shared" si="128"/>
        <v>0</v>
      </c>
      <c r="BI301" s="32">
        <f t="shared" si="129"/>
        <v>0</v>
      </c>
      <c r="BJ301" s="32">
        <f t="shared" si="130"/>
        <v>0</v>
      </c>
      <c r="BK301" s="36" t="s">
        <v>147</v>
      </c>
      <c r="BL301" s="32">
        <v>731</v>
      </c>
      <c r="BW301" s="32">
        <f t="shared" si="131"/>
        <v>21</v>
      </c>
      <c r="BX301" s="4" t="s">
        <v>670</v>
      </c>
    </row>
    <row r="302" spans="1:76" x14ac:dyDescent="0.25">
      <c r="A302" s="2" t="s">
        <v>671</v>
      </c>
      <c r="B302" s="3" t="s">
        <v>55</v>
      </c>
      <c r="C302" s="3" t="s">
        <v>672</v>
      </c>
      <c r="D302" s="89" t="s">
        <v>673</v>
      </c>
      <c r="E302" s="90"/>
      <c r="F302" s="3" t="s">
        <v>88</v>
      </c>
      <c r="G302" s="32">
        <v>1</v>
      </c>
      <c r="H302" s="199">
        <v>0</v>
      </c>
      <c r="I302" s="33">
        <v>21</v>
      </c>
      <c r="J302" s="32">
        <f t="shared" si="104"/>
        <v>0</v>
      </c>
      <c r="K302" s="32">
        <f t="shared" si="105"/>
        <v>0</v>
      </c>
      <c r="L302" s="32">
        <f t="shared" si="106"/>
        <v>0</v>
      </c>
      <c r="M302" s="32">
        <f t="shared" si="107"/>
        <v>0</v>
      </c>
      <c r="N302" s="34">
        <f>IF(L649=0,0,L302/L649)</f>
        <v>0</v>
      </c>
      <c r="O302" s="32">
        <v>0.1</v>
      </c>
      <c r="P302" s="32">
        <f t="shared" si="108"/>
        <v>0.1</v>
      </c>
      <c r="Q302" s="35" t="s">
        <v>77</v>
      </c>
      <c r="Z302" s="32">
        <f t="shared" si="109"/>
        <v>0</v>
      </c>
      <c r="AB302" s="32">
        <f t="shared" si="110"/>
        <v>0</v>
      </c>
      <c r="AC302" s="32">
        <f t="shared" si="111"/>
        <v>0</v>
      </c>
      <c r="AD302" s="32">
        <f t="shared" si="112"/>
        <v>0</v>
      </c>
      <c r="AE302" s="32">
        <f t="shared" si="113"/>
        <v>0</v>
      </c>
      <c r="AF302" s="32">
        <f t="shared" si="114"/>
        <v>0</v>
      </c>
      <c r="AG302" s="32">
        <f t="shared" si="115"/>
        <v>0</v>
      </c>
      <c r="AH302" s="32">
        <f t="shared" si="116"/>
        <v>0</v>
      </c>
      <c r="AI302" s="12" t="s">
        <v>55</v>
      </c>
      <c r="AJ302" s="32">
        <f t="shared" si="117"/>
        <v>0</v>
      </c>
      <c r="AK302" s="32">
        <f t="shared" si="118"/>
        <v>0</v>
      </c>
      <c r="AL302" s="32">
        <f t="shared" si="119"/>
        <v>0</v>
      </c>
      <c r="AN302" s="32">
        <v>21</v>
      </c>
      <c r="AO302" s="32">
        <f t="shared" si="120"/>
        <v>0</v>
      </c>
      <c r="AP302" s="32">
        <f t="shared" si="121"/>
        <v>0</v>
      </c>
      <c r="AQ302" s="36" t="s">
        <v>90</v>
      </c>
      <c r="AV302" s="32">
        <f t="shared" si="122"/>
        <v>0</v>
      </c>
      <c r="AW302" s="32">
        <f t="shared" si="123"/>
        <v>0</v>
      </c>
      <c r="AX302" s="32">
        <f t="shared" si="124"/>
        <v>0</v>
      </c>
      <c r="AY302" s="36" t="s">
        <v>663</v>
      </c>
      <c r="AZ302" s="36" t="s">
        <v>664</v>
      </c>
      <c r="BA302" s="12" t="s">
        <v>65</v>
      </c>
      <c r="BC302" s="32">
        <f t="shared" si="125"/>
        <v>0</v>
      </c>
      <c r="BD302" s="32">
        <f t="shared" si="126"/>
        <v>0</v>
      </c>
      <c r="BE302" s="32">
        <v>0</v>
      </c>
      <c r="BF302" s="32">
        <f t="shared" si="127"/>
        <v>0.1</v>
      </c>
      <c r="BH302" s="32">
        <f t="shared" si="128"/>
        <v>0</v>
      </c>
      <c r="BI302" s="32">
        <f t="shared" si="129"/>
        <v>0</v>
      </c>
      <c r="BJ302" s="32">
        <f t="shared" si="130"/>
        <v>0</v>
      </c>
      <c r="BK302" s="36" t="s">
        <v>147</v>
      </c>
      <c r="BL302" s="32">
        <v>731</v>
      </c>
      <c r="BW302" s="32">
        <f t="shared" si="131"/>
        <v>21</v>
      </c>
      <c r="BX302" s="4" t="s">
        <v>673</v>
      </c>
    </row>
    <row r="303" spans="1:76" x14ac:dyDescent="0.25">
      <c r="A303" s="2" t="s">
        <v>674</v>
      </c>
      <c r="B303" s="3" t="s">
        <v>55</v>
      </c>
      <c r="C303" s="3" t="s">
        <v>675</v>
      </c>
      <c r="D303" s="89" t="s">
        <v>676</v>
      </c>
      <c r="E303" s="90"/>
      <c r="F303" s="3" t="s">
        <v>88</v>
      </c>
      <c r="G303" s="32">
        <v>1</v>
      </c>
      <c r="H303" s="199">
        <v>0</v>
      </c>
      <c r="I303" s="33">
        <v>21</v>
      </c>
      <c r="J303" s="32">
        <f t="shared" si="104"/>
        <v>0</v>
      </c>
      <c r="K303" s="32">
        <f t="shared" si="105"/>
        <v>0</v>
      </c>
      <c r="L303" s="32">
        <f t="shared" si="106"/>
        <v>0</v>
      </c>
      <c r="M303" s="32">
        <f t="shared" si="107"/>
        <v>0</v>
      </c>
      <c r="N303" s="34">
        <f>IF(L649=0,0,L303/L649)</f>
        <v>0</v>
      </c>
      <c r="O303" s="32">
        <v>0</v>
      </c>
      <c r="P303" s="32">
        <f t="shared" si="108"/>
        <v>0</v>
      </c>
      <c r="Q303" s="35"/>
      <c r="Z303" s="32">
        <f t="shared" si="109"/>
        <v>0</v>
      </c>
      <c r="AB303" s="32">
        <f t="shared" si="110"/>
        <v>0</v>
      </c>
      <c r="AC303" s="32">
        <f t="shared" si="111"/>
        <v>0</v>
      </c>
      <c r="AD303" s="32">
        <f t="shared" si="112"/>
        <v>0</v>
      </c>
      <c r="AE303" s="32">
        <f t="shared" si="113"/>
        <v>0</v>
      </c>
      <c r="AF303" s="32">
        <f t="shared" si="114"/>
        <v>0</v>
      </c>
      <c r="AG303" s="32">
        <f t="shared" si="115"/>
        <v>0</v>
      </c>
      <c r="AH303" s="32">
        <f t="shared" si="116"/>
        <v>0</v>
      </c>
      <c r="AI303" s="12" t="s">
        <v>55</v>
      </c>
      <c r="AJ303" s="32">
        <f t="shared" si="117"/>
        <v>0</v>
      </c>
      <c r="AK303" s="32">
        <f t="shared" si="118"/>
        <v>0</v>
      </c>
      <c r="AL303" s="32">
        <f t="shared" si="119"/>
        <v>0</v>
      </c>
      <c r="AN303" s="32">
        <v>21</v>
      </c>
      <c r="AO303" s="32">
        <f t="shared" si="120"/>
        <v>0</v>
      </c>
      <c r="AP303" s="32">
        <f t="shared" si="121"/>
        <v>0</v>
      </c>
      <c r="AQ303" s="36" t="s">
        <v>90</v>
      </c>
      <c r="AV303" s="32">
        <f t="shared" si="122"/>
        <v>0</v>
      </c>
      <c r="AW303" s="32">
        <f t="shared" si="123"/>
        <v>0</v>
      </c>
      <c r="AX303" s="32">
        <f t="shared" si="124"/>
        <v>0</v>
      </c>
      <c r="AY303" s="36" t="s">
        <v>663</v>
      </c>
      <c r="AZ303" s="36" t="s">
        <v>664</v>
      </c>
      <c r="BA303" s="12" t="s">
        <v>65</v>
      </c>
      <c r="BC303" s="32">
        <f t="shared" si="125"/>
        <v>0</v>
      </c>
      <c r="BD303" s="32">
        <f t="shared" si="126"/>
        <v>0</v>
      </c>
      <c r="BE303" s="32">
        <v>0</v>
      </c>
      <c r="BF303" s="32">
        <f t="shared" si="127"/>
        <v>0</v>
      </c>
      <c r="BH303" s="32">
        <f t="shared" si="128"/>
        <v>0</v>
      </c>
      <c r="BI303" s="32">
        <f t="shared" si="129"/>
        <v>0</v>
      </c>
      <c r="BJ303" s="32">
        <f t="shared" si="130"/>
        <v>0</v>
      </c>
      <c r="BK303" s="36" t="s">
        <v>66</v>
      </c>
      <c r="BL303" s="32">
        <v>731</v>
      </c>
      <c r="BW303" s="32">
        <f t="shared" si="131"/>
        <v>21</v>
      </c>
      <c r="BX303" s="4" t="s">
        <v>676</v>
      </c>
    </row>
    <row r="304" spans="1:76" x14ac:dyDescent="0.25">
      <c r="A304" s="2" t="s">
        <v>677</v>
      </c>
      <c r="B304" s="3" t="s">
        <v>55</v>
      </c>
      <c r="C304" s="3" t="s">
        <v>675</v>
      </c>
      <c r="D304" s="89" t="s">
        <v>678</v>
      </c>
      <c r="E304" s="90"/>
      <c r="F304" s="3" t="s">
        <v>88</v>
      </c>
      <c r="G304" s="32">
        <v>1</v>
      </c>
      <c r="H304" s="199">
        <v>0</v>
      </c>
      <c r="I304" s="33">
        <v>21</v>
      </c>
      <c r="J304" s="32">
        <f t="shared" si="104"/>
        <v>0</v>
      </c>
      <c r="K304" s="32">
        <f t="shared" si="105"/>
        <v>0</v>
      </c>
      <c r="L304" s="32">
        <f t="shared" si="106"/>
        <v>0</v>
      </c>
      <c r="M304" s="32">
        <f t="shared" si="107"/>
        <v>0</v>
      </c>
      <c r="N304" s="34">
        <f>IF(L649=0,0,L304/L649)</f>
        <v>0</v>
      </c>
      <c r="O304" s="32">
        <v>0</v>
      </c>
      <c r="P304" s="32">
        <f t="shared" si="108"/>
        <v>0</v>
      </c>
      <c r="Q304" s="35"/>
      <c r="Z304" s="32">
        <f t="shared" si="109"/>
        <v>0</v>
      </c>
      <c r="AB304" s="32">
        <f t="shared" si="110"/>
        <v>0</v>
      </c>
      <c r="AC304" s="32">
        <f t="shared" si="111"/>
        <v>0</v>
      </c>
      <c r="AD304" s="32">
        <f t="shared" si="112"/>
        <v>0</v>
      </c>
      <c r="AE304" s="32">
        <f t="shared" si="113"/>
        <v>0</v>
      </c>
      <c r="AF304" s="32">
        <f t="shared" si="114"/>
        <v>0</v>
      </c>
      <c r="AG304" s="32">
        <f t="shared" si="115"/>
        <v>0</v>
      </c>
      <c r="AH304" s="32">
        <f t="shared" si="116"/>
        <v>0</v>
      </c>
      <c r="AI304" s="12" t="s">
        <v>55</v>
      </c>
      <c r="AJ304" s="32">
        <f t="shared" si="117"/>
        <v>0</v>
      </c>
      <c r="AK304" s="32">
        <f t="shared" si="118"/>
        <v>0</v>
      </c>
      <c r="AL304" s="32">
        <f t="shared" si="119"/>
        <v>0</v>
      </c>
      <c r="AN304" s="32">
        <v>21</v>
      </c>
      <c r="AO304" s="32">
        <f t="shared" si="120"/>
        <v>0</v>
      </c>
      <c r="AP304" s="32">
        <f t="shared" si="121"/>
        <v>0</v>
      </c>
      <c r="AQ304" s="36" t="s">
        <v>90</v>
      </c>
      <c r="AV304" s="32">
        <f t="shared" si="122"/>
        <v>0</v>
      </c>
      <c r="AW304" s="32">
        <f t="shared" si="123"/>
        <v>0</v>
      </c>
      <c r="AX304" s="32">
        <f t="shared" si="124"/>
        <v>0</v>
      </c>
      <c r="AY304" s="36" t="s">
        <v>663</v>
      </c>
      <c r="AZ304" s="36" t="s">
        <v>664</v>
      </c>
      <c r="BA304" s="12" t="s">
        <v>65</v>
      </c>
      <c r="BC304" s="32">
        <f t="shared" si="125"/>
        <v>0</v>
      </c>
      <c r="BD304" s="32">
        <f t="shared" si="126"/>
        <v>0</v>
      </c>
      <c r="BE304" s="32">
        <v>0</v>
      </c>
      <c r="BF304" s="32">
        <f t="shared" si="127"/>
        <v>0</v>
      </c>
      <c r="BH304" s="32">
        <f t="shared" si="128"/>
        <v>0</v>
      </c>
      <c r="BI304" s="32">
        <f t="shared" si="129"/>
        <v>0</v>
      </c>
      <c r="BJ304" s="32">
        <f t="shared" si="130"/>
        <v>0</v>
      </c>
      <c r="BK304" s="36" t="s">
        <v>66</v>
      </c>
      <c r="BL304" s="32">
        <v>731</v>
      </c>
      <c r="BW304" s="32">
        <f t="shared" si="131"/>
        <v>21</v>
      </c>
      <c r="BX304" s="4" t="s">
        <v>678</v>
      </c>
    </row>
    <row r="305" spans="1:76" x14ac:dyDescent="0.25">
      <c r="A305" s="2" t="s">
        <v>679</v>
      </c>
      <c r="B305" s="3" t="s">
        <v>55</v>
      </c>
      <c r="C305" s="3" t="s">
        <v>675</v>
      </c>
      <c r="D305" s="89" t="s">
        <v>680</v>
      </c>
      <c r="E305" s="90"/>
      <c r="F305" s="3" t="s">
        <v>88</v>
      </c>
      <c r="G305" s="32">
        <v>1</v>
      </c>
      <c r="H305" s="199">
        <v>0</v>
      </c>
      <c r="I305" s="33">
        <v>21</v>
      </c>
      <c r="J305" s="32">
        <f t="shared" si="104"/>
        <v>0</v>
      </c>
      <c r="K305" s="32">
        <f t="shared" si="105"/>
        <v>0</v>
      </c>
      <c r="L305" s="32">
        <f t="shared" si="106"/>
        <v>0</v>
      </c>
      <c r="M305" s="32">
        <f t="shared" si="107"/>
        <v>0</v>
      </c>
      <c r="N305" s="34">
        <f>IF(L649=0,0,L305/L649)</f>
        <v>0</v>
      </c>
      <c r="O305" s="32">
        <v>0</v>
      </c>
      <c r="P305" s="32">
        <f t="shared" si="108"/>
        <v>0</v>
      </c>
      <c r="Q305" s="35"/>
      <c r="Z305" s="32">
        <f t="shared" si="109"/>
        <v>0</v>
      </c>
      <c r="AB305" s="32">
        <f t="shared" si="110"/>
        <v>0</v>
      </c>
      <c r="AC305" s="32">
        <f t="shared" si="111"/>
        <v>0</v>
      </c>
      <c r="AD305" s="32">
        <f t="shared" si="112"/>
        <v>0</v>
      </c>
      <c r="AE305" s="32">
        <f t="shared" si="113"/>
        <v>0</v>
      </c>
      <c r="AF305" s="32">
        <f t="shared" si="114"/>
        <v>0</v>
      </c>
      <c r="AG305" s="32">
        <f t="shared" si="115"/>
        <v>0</v>
      </c>
      <c r="AH305" s="32">
        <f t="shared" si="116"/>
        <v>0</v>
      </c>
      <c r="AI305" s="12" t="s">
        <v>55</v>
      </c>
      <c r="AJ305" s="32">
        <f t="shared" si="117"/>
        <v>0</v>
      </c>
      <c r="AK305" s="32">
        <f t="shared" si="118"/>
        <v>0</v>
      </c>
      <c r="AL305" s="32">
        <f t="shared" si="119"/>
        <v>0</v>
      </c>
      <c r="AN305" s="32">
        <v>21</v>
      </c>
      <c r="AO305" s="32">
        <f t="shared" si="120"/>
        <v>0</v>
      </c>
      <c r="AP305" s="32">
        <f t="shared" si="121"/>
        <v>0</v>
      </c>
      <c r="AQ305" s="36" t="s">
        <v>90</v>
      </c>
      <c r="AV305" s="32">
        <f t="shared" si="122"/>
        <v>0</v>
      </c>
      <c r="AW305" s="32">
        <f t="shared" si="123"/>
        <v>0</v>
      </c>
      <c r="AX305" s="32">
        <f t="shared" si="124"/>
        <v>0</v>
      </c>
      <c r="AY305" s="36" t="s">
        <v>663</v>
      </c>
      <c r="AZ305" s="36" t="s">
        <v>664</v>
      </c>
      <c r="BA305" s="12" t="s">
        <v>65</v>
      </c>
      <c r="BC305" s="32">
        <f t="shared" si="125"/>
        <v>0</v>
      </c>
      <c r="BD305" s="32">
        <f t="shared" si="126"/>
        <v>0</v>
      </c>
      <c r="BE305" s="32">
        <v>0</v>
      </c>
      <c r="BF305" s="32">
        <f t="shared" si="127"/>
        <v>0</v>
      </c>
      <c r="BH305" s="32">
        <f t="shared" si="128"/>
        <v>0</v>
      </c>
      <c r="BI305" s="32">
        <f t="shared" si="129"/>
        <v>0</v>
      </c>
      <c r="BJ305" s="32">
        <f t="shared" si="130"/>
        <v>0</v>
      </c>
      <c r="BK305" s="36" t="s">
        <v>66</v>
      </c>
      <c r="BL305" s="32">
        <v>731</v>
      </c>
      <c r="BW305" s="32">
        <f t="shared" si="131"/>
        <v>21</v>
      </c>
      <c r="BX305" s="4" t="s">
        <v>680</v>
      </c>
    </row>
    <row r="306" spans="1:76" ht="13.5" customHeight="1" x14ac:dyDescent="0.25">
      <c r="A306" s="42"/>
      <c r="C306" s="43"/>
      <c r="D306" s="95" t="s">
        <v>681</v>
      </c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7"/>
    </row>
    <row r="307" spans="1:76" x14ac:dyDescent="0.25">
      <c r="A307" s="2" t="s">
        <v>682</v>
      </c>
      <c r="B307" s="3" t="s">
        <v>55</v>
      </c>
      <c r="C307" s="3" t="s">
        <v>675</v>
      </c>
      <c r="D307" s="89" t="s">
        <v>683</v>
      </c>
      <c r="E307" s="90"/>
      <c r="F307" s="3" t="s">
        <v>88</v>
      </c>
      <c r="G307" s="32">
        <v>1</v>
      </c>
      <c r="H307" s="199">
        <v>0</v>
      </c>
      <c r="I307" s="33">
        <v>21</v>
      </c>
      <c r="J307" s="32">
        <f>ROUND(G307*AO307,2)</f>
        <v>0</v>
      </c>
      <c r="K307" s="32">
        <f>ROUND(G307*AP307,2)</f>
        <v>0</v>
      </c>
      <c r="L307" s="32">
        <f>ROUND(G307*H307,2)</f>
        <v>0</v>
      </c>
      <c r="M307" s="32">
        <f>L307*(1+BW307/100)</f>
        <v>0</v>
      </c>
      <c r="N307" s="34">
        <f>IF(L649=0,0,L307/L649)</f>
        <v>0</v>
      </c>
      <c r="O307" s="32">
        <v>0</v>
      </c>
      <c r="P307" s="32">
        <f>G307*O307</f>
        <v>0</v>
      </c>
      <c r="Q307" s="35"/>
      <c r="Z307" s="32">
        <f>ROUND(IF(AQ307="5",BJ307,0),2)</f>
        <v>0</v>
      </c>
      <c r="AB307" s="32">
        <f>ROUND(IF(AQ307="1",BH307,0),2)</f>
        <v>0</v>
      </c>
      <c r="AC307" s="32">
        <f>ROUND(IF(AQ307="1",BI307,0),2)</f>
        <v>0</v>
      </c>
      <c r="AD307" s="32">
        <f>ROUND(IF(AQ307="7",BH307,0),2)</f>
        <v>0</v>
      </c>
      <c r="AE307" s="32">
        <f>ROUND(IF(AQ307="7",BI307,0),2)</f>
        <v>0</v>
      </c>
      <c r="AF307" s="32">
        <f>ROUND(IF(AQ307="2",BH307,0),2)</f>
        <v>0</v>
      </c>
      <c r="AG307" s="32">
        <f>ROUND(IF(AQ307="2",BI307,0),2)</f>
        <v>0</v>
      </c>
      <c r="AH307" s="32">
        <f>ROUND(IF(AQ307="0",BJ307,0),2)</f>
        <v>0</v>
      </c>
      <c r="AI307" s="12" t="s">
        <v>55</v>
      </c>
      <c r="AJ307" s="32">
        <f>IF(AN307=0,L307,0)</f>
        <v>0</v>
      </c>
      <c r="AK307" s="32">
        <f>IF(AN307=12,L307,0)</f>
        <v>0</v>
      </c>
      <c r="AL307" s="32">
        <f>IF(AN307=21,L307,0)</f>
        <v>0</v>
      </c>
      <c r="AN307" s="32">
        <v>21</v>
      </c>
      <c r="AO307" s="32">
        <f>H307*1</f>
        <v>0</v>
      </c>
      <c r="AP307" s="32">
        <f>H307*(1-1)</f>
        <v>0</v>
      </c>
      <c r="AQ307" s="36" t="s">
        <v>90</v>
      </c>
      <c r="AV307" s="32">
        <f>ROUND(AW307+AX307,2)</f>
        <v>0</v>
      </c>
      <c r="AW307" s="32">
        <f>ROUND(G307*AO307,2)</f>
        <v>0</v>
      </c>
      <c r="AX307" s="32">
        <f>ROUND(G307*AP307,2)</f>
        <v>0</v>
      </c>
      <c r="AY307" s="36" t="s">
        <v>663</v>
      </c>
      <c r="AZ307" s="36" t="s">
        <v>664</v>
      </c>
      <c r="BA307" s="12" t="s">
        <v>65</v>
      </c>
      <c r="BC307" s="32">
        <f>AW307+AX307</f>
        <v>0</v>
      </c>
      <c r="BD307" s="32">
        <f>H307/(100-BE307)*100</f>
        <v>0</v>
      </c>
      <c r="BE307" s="32">
        <v>0</v>
      </c>
      <c r="BF307" s="32">
        <f>P307</f>
        <v>0</v>
      </c>
      <c r="BH307" s="32">
        <f>G307*AO307</f>
        <v>0</v>
      </c>
      <c r="BI307" s="32">
        <f>G307*AP307</f>
        <v>0</v>
      </c>
      <c r="BJ307" s="32">
        <f>G307*H307</f>
        <v>0</v>
      </c>
      <c r="BK307" s="36" t="s">
        <v>66</v>
      </c>
      <c r="BL307" s="32">
        <v>731</v>
      </c>
      <c r="BW307" s="32">
        <f>I307</f>
        <v>21</v>
      </c>
      <c r="BX307" s="4" t="s">
        <v>683</v>
      </c>
    </row>
    <row r="308" spans="1:76" ht="13.5" customHeight="1" x14ac:dyDescent="0.25">
      <c r="A308" s="42"/>
      <c r="C308" s="43"/>
      <c r="D308" s="95" t="s">
        <v>681</v>
      </c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7"/>
    </row>
    <row r="309" spans="1:76" x14ac:dyDescent="0.25">
      <c r="A309" s="2" t="s">
        <v>684</v>
      </c>
      <c r="B309" s="3" t="s">
        <v>55</v>
      </c>
      <c r="C309" s="3" t="s">
        <v>675</v>
      </c>
      <c r="D309" s="89" t="s">
        <v>685</v>
      </c>
      <c r="E309" s="90"/>
      <c r="F309" s="3" t="s">
        <v>88</v>
      </c>
      <c r="G309" s="32">
        <v>1</v>
      </c>
      <c r="H309" s="199">
        <v>0</v>
      </c>
      <c r="I309" s="33">
        <v>21</v>
      </c>
      <c r="J309" s="32">
        <f>ROUND(G309*AO309,2)</f>
        <v>0</v>
      </c>
      <c r="K309" s="32">
        <f>ROUND(G309*AP309,2)</f>
        <v>0</v>
      </c>
      <c r="L309" s="32">
        <f>ROUND(G309*H309,2)</f>
        <v>0</v>
      </c>
      <c r="M309" s="32">
        <f>L309*(1+BW309/100)</f>
        <v>0</v>
      </c>
      <c r="N309" s="34">
        <f>IF(L649=0,0,L309/L649)</f>
        <v>0</v>
      </c>
      <c r="O309" s="32">
        <v>0</v>
      </c>
      <c r="P309" s="32">
        <f>G309*O309</f>
        <v>0</v>
      </c>
      <c r="Q309" s="35"/>
      <c r="Z309" s="32">
        <f>ROUND(IF(AQ309="5",BJ309,0),2)</f>
        <v>0</v>
      </c>
      <c r="AB309" s="32">
        <f>ROUND(IF(AQ309="1",BH309,0),2)</f>
        <v>0</v>
      </c>
      <c r="AC309" s="32">
        <f>ROUND(IF(AQ309="1",BI309,0),2)</f>
        <v>0</v>
      </c>
      <c r="AD309" s="32">
        <f>ROUND(IF(AQ309="7",BH309,0),2)</f>
        <v>0</v>
      </c>
      <c r="AE309" s="32">
        <f>ROUND(IF(AQ309="7",BI309,0),2)</f>
        <v>0</v>
      </c>
      <c r="AF309" s="32">
        <f>ROUND(IF(AQ309="2",BH309,0),2)</f>
        <v>0</v>
      </c>
      <c r="AG309" s="32">
        <f>ROUND(IF(AQ309="2",BI309,0),2)</f>
        <v>0</v>
      </c>
      <c r="AH309" s="32">
        <f>ROUND(IF(AQ309="0",BJ309,0),2)</f>
        <v>0</v>
      </c>
      <c r="AI309" s="12" t="s">
        <v>55</v>
      </c>
      <c r="AJ309" s="32">
        <f>IF(AN309=0,L309,0)</f>
        <v>0</v>
      </c>
      <c r="AK309" s="32">
        <f>IF(AN309=12,L309,0)</f>
        <v>0</v>
      </c>
      <c r="AL309" s="32">
        <f>IF(AN309=21,L309,0)</f>
        <v>0</v>
      </c>
      <c r="AN309" s="32">
        <v>21</v>
      </c>
      <c r="AO309" s="32">
        <f>H309*1</f>
        <v>0</v>
      </c>
      <c r="AP309" s="32">
        <f>H309*(1-1)</f>
        <v>0</v>
      </c>
      <c r="AQ309" s="36" t="s">
        <v>90</v>
      </c>
      <c r="AV309" s="32">
        <f>ROUND(AW309+AX309,2)</f>
        <v>0</v>
      </c>
      <c r="AW309" s="32">
        <f>ROUND(G309*AO309,2)</f>
        <v>0</v>
      </c>
      <c r="AX309" s="32">
        <f>ROUND(G309*AP309,2)</f>
        <v>0</v>
      </c>
      <c r="AY309" s="36" t="s">
        <v>663</v>
      </c>
      <c r="AZ309" s="36" t="s">
        <v>664</v>
      </c>
      <c r="BA309" s="12" t="s">
        <v>65</v>
      </c>
      <c r="BC309" s="32">
        <f>AW309+AX309</f>
        <v>0</v>
      </c>
      <c r="BD309" s="32">
        <f>H309/(100-BE309)*100</f>
        <v>0</v>
      </c>
      <c r="BE309" s="32">
        <v>0</v>
      </c>
      <c r="BF309" s="32">
        <f>P309</f>
        <v>0</v>
      </c>
      <c r="BH309" s="32">
        <f>G309*AO309</f>
        <v>0</v>
      </c>
      <c r="BI309" s="32">
        <f>G309*AP309</f>
        <v>0</v>
      </c>
      <c r="BJ309" s="32">
        <f>G309*H309</f>
        <v>0</v>
      </c>
      <c r="BK309" s="36" t="s">
        <v>66</v>
      </c>
      <c r="BL309" s="32">
        <v>731</v>
      </c>
      <c r="BW309" s="32">
        <f>I309</f>
        <v>21</v>
      </c>
      <c r="BX309" s="4" t="s">
        <v>685</v>
      </c>
    </row>
    <row r="310" spans="1:76" ht="13.5" customHeight="1" x14ac:dyDescent="0.25">
      <c r="A310" s="42"/>
      <c r="C310" s="43"/>
      <c r="D310" s="95" t="s">
        <v>681</v>
      </c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7"/>
    </row>
    <row r="311" spans="1:76" x14ac:dyDescent="0.25">
      <c r="A311" s="2" t="s">
        <v>686</v>
      </c>
      <c r="B311" s="3" t="s">
        <v>55</v>
      </c>
      <c r="C311" s="3" t="s">
        <v>687</v>
      </c>
      <c r="D311" s="89" t="s">
        <v>688</v>
      </c>
      <c r="E311" s="90"/>
      <c r="F311" s="3" t="s">
        <v>316</v>
      </c>
      <c r="G311" s="32">
        <v>1</v>
      </c>
      <c r="H311" s="199">
        <v>0</v>
      </c>
      <c r="I311" s="33">
        <v>21</v>
      </c>
      <c r="J311" s="32">
        <f>ROUND(G311*AO311,2)</f>
        <v>0</v>
      </c>
      <c r="K311" s="32">
        <f>ROUND(G311*AP311,2)</f>
        <v>0</v>
      </c>
      <c r="L311" s="32">
        <f>ROUND(G311*H311,2)</f>
        <v>0</v>
      </c>
      <c r="M311" s="32">
        <f>L311*(1+BW311/100)</f>
        <v>0</v>
      </c>
      <c r="N311" s="34">
        <f>IF(L649=0,0,L311/L649)</f>
        <v>0</v>
      </c>
      <c r="O311" s="32">
        <v>7.3999999999999999E-4</v>
      </c>
      <c r="P311" s="32">
        <f>G311*O311</f>
        <v>7.3999999999999999E-4</v>
      </c>
      <c r="Q311" s="35" t="s">
        <v>77</v>
      </c>
      <c r="Z311" s="32">
        <f>ROUND(IF(AQ311="5",BJ311,0),2)</f>
        <v>0</v>
      </c>
      <c r="AB311" s="32">
        <f>ROUND(IF(AQ311="1",BH311,0),2)</f>
        <v>0</v>
      </c>
      <c r="AC311" s="32">
        <f>ROUND(IF(AQ311="1",BI311,0),2)</f>
        <v>0</v>
      </c>
      <c r="AD311" s="32">
        <f>ROUND(IF(AQ311="7",BH311,0),2)</f>
        <v>0</v>
      </c>
      <c r="AE311" s="32">
        <f>ROUND(IF(AQ311="7",BI311,0),2)</f>
        <v>0</v>
      </c>
      <c r="AF311" s="32">
        <f>ROUND(IF(AQ311="2",BH311,0),2)</f>
        <v>0</v>
      </c>
      <c r="AG311" s="32">
        <f>ROUND(IF(AQ311="2",BI311,0),2)</f>
        <v>0</v>
      </c>
      <c r="AH311" s="32">
        <f>ROUND(IF(AQ311="0",BJ311,0),2)</f>
        <v>0</v>
      </c>
      <c r="AI311" s="12" t="s">
        <v>55</v>
      </c>
      <c r="AJ311" s="32">
        <f>IF(AN311=0,L311,0)</f>
        <v>0</v>
      </c>
      <c r="AK311" s="32">
        <f>IF(AN311=12,L311,0)</f>
        <v>0</v>
      </c>
      <c r="AL311" s="32">
        <f>IF(AN311=21,L311,0)</f>
        <v>0</v>
      </c>
      <c r="AN311" s="32">
        <v>21</v>
      </c>
      <c r="AO311" s="32">
        <f>H311*0.043767308</f>
        <v>0</v>
      </c>
      <c r="AP311" s="32">
        <f>H311*(1-0.043767308)</f>
        <v>0</v>
      </c>
      <c r="AQ311" s="36" t="s">
        <v>90</v>
      </c>
      <c r="AV311" s="32">
        <f>ROUND(AW311+AX311,2)</f>
        <v>0</v>
      </c>
      <c r="AW311" s="32">
        <f>ROUND(G311*AO311,2)</f>
        <v>0</v>
      </c>
      <c r="AX311" s="32">
        <f>ROUND(G311*AP311,2)</f>
        <v>0</v>
      </c>
      <c r="AY311" s="36" t="s">
        <v>663</v>
      </c>
      <c r="AZ311" s="36" t="s">
        <v>664</v>
      </c>
      <c r="BA311" s="12" t="s">
        <v>65</v>
      </c>
      <c r="BC311" s="32">
        <f>AW311+AX311</f>
        <v>0</v>
      </c>
      <c r="BD311" s="32">
        <f>H311/(100-BE311)*100</f>
        <v>0</v>
      </c>
      <c r="BE311" s="32">
        <v>0</v>
      </c>
      <c r="BF311" s="32">
        <f>P311</f>
        <v>7.3999999999999999E-4</v>
      </c>
      <c r="BH311" s="32">
        <f>G311*AO311</f>
        <v>0</v>
      </c>
      <c r="BI311" s="32">
        <f>G311*AP311</f>
        <v>0</v>
      </c>
      <c r="BJ311" s="32">
        <f>G311*H311</f>
        <v>0</v>
      </c>
      <c r="BK311" s="36" t="s">
        <v>66</v>
      </c>
      <c r="BL311" s="32">
        <v>731</v>
      </c>
      <c r="BW311" s="32">
        <f>I311</f>
        <v>21</v>
      </c>
      <c r="BX311" s="4" t="s">
        <v>688</v>
      </c>
    </row>
    <row r="312" spans="1:76" x14ac:dyDescent="0.25">
      <c r="A312" s="2" t="s">
        <v>689</v>
      </c>
      <c r="B312" s="3" t="s">
        <v>55</v>
      </c>
      <c r="C312" s="3" t="s">
        <v>690</v>
      </c>
      <c r="D312" s="89" t="s">
        <v>691</v>
      </c>
      <c r="E312" s="90"/>
      <c r="F312" s="3" t="s">
        <v>88</v>
      </c>
      <c r="G312" s="32">
        <v>1</v>
      </c>
      <c r="H312" s="199">
        <v>0</v>
      </c>
      <c r="I312" s="33">
        <v>21</v>
      </c>
      <c r="J312" s="32">
        <f>ROUND(G312*AO312,2)</f>
        <v>0</v>
      </c>
      <c r="K312" s="32">
        <f>ROUND(G312*AP312,2)</f>
        <v>0</v>
      </c>
      <c r="L312" s="32">
        <f>ROUND(G312*H312,2)</f>
        <v>0</v>
      </c>
      <c r="M312" s="32">
        <f>L312*(1+BW312/100)</f>
        <v>0</v>
      </c>
      <c r="N312" s="34">
        <f>IF(L649=0,0,L312/L649)</f>
        <v>0</v>
      </c>
      <c r="O312" s="32">
        <v>0</v>
      </c>
      <c r="P312" s="32">
        <f>G312*O312</f>
        <v>0</v>
      </c>
      <c r="Q312" s="35" t="s">
        <v>55</v>
      </c>
      <c r="Z312" s="32">
        <f>ROUND(IF(AQ312="5",BJ312,0),2)</f>
        <v>0</v>
      </c>
      <c r="AB312" s="32">
        <f>ROUND(IF(AQ312="1",BH312,0),2)</f>
        <v>0</v>
      </c>
      <c r="AC312" s="32">
        <f>ROUND(IF(AQ312="1",BI312,0),2)</f>
        <v>0</v>
      </c>
      <c r="AD312" s="32">
        <f>ROUND(IF(AQ312="7",BH312,0),2)</f>
        <v>0</v>
      </c>
      <c r="AE312" s="32">
        <f>ROUND(IF(AQ312="7",BI312,0),2)</f>
        <v>0</v>
      </c>
      <c r="AF312" s="32">
        <f>ROUND(IF(AQ312="2",BH312,0),2)</f>
        <v>0</v>
      </c>
      <c r="AG312" s="32">
        <f>ROUND(IF(AQ312="2",BI312,0),2)</f>
        <v>0</v>
      </c>
      <c r="AH312" s="32">
        <f>ROUND(IF(AQ312="0",BJ312,0),2)</f>
        <v>0</v>
      </c>
      <c r="AI312" s="12" t="s">
        <v>55</v>
      </c>
      <c r="AJ312" s="32">
        <f>IF(AN312=0,L312,0)</f>
        <v>0</v>
      </c>
      <c r="AK312" s="32">
        <f>IF(AN312=12,L312,0)</f>
        <v>0</v>
      </c>
      <c r="AL312" s="32">
        <f>IF(AN312=21,L312,0)</f>
        <v>0</v>
      </c>
      <c r="AN312" s="32">
        <v>21</v>
      </c>
      <c r="AO312" s="32">
        <f>H312*0</f>
        <v>0</v>
      </c>
      <c r="AP312" s="32">
        <f>H312*(1-0)</f>
        <v>0</v>
      </c>
      <c r="AQ312" s="36" t="s">
        <v>90</v>
      </c>
      <c r="AV312" s="32">
        <f>ROUND(AW312+AX312,2)</f>
        <v>0</v>
      </c>
      <c r="AW312" s="32">
        <f>ROUND(G312*AO312,2)</f>
        <v>0</v>
      </c>
      <c r="AX312" s="32">
        <f>ROUND(G312*AP312,2)</f>
        <v>0</v>
      </c>
      <c r="AY312" s="36" t="s">
        <v>663</v>
      </c>
      <c r="AZ312" s="36" t="s">
        <v>664</v>
      </c>
      <c r="BA312" s="12" t="s">
        <v>65</v>
      </c>
      <c r="BC312" s="32">
        <f>AW312+AX312</f>
        <v>0</v>
      </c>
      <c r="BD312" s="32">
        <f>H312/(100-BE312)*100</f>
        <v>0</v>
      </c>
      <c r="BE312" s="32">
        <v>0</v>
      </c>
      <c r="BF312" s="32">
        <f>P312</f>
        <v>0</v>
      </c>
      <c r="BH312" s="32">
        <f>G312*AO312</f>
        <v>0</v>
      </c>
      <c r="BI312" s="32">
        <f>G312*AP312</f>
        <v>0</v>
      </c>
      <c r="BJ312" s="32">
        <f>G312*H312</f>
        <v>0</v>
      </c>
      <c r="BK312" s="36" t="s">
        <v>66</v>
      </c>
      <c r="BL312" s="32">
        <v>731</v>
      </c>
      <c r="BW312" s="32">
        <f>I312</f>
        <v>21</v>
      </c>
      <c r="BX312" s="4" t="s">
        <v>691</v>
      </c>
    </row>
    <row r="313" spans="1:76" x14ac:dyDescent="0.25">
      <c r="A313" s="2" t="s">
        <v>692</v>
      </c>
      <c r="B313" s="3" t="s">
        <v>55</v>
      </c>
      <c r="C313" s="3" t="s">
        <v>693</v>
      </c>
      <c r="D313" s="89" t="s">
        <v>694</v>
      </c>
      <c r="E313" s="90"/>
      <c r="F313" s="3" t="s">
        <v>88</v>
      </c>
      <c r="G313" s="32">
        <v>1</v>
      </c>
      <c r="H313" s="199">
        <v>0</v>
      </c>
      <c r="I313" s="33">
        <v>21</v>
      </c>
      <c r="J313" s="32">
        <f>ROUND(G313*AO313,2)</f>
        <v>0</v>
      </c>
      <c r="K313" s="32">
        <f>ROUND(G313*AP313,2)</f>
        <v>0</v>
      </c>
      <c r="L313" s="32">
        <f>ROUND(G313*H313,2)</f>
        <v>0</v>
      </c>
      <c r="M313" s="32">
        <f>L313*(1+BW313/100)</f>
        <v>0</v>
      </c>
      <c r="N313" s="34">
        <f>IF(L649=0,0,L313/L649)</f>
        <v>0</v>
      </c>
      <c r="O313" s="32">
        <v>1.1406000000000001</v>
      </c>
      <c r="P313" s="32">
        <f>G313*O313</f>
        <v>1.1406000000000001</v>
      </c>
      <c r="Q313" s="35" t="s">
        <v>77</v>
      </c>
      <c r="Z313" s="32">
        <f>ROUND(IF(AQ313="5",BJ313,0),2)</f>
        <v>0</v>
      </c>
      <c r="AB313" s="32">
        <f>ROUND(IF(AQ313="1",BH313,0),2)</f>
        <v>0</v>
      </c>
      <c r="AC313" s="32">
        <f>ROUND(IF(AQ313="1",BI313,0),2)</f>
        <v>0</v>
      </c>
      <c r="AD313" s="32">
        <f>ROUND(IF(AQ313="7",BH313,0),2)</f>
        <v>0</v>
      </c>
      <c r="AE313" s="32">
        <f>ROUND(IF(AQ313="7",BI313,0),2)</f>
        <v>0</v>
      </c>
      <c r="AF313" s="32">
        <f>ROUND(IF(AQ313="2",BH313,0),2)</f>
        <v>0</v>
      </c>
      <c r="AG313" s="32">
        <f>ROUND(IF(AQ313="2",BI313,0),2)</f>
        <v>0</v>
      </c>
      <c r="AH313" s="32">
        <f>ROUND(IF(AQ313="0",BJ313,0),2)</f>
        <v>0</v>
      </c>
      <c r="AI313" s="12" t="s">
        <v>55</v>
      </c>
      <c r="AJ313" s="32">
        <f>IF(AN313=0,L313,0)</f>
        <v>0</v>
      </c>
      <c r="AK313" s="32">
        <f>IF(AN313=12,L313,0)</f>
        <v>0</v>
      </c>
      <c r="AL313" s="32">
        <f>IF(AN313=21,L313,0)</f>
        <v>0</v>
      </c>
      <c r="AN313" s="32">
        <v>21</v>
      </c>
      <c r="AO313" s="32">
        <f>H313*0.010973822</f>
        <v>0</v>
      </c>
      <c r="AP313" s="32">
        <f>H313*(1-0.010973822)</f>
        <v>0</v>
      </c>
      <c r="AQ313" s="36" t="s">
        <v>90</v>
      </c>
      <c r="AV313" s="32">
        <f>ROUND(AW313+AX313,2)</f>
        <v>0</v>
      </c>
      <c r="AW313" s="32">
        <f>ROUND(G313*AO313,2)</f>
        <v>0</v>
      </c>
      <c r="AX313" s="32">
        <f>ROUND(G313*AP313,2)</f>
        <v>0</v>
      </c>
      <c r="AY313" s="36" t="s">
        <v>663</v>
      </c>
      <c r="AZ313" s="36" t="s">
        <v>664</v>
      </c>
      <c r="BA313" s="12" t="s">
        <v>65</v>
      </c>
      <c r="BC313" s="32">
        <f>AW313+AX313</f>
        <v>0</v>
      </c>
      <c r="BD313" s="32">
        <f>H313/(100-BE313)*100</f>
        <v>0</v>
      </c>
      <c r="BE313" s="32">
        <v>0</v>
      </c>
      <c r="BF313" s="32">
        <f>P313</f>
        <v>1.1406000000000001</v>
      </c>
      <c r="BH313" s="32">
        <f>G313*AO313</f>
        <v>0</v>
      </c>
      <c r="BI313" s="32">
        <f>G313*AP313</f>
        <v>0</v>
      </c>
      <c r="BJ313" s="32">
        <f>G313*H313</f>
        <v>0</v>
      </c>
      <c r="BK313" s="36" t="s">
        <v>66</v>
      </c>
      <c r="BL313" s="32">
        <v>731</v>
      </c>
      <c r="BW313" s="32">
        <f>I313</f>
        <v>21</v>
      </c>
      <c r="BX313" s="4" t="s">
        <v>694</v>
      </c>
    </row>
    <row r="314" spans="1:76" ht="13.5" customHeight="1" x14ac:dyDescent="0.25">
      <c r="A314" s="42"/>
      <c r="C314" s="43"/>
      <c r="D314" s="101" t="s">
        <v>1464</v>
      </c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7"/>
    </row>
    <row r="315" spans="1:76" x14ac:dyDescent="0.25">
      <c r="A315" s="2" t="s">
        <v>695</v>
      </c>
      <c r="B315" s="3" t="s">
        <v>55</v>
      </c>
      <c r="C315" s="3" t="s">
        <v>696</v>
      </c>
      <c r="D315" s="89" t="s">
        <v>697</v>
      </c>
      <c r="E315" s="90"/>
      <c r="F315" s="3" t="s">
        <v>88</v>
      </c>
      <c r="G315" s="32">
        <v>1</v>
      </c>
      <c r="H315" s="199">
        <v>0</v>
      </c>
      <c r="I315" s="33">
        <v>21</v>
      </c>
      <c r="J315" s="32">
        <f>ROUND(G315*AO315,2)</f>
        <v>0</v>
      </c>
      <c r="K315" s="32">
        <f>ROUND(G315*AP315,2)</f>
        <v>0</v>
      </c>
      <c r="L315" s="32">
        <f>ROUND(G315*H315,2)</f>
        <v>0</v>
      </c>
      <c r="M315" s="32">
        <f>L315*(1+BW315/100)</f>
        <v>0</v>
      </c>
      <c r="N315" s="34">
        <f>IF(L649=0,0,L315/L649)</f>
        <v>0</v>
      </c>
      <c r="O315" s="32">
        <v>1E-3</v>
      </c>
      <c r="P315" s="32">
        <f>G315*O315</f>
        <v>1E-3</v>
      </c>
      <c r="Q315" s="35" t="s">
        <v>77</v>
      </c>
      <c r="Z315" s="32">
        <f>ROUND(IF(AQ315="5",BJ315,0),2)</f>
        <v>0</v>
      </c>
      <c r="AB315" s="32">
        <f>ROUND(IF(AQ315="1",BH315,0),2)</f>
        <v>0</v>
      </c>
      <c r="AC315" s="32">
        <f>ROUND(IF(AQ315="1",BI315,0),2)</f>
        <v>0</v>
      </c>
      <c r="AD315" s="32">
        <f>ROUND(IF(AQ315="7",BH315,0),2)</f>
        <v>0</v>
      </c>
      <c r="AE315" s="32">
        <f>ROUND(IF(AQ315="7",BI315,0),2)</f>
        <v>0</v>
      </c>
      <c r="AF315" s="32">
        <f>ROUND(IF(AQ315="2",BH315,0),2)</f>
        <v>0</v>
      </c>
      <c r="AG315" s="32">
        <f>ROUND(IF(AQ315="2",BI315,0),2)</f>
        <v>0</v>
      </c>
      <c r="AH315" s="32">
        <f>ROUND(IF(AQ315="0",BJ315,0),2)</f>
        <v>0</v>
      </c>
      <c r="AI315" s="12" t="s">
        <v>55</v>
      </c>
      <c r="AJ315" s="32">
        <f>IF(AN315=0,L315,0)</f>
        <v>0</v>
      </c>
      <c r="AK315" s="32">
        <f>IF(AN315=12,L315,0)</f>
        <v>0</v>
      </c>
      <c r="AL315" s="32">
        <f>IF(AN315=21,L315,0)</f>
        <v>0</v>
      </c>
      <c r="AN315" s="32">
        <v>21</v>
      </c>
      <c r="AO315" s="32">
        <f>H315*0.863586931</f>
        <v>0</v>
      </c>
      <c r="AP315" s="32">
        <f>H315*(1-0.863586931)</f>
        <v>0</v>
      </c>
      <c r="AQ315" s="36" t="s">
        <v>90</v>
      </c>
      <c r="AV315" s="32">
        <f>ROUND(AW315+AX315,2)</f>
        <v>0</v>
      </c>
      <c r="AW315" s="32">
        <f>ROUND(G315*AO315,2)</f>
        <v>0</v>
      </c>
      <c r="AX315" s="32">
        <f>ROUND(G315*AP315,2)</f>
        <v>0</v>
      </c>
      <c r="AY315" s="36" t="s">
        <v>663</v>
      </c>
      <c r="AZ315" s="36" t="s">
        <v>664</v>
      </c>
      <c r="BA315" s="12" t="s">
        <v>65</v>
      </c>
      <c r="BC315" s="32">
        <f>AW315+AX315</f>
        <v>0</v>
      </c>
      <c r="BD315" s="32">
        <f>H315/(100-BE315)*100</f>
        <v>0</v>
      </c>
      <c r="BE315" s="32">
        <v>0</v>
      </c>
      <c r="BF315" s="32">
        <f>P315</f>
        <v>1E-3</v>
      </c>
      <c r="BH315" s="32">
        <f>G315*AO315</f>
        <v>0</v>
      </c>
      <c r="BI315" s="32">
        <f>G315*AP315</f>
        <v>0</v>
      </c>
      <c r="BJ315" s="32">
        <f>G315*H315</f>
        <v>0</v>
      </c>
      <c r="BK315" s="36" t="s">
        <v>66</v>
      </c>
      <c r="BL315" s="32">
        <v>731</v>
      </c>
      <c r="BW315" s="32">
        <f>I315</f>
        <v>21</v>
      </c>
      <c r="BX315" s="4" t="s">
        <v>697</v>
      </c>
    </row>
    <row r="316" spans="1:76" x14ac:dyDescent="0.25">
      <c r="A316" s="2" t="s">
        <v>698</v>
      </c>
      <c r="B316" s="3" t="s">
        <v>55</v>
      </c>
      <c r="C316" s="3" t="s">
        <v>699</v>
      </c>
      <c r="D316" s="89" t="s">
        <v>700</v>
      </c>
      <c r="E316" s="90"/>
      <c r="F316" s="3" t="s">
        <v>88</v>
      </c>
      <c r="G316" s="32">
        <v>1</v>
      </c>
      <c r="H316" s="199">
        <v>0</v>
      </c>
      <c r="I316" s="33">
        <v>21</v>
      </c>
      <c r="J316" s="32">
        <f>ROUND(G316*AO316,2)</f>
        <v>0</v>
      </c>
      <c r="K316" s="32">
        <f>ROUND(G316*AP316,2)</f>
        <v>0</v>
      </c>
      <c r="L316" s="32">
        <f>ROUND(G316*H316,2)</f>
        <v>0</v>
      </c>
      <c r="M316" s="32">
        <f>L316*(1+BW316/100)</f>
        <v>0</v>
      </c>
      <c r="N316" s="34">
        <f>IF(L649=0,0,L316/L649)</f>
        <v>0</v>
      </c>
      <c r="O316" s="32">
        <v>1E-3</v>
      </c>
      <c r="P316" s="32">
        <f>G316*O316</f>
        <v>1E-3</v>
      </c>
      <c r="Q316" s="35" t="s">
        <v>77</v>
      </c>
      <c r="Z316" s="32">
        <f>ROUND(IF(AQ316="5",BJ316,0),2)</f>
        <v>0</v>
      </c>
      <c r="AB316" s="32">
        <f>ROUND(IF(AQ316="1",BH316,0),2)</f>
        <v>0</v>
      </c>
      <c r="AC316" s="32">
        <f>ROUND(IF(AQ316="1",BI316,0),2)</f>
        <v>0</v>
      </c>
      <c r="AD316" s="32">
        <f>ROUND(IF(AQ316="7",BH316,0),2)</f>
        <v>0</v>
      </c>
      <c r="AE316" s="32">
        <f>ROUND(IF(AQ316="7",BI316,0),2)</f>
        <v>0</v>
      </c>
      <c r="AF316" s="32">
        <f>ROUND(IF(AQ316="2",BH316,0),2)</f>
        <v>0</v>
      </c>
      <c r="AG316" s="32">
        <f>ROUND(IF(AQ316="2",BI316,0),2)</f>
        <v>0</v>
      </c>
      <c r="AH316" s="32">
        <f>ROUND(IF(AQ316="0",BJ316,0),2)</f>
        <v>0</v>
      </c>
      <c r="AI316" s="12" t="s">
        <v>55</v>
      </c>
      <c r="AJ316" s="32">
        <f>IF(AN316=0,L316,0)</f>
        <v>0</v>
      </c>
      <c r="AK316" s="32">
        <f>IF(AN316=12,L316,0)</f>
        <v>0</v>
      </c>
      <c r="AL316" s="32">
        <f>IF(AN316=21,L316,0)</f>
        <v>0</v>
      </c>
      <c r="AN316" s="32">
        <v>21</v>
      </c>
      <c r="AO316" s="32">
        <f>H316*0.8667272</f>
        <v>0</v>
      </c>
      <c r="AP316" s="32">
        <f>H316*(1-0.8667272)</f>
        <v>0</v>
      </c>
      <c r="AQ316" s="36" t="s">
        <v>90</v>
      </c>
      <c r="AV316" s="32">
        <f>ROUND(AW316+AX316,2)</f>
        <v>0</v>
      </c>
      <c r="AW316" s="32">
        <f>ROUND(G316*AO316,2)</f>
        <v>0</v>
      </c>
      <c r="AX316" s="32">
        <f>ROUND(G316*AP316,2)</f>
        <v>0</v>
      </c>
      <c r="AY316" s="36" t="s">
        <v>663</v>
      </c>
      <c r="AZ316" s="36" t="s">
        <v>664</v>
      </c>
      <c r="BA316" s="12" t="s">
        <v>65</v>
      </c>
      <c r="BC316" s="32">
        <f>AW316+AX316</f>
        <v>0</v>
      </c>
      <c r="BD316" s="32">
        <f>H316/(100-BE316)*100</f>
        <v>0</v>
      </c>
      <c r="BE316" s="32">
        <v>0</v>
      </c>
      <c r="BF316" s="32">
        <f>P316</f>
        <v>1E-3</v>
      </c>
      <c r="BH316" s="32">
        <f>G316*AO316</f>
        <v>0</v>
      </c>
      <c r="BI316" s="32">
        <f>G316*AP316</f>
        <v>0</v>
      </c>
      <c r="BJ316" s="32">
        <f>G316*H316</f>
        <v>0</v>
      </c>
      <c r="BK316" s="36" t="s">
        <v>66</v>
      </c>
      <c r="BL316" s="32">
        <v>731</v>
      </c>
      <c r="BW316" s="32">
        <f>I316</f>
        <v>21</v>
      </c>
      <c r="BX316" s="4" t="s">
        <v>700</v>
      </c>
    </row>
    <row r="317" spans="1:76" x14ac:dyDescent="0.25">
      <c r="A317" s="2" t="s">
        <v>701</v>
      </c>
      <c r="B317" s="3" t="s">
        <v>55</v>
      </c>
      <c r="C317" s="3" t="s">
        <v>702</v>
      </c>
      <c r="D317" s="89" t="s">
        <v>703</v>
      </c>
      <c r="E317" s="90"/>
      <c r="F317" s="3" t="s">
        <v>88</v>
      </c>
      <c r="G317" s="32">
        <v>1</v>
      </c>
      <c r="H317" s="199">
        <v>0</v>
      </c>
      <c r="I317" s="33">
        <v>21</v>
      </c>
      <c r="J317" s="32">
        <f>ROUND(G317*AO317,2)</f>
        <v>0</v>
      </c>
      <c r="K317" s="32">
        <f>ROUND(G317*AP317,2)</f>
        <v>0</v>
      </c>
      <c r="L317" s="32">
        <f>ROUND(G317*H317,2)</f>
        <v>0</v>
      </c>
      <c r="M317" s="32">
        <f>L317*(1+BW317/100)</f>
        <v>0</v>
      </c>
      <c r="N317" s="34">
        <f>IF(L649=0,0,L317/L649)</f>
        <v>0</v>
      </c>
      <c r="O317" s="32">
        <v>1E-3</v>
      </c>
      <c r="P317" s="32">
        <f>G317*O317</f>
        <v>1E-3</v>
      </c>
      <c r="Q317" s="35" t="s">
        <v>77</v>
      </c>
      <c r="Z317" s="32">
        <f>ROUND(IF(AQ317="5",BJ317,0),2)</f>
        <v>0</v>
      </c>
      <c r="AB317" s="32">
        <f>ROUND(IF(AQ317="1",BH317,0),2)</f>
        <v>0</v>
      </c>
      <c r="AC317" s="32">
        <f>ROUND(IF(AQ317="1",BI317,0),2)</f>
        <v>0</v>
      </c>
      <c r="AD317" s="32">
        <f>ROUND(IF(AQ317="7",BH317,0),2)</f>
        <v>0</v>
      </c>
      <c r="AE317" s="32">
        <f>ROUND(IF(AQ317="7",BI317,0),2)</f>
        <v>0</v>
      </c>
      <c r="AF317" s="32">
        <f>ROUND(IF(AQ317="2",BH317,0),2)</f>
        <v>0</v>
      </c>
      <c r="AG317" s="32">
        <f>ROUND(IF(AQ317="2",BI317,0),2)</f>
        <v>0</v>
      </c>
      <c r="AH317" s="32">
        <f>ROUND(IF(AQ317="0",BJ317,0),2)</f>
        <v>0</v>
      </c>
      <c r="AI317" s="12" t="s">
        <v>55</v>
      </c>
      <c r="AJ317" s="32">
        <f>IF(AN317=0,L317,0)</f>
        <v>0</v>
      </c>
      <c r="AK317" s="32">
        <f>IF(AN317=12,L317,0)</f>
        <v>0</v>
      </c>
      <c r="AL317" s="32">
        <f>IF(AN317=21,L317,0)</f>
        <v>0</v>
      </c>
      <c r="AN317" s="32">
        <v>21</v>
      </c>
      <c r="AO317" s="32">
        <f>H317*0.849368354</f>
        <v>0</v>
      </c>
      <c r="AP317" s="32">
        <f>H317*(1-0.849368354)</f>
        <v>0</v>
      </c>
      <c r="AQ317" s="36" t="s">
        <v>90</v>
      </c>
      <c r="AV317" s="32">
        <f>ROUND(AW317+AX317,2)</f>
        <v>0</v>
      </c>
      <c r="AW317" s="32">
        <f>ROUND(G317*AO317,2)</f>
        <v>0</v>
      </c>
      <c r="AX317" s="32">
        <f>ROUND(G317*AP317,2)</f>
        <v>0</v>
      </c>
      <c r="AY317" s="36" t="s">
        <v>663</v>
      </c>
      <c r="AZ317" s="36" t="s">
        <v>664</v>
      </c>
      <c r="BA317" s="12" t="s">
        <v>65</v>
      </c>
      <c r="BC317" s="32">
        <f>AW317+AX317</f>
        <v>0</v>
      </c>
      <c r="BD317" s="32">
        <f>H317/(100-BE317)*100</f>
        <v>0</v>
      </c>
      <c r="BE317" s="32">
        <v>0</v>
      </c>
      <c r="BF317" s="32">
        <f>P317</f>
        <v>1E-3</v>
      </c>
      <c r="BH317" s="32">
        <f>G317*AO317</f>
        <v>0</v>
      </c>
      <c r="BI317" s="32">
        <f>G317*AP317</f>
        <v>0</v>
      </c>
      <c r="BJ317" s="32">
        <f>G317*H317</f>
        <v>0</v>
      </c>
      <c r="BK317" s="36" t="s">
        <v>66</v>
      </c>
      <c r="BL317" s="32">
        <v>731</v>
      </c>
      <c r="BW317" s="32">
        <f>I317</f>
        <v>21</v>
      </c>
      <c r="BX317" s="4" t="s">
        <v>703</v>
      </c>
    </row>
    <row r="318" spans="1:76" x14ac:dyDescent="0.25">
      <c r="A318" s="2" t="s">
        <v>704</v>
      </c>
      <c r="B318" s="3" t="s">
        <v>55</v>
      </c>
      <c r="C318" s="3" t="s">
        <v>705</v>
      </c>
      <c r="D318" s="89" t="s">
        <v>706</v>
      </c>
      <c r="E318" s="90"/>
      <c r="F318" s="3" t="s">
        <v>88</v>
      </c>
      <c r="G318" s="32">
        <v>1</v>
      </c>
      <c r="H318" s="199">
        <v>0</v>
      </c>
      <c r="I318" s="33">
        <v>21</v>
      </c>
      <c r="J318" s="32">
        <f>ROUND(G318*AO318,2)</f>
        <v>0</v>
      </c>
      <c r="K318" s="32">
        <f>ROUND(G318*AP318,2)</f>
        <v>0</v>
      </c>
      <c r="L318" s="32">
        <f>ROUND(G318*H318,2)</f>
        <v>0</v>
      </c>
      <c r="M318" s="32">
        <f>L318*(1+BW318/100)</f>
        <v>0</v>
      </c>
      <c r="N318" s="34">
        <f>IF(L649=0,0,L318/L649)</f>
        <v>0</v>
      </c>
      <c r="O318" s="32">
        <v>2E-3</v>
      </c>
      <c r="P318" s="32">
        <f>G318*O318</f>
        <v>2E-3</v>
      </c>
      <c r="Q318" s="35" t="s">
        <v>77</v>
      </c>
      <c r="Z318" s="32">
        <f>ROUND(IF(AQ318="5",BJ318,0),2)</f>
        <v>0</v>
      </c>
      <c r="AB318" s="32">
        <f>ROUND(IF(AQ318="1",BH318,0),2)</f>
        <v>0</v>
      </c>
      <c r="AC318" s="32">
        <f>ROUND(IF(AQ318="1",BI318,0),2)</f>
        <v>0</v>
      </c>
      <c r="AD318" s="32">
        <f>ROUND(IF(AQ318="7",BH318,0),2)</f>
        <v>0</v>
      </c>
      <c r="AE318" s="32">
        <f>ROUND(IF(AQ318="7",BI318,0),2)</f>
        <v>0</v>
      </c>
      <c r="AF318" s="32">
        <f>ROUND(IF(AQ318="2",BH318,0),2)</f>
        <v>0</v>
      </c>
      <c r="AG318" s="32">
        <f>ROUND(IF(AQ318="2",BI318,0),2)</f>
        <v>0</v>
      </c>
      <c r="AH318" s="32">
        <f>ROUND(IF(AQ318="0",BJ318,0),2)</f>
        <v>0</v>
      </c>
      <c r="AI318" s="12" t="s">
        <v>55</v>
      </c>
      <c r="AJ318" s="32">
        <f>IF(AN318=0,L318,0)</f>
        <v>0</v>
      </c>
      <c r="AK318" s="32">
        <f>IF(AN318=12,L318,0)</f>
        <v>0</v>
      </c>
      <c r="AL318" s="32">
        <f>IF(AN318=21,L318,0)</f>
        <v>0</v>
      </c>
      <c r="AN318" s="32">
        <v>21</v>
      </c>
      <c r="AO318" s="32">
        <f>H318*0.957249874</f>
        <v>0</v>
      </c>
      <c r="AP318" s="32">
        <f>H318*(1-0.957249874)</f>
        <v>0</v>
      </c>
      <c r="AQ318" s="36" t="s">
        <v>90</v>
      </c>
      <c r="AV318" s="32">
        <f>ROUND(AW318+AX318,2)</f>
        <v>0</v>
      </c>
      <c r="AW318" s="32">
        <f>ROUND(G318*AO318,2)</f>
        <v>0</v>
      </c>
      <c r="AX318" s="32">
        <f>ROUND(G318*AP318,2)</f>
        <v>0</v>
      </c>
      <c r="AY318" s="36" t="s">
        <v>663</v>
      </c>
      <c r="AZ318" s="36" t="s">
        <v>664</v>
      </c>
      <c r="BA318" s="12" t="s">
        <v>65</v>
      </c>
      <c r="BC318" s="32">
        <f>AW318+AX318</f>
        <v>0</v>
      </c>
      <c r="BD318" s="32">
        <f>H318/(100-BE318)*100</f>
        <v>0</v>
      </c>
      <c r="BE318" s="32">
        <v>0</v>
      </c>
      <c r="BF318" s="32">
        <f>P318</f>
        <v>2E-3</v>
      </c>
      <c r="BH318" s="32">
        <f>G318*AO318</f>
        <v>0</v>
      </c>
      <c r="BI318" s="32">
        <f>G318*AP318</f>
        <v>0</v>
      </c>
      <c r="BJ318" s="32">
        <f>G318*H318</f>
        <v>0</v>
      </c>
      <c r="BK318" s="36" t="s">
        <v>66</v>
      </c>
      <c r="BL318" s="32">
        <v>731</v>
      </c>
      <c r="BW318" s="32">
        <f>I318</f>
        <v>21</v>
      </c>
      <c r="BX318" s="4" t="s">
        <v>706</v>
      </c>
    </row>
    <row r="319" spans="1:76" x14ac:dyDescent="0.25">
      <c r="A319" s="37" t="s">
        <v>55</v>
      </c>
      <c r="B319" s="38" t="s">
        <v>55</v>
      </c>
      <c r="C319" s="38" t="s">
        <v>707</v>
      </c>
      <c r="D319" s="98" t="s">
        <v>708</v>
      </c>
      <c r="E319" s="99"/>
      <c r="F319" s="39" t="s">
        <v>3</v>
      </c>
      <c r="G319" s="39" t="s">
        <v>3</v>
      </c>
      <c r="H319" s="39" t="s">
        <v>3</v>
      </c>
      <c r="I319" s="39" t="s">
        <v>3</v>
      </c>
      <c r="J319" s="1">
        <f>SUM(J320:J359)</f>
        <v>0</v>
      </c>
      <c r="K319" s="1">
        <f>SUM(K320:K359)</f>
        <v>0</v>
      </c>
      <c r="L319" s="1">
        <f>SUM(L320:L359)</f>
        <v>0</v>
      </c>
      <c r="M319" s="1">
        <f>SUM(M320:M359)</f>
        <v>0</v>
      </c>
      <c r="N319" s="40">
        <f>IF(L649=0,0,L319/L649)</f>
        <v>0</v>
      </c>
      <c r="O319" s="12" t="s">
        <v>55</v>
      </c>
      <c r="P319" s="1">
        <f>SUM(P320:P359)</f>
        <v>8.8709999999999997E-2</v>
      </c>
      <c r="Q319" s="41" t="s">
        <v>55</v>
      </c>
      <c r="AI319" s="12" t="s">
        <v>55</v>
      </c>
      <c r="AS319" s="1">
        <f>SUM(AJ320:AJ359)</f>
        <v>0</v>
      </c>
      <c r="AT319" s="1">
        <f>SUM(AK320:AK359)</f>
        <v>0</v>
      </c>
      <c r="AU319" s="1">
        <f>SUM(AL320:AL359)</f>
        <v>0</v>
      </c>
    </row>
    <row r="320" spans="1:76" x14ac:dyDescent="0.25">
      <c r="A320" s="2" t="s">
        <v>709</v>
      </c>
      <c r="B320" s="3" t="s">
        <v>55</v>
      </c>
      <c r="C320" s="3" t="s">
        <v>710</v>
      </c>
      <c r="D320" s="89" t="s">
        <v>711</v>
      </c>
      <c r="E320" s="90"/>
      <c r="F320" s="3" t="s">
        <v>136</v>
      </c>
      <c r="G320" s="32">
        <v>65</v>
      </c>
      <c r="H320" s="199">
        <v>0</v>
      </c>
      <c r="I320" s="33">
        <v>21</v>
      </c>
      <c r="J320" s="32">
        <f>ROUND(G320*AO320,2)</f>
        <v>0</v>
      </c>
      <c r="K320" s="32">
        <f>ROUND(G320*AP320,2)</f>
        <v>0</v>
      </c>
      <c r="L320" s="32">
        <f>ROUND(G320*H320,2)</f>
        <v>0</v>
      </c>
      <c r="M320" s="32">
        <f>L320*(1+BW320/100)</f>
        <v>0</v>
      </c>
      <c r="N320" s="34">
        <f>IF(L649=0,0,L320/L649)</f>
        <v>0</v>
      </c>
      <c r="O320" s="32">
        <v>7.6000000000000004E-4</v>
      </c>
      <c r="P320" s="32">
        <f>G320*O320</f>
        <v>4.9399999999999999E-2</v>
      </c>
      <c r="Q320" s="35" t="s">
        <v>77</v>
      </c>
      <c r="Z320" s="32">
        <f>ROUND(IF(AQ320="5",BJ320,0),2)</f>
        <v>0</v>
      </c>
      <c r="AB320" s="32">
        <f>ROUND(IF(AQ320="1",BH320,0),2)</f>
        <v>0</v>
      </c>
      <c r="AC320" s="32">
        <f>ROUND(IF(AQ320="1",BI320,0),2)</f>
        <v>0</v>
      </c>
      <c r="AD320" s="32">
        <f>ROUND(IF(AQ320="7",BH320,0),2)</f>
        <v>0</v>
      </c>
      <c r="AE320" s="32">
        <f>ROUND(IF(AQ320="7",BI320,0),2)</f>
        <v>0</v>
      </c>
      <c r="AF320" s="32">
        <f>ROUND(IF(AQ320="2",BH320,0),2)</f>
        <v>0</v>
      </c>
      <c r="AG320" s="32">
        <f>ROUND(IF(AQ320="2",BI320,0),2)</f>
        <v>0</v>
      </c>
      <c r="AH320" s="32">
        <f>ROUND(IF(AQ320="0",BJ320,0),2)</f>
        <v>0</v>
      </c>
      <c r="AI320" s="12" t="s">
        <v>55</v>
      </c>
      <c r="AJ320" s="32">
        <f>IF(AN320=0,L320,0)</f>
        <v>0</v>
      </c>
      <c r="AK320" s="32">
        <f>IF(AN320=12,L320,0)</f>
        <v>0</v>
      </c>
      <c r="AL320" s="32">
        <f>IF(AN320=21,L320,0)</f>
        <v>0</v>
      </c>
      <c r="AN320" s="32">
        <v>21</v>
      </c>
      <c r="AO320" s="32">
        <f>H320*0.580631763</f>
        <v>0</v>
      </c>
      <c r="AP320" s="32">
        <f>H320*(1-0.580631763)</f>
        <v>0</v>
      </c>
      <c r="AQ320" s="36" t="s">
        <v>90</v>
      </c>
      <c r="AV320" s="32">
        <f>ROUND(AW320+AX320,2)</f>
        <v>0</v>
      </c>
      <c r="AW320" s="32">
        <f>ROUND(G320*AO320,2)</f>
        <v>0</v>
      </c>
      <c r="AX320" s="32">
        <f>ROUND(G320*AP320,2)</f>
        <v>0</v>
      </c>
      <c r="AY320" s="36" t="s">
        <v>712</v>
      </c>
      <c r="AZ320" s="36" t="s">
        <v>664</v>
      </c>
      <c r="BA320" s="12" t="s">
        <v>65</v>
      </c>
      <c r="BC320" s="32">
        <f>AW320+AX320</f>
        <v>0</v>
      </c>
      <c r="BD320" s="32">
        <f>H320/(100-BE320)*100</f>
        <v>0</v>
      </c>
      <c r="BE320" s="32">
        <v>0</v>
      </c>
      <c r="BF320" s="32">
        <f>P320</f>
        <v>4.9399999999999999E-2</v>
      </c>
      <c r="BH320" s="32">
        <f>G320*AO320</f>
        <v>0</v>
      </c>
      <c r="BI320" s="32">
        <f>G320*AP320</f>
        <v>0</v>
      </c>
      <c r="BJ320" s="32">
        <f>G320*H320</f>
        <v>0</v>
      </c>
      <c r="BK320" s="36" t="s">
        <v>66</v>
      </c>
      <c r="BL320" s="32">
        <v>733</v>
      </c>
      <c r="BW320" s="32">
        <f>I320</f>
        <v>21</v>
      </c>
      <c r="BX320" s="4" t="s">
        <v>711</v>
      </c>
    </row>
    <row r="321" spans="1:76" ht="13.5" customHeight="1" x14ac:dyDescent="0.25">
      <c r="A321" s="42"/>
      <c r="C321" s="43"/>
      <c r="D321" s="95" t="s">
        <v>713</v>
      </c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7"/>
    </row>
    <row r="322" spans="1:76" x14ac:dyDescent="0.25">
      <c r="A322" s="2" t="s">
        <v>714</v>
      </c>
      <c r="B322" s="3" t="s">
        <v>55</v>
      </c>
      <c r="C322" s="3" t="s">
        <v>715</v>
      </c>
      <c r="D322" s="89" t="s">
        <v>716</v>
      </c>
      <c r="E322" s="90"/>
      <c r="F322" s="3" t="s">
        <v>136</v>
      </c>
      <c r="G322" s="32">
        <v>10</v>
      </c>
      <c r="H322" s="199">
        <v>0</v>
      </c>
      <c r="I322" s="33">
        <v>21</v>
      </c>
      <c r="J322" s="32">
        <f>ROUND(G322*AO322,2)</f>
        <v>0</v>
      </c>
      <c r="K322" s="32">
        <f>ROUND(G322*AP322,2)</f>
        <v>0</v>
      </c>
      <c r="L322" s="32">
        <f>ROUND(G322*H322,2)</f>
        <v>0</v>
      </c>
      <c r="M322" s="32">
        <f>L322*(1+BW322/100)</f>
        <v>0</v>
      </c>
      <c r="N322" s="34">
        <f>IF(L649=0,0,L322/L649)</f>
        <v>0</v>
      </c>
      <c r="O322" s="32">
        <v>8.8999999999999995E-4</v>
      </c>
      <c r="P322" s="32">
        <f>G322*O322</f>
        <v>8.8999999999999999E-3</v>
      </c>
      <c r="Q322" s="35" t="s">
        <v>77</v>
      </c>
      <c r="Z322" s="32">
        <f>ROUND(IF(AQ322="5",BJ322,0),2)</f>
        <v>0</v>
      </c>
      <c r="AB322" s="32">
        <f>ROUND(IF(AQ322="1",BH322,0),2)</f>
        <v>0</v>
      </c>
      <c r="AC322" s="32">
        <f>ROUND(IF(AQ322="1",BI322,0),2)</f>
        <v>0</v>
      </c>
      <c r="AD322" s="32">
        <f>ROUND(IF(AQ322="7",BH322,0),2)</f>
        <v>0</v>
      </c>
      <c r="AE322" s="32">
        <f>ROUND(IF(AQ322="7",BI322,0),2)</f>
        <v>0</v>
      </c>
      <c r="AF322" s="32">
        <f>ROUND(IF(AQ322="2",BH322,0),2)</f>
        <v>0</v>
      </c>
      <c r="AG322" s="32">
        <f>ROUND(IF(AQ322="2",BI322,0),2)</f>
        <v>0</v>
      </c>
      <c r="AH322" s="32">
        <f>ROUND(IF(AQ322="0",BJ322,0),2)</f>
        <v>0</v>
      </c>
      <c r="AI322" s="12" t="s">
        <v>55</v>
      </c>
      <c r="AJ322" s="32">
        <f>IF(AN322=0,L322,0)</f>
        <v>0</v>
      </c>
      <c r="AK322" s="32">
        <f>IF(AN322=12,L322,0)</f>
        <v>0</v>
      </c>
      <c r="AL322" s="32">
        <f>IF(AN322=21,L322,0)</f>
        <v>0</v>
      </c>
      <c r="AN322" s="32">
        <v>21</v>
      </c>
      <c r="AO322" s="32">
        <f>H322*0.620370539</f>
        <v>0</v>
      </c>
      <c r="AP322" s="32">
        <f>H322*(1-0.620370539)</f>
        <v>0</v>
      </c>
      <c r="AQ322" s="36" t="s">
        <v>90</v>
      </c>
      <c r="AV322" s="32">
        <f>ROUND(AW322+AX322,2)</f>
        <v>0</v>
      </c>
      <c r="AW322" s="32">
        <f>ROUND(G322*AO322,2)</f>
        <v>0</v>
      </c>
      <c r="AX322" s="32">
        <f>ROUND(G322*AP322,2)</f>
        <v>0</v>
      </c>
      <c r="AY322" s="36" t="s">
        <v>712</v>
      </c>
      <c r="AZ322" s="36" t="s">
        <v>664</v>
      </c>
      <c r="BA322" s="12" t="s">
        <v>65</v>
      </c>
      <c r="BC322" s="32">
        <f>AW322+AX322</f>
        <v>0</v>
      </c>
      <c r="BD322" s="32">
        <f>H322/(100-BE322)*100</f>
        <v>0</v>
      </c>
      <c r="BE322" s="32">
        <v>0</v>
      </c>
      <c r="BF322" s="32">
        <f>P322</f>
        <v>8.8999999999999999E-3</v>
      </c>
      <c r="BH322" s="32">
        <f>G322*AO322</f>
        <v>0</v>
      </c>
      <c r="BI322" s="32">
        <f>G322*AP322</f>
        <v>0</v>
      </c>
      <c r="BJ322" s="32">
        <f>G322*H322</f>
        <v>0</v>
      </c>
      <c r="BK322" s="36" t="s">
        <v>66</v>
      </c>
      <c r="BL322" s="32">
        <v>733</v>
      </c>
      <c r="BW322" s="32">
        <f>I322</f>
        <v>21</v>
      </c>
      <c r="BX322" s="4" t="s">
        <v>716</v>
      </c>
    </row>
    <row r="323" spans="1:76" ht="13.5" customHeight="1" x14ac:dyDescent="0.25">
      <c r="A323" s="42"/>
      <c r="C323" s="43"/>
      <c r="D323" s="95" t="s">
        <v>713</v>
      </c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7"/>
    </row>
    <row r="324" spans="1:76" x14ac:dyDescent="0.25">
      <c r="A324" s="2" t="s">
        <v>717</v>
      </c>
      <c r="B324" s="3" t="s">
        <v>55</v>
      </c>
      <c r="C324" s="3" t="s">
        <v>718</v>
      </c>
      <c r="D324" s="89" t="s">
        <v>719</v>
      </c>
      <c r="E324" s="90"/>
      <c r="F324" s="3" t="s">
        <v>136</v>
      </c>
      <c r="G324" s="32">
        <v>10</v>
      </c>
      <c r="H324" s="199">
        <v>0</v>
      </c>
      <c r="I324" s="33">
        <v>21</v>
      </c>
      <c r="J324" s="32">
        <f>ROUND(G324*AO324,2)</f>
        <v>0</v>
      </c>
      <c r="K324" s="32">
        <f>ROUND(G324*AP324,2)</f>
        <v>0</v>
      </c>
      <c r="L324" s="32">
        <f>ROUND(G324*H324,2)</f>
        <v>0</v>
      </c>
      <c r="M324" s="32">
        <f>L324*(1+BW324/100)</f>
        <v>0</v>
      </c>
      <c r="N324" s="34">
        <f>IF(L649=0,0,L324/L649)</f>
        <v>0</v>
      </c>
      <c r="O324" s="32">
        <v>1.0200000000000001E-3</v>
      </c>
      <c r="P324" s="32">
        <f>G324*O324</f>
        <v>1.0200000000000001E-2</v>
      </c>
      <c r="Q324" s="35" t="s">
        <v>77</v>
      </c>
      <c r="Z324" s="32">
        <f>ROUND(IF(AQ324="5",BJ324,0),2)</f>
        <v>0</v>
      </c>
      <c r="AB324" s="32">
        <f>ROUND(IF(AQ324="1",BH324,0),2)</f>
        <v>0</v>
      </c>
      <c r="AC324" s="32">
        <f>ROUND(IF(AQ324="1",BI324,0),2)</f>
        <v>0</v>
      </c>
      <c r="AD324" s="32">
        <f>ROUND(IF(AQ324="7",BH324,0),2)</f>
        <v>0</v>
      </c>
      <c r="AE324" s="32">
        <f>ROUND(IF(AQ324="7",BI324,0),2)</f>
        <v>0</v>
      </c>
      <c r="AF324" s="32">
        <f>ROUND(IF(AQ324="2",BH324,0),2)</f>
        <v>0</v>
      </c>
      <c r="AG324" s="32">
        <f>ROUND(IF(AQ324="2",BI324,0),2)</f>
        <v>0</v>
      </c>
      <c r="AH324" s="32">
        <f>ROUND(IF(AQ324="0",BJ324,0),2)</f>
        <v>0</v>
      </c>
      <c r="AI324" s="12" t="s">
        <v>55</v>
      </c>
      <c r="AJ324" s="32">
        <f>IF(AN324=0,L324,0)</f>
        <v>0</v>
      </c>
      <c r="AK324" s="32">
        <f>IF(AN324=12,L324,0)</f>
        <v>0</v>
      </c>
      <c r="AL324" s="32">
        <f>IF(AN324=21,L324,0)</f>
        <v>0</v>
      </c>
      <c r="AN324" s="32">
        <v>21</v>
      </c>
      <c r="AO324" s="32">
        <f>H324*0.633775039</f>
        <v>0</v>
      </c>
      <c r="AP324" s="32">
        <f>H324*(1-0.633775039)</f>
        <v>0</v>
      </c>
      <c r="AQ324" s="36" t="s">
        <v>90</v>
      </c>
      <c r="AV324" s="32">
        <f>ROUND(AW324+AX324,2)</f>
        <v>0</v>
      </c>
      <c r="AW324" s="32">
        <f>ROUND(G324*AO324,2)</f>
        <v>0</v>
      </c>
      <c r="AX324" s="32">
        <f>ROUND(G324*AP324,2)</f>
        <v>0</v>
      </c>
      <c r="AY324" s="36" t="s">
        <v>712</v>
      </c>
      <c r="AZ324" s="36" t="s">
        <v>664</v>
      </c>
      <c r="BA324" s="12" t="s">
        <v>65</v>
      </c>
      <c r="BC324" s="32">
        <f>AW324+AX324</f>
        <v>0</v>
      </c>
      <c r="BD324" s="32">
        <f>H324/(100-BE324)*100</f>
        <v>0</v>
      </c>
      <c r="BE324" s="32">
        <v>0</v>
      </c>
      <c r="BF324" s="32">
        <f>P324</f>
        <v>1.0200000000000001E-2</v>
      </c>
      <c r="BH324" s="32">
        <f>G324*AO324</f>
        <v>0</v>
      </c>
      <c r="BI324" s="32">
        <f>G324*AP324</f>
        <v>0</v>
      </c>
      <c r="BJ324" s="32">
        <f>G324*H324</f>
        <v>0</v>
      </c>
      <c r="BK324" s="36" t="s">
        <v>66</v>
      </c>
      <c r="BL324" s="32">
        <v>733</v>
      </c>
      <c r="BW324" s="32">
        <f>I324</f>
        <v>21</v>
      </c>
      <c r="BX324" s="4" t="s">
        <v>719</v>
      </c>
    </row>
    <row r="325" spans="1:76" ht="13.5" customHeight="1" x14ac:dyDescent="0.25">
      <c r="A325" s="42"/>
      <c r="C325" s="43"/>
      <c r="D325" s="95" t="s">
        <v>713</v>
      </c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7"/>
    </row>
    <row r="326" spans="1:76" x14ac:dyDescent="0.25">
      <c r="A326" s="2" t="s">
        <v>720</v>
      </c>
      <c r="B326" s="3" t="s">
        <v>55</v>
      </c>
      <c r="C326" s="3" t="s">
        <v>721</v>
      </c>
      <c r="D326" s="89" t="s">
        <v>722</v>
      </c>
      <c r="E326" s="90"/>
      <c r="F326" s="3" t="s">
        <v>136</v>
      </c>
      <c r="G326" s="32">
        <v>66</v>
      </c>
      <c r="H326" s="199">
        <v>0</v>
      </c>
      <c r="I326" s="33">
        <v>21</v>
      </c>
      <c r="J326" s="32">
        <f>ROUND(G326*AO326,2)</f>
        <v>0</v>
      </c>
      <c r="K326" s="32">
        <f>ROUND(G326*AP326,2)</f>
        <v>0</v>
      </c>
      <c r="L326" s="32">
        <f>ROUND(G326*H326,2)</f>
        <v>0</v>
      </c>
      <c r="M326" s="32">
        <f>L326*(1+BW326/100)</f>
        <v>0</v>
      </c>
      <c r="N326" s="34">
        <f>IF(L649=0,0,L326/L649)</f>
        <v>0</v>
      </c>
      <c r="O326" s="32">
        <v>2.0000000000000002E-5</v>
      </c>
      <c r="P326" s="32">
        <f>G326*O326</f>
        <v>1.3200000000000002E-3</v>
      </c>
      <c r="Q326" s="35" t="s">
        <v>77</v>
      </c>
      <c r="Z326" s="32">
        <f>ROUND(IF(AQ326="5",BJ326,0),2)</f>
        <v>0</v>
      </c>
      <c r="AB326" s="32">
        <f>ROUND(IF(AQ326="1",BH326,0),2)</f>
        <v>0</v>
      </c>
      <c r="AC326" s="32">
        <f>ROUND(IF(AQ326="1",BI326,0),2)</f>
        <v>0</v>
      </c>
      <c r="AD326" s="32">
        <f>ROUND(IF(AQ326="7",BH326,0),2)</f>
        <v>0</v>
      </c>
      <c r="AE326" s="32">
        <f>ROUND(IF(AQ326="7",BI326,0),2)</f>
        <v>0</v>
      </c>
      <c r="AF326" s="32">
        <f>ROUND(IF(AQ326="2",BH326,0),2)</f>
        <v>0</v>
      </c>
      <c r="AG326" s="32">
        <f>ROUND(IF(AQ326="2",BI326,0),2)</f>
        <v>0</v>
      </c>
      <c r="AH326" s="32">
        <f>ROUND(IF(AQ326="0",BJ326,0),2)</f>
        <v>0</v>
      </c>
      <c r="AI326" s="12" t="s">
        <v>55</v>
      </c>
      <c r="AJ326" s="32">
        <f>IF(AN326=0,L326,0)</f>
        <v>0</v>
      </c>
      <c r="AK326" s="32">
        <f>IF(AN326=12,L326,0)</f>
        <v>0</v>
      </c>
      <c r="AL326" s="32">
        <f>IF(AN326=21,L326,0)</f>
        <v>0</v>
      </c>
      <c r="AN326" s="32">
        <v>21</v>
      </c>
      <c r="AO326" s="32">
        <f>H326*0.313739191</f>
        <v>0</v>
      </c>
      <c r="AP326" s="32">
        <f>H326*(1-0.313739191)</f>
        <v>0</v>
      </c>
      <c r="AQ326" s="36" t="s">
        <v>90</v>
      </c>
      <c r="AV326" s="32">
        <f>ROUND(AW326+AX326,2)</f>
        <v>0</v>
      </c>
      <c r="AW326" s="32">
        <f>ROUND(G326*AO326,2)</f>
        <v>0</v>
      </c>
      <c r="AX326" s="32">
        <f>ROUND(G326*AP326,2)</f>
        <v>0</v>
      </c>
      <c r="AY326" s="36" t="s">
        <v>712</v>
      </c>
      <c r="AZ326" s="36" t="s">
        <v>664</v>
      </c>
      <c r="BA326" s="12" t="s">
        <v>65</v>
      </c>
      <c r="BC326" s="32">
        <f>AW326+AX326</f>
        <v>0</v>
      </c>
      <c r="BD326" s="32">
        <f>H326/(100-BE326)*100</f>
        <v>0</v>
      </c>
      <c r="BE326" s="32">
        <v>0</v>
      </c>
      <c r="BF326" s="32">
        <f>P326</f>
        <v>1.3200000000000002E-3</v>
      </c>
      <c r="BH326" s="32">
        <f>G326*AO326</f>
        <v>0</v>
      </c>
      <c r="BI326" s="32">
        <f>G326*AP326</f>
        <v>0</v>
      </c>
      <c r="BJ326" s="32">
        <f>G326*H326</f>
        <v>0</v>
      </c>
      <c r="BK326" s="36" t="s">
        <v>66</v>
      </c>
      <c r="BL326" s="32">
        <v>733</v>
      </c>
      <c r="BW326" s="32">
        <f>I326</f>
        <v>21</v>
      </c>
      <c r="BX326" s="4" t="s">
        <v>722</v>
      </c>
    </row>
    <row r="327" spans="1:76" ht="13.5" customHeight="1" x14ac:dyDescent="0.25">
      <c r="A327" s="42"/>
      <c r="C327" s="43"/>
      <c r="D327" s="95" t="s">
        <v>723</v>
      </c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7"/>
    </row>
    <row r="328" spans="1:76" x14ac:dyDescent="0.25">
      <c r="A328" s="2" t="s">
        <v>724</v>
      </c>
      <c r="B328" s="3" t="s">
        <v>55</v>
      </c>
      <c r="C328" s="3" t="s">
        <v>725</v>
      </c>
      <c r="D328" s="89" t="s">
        <v>726</v>
      </c>
      <c r="E328" s="90"/>
      <c r="F328" s="3" t="s">
        <v>136</v>
      </c>
      <c r="G328" s="32">
        <v>10</v>
      </c>
      <c r="H328" s="199">
        <v>0</v>
      </c>
      <c r="I328" s="33">
        <v>21</v>
      </c>
      <c r="J328" s="32">
        <f>ROUND(G328*AO328,2)</f>
        <v>0</v>
      </c>
      <c r="K328" s="32">
        <f>ROUND(G328*AP328,2)</f>
        <v>0</v>
      </c>
      <c r="L328" s="32">
        <f>ROUND(G328*H328,2)</f>
        <v>0</v>
      </c>
      <c r="M328" s="32">
        <f>L328*(1+BW328/100)</f>
        <v>0</v>
      </c>
      <c r="N328" s="34">
        <f>IF(L649=0,0,L328/L649)</f>
        <v>0</v>
      </c>
      <c r="O328" s="32">
        <v>4.0000000000000003E-5</v>
      </c>
      <c r="P328" s="32">
        <f>G328*O328</f>
        <v>4.0000000000000002E-4</v>
      </c>
      <c r="Q328" s="35" t="s">
        <v>77</v>
      </c>
      <c r="Z328" s="32">
        <f>ROUND(IF(AQ328="5",BJ328,0),2)</f>
        <v>0</v>
      </c>
      <c r="AB328" s="32">
        <f>ROUND(IF(AQ328="1",BH328,0),2)</f>
        <v>0</v>
      </c>
      <c r="AC328" s="32">
        <f>ROUND(IF(AQ328="1",BI328,0),2)</f>
        <v>0</v>
      </c>
      <c r="AD328" s="32">
        <f>ROUND(IF(AQ328="7",BH328,0),2)</f>
        <v>0</v>
      </c>
      <c r="AE328" s="32">
        <f>ROUND(IF(AQ328="7",BI328,0),2)</f>
        <v>0</v>
      </c>
      <c r="AF328" s="32">
        <f>ROUND(IF(AQ328="2",BH328,0),2)</f>
        <v>0</v>
      </c>
      <c r="AG328" s="32">
        <f>ROUND(IF(AQ328="2",BI328,0),2)</f>
        <v>0</v>
      </c>
      <c r="AH328" s="32">
        <f>ROUND(IF(AQ328="0",BJ328,0),2)</f>
        <v>0</v>
      </c>
      <c r="AI328" s="12" t="s">
        <v>55</v>
      </c>
      <c r="AJ328" s="32">
        <f>IF(AN328=0,L328,0)</f>
        <v>0</v>
      </c>
      <c r="AK328" s="32">
        <f>IF(AN328=12,L328,0)</f>
        <v>0</v>
      </c>
      <c r="AL328" s="32">
        <f>IF(AN328=21,L328,0)</f>
        <v>0</v>
      </c>
      <c r="AN328" s="32">
        <v>21</v>
      </c>
      <c r="AO328" s="32">
        <f>H328*0.33409611</f>
        <v>0</v>
      </c>
      <c r="AP328" s="32">
        <f>H328*(1-0.33409611)</f>
        <v>0</v>
      </c>
      <c r="AQ328" s="36" t="s">
        <v>90</v>
      </c>
      <c r="AV328" s="32">
        <f>ROUND(AW328+AX328,2)</f>
        <v>0</v>
      </c>
      <c r="AW328" s="32">
        <f>ROUND(G328*AO328,2)</f>
        <v>0</v>
      </c>
      <c r="AX328" s="32">
        <f>ROUND(G328*AP328,2)</f>
        <v>0</v>
      </c>
      <c r="AY328" s="36" t="s">
        <v>712</v>
      </c>
      <c r="AZ328" s="36" t="s">
        <v>664</v>
      </c>
      <c r="BA328" s="12" t="s">
        <v>65</v>
      </c>
      <c r="BC328" s="32">
        <f>AW328+AX328</f>
        <v>0</v>
      </c>
      <c r="BD328" s="32">
        <f>H328/(100-BE328)*100</f>
        <v>0</v>
      </c>
      <c r="BE328" s="32">
        <v>0</v>
      </c>
      <c r="BF328" s="32">
        <f>P328</f>
        <v>4.0000000000000002E-4</v>
      </c>
      <c r="BH328" s="32">
        <f>G328*AO328</f>
        <v>0</v>
      </c>
      <c r="BI328" s="32">
        <f>G328*AP328</f>
        <v>0</v>
      </c>
      <c r="BJ328" s="32">
        <f>G328*H328</f>
        <v>0</v>
      </c>
      <c r="BK328" s="36" t="s">
        <v>66</v>
      </c>
      <c r="BL328" s="32">
        <v>733</v>
      </c>
      <c r="BW328" s="32">
        <f>I328</f>
        <v>21</v>
      </c>
      <c r="BX328" s="4" t="s">
        <v>726</v>
      </c>
    </row>
    <row r="329" spans="1:76" ht="13.5" customHeight="1" x14ac:dyDescent="0.25">
      <c r="A329" s="42"/>
      <c r="C329" s="43"/>
      <c r="D329" s="95" t="s">
        <v>723</v>
      </c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7"/>
    </row>
    <row r="330" spans="1:76" x14ac:dyDescent="0.25">
      <c r="A330" s="2" t="s">
        <v>727</v>
      </c>
      <c r="B330" s="3" t="s">
        <v>55</v>
      </c>
      <c r="C330" s="3" t="s">
        <v>728</v>
      </c>
      <c r="D330" s="89" t="s">
        <v>729</v>
      </c>
      <c r="E330" s="90"/>
      <c r="F330" s="3" t="s">
        <v>136</v>
      </c>
      <c r="G330" s="32">
        <v>2</v>
      </c>
      <c r="H330" s="199">
        <v>0</v>
      </c>
      <c r="I330" s="33">
        <v>21</v>
      </c>
      <c r="J330" s="32">
        <f>ROUND(G330*AO330,2)</f>
        <v>0</v>
      </c>
      <c r="K330" s="32">
        <f>ROUND(G330*AP330,2)</f>
        <v>0</v>
      </c>
      <c r="L330" s="32">
        <f>ROUND(G330*H330,2)</f>
        <v>0</v>
      </c>
      <c r="M330" s="32">
        <f>L330*(1+BW330/100)</f>
        <v>0</v>
      </c>
      <c r="N330" s="34">
        <f>IF(L649=0,0,L330/L649)</f>
        <v>0</v>
      </c>
      <c r="O330" s="32">
        <v>4.0000000000000003E-5</v>
      </c>
      <c r="P330" s="32">
        <f>G330*O330</f>
        <v>8.0000000000000007E-5</v>
      </c>
      <c r="Q330" s="35" t="s">
        <v>77</v>
      </c>
      <c r="Z330" s="32">
        <f>ROUND(IF(AQ330="5",BJ330,0),2)</f>
        <v>0</v>
      </c>
      <c r="AB330" s="32">
        <f>ROUND(IF(AQ330="1",BH330,0),2)</f>
        <v>0</v>
      </c>
      <c r="AC330" s="32">
        <f>ROUND(IF(AQ330="1",BI330,0),2)</f>
        <v>0</v>
      </c>
      <c r="AD330" s="32">
        <f>ROUND(IF(AQ330="7",BH330,0),2)</f>
        <v>0</v>
      </c>
      <c r="AE330" s="32">
        <f>ROUND(IF(AQ330="7",BI330,0),2)</f>
        <v>0</v>
      </c>
      <c r="AF330" s="32">
        <f>ROUND(IF(AQ330="2",BH330,0),2)</f>
        <v>0</v>
      </c>
      <c r="AG330" s="32">
        <f>ROUND(IF(AQ330="2",BI330,0),2)</f>
        <v>0</v>
      </c>
      <c r="AH330" s="32">
        <f>ROUND(IF(AQ330="0",BJ330,0),2)</f>
        <v>0</v>
      </c>
      <c r="AI330" s="12" t="s">
        <v>55</v>
      </c>
      <c r="AJ330" s="32">
        <f>IF(AN330=0,L330,0)</f>
        <v>0</v>
      </c>
      <c r="AK330" s="32">
        <f>IF(AN330=12,L330,0)</f>
        <v>0</v>
      </c>
      <c r="AL330" s="32">
        <f>IF(AN330=21,L330,0)</f>
        <v>0</v>
      </c>
      <c r="AN330" s="32">
        <v>21</v>
      </c>
      <c r="AO330" s="32">
        <f>H330*0.362692308</f>
        <v>0</v>
      </c>
      <c r="AP330" s="32">
        <f>H330*(1-0.362692308)</f>
        <v>0</v>
      </c>
      <c r="AQ330" s="36" t="s">
        <v>90</v>
      </c>
      <c r="AV330" s="32">
        <f>ROUND(AW330+AX330,2)</f>
        <v>0</v>
      </c>
      <c r="AW330" s="32">
        <f>ROUND(G330*AO330,2)</f>
        <v>0</v>
      </c>
      <c r="AX330" s="32">
        <f>ROUND(G330*AP330,2)</f>
        <v>0</v>
      </c>
      <c r="AY330" s="36" t="s">
        <v>712</v>
      </c>
      <c r="AZ330" s="36" t="s">
        <v>664</v>
      </c>
      <c r="BA330" s="12" t="s">
        <v>65</v>
      </c>
      <c r="BC330" s="32">
        <f>AW330+AX330</f>
        <v>0</v>
      </c>
      <c r="BD330" s="32">
        <f>H330/(100-BE330)*100</f>
        <v>0</v>
      </c>
      <c r="BE330" s="32">
        <v>0</v>
      </c>
      <c r="BF330" s="32">
        <f>P330</f>
        <v>8.0000000000000007E-5</v>
      </c>
      <c r="BH330" s="32">
        <f>G330*AO330</f>
        <v>0</v>
      </c>
      <c r="BI330" s="32">
        <f>G330*AP330</f>
        <v>0</v>
      </c>
      <c r="BJ330" s="32">
        <f>G330*H330</f>
        <v>0</v>
      </c>
      <c r="BK330" s="36" t="s">
        <v>66</v>
      </c>
      <c r="BL330" s="32">
        <v>733</v>
      </c>
      <c r="BW330" s="32">
        <f>I330</f>
        <v>21</v>
      </c>
      <c r="BX330" s="4" t="s">
        <v>729</v>
      </c>
    </row>
    <row r="331" spans="1:76" ht="13.5" customHeight="1" x14ac:dyDescent="0.25">
      <c r="A331" s="42"/>
      <c r="C331" s="43"/>
      <c r="D331" s="95" t="s">
        <v>723</v>
      </c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7"/>
    </row>
    <row r="332" spans="1:76" x14ac:dyDescent="0.25">
      <c r="A332" s="2" t="s">
        <v>730</v>
      </c>
      <c r="B332" s="3" t="s">
        <v>55</v>
      </c>
      <c r="C332" s="3" t="s">
        <v>731</v>
      </c>
      <c r="D332" s="89" t="s">
        <v>732</v>
      </c>
      <c r="E332" s="90"/>
      <c r="F332" s="3" t="s">
        <v>88</v>
      </c>
      <c r="G332" s="32">
        <v>10</v>
      </c>
      <c r="H332" s="199">
        <v>0</v>
      </c>
      <c r="I332" s="33">
        <v>21</v>
      </c>
      <c r="J332" s="32">
        <f>ROUND(G332*AO332,2)</f>
        <v>0</v>
      </c>
      <c r="K332" s="32">
        <f>ROUND(G332*AP332,2)</f>
        <v>0</v>
      </c>
      <c r="L332" s="32">
        <f>ROUND(G332*H332,2)</f>
        <v>0</v>
      </c>
      <c r="M332" s="32">
        <f>L332*(1+BW332/100)</f>
        <v>0</v>
      </c>
      <c r="N332" s="34">
        <f>IF(L649=0,0,L332/L649)</f>
        <v>0</v>
      </c>
      <c r="O332" s="32">
        <v>3.4000000000000002E-4</v>
      </c>
      <c r="P332" s="32">
        <f>G332*O332</f>
        <v>3.4000000000000002E-3</v>
      </c>
      <c r="Q332" s="35" t="s">
        <v>77</v>
      </c>
      <c r="Z332" s="32">
        <f>ROUND(IF(AQ332="5",BJ332,0),2)</f>
        <v>0</v>
      </c>
      <c r="AB332" s="32">
        <f>ROUND(IF(AQ332="1",BH332,0),2)</f>
        <v>0</v>
      </c>
      <c r="AC332" s="32">
        <f>ROUND(IF(AQ332="1",BI332,0),2)</f>
        <v>0</v>
      </c>
      <c r="AD332" s="32">
        <f>ROUND(IF(AQ332="7",BH332,0),2)</f>
        <v>0</v>
      </c>
      <c r="AE332" s="32">
        <f>ROUND(IF(AQ332="7",BI332,0),2)</f>
        <v>0</v>
      </c>
      <c r="AF332" s="32">
        <f>ROUND(IF(AQ332="2",BH332,0),2)</f>
        <v>0</v>
      </c>
      <c r="AG332" s="32">
        <f>ROUND(IF(AQ332="2",BI332,0),2)</f>
        <v>0</v>
      </c>
      <c r="AH332" s="32">
        <f>ROUND(IF(AQ332="0",BJ332,0),2)</f>
        <v>0</v>
      </c>
      <c r="AI332" s="12" t="s">
        <v>55</v>
      </c>
      <c r="AJ332" s="32">
        <f>IF(AN332=0,L332,0)</f>
        <v>0</v>
      </c>
      <c r="AK332" s="32">
        <f>IF(AN332=12,L332,0)</f>
        <v>0</v>
      </c>
      <c r="AL332" s="32">
        <f>IF(AN332=21,L332,0)</f>
        <v>0</v>
      </c>
      <c r="AN332" s="32">
        <v>21</v>
      </c>
      <c r="AO332" s="32">
        <f>H332*0.09075855</f>
        <v>0</v>
      </c>
      <c r="AP332" s="32">
        <f>H332*(1-0.09075855)</f>
        <v>0</v>
      </c>
      <c r="AQ332" s="36" t="s">
        <v>90</v>
      </c>
      <c r="AV332" s="32">
        <f>ROUND(AW332+AX332,2)</f>
        <v>0</v>
      </c>
      <c r="AW332" s="32">
        <f>ROUND(G332*AO332,2)</f>
        <v>0</v>
      </c>
      <c r="AX332" s="32">
        <f>ROUND(G332*AP332,2)</f>
        <v>0</v>
      </c>
      <c r="AY332" s="36" t="s">
        <v>712</v>
      </c>
      <c r="AZ332" s="36" t="s">
        <v>664</v>
      </c>
      <c r="BA332" s="12" t="s">
        <v>65</v>
      </c>
      <c r="BC332" s="32">
        <f>AW332+AX332</f>
        <v>0</v>
      </c>
      <c r="BD332" s="32">
        <f>H332/(100-BE332)*100</f>
        <v>0</v>
      </c>
      <c r="BE332" s="32">
        <v>0</v>
      </c>
      <c r="BF332" s="32">
        <f>P332</f>
        <v>3.4000000000000002E-3</v>
      </c>
      <c r="BH332" s="32">
        <f>G332*AO332</f>
        <v>0</v>
      </c>
      <c r="BI332" s="32">
        <f>G332*AP332</f>
        <v>0</v>
      </c>
      <c r="BJ332" s="32">
        <f>G332*H332</f>
        <v>0</v>
      </c>
      <c r="BK332" s="36" t="s">
        <v>66</v>
      </c>
      <c r="BL332" s="32">
        <v>733</v>
      </c>
      <c r="BW332" s="32">
        <f>I332</f>
        <v>21</v>
      </c>
      <c r="BX332" s="4" t="s">
        <v>732</v>
      </c>
    </row>
    <row r="333" spans="1:76" ht="13.5" customHeight="1" x14ac:dyDescent="0.25">
      <c r="A333" s="42"/>
      <c r="C333" s="43"/>
      <c r="D333" s="95" t="s">
        <v>733</v>
      </c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7"/>
    </row>
    <row r="334" spans="1:76" x14ac:dyDescent="0.25">
      <c r="A334" s="2" t="s">
        <v>734</v>
      </c>
      <c r="B334" s="3" t="s">
        <v>55</v>
      </c>
      <c r="C334" s="3" t="s">
        <v>735</v>
      </c>
      <c r="D334" s="89" t="s">
        <v>736</v>
      </c>
      <c r="E334" s="90"/>
      <c r="F334" s="3" t="s">
        <v>316</v>
      </c>
      <c r="G334" s="32">
        <v>1</v>
      </c>
      <c r="H334" s="199">
        <v>0</v>
      </c>
      <c r="I334" s="33">
        <v>21</v>
      </c>
      <c r="J334" s="32">
        <f>ROUND(G334*AO334,2)</f>
        <v>0</v>
      </c>
      <c r="K334" s="32">
        <f>ROUND(G334*AP334,2)</f>
        <v>0</v>
      </c>
      <c r="L334" s="32">
        <f>ROUND(G334*H334,2)</f>
        <v>0</v>
      </c>
      <c r="M334" s="32">
        <f>L334*(1+BW334/100)</f>
        <v>0</v>
      </c>
      <c r="N334" s="34">
        <f>IF(L649=0,0,L334/L649)</f>
        <v>0</v>
      </c>
      <c r="O334" s="32">
        <v>0</v>
      </c>
      <c r="P334" s="32">
        <f>G334*O334</f>
        <v>0</v>
      </c>
      <c r="Q334" s="35"/>
      <c r="Z334" s="32">
        <f>ROUND(IF(AQ334="5",BJ334,0),2)</f>
        <v>0</v>
      </c>
      <c r="AB334" s="32">
        <f>ROUND(IF(AQ334="1",BH334,0),2)</f>
        <v>0</v>
      </c>
      <c r="AC334" s="32">
        <f>ROUND(IF(AQ334="1",BI334,0),2)</f>
        <v>0</v>
      </c>
      <c r="AD334" s="32">
        <f>ROUND(IF(AQ334="7",BH334,0),2)</f>
        <v>0</v>
      </c>
      <c r="AE334" s="32">
        <f>ROUND(IF(AQ334="7",BI334,0),2)</f>
        <v>0</v>
      </c>
      <c r="AF334" s="32">
        <f>ROUND(IF(AQ334="2",BH334,0),2)</f>
        <v>0</v>
      </c>
      <c r="AG334" s="32">
        <f>ROUND(IF(AQ334="2",BI334,0),2)</f>
        <v>0</v>
      </c>
      <c r="AH334" s="32">
        <f>ROUND(IF(AQ334="0",BJ334,0),2)</f>
        <v>0</v>
      </c>
      <c r="AI334" s="12" t="s">
        <v>55</v>
      </c>
      <c r="AJ334" s="32">
        <f>IF(AN334=0,L334,0)</f>
        <v>0</v>
      </c>
      <c r="AK334" s="32">
        <f>IF(AN334=12,L334,0)</f>
        <v>0</v>
      </c>
      <c r="AL334" s="32">
        <f>IF(AN334=21,L334,0)</f>
        <v>0</v>
      </c>
      <c r="AN334" s="32">
        <v>21</v>
      </c>
      <c r="AO334" s="32">
        <f>H334*0.77888051</f>
        <v>0</v>
      </c>
      <c r="AP334" s="32">
        <f>H334*(1-0.77888051)</f>
        <v>0</v>
      </c>
      <c r="AQ334" s="36" t="s">
        <v>90</v>
      </c>
      <c r="AV334" s="32">
        <f>ROUND(AW334+AX334,2)</f>
        <v>0</v>
      </c>
      <c r="AW334" s="32">
        <f>ROUND(G334*AO334,2)</f>
        <v>0</v>
      </c>
      <c r="AX334" s="32">
        <f>ROUND(G334*AP334,2)</f>
        <v>0</v>
      </c>
      <c r="AY334" s="36" t="s">
        <v>712</v>
      </c>
      <c r="AZ334" s="36" t="s">
        <v>664</v>
      </c>
      <c r="BA334" s="12" t="s">
        <v>65</v>
      </c>
      <c r="BC334" s="32">
        <f>AW334+AX334</f>
        <v>0</v>
      </c>
      <c r="BD334" s="32">
        <f>H334/(100-BE334)*100</f>
        <v>0</v>
      </c>
      <c r="BE334" s="32">
        <v>0</v>
      </c>
      <c r="BF334" s="32">
        <f>P334</f>
        <v>0</v>
      </c>
      <c r="BH334" s="32">
        <f>G334*AO334</f>
        <v>0</v>
      </c>
      <c r="BI334" s="32">
        <f>G334*AP334</f>
        <v>0</v>
      </c>
      <c r="BJ334" s="32">
        <f>G334*H334</f>
        <v>0</v>
      </c>
      <c r="BK334" s="36" t="s">
        <v>66</v>
      </c>
      <c r="BL334" s="32">
        <v>733</v>
      </c>
      <c r="BW334" s="32">
        <f>I334</f>
        <v>21</v>
      </c>
      <c r="BX334" s="4" t="s">
        <v>736</v>
      </c>
    </row>
    <row r="335" spans="1:76" ht="13.5" customHeight="1" x14ac:dyDescent="0.25">
      <c r="A335" s="42"/>
      <c r="C335" s="43"/>
      <c r="D335" s="95" t="s">
        <v>737</v>
      </c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7"/>
    </row>
    <row r="336" spans="1:76" x14ac:dyDescent="0.25">
      <c r="A336" s="2" t="s">
        <v>738</v>
      </c>
      <c r="B336" s="3" t="s">
        <v>55</v>
      </c>
      <c r="C336" s="3" t="s">
        <v>739</v>
      </c>
      <c r="D336" s="89" t="s">
        <v>740</v>
      </c>
      <c r="E336" s="90"/>
      <c r="F336" s="3" t="s">
        <v>88</v>
      </c>
      <c r="G336" s="32">
        <v>4</v>
      </c>
      <c r="H336" s="199">
        <v>0</v>
      </c>
      <c r="I336" s="33">
        <v>21</v>
      </c>
      <c r="J336" s="32">
        <f>ROUND(G336*AO336,2)</f>
        <v>0</v>
      </c>
      <c r="K336" s="32">
        <f>ROUND(G336*AP336,2)</f>
        <v>0</v>
      </c>
      <c r="L336" s="32">
        <f>ROUND(G336*H336,2)</f>
        <v>0</v>
      </c>
      <c r="M336" s="32">
        <f>L336*(1+BW336/100)</f>
        <v>0</v>
      </c>
      <c r="N336" s="34">
        <f>IF(L649=0,0,L336/L649)</f>
        <v>0</v>
      </c>
      <c r="O336" s="32">
        <v>1E-3</v>
      </c>
      <c r="P336" s="32">
        <f>G336*O336</f>
        <v>4.0000000000000001E-3</v>
      </c>
      <c r="Q336" s="35" t="s">
        <v>77</v>
      </c>
      <c r="Z336" s="32">
        <f>ROUND(IF(AQ336="5",BJ336,0),2)</f>
        <v>0</v>
      </c>
      <c r="AB336" s="32">
        <f>ROUND(IF(AQ336="1",BH336,0),2)</f>
        <v>0</v>
      </c>
      <c r="AC336" s="32">
        <f>ROUND(IF(AQ336="1",BI336,0),2)</f>
        <v>0</v>
      </c>
      <c r="AD336" s="32">
        <f>ROUND(IF(AQ336="7",BH336,0),2)</f>
        <v>0</v>
      </c>
      <c r="AE336" s="32">
        <f>ROUND(IF(AQ336="7",BI336,0),2)</f>
        <v>0</v>
      </c>
      <c r="AF336" s="32">
        <f>ROUND(IF(AQ336="2",BH336,0),2)</f>
        <v>0</v>
      </c>
      <c r="AG336" s="32">
        <f>ROUND(IF(AQ336="2",BI336,0),2)</f>
        <v>0</v>
      </c>
      <c r="AH336" s="32">
        <f>ROUND(IF(AQ336="0",BJ336,0),2)</f>
        <v>0</v>
      </c>
      <c r="AI336" s="12" t="s">
        <v>55</v>
      </c>
      <c r="AJ336" s="32">
        <f>IF(AN336=0,L336,0)</f>
        <v>0</v>
      </c>
      <c r="AK336" s="32">
        <f>IF(AN336=12,L336,0)</f>
        <v>0</v>
      </c>
      <c r="AL336" s="32">
        <f>IF(AN336=21,L336,0)</f>
        <v>0</v>
      </c>
      <c r="AN336" s="32">
        <v>21</v>
      </c>
      <c r="AO336" s="32">
        <f>H336*0.745875486</f>
        <v>0</v>
      </c>
      <c r="AP336" s="32">
        <f>H336*(1-0.745875486)</f>
        <v>0</v>
      </c>
      <c r="AQ336" s="36" t="s">
        <v>90</v>
      </c>
      <c r="AV336" s="32">
        <f>ROUND(AW336+AX336,2)</f>
        <v>0</v>
      </c>
      <c r="AW336" s="32">
        <f>ROUND(G336*AO336,2)</f>
        <v>0</v>
      </c>
      <c r="AX336" s="32">
        <f>ROUND(G336*AP336,2)</f>
        <v>0</v>
      </c>
      <c r="AY336" s="36" t="s">
        <v>712</v>
      </c>
      <c r="AZ336" s="36" t="s">
        <v>664</v>
      </c>
      <c r="BA336" s="12" t="s">
        <v>65</v>
      </c>
      <c r="BC336" s="32">
        <f>AW336+AX336</f>
        <v>0</v>
      </c>
      <c r="BD336" s="32">
        <f>H336/(100-BE336)*100</f>
        <v>0</v>
      </c>
      <c r="BE336" s="32">
        <v>0</v>
      </c>
      <c r="BF336" s="32">
        <f>P336</f>
        <v>4.0000000000000001E-3</v>
      </c>
      <c r="BH336" s="32">
        <f>G336*AO336</f>
        <v>0</v>
      </c>
      <c r="BI336" s="32">
        <f>G336*AP336</f>
        <v>0</v>
      </c>
      <c r="BJ336" s="32">
        <f>G336*H336</f>
        <v>0</v>
      </c>
      <c r="BK336" s="36" t="s">
        <v>66</v>
      </c>
      <c r="BL336" s="32">
        <v>733</v>
      </c>
      <c r="BW336" s="32">
        <f>I336</f>
        <v>21</v>
      </c>
      <c r="BX336" s="4" t="s">
        <v>740</v>
      </c>
    </row>
    <row r="337" spans="1:76" x14ac:dyDescent="0.25">
      <c r="A337" s="2" t="s">
        <v>741</v>
      </c>
      <c r="B337" s="3" t="s">
        <v>55</v>
      </c>
      <c r="C337" s="3" t="s">
        <v>742</v>
      </c>
      <c r="D337" s="89" t="s">
        <v>743</v>
      </c>
      <c r="E337" s="90"/>
      <c r="F337" s="3" t="s">
        <v>88</v>
      </c>
      <c r="G337" s="32">
        <v>2</v>
      </c>
      <c r="H337" s="199">
        <v>0</v>
      </c>
      <c r="I337" s="33">
        <v>21</v>
      </c>
      <c r="J337" s="32">
        <f>ROUND(G337*AO337,2)</f>
        <v>0</v>
      </c>
      <c r="K337" s="32">
        <f>ROUND(G337*AP337,2)</f>
        <v>0</v>
      </c>
      <c r="L337" s="32">
        <f>ROUND(G337*H337,2)</f>
        <v>0</v>
      </c>
      <c r="M337" s="32">
        <f>L337*(1+BW337/100)</f>
        <v>0</v>
      </c>
      <c r="N337" s="34">
        <f>IF(L649=0,0,L337/L649)</f>
        <v>0</v>
      </c>
      <c r="O337" s="32">
        <v>1.1999999999999999E-3</v>
      </c>
      <c r="P337" s="32">
        <f>G337*O337</f>
        <v>2.3999999999999998E-3</v>
      </c>
      <c r="Q337" s="35" t="s">
        <v>77</v>
      </c>
      <c r="Z337" s="32">
        <f>ROUND(IF(AQ337="5",BJ337,0),2)</f>
        <v>0</v>
      </c>
      <c r="AB337" s="32">
        <f>ROUND(IF(AQ337="1",BH337,0),2)</f>
        <v>0</v>
      </c>
      <c r="AC337" s="32">
        <f>ROUND(IF(AQ337="1",BI337,0),2)</f>
        <v>0</v>
      </c>
      <c r="AD337" s="32">
        <f>ROUND(IF(AQ337="7",BH337,0),2)</f>
        <v>0</v>
      </c>
      <c r="AE337" s="32">
        <f>ROUND(IF(AQ337="7",BI337,0),2)</f>
        <v>0</v>
      </c>
      <c r="AF337" s="32">
        <f>ROUND(IF(AQ337="2",BH337,0),2)</f>
        <v>0</v>
      </c>
      <c r="AG337" s="32">
        <f>ROUND(IF(AQ337="2",BI337,0),2)</f>
        <v>0</v>
      </c>
      <c r="AH337" s="32">
        <f>ROUND(IF(AQ337="0",BJ337,0),2)</f>
        <v>0</v>
      </c>
      <c r="AI337" s="12" t="s">
        <v>55</v>
      </c>
      <c r="AJ337" s="32">
        <f>IF(AN337=0,L337,0)</f>
        <v>0</v>
      </c>
      <c r="AK337" s="32">
        <f>IF(AN337=12,L337,0)</f>
        <v>0</v>
      </c>
      <c r="AL337" s="32">
        <f>IF(AN337=21,L337,0)</f>
        <v>0</v>
      </c>
      <c r="AN337" s="32">
        <v>21</v>
      </c>
      <c r="AO337" s="32">
        <f>H337*0.811127647</f>
        <v>0</v>
      </c>
      <c r="AP337" s="32">
        <f>H337*(1-0.811127647)</f>
        <v>0</v>
      </c>
      <c r="AQ337" s="36" t="s">
        <v>90</v>
      </c>
      <c r="AV337" s="32">
        <f>ROUND(AW337+AX337,2)</f>
        <v>0</v>
      </c>
      <c r="AW337" s="32">
        <f>ROUND(G337*AO337,2)</f>
        <v>0</v>
      </c>
      <c r="AX337" s="32">
        <f>ROUND(G337*AP337,2)</f>
        <v>0</v>
      </c>
      <c r="AY337" s="36" t="s">
        <v>712</v>
      </c>
      <c r="AZ337" s="36" t="s">
        <v>664</v>
      </c>
      <c r="BA337" s="12" t="s">
        <v>65</v>
      </c>
      <c r="BC337" s="32">
        <f>AW337+AX337</f>
        <v>0</v>
      </c>
      <c r="BD337" s="32">
        <f>H337/(100-BE337)*100</f>
        <v>0</v>
      </c>
      <c r="BE337" s="32">
        <v>0</v>
      </c>
      <c r="BF337" s="32">
        <f>P337</f>
        <v>2.3999999999999998E-3</v>
      </c>
      <c r="BH337" s="32">
        <f>G337*AO337</f>
        <v>0</v>
      </c>
      <c r="BI337" s="32">
        <f>G337*AP337</f>
        <v>0</v>
      </c>
      <c r="BJ337" s="32">
        <f>G337*H337</f>
        <v>0</v>
      </c>
      <c r="BK337" s="36" t="s">
        <v>66</v>
      </c>
      <c r="BL337" s="32">
        <v>733</v>
      </c>
      <c r="BW337" s="32">
        <f>I337</f>
        <v>21</v>
      </c>
      <c r="BX337" s="4" t="s">
        <v>743</v>
      </c>
    </row>
    <row r="338" spans="1:76" ht="25.5" x14ac:dyDescent="0.25">
      <c r="A338" s="2" t="s">
        <v>744</v>
      </c>
      <c r="B338" s="3" t="s">
        <v>55</v>
      </c>
      <c r="C338" s="3" t="s">
        <v>745</v>
      </c>
      <c r="D338" s="89" t="s">
        <v>746</v>
      </c>
      <c r="E338" s="90"/>
      <c r="F338" s="3" t="s">
        <v>136</v>
      </c>
      <c r="G338" s="32">
        <v>10</v>
      </c>
      <c r="H338" s="199">
        <v>0</v>
      </c>
      <c r="I338" s="33">
        <v>21</v>
      </c>
      <c r="J338" s="32">
        <f>ROUND(G338*AO338,2)</f>
        <v>0</v>
      </c>
      <c r="K338" s="32">
        <f>ROUND(G338*AP338,2)</f>
        <v>0</v>
      </c>
      <c r="L338" s="32">
        <f>ROUND(G338*H338,2)</f>
        <v>0</v>
      </c>
      <c r="M338" s="32">
        <f>L338*(1+BW338/100)</f>
        <v>0</v>
      </c>
      <c r="N338" s="34">
        <f>IF(L649=0,0,L338/L649)</f>
        <v>0</v>
      </c>
      <c r="O338" s="32">
        <v>6.8000000000000005E-4</v>
      </c>
      <c r="P338" s="32">
        <f>G338*O338</f>
        <v>6.8000000000000005E-3</v>
      </c>
      <c r="Q338" s="35" t="s">
        <v>77</v>
      </c>
      <c r="Z338" s="32">
        <f>ROUND(IF(AQ338="5",BJ338,0),2)</f>
        <v>0</v>
      </c>
      <c r="AB338" s="32">
        <f>ROUND(IF(AQ338="1",BH338,0),2)</f>
        <v>0</v>
      </c>
      <c r="AC338" s="32">
        <f>ROUND(IF(AQ338="1",BI338,0),2)</f>
        <v>0</v>
      </c>
      <c r="AD338" s="32">
        <f>ROUND(IF(AQ338="7",BH338,0),2)</f>
        <v>0</v>
      </c>
      <c r="AE338" s="32">
        <f>ROUND(IF(AQ338="7",BI338,0),2)</f>
        <v>0</v>
      </c>
      <c r="AF338" s="32">
        <f>ROUND(IF(AQ338="2",BH338,0),2)</f>
        <v>0</v>
      </c>
      <c r="AG338" s="32">
        <f>ROUND(IF(AQ338="2",BI338,0),2)</f>
        <v>0</v>
      </c>
      <c r="AH338" s="32">
        <f>ROUND(IF(AQ338="0",BJ338,0),2)</f>
        <v>0</v>
      </c>
      <c r="AI338" s="12" t="s">
        <v>55</v>
      </c>
      <c r="AJ338" s="32">
        <f>IF(AN338=0,L338,0)</f>
        <v>0</v>
      </c>
      <c r="AK338" s="32">
        <f>IF(AN338=12,L338,0)</f>
        <v>0</v>
      </c>
      <c r="AL338" s="32">
        <f>IF(AN338=21,L338,0)</f>
        <v>0</v>
      </c>
      <c r="AN338" s="32">
        <v>21</v>
      </c>
      <c r="AO338" s="32">
        <f>H338*0.863877069</f>
        <v>0</v>
      </c>
      <c r="AP338" s="32">
        <f>H338*(1-0.863877069)</f>
        <v>0</v>
      </c>
      <c r="AQ338" s="36" t="s">
        <v>90</v>
      </c>
      <c r="AV338" s="32">
        <f>ROUND(AW338+AX338,2)</f>
        <v>0</v>
      </c>
      <c r="AW338" s="32">
        <f>ROUND(G338*AO338,2)</f>
        <v>0</v>
      </c>
      <c r="AX338" s="32">
        <f>ROUND(G338*AP338,2)</f>
        <v>0</v>
      </c>
      <c r="AY338" s="36" t="s">
        <v>712</v>
      </c>
      <c r="AZ338" s="36" t="s">
        <v>664</v>
      </c>
      <c r="BA338" s="12" t="s">
        <v>65</v>
      </c>
      <c r="BC338" s="32">
        <f>AW338+AX338</f>
        <v>0</v>
      </c>
      <c r="BD338" s="32">
        <f>H338/(100-BE338)*100</f>
        <v>0</v>
      </c>
      <c r="BE338" s="32">
        <v>0</v>
      </c>
      <c r="BF338" s="32">
        <f>P338</f>
        <v>6.8000000000000005E-3</v>
      </c>
      <c r="BH338" s="32">
        <f>G338*AO338</f>
        <v>0</v>
      </c>
      <c r="BI338" s="32">
        <f>G338*AP338</f>
        <v>0</v>
      </c>
      <c r="BJ338" s="32">
        <f>G338*H338</f>
        <v>0</v>
      </c>
      <c r="BK338" s="36" t="s">
        <v>66</v>
      </c>
      <c r="BL338" s="32">
        <v>733</v>
      </c>
      <c r="BW338" s="32">
        <f>I338</f>
        <v>21</v>
      </c>
      <c r="BX338" s="4" t="s">
        <v>746</v>
      </c>
    </row>
    <row r="339" spans="1:76" x14ac:dyDescent="0.25">
      <c r="A339" s="2" t="s">
        <v>747</v>
      </c>
      <c r="B339" s="3" t="s">
        <v>55</v>
      </c>
      <c r="C339" s="3" t="s">
        <v>735</v>
      </c>
      <c r="D339" s="89" t="s">
        <v>748</v>
      </c>
      <c r="E339" s="90"/>
      <c r="F339" s="3" t="s">
        <v>316</v>
      </c>
      <c r="G339" s="32">
        <v>2</v>
      </c>
      <c r="H339" s="199">
        <v>0</v>
      </c>
      <c r="I339" s="33">
        <v>21</v>
      </c>
      <c r="J339" s="32">
        <f>ROUND(G339*AO339,2)</f>
        <v>0</v>
      </c>
      <c r="K339" s="32">
        <f>ROUND(G339*AP339,2)</f>
        <v>0</v>
      </c>
      <c r="L339" s="32">
        <f>ROUND(G339*H339,2)</f>
        <v>0</v>
      </c>
      <c r="M339" s="32">
        <f>L339*(1+BW339/100)</f>
        <v>0</v>
      </c>
      <c r="N339" s="34">
        <f>IF(L649=0,0,L339/L649)</f>
        <v>0</v>
      </c>
      <c r="O339" s="32">
        <v>0</v>
      </c>
      <c r="P339" s="32">
        <f>G339*O339</f>
        <v>0</v>
      </c>
      <c r="Q339" s="35"/>
      <c r="Z339" s="32">
        <f>ROUND(IF(AQ339="5",BJ339,0),2)</f>
        <v>0</v>
      </c>
      <c r="AB339" s="32">
        <f>ROUND(IF(AQ339="1",BH339,0),2)</f>
        <v>0</v>
      </c>
      <c r="AC339" s="32">
        <f>ROUND(IF(AQ339="1",BI339,0),2)</f>
        <v>0</v>
      </c>
      <c r="AD339" s="32">
        <f>ROUND(IF(AQ339="7",BH339,0),2)</f>
        <v>0</v>
      </c>
      <c r="AE339" s="32">
        <f>ROUND(IF(AQ339="7",BI339,0),2)</f>
        <v>0</v>
      </c>
      <c r="AF339" s="32">
        <f>ROUND(IF(AQ339="2",BH339,0),2)</f>
        <v>0</v>
      </c>
      <c r="AG339" s="32">
        <f>ROUND(IF(AQ339="2",BI339,0),2)</f>
        <v>0</v>
      </c>
      <c r="AH339" s="32">
        <f>ROUND(IF(AQ339="0",BJ339,0),2)</f>
        <v>0</v>
      </c>
      <c r="AI339" s="12" t="s">
        <v>55</v>
      </c>
      <c r="AJ339" s="32">
        <f>IF(AN339=0,L339,0)</f>
        <v>0</v>
      </c>
      <c r="AK339" s="32">
        <f>IF(AN339=12,L339,0)</f>
        <v>0</v>
      </c>
      <c r="AL339" s="32">
        <f>IF(AN339=21,L339,0)</f>
        <v>0</v>
      </c>
      <c r="AN339" s="32">
        <v>21</v>
      </c>
      <c r="AO339" s="32">
        <f>H339*0.929174789</f>
        <v>0</v>
      </c>
      <c r="AP339" s="32">
        <f>H339*(1-0.929174789)</f>
        <v>0</v>
      </c>
      <c r="AQ339" s="36" t="s">
        <v>90</v>
      </c>
      <c r="AV339" s="32">
        <f>ROUND(AW339+AX339,2)</f>
        <v>0</v>
      </c>
      <c r="AW339" s="32">
        <f>ROUND(G339*AO339,2)</f>
        <v>0</v>
      </c>
      <c r="AX339" s="32">
        <f>ROUND(G339*AP339,2)</f>
        <v>0</v>
      </c>
      <c r="AY339" s="36" t="s">
        <v>712</v>
      </c>
      <c r="AZ339" s="36" t="s">
        <v>664</v>
      </c>
      <c r="BA339" s="12" t="s">
        <v>65</v>
      </c>
      <c r="BC339" s="32">
        <f>AW339+AX339</f>
        <v>0</v>
      </c>
      <c r="BD339" s="32">
        <f>H339/(100-BE339)*100</f>
        <v>0</v>
      </c>
      <c r="BE339" s="32">
        <v>0</v>
      </c>
      <c r="BF339" s="32">
        <f>P339</f>
        <v>0</v>
      </c>
      <c r="BH339" s="32">
        <f>G339*AO339</f>
        <v>0</v>
      </c>
      <c r="BI339" s="32">
        <f>G339*AP339</f>
        <v>0</v>
      </c>
      <c r="BJ339" s="32">
        <f>G339*H339</f>
        <v>0</v>
      </c>
      <c r="BK339" s="36" t="s">
        <v>66</v>
      </c>
      <c r="BL339" s="32">
        <v>733</v>
      </c>
      <c r="BW339" s="32">
        <f>I339</f>
        <v>21</v>
      </c>
      <c r="BX339" s="4" t="s">
        <v>748</v>
      </c>
    </row>
    <row r="340" spans="1:76" ht="13.5" customHeight="1" x14ac:dyDescent="0.25">
      <c r="A340" s="42"/>
      <c r="C340" s="43"/>
      <c r="D340" s="95" t="s">
        <v>749</v>
      </c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7"/>
    </row>
    <row r="341" spans="1:76" x14ac:dyDescent="0.25">
      <c r="A341" s="2" t="s">
        <v>750</v>
      </c>
      <c r="B341" s="3" t="s">
        <v>55</v>
      </c>
      <c r="C341" s="3" t="s">
        <v>735</v>
      </c>
      <c r="D341" s="89" t="s">
        <v>751</v>
      </c>
      <c r="E341" s="90"/>
      <c r="F341" s="3" t="s">
        <v>316</v>
      </c>
      <c r="G341" s="32">
        <v>4</v>
      </c>
      <c r="H341" s="199">
        <v>0</v>
      </c>
      <c r="I341" s="33">
        <v>21</v>
      </c>
      <c r="J341" s="32">
        <f>ROUND(G341*AO341,2)</f>
        <v>0</v>
      </c>
      <c r="K341" s="32">
        <f>ROUND(G341*AP341,2)</f>
        <v>0</v>
      </c>
      <c r="L341" s="32">
        <f>ROUND(G341*H341,2)</f>
        <v>0</v>
      </c>
      <c r="M341" s="32">
        <f>L341*(1+BW341/100)</f>
        <v>0</v>
      </c>
      <c r="N341" s="34">
        <f>IF(L649=0,0,L341/L649)</f>
        <v>0</v>
      </c>
      <c r="O341" s="32">
        <v>0</v>
      </c>
      <c r="P341" s="32">
        <f>G341*O341</f>
        <v>0</v>
      </c>
      <c r="Q341" s="35"/>
      <c r="Z341" s="32">
        <f>ROUND(IF(AQ341="5",BJ341,0),2)</f>
        <v>0</v>
      </c>
      <c r="AB341" s="32">
        <f>ROUND(IF(AQ341="1",BH341,0),2)</f>
        <v>0</v>
      </c>
      <c r="AC341" s="32">
        <f>ROUND(IF(AQ341="1",BI341,0),2)</f>
        <v>0</v>
      </c>
      <c r="AD341" s="32">
        <f>ROUND(IF(AQ341="7",BH341,0),2)</f>
        <v>0</v>
      </c>
      <c r="AE341" s="32">
        <f>ROUND(IF(AQ341="7",BI341,0),2)</f>
        <v>0</v>
      </c>
      <c r="AF341" s="32">
        <f>ROUND(IF(AQ341="2",BH341,0),2)</f>
        <v>0</v>
      </c>
      <c r="AG341" s="32">
        <f>ROUND(IF(AQ341="2",BI341,0),2)</f>
        <v>0</v>
      </c>
      <c r="AH341" s="32">
        <f>ROUND(IF(AQ341="0",BJ341,0),2)</f>
        <v>0</v>
      </c>
      <c r="AI341" s="12" t="s">
        <v>55</v>
      </c>
      <c r="AJ341" s="32">
        <f>IF(AN341=0,L341,0)</f>
        <v>0</v>
      </c>
      <c r="AK341" s="32">
        <f>IF(AN341=12,L341,0)</f>
        <v>0</v>
      </c>
      <c r="AL341" s="32">
        <f>IF(AN341=21,L341,0)</f>
        <v>0</v>
      </c>
      <c r="AN341" s="32">
        <v>21</v>
      </c>
      <c r="AO341" s="32">
        <f>H341*0.838961039</f>
        <v>0</v>
      </c>
      <c r="AP341" s="32">
        <f>H341*(1-0.838961039)</f>
        <v>0</v>
      </c>
      <c r="AQ341" s="36" t="s">
        <v>90</v>
      </c>
      <c r="AV341" s="32">
        <f>ROUND(AW341+AX341,2)</f>
        <v>0</v>
      </c>
      <c r="AW341" s="32">
        <f>ROUND(G341*AO341,2)</f>
        <v>0</v>
      </c>
      <c r="AX341" s="32">
        <f>ROUND(G341*AP341,2)</f>
        <v>0</v>
      </c>
      <c r="AY341" s="36" t="s">
        <v>712</v>
      </c>
      <c r="AZ341" s="36" t="s">
        <v>664</v>
      </c>
      <c r="BA341" s="12" t="s">
        <v>65</v>
      </c>
      <c r="BC341" s="32">
        <f>AW341+AX341</f>
        <v>0</v>
      </c>
      <c r="BD341" s="32">
        <f>H341/(100-BE341)*100</f>
        <v>0</v>
      </c>
      <c r="BE341" s="32">
        <v>0</v>
      </c>
      <c r="BF341" s="32">
        <f>P341</f>
        <v>0</v>
      </c>
      <c r="BH341" s="32">
        <f>G341*AO341</f>
        <v>0</v>
      </c>
      <c r="BI341" s="32">
        <f>G341*AP341</f>
        <v>0</v>
      </c>
      <c r="BJ341" s="32">
        <f>G341*H341</f>
        <v>0</v>
      </c>
      <c r="BK341" s="36" t="s">
        <v>66</v>
      </c>
      <c r="BL341" s="32">
        <v>733</v>
      </c>
      <c r="BW341" s="32">
        <f>I341</f>
        <v>21</v>
      </c>
      <c r="BX341" s="4" t="s">
        <v>751</v>
      </c>
    </row>
    <row r="342" spans="1:76" ht="13.5" customHeight="1" x14ac:dyDescent="0.25">
      <c r="A342" s="42"/>
      <c r="C342" s="43"/>
      <c r="D342" s="95" t="s">
        <v>749</v>
      </c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7"/>
    </row>
    <row r="343" spans="1:76" x14ac:dyDescent="0.25">
      <c r="A343" s="2" t="s">
        <v>752</v>
      </c>
      <c r="B343" s="3" t="s">
        <v>55</v>
      </c>
      <c r="C343" s="3" t="s">
        <v>735</v>
      </c>
      <c r="D343" s="89" t="s">
        <v>753</v>
      </c>
      <c r="E343" s="90"/>
      <c r="F343" s="3" t="s">
        <v>316</v>
      </c>
      <c r="G343" s="32">
        <v>4</v>
      </c>
      <c r="H343" s="199">
        <v>0</v>
      </c>
      <c r="I343" s="33">
        <v>21</v>
      </c>
      <c r="J343" s="32">
        <f>ROUND(G343*AO343,2)</f>
        <v>0</v>
      </c>
      <c r="K343" s="32">
        <f>ROUND(G343*AP343,2)</f>
        <v>0</v>
      </c>
      <c r="L343" s="32">
        <f>ROUND(G343*H343,2)</f>
        <v>0</v>
      </c>
      <c r="M343" s="32">
        <f>L343*(1+BW343/100)</f>
        <v>0</v>
      </c>
      <c r="N343" s="34">
        <f>IF(L649=0,0,L343/L649)</f>
        <v>0</v>
      </c>
      <c r="O343" s="32">
        <v>0</v>
      </c>
      <c r="P343" s="32">
        <f>G343*O343</f>
        <v>0</v>
      </c>
      <c r="Q343" s="35"/>
      <c r="Z343" s="32">
        <f>ROUND(IF(AQ343="5",BJ343,0),2)</f>
        <v>0</v>
      </c>
      <c r="AB343" s="32">
        <f>ROUND(IF(AQ343="1",BH343,0),2)</f>
        <v>0</v>
      </c>
      <c r="AC343" s="32">
        <f>ROUND(IF(AQ343="1",BI343,0),2)</f>
        <v>0</v>
      </c>
      <c r="AD343" s="32">
        <f>ROUND(IF(AQ343="7",BH343,0),2)</f>
        <v>0</v>
      </c>
      <c r="AE343" s="32">
        <f>ROUND(IF(AQ343="7",BI343,0),2)</f>
        <v>0</v>
      </c>
      <c r="AF343" s="32">
        <f>ROUND(IF(AQ343="2",BH343,0),2)</f>
        <v>0</v>
      </c>
      <c r="AG343" s="32">
        <f>ROUND(IF(AQ343="2",BI343,0),2)</f>
        <v>0</v>
      </c>
      <c r="AH343" s="32">
        <f>ROUND(IF(AQ343="0",BJ343,0),2)</f>
        <v>0</v>
      </c>
      <c r="AI343" s="12" t="s">
        <v>55</v>
      </c>
      <c r="AJ343" s="32">
        <f>IF(AN343=0,L343,0)</f>
        <v>0</v>
      </c>
      <c r="AK343" s="32">
        <f>IF(AN343=12,L343,0)</f>
        <v>0</v>
      </c>
      <c r="AL343" s="32">
        <f>IF(AN343=21,L343,0)</f>
        <v>0</v>
      </c>
      <c r="AN343" s="32">
        <v>21</v>
      </c>
      <c r="AO343" s="32">
        <f>H343*0.806451613</f>
        <v>0</v>
      </c>
      <c r="AP343" s="32">
        <f>H343*(1-0.806451613)</f>
        <v>0</v>
      </c>
      <c r="AQ343" s="36" t="s">
        <v>90</v>
      </c>
      <c r="AV343" s="32">
        <f>ROUND(AW343+AX343,2)</f>
        <v>0</v>
      </c>
      <c r="AW343" s="32">
        <f>ROUND(G343*AO343,2)</f>
        <v>0</v>
      </c>
      <c r="AX343" s="32">
        <f>ROUND(G343*AP343,2)</f>
        <v>0</v>
      </c>
      <c r="AY343" s="36" t="s">
        <v>712</v>
      </c>
      <c r="AZ343" s="36" t="s">
        <v>664</v>
      </c>
      <c r="BA343" s="12" t="s">
        <v>65</v>
      </c>
      <c r="BC343" s="32">
        <f>AW343+AX343</f>
        <v>0</v>
      </c>
      <c r="BD343" s="32">
        <f>H343/(100-BE343)*100</f>
        <v>0</v>
      </c>
      <c r="BE343" s="32">
        <v>0</v>
      </c>
      <c r="BF343" s="32">
        <f>P343</f>
        <v>0</v>
      </c>
      <c r="BH343" s="32">
        <f>G343*AO343</f>
        <v>0</v>
      </c>
      <c r="BI343" s="32">
        <f>G343*AP343</f>
        <v>0</v>
      </c>
      <c r="BJ343" s="32">
        <f>G343*H343</f>
        <v>0</v>
      </c>
      <c r="BK343" s="36" t="s">
        <v>66</v>
      </c>
      <c r="BL343" s="32">
        <v>733</v>
      </c>
      <c r="BW343" s="32">
        <f>I343</f>
        <v>21</v>
      </c>
      <c r="BX343" s="4" t="s">
        <v>753</v>
      </c>
    </row>
    <row r="344" spans="1:76" ht="13.5" customHeight="1" x14ac:dyDescent="0.25">
      <c r="A344" s="42"/>
      <c r="C344" s="43"/>
      <c r="D344" s="95" t="s">
        <v>749</v>
      </c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7"/>
    </row>
    <row r="345" spans="1:76" x14ac:dyDescent="0.25">
      <c r="A345" s="2" t="s">
        <v>754</v>
      </c>
      <c r="B345" s="3" t="s">
        <v>55</v>
      </c>
      <c r="C345" s="3" t="s">
        <v>735</v>
      </c>
      <c r="D345" s="89" t="s">
        <v>755</v>
      </c>
      <c r="E345" s="90"/>
      <c r="F345" s="3" t="s">
        <v>316</v>
      </c>
      <c r="G345" s="32">
        <v>4</v>
      </c>
      <c r="H345" s="199">
        <v>0</v>
      </c>
      <c r="I345" s="33">
        <v>21</v>
      </c>
      <c r="J345" s="32">
        <f>ROUND(G345*AO345,2)</f>
        <v>0</v>
      </c>
      <c r="K345" s="32">
        <f>ROUND(G345*AP345,2)</f>
        <v>0</v>
      </c>
      <c r="L345" s="32">
        <f>ROUND(G345*H345,2)</f>
        <v>0</v>
      </c>
      <c r="M345" s="32">
        <f>L345*(1+BW345/100)</f>
        <v>0</v>
      </c>
      <c r="N345" s="34">
        <f>IF(L649=0,0,L345/L649)</f>
        <v>0</v>
      </c>
      <c r="O345" s="32">
        <v>0</v>
      </c>
      <c r="P345" s="32">
        <f>G345*O345</f>
        <v>0</v>
      </c>
      <c r="Q345" s="35"/>
      <c r="Z345" s="32">
        <f>ROUND(IF(AQ345="5",BJ345,0),2)</f>
        <v>0</v>
      </c>
      <c r="AB345" s="32">
        <f>ROUND(IF(AQ345="1",BH345,0),2)</f>
        <v>0</v>
      </c>
      <c r="AC345" s="32">
        <f>ROUND(IF(AQ345="1",BI345,0),2)</f>
        <v>0</v>
      </c>
      <c r="AD345" s="32">
        <f>ROUND(IF(AQ345="7",BH345,0),2)</f>
        <v>0</v>
      </c>
      <c r="AE345" s="32">
        <f>ROUND(IF(AQ345="7",BI345,0),2)</f>
        <v>0</v>
      </c>
      <c r="AF345" s="32">
        <f>ROUND(IF(AQ345="2",BH345,0),2)</f>
        <v>0</v>
      </c>
      <c r="AG345" s="32">
        <f>ROUND(IF(AQ345="2",BI345,0),2)</f>
        <v>0</v>
      </c>
      <c r="AH345" s="32">
        <f>ROUND(IF(AQ345="0",BJ345,0),2)</f>
        <v>0</v>
      </c>
      <c r="AI345" s="12" t="s">
        <v>55</v>
      </c>
      <c r="AJ345" s="32">
        <f>IF(AN345=0,L345,0)</f>
        <v>0</v>
      </c>
      <c r="AK345" s="32">
        <f>IF(AN345=12,L345,0)</f>
        <v>0</v>
      </c>
      <c r="AL345" s="32">
        <f>IF(AN345=21,L345,0)</f>
        <v>0</v>
      </c>
      <c r="AN345" s="32">
        <v>21</v>
      </c>
      <c r="AO345" s="32">
        <f>H345*0.85</f>
        <v>0</v>
      </c>
      <c r="AP345" s="32">
        <f>H345*(1-0.85)</f>
        <v>0</v>
      </c>
      <c r="AQ345" s="36" t="s">
        <v>90</v>
      </c>
      <c r="AV345" s="32">
        <f>ROUND(AW345+AX345,2)</f>
        <v>0</v>
      </c>
      <c r="AW345" s="32">
        <f>ROUND(G345*AO345,2)</f>
        <v>0</v>
      </c>
      <c r="AX345" s="32">
        <f>ROUND(G345*AP345,2)</f>
        <v>0</v>
      </c>
      <c r="AY345" s="36" t="s">
        <v>712</v>
      </c>
      <c r="AZ345" s="36" t="s">
        <v>664</v>
      </c>
      <c r="BA345" s="12" t="s">
        <v>65</v>
      </c>
      <c r="BC345" s="32">
        <f>AW345+AX345</f>
        <v>0</v>
      </c>
      <c r="BD345" s="32">
        <f>H345/(100-BE345)*100</f>
        <v>0</v>
      </c>
      <c r="BE345" s="32">
        <v>0</v>
      </c>
      <c r="BF345" s="32">
        <f>P345</f>
        <v>0</v>
      </c>
      <c r="BH345" s="32">
        <f>G345*AO345</f>
        <v>0</v>
      </c>
      <c r="BI345" s="32">
        <f>G345*AP345</f>
        <v>0</v>
      </c>
      <c r="BJ345" s="32">
        <f>G345*H345</f>
        <v>0</v>
      </c>
      <c r="BK345" s="36" t="s">
        <v>66</v>
      </c>
      <c r="BL345" s="32">
        <v>733</v>
      </c>
      <c r="BW345" s="32">
        <f>I345</f>
        <v>21</v>
      </c>
      <c r="BX345" s="4" t="s">
        <v>755</v>
      </c>
    </row>
    <row r="346" spans="1:76" ht="13.5" customHeight="1" x14ac:dyDescent="0.25">
      <c r="A346" s="42"/>
      <c r="C346" s="43"/>
      <c r="D346" s="95" t="s">
        <v>749</v>
      </c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7"/>
    </row>
    <row r="347" spans="1:76" x14ac:dyDescent="0.25">
      <c r="A347" s="2" t="s">
        <v>756</v>
      </c>
      <c r="B347" s="3" t="s">
        <v>55</v>
      </c>
      <c r="C347" s="3" t="s">
        <v>757</v>
      </c>
      <c r="D347" s="89" t="s">
        <v>758</v>
      </c>
      <c r="E347" s="90"/>
      <c r="F347" s="3" t="s">
        <v>88</v>
      </c>
      <c r="G347" s="32">
        <v>4</v>
      </c>
      <c r="H347" s="199">
        <v>0</v>
      </c>
      <c r="I347" s="33">
        <v>21</v>
      </c>
      <c r="J347" s="32">
        <f>ROUND(G347*AO347,2)</f>
        <v>0</v>
      </c>
      <c r="K347" s="32">
        <f>ROUND(G347*AP347,2)</f>
        <v>0</v>
      </c>
      <c r="L347" s="32">
        <f>ROUND(G347*H347,2)</f>
        <v>0</v>
      </c>
      <c r="M347" s="32">
        <f>L347*(1+BW347/100)</f>
        <v>0</v>
      </c>
      <c r="N347" s="34">
        <f>IF(L649=0,0,L347/L649)</f>
        <v>0</v>
      </c>
      <c r="O347" s="32">
        <v>2.0000000000000001E-4</v>
      </c>
      <c r="P347" s="32">
        <f>G347*O347</f>
        <v>8.0000000000000004E-4</v>
      </c>
      <c r="Q347" s="35" t="s">
        <v>77</v>
      </c>
      <c r="Z347" s="32">
        <f>ROUND(IF(AQ347="5",BJ347,0),2)</f>
        <v>0</v>
      </c>
      <c r="AB347" s="32">
        <f>ROUND(IF(AQ347="1",BH347,0),2)</f>
        <v>0</v>
      </c>
      <c r="AC347" s="32">
        <f>ROUND(IF(AQ347="1",BI347,0),2)</f>
        <v>0</v>
      </c>
      <c r="AD347" s="32">
        <f>ROUND(IF(AQ347="7",BH347,0),2)</f>
        <v>0</v>
      </c>
      <c r="AE347" s="32">
        <f>ROUND(IF(AQ347="7",BI347,0),2)</f>
        <v>0</v>
      </c>
      <c r="AF347" s="32">
        <f>ROUND(IF(AQ347="2",BH347,0),2)</f>
        <v>0</v>
      </c>
      <c r="AG347" s="32">
        <f>ROUND(IF(AQ347="2",BI347,0),2)</f>
        <v>0</v>
      </c>
      <c r="AH347" s="32">
        <f>ROUND(IF(AQ347="0",BJ347,0),2)</f>
        <v>0</v>
      </c>
      <c r="AI347" s="12" t="s">
        <v>55</v>
      </c>
      <c r="AJ347" s="32">
        <f>IF(AN347=0,L347,0)</f>
        <v>0</v>
      </c>
      <c r="AK347" s="32">
        <f>IF(AN347=12,L347,0)</f>
        <v>0</v>
      </c>
      <c r="AL347" s="32">
        <f>IF(AN347=21,L347,0)</f>
        <v>0</v>
      </c>
      <c r="AN347" s="32">
        <v>21</v>
      </c>
      <c r="AO347" s="32">
        <f>H347*0.595677209</f>
        <v>0</v>
      </c>
      <c r="AP347" s="32">
        <f>H347*(1-0.595677209)</f>
        <v>0</v>
      </c>
      <c r="AQ347" s="36" t="s">
        <v>90</v>
      </c>
      <c r="AV347" s="32">
        <f>ROUND(AW347+AX347,2)</f>
        <v>0</v>
      </c>
      <c r="AW347" s="32">
        <f>ROUND(G347*AO347,2)</f>
        <v>0</v>
      </c>
      <c r="AX347" s="32">
        <f>ROUND(G347*AP347,2)</f>
        <v>0</v>
      </c>
      <c r="AY347" s="36" t="s">
        <v>712</v>
      </c>
      <c r="AZ347" s="36" t="s">
        <v>664</v>
      </c>
      <c r="BA347" s="12" t="s">
        <v>65</v>
      </c>
      <c r="BC347" s="32">
        <f>AW347+AX347</f>
        <v>0</v>
      </c>
      <c r="BD347" s="32">
        <f>H347/(100-BE347)*100</f>
        <v>0</v>
      </c>
      <c r="BE347" s="32">
        <v>0</v>
      </c>
      <c r="BF347" s="32">
        <f>P347</f>
        <v>8.0000000000000004E-4</v>
      </c>
      <c r="BH347" s="32">
        <f>G347*AO347</f>
        <v>0</v>
      </c>
      <c r="BI347" s="32">
        <f>G347*AP347</f>
        <v>0</v>
      </c>
      <c r="BJ347" s="32">
        <f>G347*H347</f>
        <v>0</v>
      </c>
      <c r="BK347" s="36" t="s">
        <v>66</v>
      </c>
      <c r="BL347" s="32">
        <v>733</v>
      </c>
      <c r="BW347" s="32">
        <f>I347</f>
        <v>21</v>
      </c>
      <c r="BX347" s="4" t="s">
        <v>758</v>
      </c>
    </row>
    <row r="348" spans="1:76" x14ac:dyDescent="0.25">
      <c r="A348" s="2" t="s">
        <v>759</v>
      </c>
      <c r="B348" s="3" t="s">
        <v>55</v>
      </c>
      <c r="C348" s="3" t="s">
        <v>416</v>
      </c>
      <c r="D348" s="89" t="s">
        <v>760</v>
      </c>
      <c r="E348" s="90"/>
      <c r="F348" s="3" t="s">
        <v>88</v>
      </c>
      <c r="G348" s="32">
        <v>3</v>
      </c>
      <c r="H348" s="199">
        <v>0</v>
      </c>
      <c r="I348" s="33">
        <v>21</v>
      </c>
      <c r="J348" s="32">
        <f>ROUND(G348*AO348,2)</f>
        <v>0</v>
      </c>
      <c r="K348" s="32">
        <f>ROUND(G348*AP348,2)</f>
        <v>0</v>
      </c>
      <c r="L348" s="32">
        <f>ROUND(G348*H348,2)</f>
        <v>0</v>
      </c>
      <c r="M348" s="32">
        <f>L348*(1+BW348/100)</f>
        <v>0</v>
      </c>
      <c r="N348" s="34">
        <f>IF(L649=0,0,L348/L649)</f>
        <v>0</v>
      </c>
      <c r="O348" s="32">
        <v>1.7000000000000001E-4</v>
      </c>
      <c r="P348" s="32">
        <f>G348*O348</f>
        <v>5.1000000000000004E-4</v>
      </c>
      <c r="Q348" s="35"/>
      <c r="Z348" s="32">
        <f>ROUND(IF(AQ348="5",BJ348,0),2)</f>
        <v>0</v>
      </c>
      <c r="AB348" s="32">
        <f>ROUND(IF(AQ348="1",BH348,0),2)</f>
        <v>0</v>
      </c>
      <c r="AC348" s="32">
        <f>ROUND(IF(AQ348="1",BI348,0),2)</f>
        <v>0</v>
      </c>
      <c r="AD348" s="32">
        <f>ROUND(IF(AQ348="7",BH348,0),2)</f>
        <v>0</v>
      </c>
      <c r="AE348" s="32">
        <f>ROUND(IF(AQ348="7",BI348,0),2)</f>
        <v>0</v>
      </c>
      <c r="AF348" s="32">
        <f>ROUND(IF(AQ348="2",BH348,0),2)</f>
        <v>0</v>
      </c>
      <c r="AG348" s="32">
        <f>ROUND(IF(AQ348="2",BI348,0),2)</f>
        <v>0</v>
      </c>
      <c r="AH348" s="32">
        <f>ROUND(IF(AQ348="0",BJ348,0),2)</f>
        <v>0</v>
      </c>
      <c r="AI348" s="12" t="s">
        <v>55</v>
      </c>
      <c r="AJ348" s="32">
        <f>IF(AN348=0,L348,0)</f>
        <v>0</v>
      </c>
      <c r="AK348" s="32">
        <f>IF(AN348=12,L348,0)</f>
        <v>0</v>
      </c>
      <c r="AL348" s="32">
        <f>IF(AN348=21,L348,0)</f>
        <v>0</v>
      </c>
      <c r="AN348" s="32">
        <v>21</v>
      </c>
      <c r="AO348" s="32">
        <f>H348*0.849662403</f>
        <v>0</v>
      </c>
      <c r="AP348" s="32">
        <f>H348*(1-0.849662403)</f>
        <v>0</v>
      </c>
      <c r="AQ348" s="36" t="s">
        <v>90</v>
      </c>
      <c r="AV348" s="32">
        <f>ROUND(AW348+AX348,2)</f>
        <v>0</v>
      </c>
      <c r="AW348" s="32">
        <f>ROUND(G348*AO348,2)</f>
        <v>0</v>
      </c>
      <c r="AX348" s="32">
        <f>ROUND(G348*AP348,2)</f>
        <v>0</v>
      </c>
      <c r="AY348" s="36" t="s">
        <v>712</v>
      </c>
      <c r="AZ348" s="36" t="s">
        <v>664</v>
      </c>
      <c r="BA348" s="12" t="s">
        <v>65</v>
      </c>
      <c r="BC348" s="32">
        <f>AW348+AX348</f>
        <v>0</v>
      </c>
      <c r="BD348" s="32">
        <f>H348/(100-BE348)*100</f>
        <v>0</v>
      </c>
      <c r="BE348" s="32">
        <v>0</v>
      </c>
      <c r="BF348" s="32">
        <f>P348</f>
        <v>5.1000000000000004E-4</v>
      </c>
      <c r="BH348" s="32">
        <f>G348*AO348</f>
        <v>0</v>
      </c>
      <c r="BI348" s="32">
        <f>G348*AP348</f>
        <v>0</v>
      </c>
      <c r="BJ348" s="32">
        <f>G348*H348</f>
        <v>0</v>
      </c>
      <c r="BK348" s="36" t="s">
        <v>66</v>
      </c>
      <c r="BL348" s="32">
        <v>733</v>
      </c>
      <c r="BW348" s="32">
        <f>I348</f>
        <v>21</v>
      </c>
      <c r="BX348" s="4" t="s">
        <v>760</v>
      </c>
    </row>
    <row r="349" spans="1:76" x14ac:dyDescent="0.25">
      <c r="A349" s="2" t="s">
        <v>761</v>
      </c>
      <c r="B349" s="3" t="s">
        <v>55</v>
      </c>
      <c r="C349" s="3" t="s">
        <v>735</v>
      </c>
      <c r="D349" s="89" t="s">
        <v>762</v>
      </c>
      <c r="E349" s="90"/>
      <c r="F349" s="3" t="s">
        <v>316</v>
      </c>
      <c r="G349" s="32">
        <v>1</v>
      </c>
      <c r="H349" s="199">
        <v>0</v>
      </c>
      <c r="I349" s="33">
        <v>21</v>
      </c>
      <c r="J349" s="32">
        <f>ROUND(G349*AO349,2)</f>
        <v>0</v>
      </c>
      <c r="K349" s="32">
        <f>ROUND(G349*AP349,2)</f>
        <v>0</v>
      </c>
      <c r="L349" s="32">
        <f>ROUND(G349*H349,2)</f>
        <v>0</v>
      </c>
      <c r="M349" s="32">
        <f>L349*(1+BW349/100)</f>
        <v>0</v>
      </c>
      <c r="N349" s="34">
        <f>IF(L649=0,0,L349/L649)</f>
        <v>0</v>
      </c>
      <c r="O349" s="32">
        <v>0</v>
      </c>
      <c r="P349" s="32">
        <f>G349*O349</f>
        <v>0</v>
      </c>
      <c r="Q349" s="35"/>
      <c r="Z349" s="32">
        <f>ROUND(IF(AQ349="5",BJ349,0),2)</f>
        <v>0</v>
      </c>
      <c r="AB349" s="32">
        <f>ROUND(IF(AQ349="1",BH349,0),2)</f>
        <v>0</v>
      </c>
      <c r="AC349" s="32">
        <f>ROUND(IF(AQ349="1",BI349,0),2)</f>
        <v>0</v>
      </c>
      <c r="AD349" s="32">
        <f>ROUND(IF(AQ349="7",BH349,0),2)</f>
        <v>0</v>
      </c>
      <c r="AE349" s="32">
        <f>ROUND(IF(AQ349="7",BI349,0),2)</f>
        <v>0</v>
      </c>
      <c r="AF349" s="32">
        <f>ROUND(IF(AQ349="2",BH349,0),2)</f>
        <v>0</v>
      </c>
      <c r="AG349" s="32">
        <f>ROUND(IF(AQ349="2",BI349,0),2)</f>
        <v>0</v>
      </c>
      <c r="AH349" s="32">
        <f>ROUND(IF(AQ349="0",BJ349,0),2)</f>
        <v>0</v>
      </c>
      <c r="AI349" s="12" t="s">
        <v>55</v>
      </c>
      <c r="AJ349" s="32">
        <f>IF(AN349=0,L349,0)</f>
        <v>0</v>
      </c>
      <c r="AK349" s="32">
        <f>IF(AN349=12,L349,0)</f>
        <v>0</v>
      </c>
      <c r="AL349" s="32">
        <f>IF(AN349=21,L349,0)</f>
        <v>0</v>
      </c>
      <c r="AN349" s="32">
        <v>21</v>
      </c>
      <c r="AO349" s="32">
        <f>H349*0.822259136</f>
        <v>0</v>
      </c>
      <c r="AP349" s="32">
        <f>H349*(1-0.822259136)</f>
        <v>0</v>
      </c>
      <c r="AQ349" s="36" t="s">
        <v>90</v>
      </c>
      <c r="AV349" s="32">
        <f>ROUND(AW349+AX349,2)</f>
        <v>0</v>
      </c>
      <c r="AW349" s="32">
        <f>ROUND(G349*AO349,2)</f>
        <v>0</v>
      </c>
      <c r="AX349" s="32">
        <f>ROUND(G349*AP349,2)</f>
        <v>0</v>
      </c>
      <c r="AY349" s="36" t="s">
        <v>712</v>
      </c>
      <c r="AZ349" s="36" t="s">
        <v>664</v>
      </c>
      <c r="BA349" s="12" t="s">
        <v>65</v>
      </c>
      <c r="BC349" s="32">
        <f>AW349+AX349</f>
        <v>0</v>
      </c>
      <c r="BD349" s="32">
        <f>H349/(100-BE349)*100</f>
        <v>0</v>
      </c>
      <c r="BE349" s="32">
        <v>0</v>
      </c>
      <c r="BF349" s="32">
        <f>P349</f>
        <v>0</v>
      </c>
      <c r="BH349" s="32">
        <f>G349*AO349</f>
        <v>0</v>
      </c>
      <c r="BI349" s="32">
        <f>G349*AP349</f>
        <v>0</v>
      </c>
      <c r="BJ349" s="32">
        <f>G349*H349</f>
        <v>0</v>
      </c>
      <c r="BK349" s="36" t="s">
        <v>66</v>
      </c>
      <c r="BL349" s="32">
        <v>733</v>
      </c>
      <c r="BW349" s="32">
        <f>I349</f>
        <v>21</v>
      </c>
      <c r="BX349" s="4" t="s">
        <v>762</v>
      </c>
    </row>
    <row r="350" spans="1:76" ht="13.5" customHeight="1" x14ac:dyDescent="0.25">
      <c r="A350" s="42"/>
      <c r="C350" s="43"/>
      <c r="D350" s="95" t="s">
        <v>323</v>
      </c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7"/>
    </row>
    <row r="351" spans="1:76" x14ac:dyDescent="0.25">
      <c r="A351" s="2" t="s">
        <v>763</v>
      </c>
      <c r="B351" s="3" t="s">
        <v>55</v>
      </c>
      <c r="C351" s="3" t="s">
        <v>764</v>
      </c>
      <c r="D351" s="89" t="s">
        <v>765</v>
      </c>
      <c r="E351" s="90"/>
      <c r="F351" s="3" t="s">
        <v>136</v>
      </c>
      <c r="G351" s="32">
        <v>10</v>
      </c>
      <c r="H351" s="199">
        <v>0</v>
      </c>
      <c r="I351" s="33">
        <v>21</v>
      </c>
      <c r="J351" s="32">
        <f>ROUND(G351*AO351,2)</f>
        <v>0</v>
      </c>
      <c r="K351" s="32">
        <f>ROUND(G351*AP351,2)</f>
        <v>0</v>
      </c>
      <c r="L351" s="32">
        <f>ROUND(G351*H351,2)</f>
        <v>0</v>
      </c>
      <c r="M351" s="32">
        <f>L351*(1+BW351/100)</f>
        <v>0</v>
      </c>
      <c r="N351" s="34">
        <f>IF(L649=0,0,L351/L649)</f>
        <v>0</v>
      </c>
      <c r="O351" s="32">
        <v>5.0000000000000002E-5</v>
      </c>
      <c r="P351" s="32">
        <f>G351*O351</f>
        <v>5.0000000000000001E-4</v>
      </c>
      <c r="Q351" s="35" t="s">
        <v>77</v>
      </c>
      <c r="Z351" s="32">
        <f>ROUND(IF(AQ351="5",BJ351,0),2)</f>
        <v>0</v>
      </c>
      <c r="AB351" s="32">
        <f>ROUND(IF(AQ351="1",BH351,0),2)</f>
        <v>0</v>
      </c>
      <c r="AC351" s="32">
        <f>ROUND(IF(AQ351="1",BI351,0),2)</f>
        <v>0</v>
      </c>
      <c r="AD351" s="32">
        <f>ROUND(IF(AQ351="7",BH351,0),2)</f>
        <v>0</v>
      </c>
      <c r="AE351" s="32">
        <f>ROUND(IF(AQ351="7",BI351,0),2)</f>
        <v>0</v>
      </c>
      <c r="AF351" s="32">
        <f>ROUND(IF(AQ351="2",BH351,0),2)</f>
        <v>0</v>
      </c>
      <c r="AG351" s="32">
        <f>ROUND(IF(AQ351="2",BI351,0),2)</f>
        <v>0</v>
      </c>
      <c r="AH351" s="32">
        <f>ROUND(IF(AQ351="0",BJ351,0),2)</f>
        <v>0</v>
      </c>
      <c r="AI351" s="12" t="s">
        <v>55</v>
      </c>
      <c r="AJ351" s="32">
        <f>IF(AN351=0,L351,0)</f>
        <v>0</v>
      </c>
      <c r="AK351" s="32">
        <f>IF(AN351=12,L351,0)</f>
        <v>0</v>
      </c>
      <c r="AL351" s="32">
        <f>IF(AN351=21,L351,0)</f>
        <v>0</v>
      </c>
      <c r="AN351" s="32">
        <v>21</v>
      </c>
      <c r="AO351" s="32">
        <f>H351*0.507329545</f>
        <v>0</v>
      </c>
      <c r="AP351" s="32">
        <f>H351*(1-0.507329545)</f>
        <v>0</v>
      </c>
      <c r="AQ351" s="36" t="s">
        <v>90</v>
      </c>
      <c r="AV351" s="32">
        <f>ROUND(AW351+AX351,2)</f>
        <v>0</v>
      </c>
      <c r="AW351" s="32">
        <f>ROUND(G351*AO351,2)</f>
        <v>0</v>
      </c>
      <c r="AX351" s="32">
        <f>ROUND(G351*AP351,2)</f>
        <v>0</v>
      </c>
      <c r="AY351" s="36" t="s">
        <v>712</v>
      </c>
      <c r="AZ351" s="36" t="s">
        <v>664</v>
      </c>
      <c r="BA351" s="12" t="s">
        <v>65</v>
      </c>
      <c r="BC351" s="32">
        <f>AW351+AX351</f>
        <v>0</v>
      </c>
      <c r="BD351" s="32">
        <f>H351/(100-BE351)*100</f>
        <v>0</v>
      </c>
      <c r="BE351" s="32">
        <v>0</v>
      </c>
      <c r="BF351" s="32">
        <f>P351</f>
        <v>5.0000000000000001E-4</v>
      </c>
      <c r="BH351" s="32">
        <f>G351*AO351</f>
        <v>0</v>
      </c>
      <c r="BI351" s="32">
        <f>G351*AP351</f>
        <v>0</v>
      </c>
      <c r="BJ351" s="32">
        <f>G351*H351</f>
        <v>0</v>
      </c>
      <c r="BK351" s="36" t="s">
        <v>66</v>
      </c>
      <c r="BL351" s="32">
        <v>733</v>
      </c>
      <c r="BW351" s="32">
        <f>I351</f>
        <v>21</v>
      </c>
      <c r="BX351" s="4" t="s">
        <v>765</v>
      </c>
    </row>
    <row r="352" spans="1:76" ht="13.5" customHeight="1" x14ac:dyDescent="0.25">
      <c r="A352" s="42"/>
      <c r="C352" s="43"/>
      <c r="D352" s="95" t="s">
        <v>766</v>
      </c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7"/>
    </row>
    <row r="353" spans="1:76" x14ac:dyDescent="0.25">
      <c r="A353" s="2" t="s">
        <v>767</v>
      </c>
      <c r="B353" s="3" t="s">
        <v>55</v>
      </c>
      <c r="C353" s="3" t="s">
        <v>735</v>
      </c>
      <c r="D353" s="89" t="s">
        <v>768</v>
      </c>
      <c r="E353" s="90"/>
      <c r="F353" s="3" t="s">
        <v>316</v>
      </c>
      <c r="G353" s="32">
        <v>1</v>
      </c>
      <c r="H353" s="199">
        <v>0</v>
      </c>
      <c r="I353" s="33">
        <v>21</v>
      </c>
      <c r="J353" s="32">
        <f>ROUND(G353*AO353,2)</f>
        <v>0</v>
      </c>
      <c r="K353" s="32">
        <f>ROUND(G353*AP353,2)</f>
        <v>0</v>
      </c>
      <c r="L353" s="32">
        <f>ROUND(G353*H353,2)</f>
        <v>0</v>
      </c>
      <c r="M353" s="32">
        <f>L353*(1+BW353/100)</f>
        <v>0</v>
      </c>
      <c r="N353" s="34">
        <f>IF(L649=0,0,L353/L649)</f>
        <v>0</v>
      </c>
      <c r="O353" s="32">
        <v>0</v>
      </c>
      <c r="P353" s="32">
        <f>G353*O353</f>
        <v>0</v>
      </c>
      <c r="Q353" s="35"/>
      <c r="Z353" s="32">
        <f>ROUND(IF(AQ353="5",BJ353,0),2)</f>
        <v>0</v>
      </c>
      <c r="AB353" s="32">
        <f>ROUND(IF(AQ353="1",BH353,0),2)</f>
        <v>0</v>
      </c>
      <c r="AC353" s="32">
        <f>ROUND(IF(AQ353="1",BI353,0),2)</f>
        <v>0</v>
      </c>
      <c r="AD353" s="32">
        <f>ROUND(IF(AQ353="7",BH353,0),2)</f>
        <v>0</v>
      </c>
      <c r="AE353" s="32">
        <f>ROUND(IF(AQ353="7",BI353,0),2)</f>
        <v>0</v>
      </c>
      <c r="AF353" s="32">
        <f>ROUND(IF(AQ353="2",BH353,0),2)</f>
        <v>0</v>
      </c>
      <c r="AG353" s="32">
        <f>ROUND(IF(AQ353="2",BI353,0),2)</f>
        <v>0</v>
      </c>
      <c r="AH353" s="32">
        <f>ROUND(IF(AQ353="0",BJ353,0),2)</f>
        <v>0</v>
      </c>
      <c r="AI353" s="12" t="s">
        <v>55</v>
      </c>
      <c r="AJ353" s="32">
        <f>IF(AN353=0,L353,0)</f>
        <v>0</v>
      </c>
      <c r="AK353" s="32">
        <f>IF(AN353=12,L353,0)</f>
        <v>0</v>
      </c>
      <c r="AL353" s="32">
        <f>IF(AN353=21,L353,0)</f>
        <v>0</v>
      </c>
      <c r="AN353" s="32">
        <v>21</v>
      </c>
      <c r="AO353" s="32">
        <f>H353*0</f>
        <v>0</v>
      </c>
      <c r="AP353" s="32">
        <f>H353*(1-0)</f>
        <v>0</v>
      </c>
      <c r="AQ353" s="36" t="s">
        <v>90</v>
      </c>
      <c r="AV353" s="32">
        <f>ROUND(AW353+AX353,2)</f>
        <v>0</v>
      </c>
      <c r="AW353" s="32">
        <f>ROUND(G353*AO353,2)</f>
        <v>0</v>
      </c>
      <c r="AX353" s="32">
        <f>ROUND(G353*AP353,2)</f>
        <v>0</v>
      </c>
      <c r="AY353" s="36" t="s">
        <v>712</v>
      </c>
      <c r="AZ353" s="36" t="s">
        <v>664</v>
      </c>
      <c r="BA353" s="12" t="s">
        <v>65</v>
      </c>
      <c r="BC353" s="32">
        <f>AW353+AX353</f>
        <v>0</v>
      </c>
      <c r="BD353" s="32">
        <f>H353/(100-BE353)*100</f>
        <v>0</v>
      </c>
      <c r="BE353" s="32">
        <v>0</v>
      </c>
      <c r="BF353" s="32">
        <f>P353</f>
        <v>0</v>
      </c>
      <c r="BH353" s="32">
        <f>G353*AO353</f>
        <v>0</v>
      </c>
      <c r="BI353" s="32">
        <f>G353*AP353</f>
        <v>0</v>
      </c>
      <c r="BJ353" s="32">
        <f>G353*H353</f>
        <v>0</v>
      </c>
      <c r="BK353" s="36" t="s">
        <v>66</v>
      </c>
      <c r="BL353" s="32">
        <v>733</v>
      </c>
      <c r="BW353" s="32">
        <f>I353</f>
        <v>21</v>
      </c>
      <c r="BX353" s="4" t="s">
        <v>768</v>
      </c>
    </row>
    <row r="354" spans="1:76" ht="13.5" customHeight="1" x14ac:dyDescent="0.25">
      <c r="A354" s="42"/>
      <c r="C354" s="43"/>
      <c r="D354" s="95" t="s">
        <v>323</v>
      </c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7"/>
    </row>
    <row r="355" spans="1:76" x14ac:dyDescent="0.25">
      <c r="A355" s="2" t="s">
        <v>769</v>
      </c>
      <c r="B355" s="3" t="s">
        <v>55</v>
      </c>
      <c r="C355" s="3" t="s">
        <v>735</v>
      </c>
      <c r="D355" s="89" t="s">
        <v>770</v>
      </c>
      <c r="E355" s="90"/>
      <c r="F355" s="3" t="s">
        <v>316</v>
      </c>
      <c r="G355" s="32">
        <v>1</v>
      </c>
      <c r="H355" s="199">
        <v>0</v>
      </c>
      <c r="I355" s="33">
        <v>21</v>
      </c>
      <c r="J355" s="32">
        <f>ROUND(G355*AO355,2)</f>
        <v>0</v>
      </c>
      <c r="K355" s="32">
        <f>ROUND(G355*AP355,2)</f>
        <v>0</v>
      </c>
      <c r="L355" s="32">
        <f>ROUND(G355*H355,2)</f>
        <v>0</v>
      </c>
      <c r="M355" s="32">
        <f>L355*(1+BW355/100)</f>
        <v>0</v>
      </c>
      <c r="N355" s="34">
        <f>IF(L649=0,0,L355/L649)</f>
        <v>0</v>
      </c>
      <c r="O355" s="32">
        <v>0</v>
      </c>
      <c r="P355" s="32">
        <f>G355*O355</f>
        <v>0</v>
      </c>
      <c r="Q355" s="35"/>
      <c r="Z355" s="32">
        <f>ROUND(IF(AQ355="5",BJ355,0),2)</f>
        <v>0</v>
      </c>
      <c r="AB355" s="32">
        <f>ROUND(IF(AQ355="1",BH355,0),2)</f>
        <v>0</v>
      </c>
      <c r="AC355" s="32">
        <f>ROUND(IF(AQ355="1",BI355,0),2)</f>
        <v>0</v>
      </c>
      <c r="AD355" s="32">
        <f>ROUND(IF(AQ355="7",BH355,0),2)</f>
        <v>0</v>
      </c>
      <c r="AE355" s="32">
        <f>ROUND(IF(AQ355="7",BI355,0),2)</f>
        <v>0</v>
      </c>
      <c r="AF355" s="32">
        <f>ROUND(IF(AQ355="2",BH355,0),2)</f>
        <v>0</v>
      </c>
      <c r="AG355" s="32">
        <f>ROUND(IF(AQ355="2",BI355,0),2)</f>
        <v>0</v>
      </c>
      <c r="AH355" s="32">
        <f>ROUND(IF(AQ355="0",BJ355,0),2)</f>
        <v>0</v>
      </c>
      <c r="AI355" s="12" t="s">
        <v>55</v>
      </c>
      <c r="AJ355" s="32">
        <f>IF(AN355=0,L355,0)</f>
        <v>0</v>
      </c>
      <c r="AK355" s="32">
        <f>IF(AN355=12,L355,0)</f>
        <v>0</v>
      </c>
      <c r="AL355" s="32">
        <f>IF(AN355=21,L355,0)</f>
        <v>0</v>
      </c>
      <c r="AN355" s="32">
        <v>21</v>
      </c>
      <c r="AO355" s="32">
        <f>H355*0</f>
        <v>0</v>
      </c>
      <c r="AP355" s="32">
        <f>H355*(1-0)</f>
        <v>0</v>
      </c>
      <c r="AQ355" s="36" t="s">
        <v>90</v>
      </c>
      <c r="AV355" s="32">
        <f>ROUND(AW355+AX355,2)</f>
        <v>0</v>
      </c>
      <c r="AW355" s="32">
        <f>ROUND(G355*AO355,2)</f>
        <v>0</v>
      </c>
      <c r="AX355" s="32">
        <f>ROUND(G355*AP355,2)</f>
        <v>0</v>
      </c>
      <c r="AY355" s="36" t="s">
        <v>712</v>
      </c>
      <c r="AZ355" s="36" t="s">
        <v>664</v>
      </c>
      <c r="BA355" s="12" t="s">
        <v>65</v>
      </c>
      <c r="BC355" s="32">
        <f>AW355+AX355</f>
        <v>0</v>
      </c>
      <c r="BD355" s="32">
        <f>H355/(100-BE355)*100</f>
        <v>0</v>
      </c>
      <c r="BE355" s="32">
        <v>0</v>
      </c>
      <c r="BF355" s="32">
        <f>P355</f>
        <v>0</v>
      </c>
      <c r="BH355" s="32">
        <f>G355*AO355</f>
        <v>0</v>
      </c>
      <c r="BI355" s="32">
        <f>G355*AP355</f>
        <v>0</v>
      </c>
      <c r="BJ355" s="32">
        <f>G355*H355</f>
        <v>0</v>
      </c>
      <c r="BK355" s="36" t="s">
        <v>66</v>
      </c>
      <c r="BL355" s="32">
        <v>733</v>
      </c>
      <c r="BW355" s="32">
        <f>I355</f>
        <v>21</v>
      </c>
      <c r="BX355" s="4" t="s">
        <v>770</v>
      </c>
    </row>
    <row r="356" spans="1:76" x14ac:dyDescent="0.25">
      <c r="A356" s="2" t="s">
        <v>771</v>
      </c>
      <c r="B356" s="3" t="s">
        <v>55</v>
      </c>
      <c r="C356" s="3" t="s">
        <v>735</v>
      </c>
      <c r="D356" s="89" t="s">
        <v>772</v>
      </c>
      <c r="E356" s="90"/>
      <c r="F356" s="3" t="s">
        <v>316</v>
      </c>
      <c r="G356" s="32">
        <v>1</v>
      </c>
      <c r="H356" s="199">
        <v>0</v>
      </c>
      <c r="I356" s="33">
        <v>21</v>
      </c>
      <c r="J356" s="32">
        <f>ROUND(G356*AO356,2)</f>
        <v>0</v>
      </c>
      <c r="K356" s="32">
        <f>ROUND(G356*AP356,2)</f>
        <v>0</v>
      </c>
      <c r="L356" s="32">
        <f>ROUND(G356*H356,2)</f>
        <v>0</v>
      </c>
      <c r="M356" s="32">
        <f>L356*(1+BW356/100)</f>
        <v>0</v>
      </c>
      <c r="N356" s="34">
        <f>IF(L649=0,0,L356/L649)</f>
        <v>0</v>
      </c>
      <c r="O356" s="32">
        <v>0</v>
      </c>
      <c r="P356" s="32">
        <f>G356*O356</f>
        <v>0</v>
      </c>
      <c r="Q356" s="35"/>
      <c r="Z356" s="32">
        <f>ROUND(IF(AQ356="5",BJ356,0),2)</f>
        <v>0</v>
      </c>
      <c r="AB356" s="32">
        <f>ROUND(IF(AQ356="1",BH356,0),2)</f>
        <v>0</v>
      </c>
      <c r="AC356" s="32">
        <f>ROUND(IF(AQ356="1",BI356,0),2)</f>
        <v>0</v>
      </c>
      <c r="AD356" s="32">
        <f>ROUND(IF(AQ356="7",BH356,0),2)</f>
        <v>0</v>
      </c>
      <c r="AE356" s="32">
        <f>ROUND(IF(AQ356="7",BI356,0),2)</f>
        <v>0</v>
      </c>
      <c r="AF356" s="32">
        <f>ROUND(IF(AQ356="2",BH356,0),2)</f>
        <v>0</v>
      </c>
      <c r="AG356" s="32">
        <f>ROUND(IF(AQ356="2",BI356,0),2)</f>
        <v>0</v>
      </c>
      <c r="AH356" s="32">
        <f>ROUND(IF(AQ356="0",BJ356,0),2)</f>
        <v>0</v>
      </c>
      <c r="AI356" s="12" t="s">
        <v>55</v>
      </c>
      <c r="AJ356" s="32">
        <f>IF(AN356=0,L356,0)</f>
        <v>0</v>
      </c>
      <c r="AK356" s="32">
        <f>IF(AN356=12,L356,0)</f>
        <v>0</v>
      </c>
      <c r="AL356" s="32">
        <f>IF(AN356=21,L356,0)</f>
        <v>0</v>
      </c>
      <c r="AN356" s="32">
        <v>21</v>
      </c>
      <c r="AO356" s="32">
        <f>H356*0</f>
        <v>0</v>
      </c>
      <c r="AP356" s="32">
        <f>H356*(1-0)</f>
        <v>0</v>
      </c>
      <c r="AQ356" s="36" t="s">
        <v>90</v>
      </c>
      <c r="AV356" s="32">
        <f>ROUND(AW356+AX356,2)</f>
        <v>0</v>
      </c>
      <c r="AW356" s="32">
        <f>ROUND(G356*AO356,2)</f>
        <v>0</v>
      </c>
      <c r="AX356" s="32">
        <f>ROUND(G356*AP356,2)</f>
        <v>0</v>
      </c>
      <c r="AY356" s="36" t="s">
        <v>712</v>
      </c>
      <c r="AZ356" s="36" t="s">
        <v>664</v>
      </c>
      <c r="BA356" s="12" t="s">
        <v>65</v>
      </c>
      <c r="BC356" s="32">
        <f>AW356+AX356</f>
        <v>0</v>
      </c>
      <c r="BD356" s="32">
        <f>H356/(100-BE356)*100</f>
        <v>0</v>
      </c>
      <c r="BE356" s="32">
        <v>0</v>
      </c>
      <c r="BF356" s="32">
        <f>P356</f>
        <v>0</v>
      </c>
      <c r="BH356" s="32">
        <f>G356*AO356</f>
        <v>0</v>
      </c>
      <c r="BI356" s="32">
        <f>G356*AP356</f>
        <v>0</v>
      </c>
      <c r="BJ356" s="32">
        <f>G356*H356</f>
        <v>0</v>
      </c>
      <c r="BK356" s="36" t="s">
        <v>66</v>
      </c>
      <c r="BL356" s="32">
        <v>733</v>
      </c>
      <c r="BW356" s="32">
        <f>I356</f>
        <v>21</v>
      </c>
      <c r="BX356" s="4" t="s">
        <v>772</v>
      </c>
    </row>
    <row r="357" spans="1:76" x14ac:dyDescent="0.25">
      <c r="A357" s="2" t="s">
        <v>773</v>
      </c>
      <c r="B357" s="3" t="s">
        <v>55</v>
      </c>
      <c r="C357" s="3" t="s">
        <v>735</v>
      </c>
      <c r="D357" s="89" t="s">
        <v>736</v>
      </c>
      <c r="E357" s="90"/>
      <c r="F357" s="3" t="s">
        <v>316</v>
      </c>
      <c r="G357" s="32">
        <v>1</v>
      </c>
      <c r="H357" s="199">
        <v>0</v>
      </c>
      <c r="I357" s="33">
        <v>21</v>
      </c>
      <c r="J357" s="32">
        <f>ROUND(G357*AO357,2)</f>
        <v>0</v>
      </c>
      <c r="K357" s="32">
        <f>ROUND(G357*AP357,2)</f>
        <v>0</v>
      </c>
      <c r="L357" s="32">
        <f>ROUND(G357*H357,2)</f>
        <v>0</v>
      </c>
      <c r="M357" s="32">
        <f>L357*(1+BW357/100)</f>
        <v>0</v>
      </c>
      <c r="N357" s="34">
        <f>IF(L649=0,0,L357/L649)</f>
        <v>0</v>
      </c>
      <c r="O357" s="32">
        <v>0</v>
      </c>
      <c r="P357" s="32">
        <f>G357*O357</f>
        <v>0</v>
      </c>
      <c r="Q357" s="35"/>
      <c r="Z357" s="32">
        <f>ROUND(IF(AQ357="5",BJ357,0),2)</f>
        <v>0</v>
      </c>
      <c r="AB357" s="32">
        <f>ROUND(IF(AQ357="1",BH357,0),2)</f>
        <v>0</v>
      </c>
      <c r="AC357" s="32">
        <f>ROUND(IF(AQ357="1",BI357,0),2)</f>
        <v>0</v>
      </c>
      <c r="AD357" s="32">
        <f>ROUND(IF(AQ357="7",BH357,0),2)</f>
        <v>0</v>
      </c>
      <c r="AE357" s="32">
        <f>ROUND(IF(AQ357="7",BI357,0),2)</f>
        <v>0</v>
      </c>
      <c r="AF357" s="32">
        <f>ROUND(IF(AQ357="2",BH357,0),2)</f>
        <v>0</v>
      </c>
      <c r="AG357" s="32">
        <f>ROUND(IF(AQ357="2",BI357,0),2)</f>
        <v>0</v>
      </c>
      <c r="AH357" s="32">
        <f>ROUND(IF(AQ357="0",BJ357,0),2)</f>
        <v>0</v>
      </c>
      <c r="AI357" s="12" t="s">
        <v>55</v>
      </c>
      <c r="AJ357" s="32">
        <f>IF(AN357=0,L357,0)</f>
        <v>0</v>
      </c>
      <c r="AK357" s="32">
        <f>IF(AN357=12,L357,0)</f>
        <v>0</v>
      </c>
      <c r="AL357" s="32">
        <f>IF(AN357=21,L357,0)</f>
        <v>0</v>
      </c>
      <c r="AN357" s="32">
        <v>21</v>
      </c>
      <c r="AO357" s="32">
        <f>H357*0.815099415</f>
        <v>0</v>
      </c>
      <c r="AP357" s="32">
        <f>H357*(1-0.815099415)</f>
        <v>0</v>
      </c>
      <c r="AQ357" s="36" t="s">
        <v>90</v>
      </c>
      <c r="AV357" s="32">
        <f>ROUND(AW357+AX357,2)</f>
        <v>0</v>
      </c>
      <c r="AW357" s="32">
        <f>ROUND(G357*AO357,2)</f>
        <v>0</v>
      </c>
      <c r="AX357" s="32">
        <f>ROUND(G357*AP357,2)</f>
        <v>0</v>
      </c>
      <c r="AY357" s="36" t="s">
        <v>712</v>
      </c>
      <c r="AZ357" s="36" t="s">
        <v>664</v>
      </c>
      <c r="BA357" s="12" t="s">
        <v>65</v>
      </c>
      <c r="BC357" s="32">
        <f>AW357+AX357</f>
        <v>0</v>
      </c>
      <c r="BD357" s="32">
        <f>H357/(100-BE357)*100</f>
        <v>0</v>
      </c>
      <c r="BE357" s="32">
        <v>0</v>
      </c>
      <c r="BF357" s="32">
        <f>P357</f>
        <v>0</v>
      </c>
      <c r="BH357" s="32">
        <f>G357*AO357</f>
        <v>0</v>
      </c>
      <c r="BI357" s="32">
        <f>G357*AP357</f>
        <v>0</v>
      </c>
      <c r="BJ357" s="32">
        <f>G357*H357</f>
        <v>0</v>
      </c>
      <c r="BK357" s="36" t="s">
        <v>66</v>
      </c>
      <c r="BL357" s="32">
        <v>733</v>
      </c>
      <c r="BW357" s="32">
        <f>I357</f>
        <v>21</v>
      </c>
      <c r="BX357" s="4" t="s">
        <v>736</v>
      </c>
    </row>
    <row r="358" spans="1:76" ht="13.5" customHeight="1" x14ac:dyDescent="0.25">
      <c r="A358" s="42"/>
      <c r="C358" s="43"/>
      <c r="D358" s="95" t="s">
        <v>454</v>
      </c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7"/>
    </row>
    <row r="359" spans="1:76" x14ac:dyDescent="0.25">
      <c r="A359" s="2" t="s">
        <v>774</v>
      </c>
      <c r="B359" s="3" t="s">
        <v>55</v>
      </c>
      <c r="C359" s="3" t="s">
        <v>735</v>
      </c>
      <c r="D359" s="89" t="s">
        <v>319</v>
      </c>
      <c r="E359" s="90"/>
      <c r="F359" s="3" t="s">
        <v>316</v>
      </c>
      <c r="G359" s="32">
        <v>1</v>
      </c>
      <c r="H359" s="199">
        <v>0</v>
      </c>
      <c r="I359" s="33">
        <v>21</v>
      </c>
      <c r="J359" s="32">
        <f>ROUND(G359*AO359,2)</f>
        <v>0</v>
      </c>
      <c r="K359" s="32">
        <f>ROUND(G359*AP359,2)</f>
        <v>0</v>
      </c>
      <c r="L359" s="32">
        <f>ROUND(G359*H359,2)</f>
        <v>0</v>
      </c>
      <c r="M359" s="32">
        <f>L359*(1+BW359/100)</f>
        <v>0</v>
      </c>
      <c r="N359" s="34">
        <f>IF(L649=0,0,L359/L649)</f>
        <v>0</v>
      </c>
      <c r="O359" s="32">
        <v>0</v>
      </c>
      <c r="P359" s="32">
        <f>G359*O359</f>
        <v>0</v>
      </c>
      <c r="Q359" s="35"/>
      <c r="Z359" s="32">
        <f>ROUND(IF(AQ359="5",BJ359,0),2)</f>
        <v>0</v>
      </c>
      <c r="AB359" s="32">
        <f>ROUND(IF(AQ359="1",BH359,0),2)</f>
        <v>0</v>
      </c>
      <c r="AC359" s="32">
        <f>ROUND(IF(AQ359="1",BI359,0),2)</f>
        <v>0</v>
      </c>
      <c r="AD359" s="32">
        <f>ROUND(IF(AQ359="7",BH359,0),2)</f>
        <v>0</v>
      </c>
      <c r="AE359" s="32">
        <f>ROUND(IF(AQ359="7",BI359,0),2)</f>
        <v>0</v>
      </c>
      <c r="AF359" s="32">
        <f>ROUND(IF(AQ359="2",BH359,0),2)</f>
        <v>0</v>
      </c>
      <c r="AG359" s="32">
        <f>ROUND(IF(AQ359="2",BI359,0),2)</f>
        <v>0</v>
      </c>
      <c r="AH359" s="32">
        <f>ROUND(IF(AQ359="0",BJ359,0),2)</f>
        <v>0</v>
      </c>
      <c r="AI359" s="12" t="s">
        <v>55</v>
      </c>
      <c r="AJ359" s="32">
        <f>IF(AN359=0,L359,0)</f>
        <v>0</v>
      </c>
      <c r="AK359" s="32">
        <f>IF(AN359=12,L359,0)</f>
        <v>0</v>
      </c>
      <c r="AL359" s="32">
        <f>IF(AN359=21,L359,0)</f>
        <v>0</v>
      </c>
      <c r="AN359" s="32">
        <v>21</v>
      </c>
      <c r="AO359" s="32">
        <f>H359*0.510433387</f>
        <v>0</v>
      </c>
      <c r="AP359" s="32">
        <f>H359*(1-0.510433387)</f>
        <v>0</v>
      </c>
      <c r="AQ359" s="36" t="s">
        <v>90</v>
      </c>
      <c r="AV359" s="32">
        <f>ROUND(AW359+AX359,2)</f>
        <v>0</v>
      </c>
      <c r="AW359" s="32">
        <f>ROUND(G359*AO359,2)</f>
        <v>0</v>
      </c>
      <c r="AX359" s="32">
        <f>ROUND(G359*AP359,2)</f>
        <v>0</v>
      </c>
      <c r="AY359" s="36" t="s">
        <v>712</v>
      </c>
      <c r="AZ359" s="36" t="s">
        <v>664</v>
      </c>
      <c r="BA359" s="12" t="s">
        <v>65</v>
      </c>
      <c r="BC359" s="32">
        <f>AW359+AX359</f>
        <v>0</v>
      </c>
      <c r="BD359" s="32">
        <f>H359/(100-BE359)*100</f>
        <v>0</v>
      </c>
      <c r="BE359" s="32">
        <v>0</v>
      </c>
      <c r="BF359" s="32">
        <f>P359</f>
        <v>0</v>
      </c>
      <c r="BH359" s="32">
        <f>G359*AO359</f>
        <v>0</v>
      </c>
      <c r="BI359" s="32">
        <f>G359*AP359</f>
        <v>0</v>
      </c>
      <c r="BJ359" s="32">
        <f>G359*H359</f>
        <v>0</v>
      </c>
      <c r="BK359" s="36" t="s">
        <v>66</v>
      </c>
      <c r="BL359" s="32">
        <v>733</v>
      </c>
      <c r="BW359" s="32">
        <f>I359</f>
        <v>21</v>
      </c>
      <c r="BX359" s="4" t="s">
        <v>319</v>
      </c>
    </row>
    <row r="360" spans="1:76" ht="13.5" customHeight="1" x14ac:dyDescent="0.25">
      <c r="A360" s="42"/>
      <c r="C360" s="43"/>
      <c r="D360" s="95" t="s">
        <v>775</v>
      </c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7"/>
    </row>
    <row r="361" spans="1:76" x14ac:dyDescent="0.25">
      <c r="A361" s="37" t="s">
        <v>55</v>
      </c>
      <c r="B361" s="38" t="s">
        <v>55</v>
      </c>
      <c r="C361" s="38" t="s">
        <v>776</v>
      </c>
      <c r="D361" s="98" t="s">
        <v>777</v>
      </c>
      <c r="E361" s="99"/>
      <c r="F361" s="39" t="s">
        <v>3</v>
      </c>
      <c r="G361" s="39" t="s">
        <v>3</v>
      </c>
      <c r="H361" s="39" t="s">
        <v>3</v>
      </c>
      <c r="I361" s="39" t="s">
        <v>3</v>
      </c>
      <c r="J361" s="1">
        <f>SUM(J362:J375)</f>
        <v>0</v>
      </c>
      <c r="K361" s="1">
        <f>SUM(K362:K375)</f>
        <v>0</v>
      </c>
      <c r="L361" s="1">
        <f>SUM(L362:L375)</f>
        <v>0</v>
      </c>
      <c r="M361" s="1">
        <f>SUM(M362:M375)</f>
        <v>0</v>
      </c>
      <c r="N361" s="40">
        <f>IF(L649=0,0,L361/L649)</f>
        <v>0</v>
      </c>
      <c r="O361" s="12" t="s">
        <v>55</v>
      </c>
      <c r="P361" s="1">
        <f>SUM(P362:P375)</f>
        <v>0.55181000000000002</v>
      </c>
      <c r="Q361" s="41" t="s">
        <v>55</v>
      </c>
      <c r="AI361" s="12" t="s">
        <v>55</v>
      </c>
      <c r="AS361" s="1">
        <f>SUM(AJ362:AJ375)</f>
        <v>0</v>
      </c>
      <c r="AT361" s="1">
        <f>SUM(AK362:AK375)</f>
        <v>0</v>
      </c>
      <c r="AU361" s="1">
        <f>SUM(AL362:AL375)</f>
        <v>0</v>
      </c>
    </row>
    <row r="362" spans="1:76" x14ac:dyDescent="0.25">
      <c r="A362" s="2" t="s">
        <v>778</v>
      </c>
      <c r="B362" s="3" t="s">
        <v>55</v>
      </c>
      <c r="C362" s="3" t="s">
        <v>779</v>
      </c>
      <c r="D362" s="89" t="s">
        <v>780</v>
      </c>
      <c r="E362" s="90"/>
      <c r="F362" s="3" t="s">
        <v>88</v>
      </c>
      <c r="G362" s="32">
        <v>3</v>
      </c>
      <c r="H362" s="199">
        <v>0</v>
      </c>
      <c r="I362" s="33">
        <v>21</v>
      </c>
      <c r="J362" s="32">
        <f t="shared" ref="J362:J375" si="132">ROUND(G362*AO362,2)</f>
        <v>0</v>
      </c>
      <c r="K362" s="32">
        <f t="shared" ref="K362:K375" si="133">ROUND(G362*AP362,2)</f>
        <v>0</v>
      </c>
      <c r="L362" s="32">
        <f t="shared" ref="L362:L375" si="134">ROUND(G362*H362,2)</f>
        <v>0</v>
      </c>
      <c r="M362" s="32">
        <f t="shared" ref="M362:M375" si="135">L362*(1+BW362/100)</f>
        <v>0</v>
      </c>
      <c r="N362" s="34">
        <f>IF(L649=0,0,L362/L649)</f>
        <v>0</v>
      </c>
      <c r="O362" s="32">
        <v>3.024E-2</v>
      </c>
      <c r="P362" s="32">
        <f t="shared" ref="P362:P375" si="136">G362*O362</f>
        <v>9.0719999999999995E-2</v>
      </c>
      <c r="Q362" s="35" t="s">
        <v>77</v>
      </c>
      <c r="Z362" s="32">
        <f t="shared" ref="Z362:Z375" si="137">ROUND(IF(AQ362="5",BJ362,0),2)</f>
        <v>0</v>
      </c>
      <c r="AB362" s="32">
        <f t="shared" ref="AB362:AB375" si="138">ROUND(IF(AQ362="1",BH362,0),2)</f>
        <v>0</v>
      </c>
      <c r="AC362" s="32">
        <f t="shared" ref="AC362:AC375" si="139">ROUND(IF(AQ362="1",BI362,0),2)</f>
        <v>0</v>
      </c>
      <c r="AD362" s="32">
        <f t="shared" ref="AD362:AD375" si="140">ROUND(IF(AQ362="7",BH362,0),2)</f>
        <v>0</v>
      </c>
      <c r="AE362" s="32">
        <f t="shared" ref="AE362:AE375" si="141">ROUND(IF(AQ362="7",BI362,0),2)</f>
        <v>0</v>
      </c>
      <c r="AF362" s="32">
        <f t="shared" ref="AF362:AF375" si="142">ROUND(IF(AQ362="2",BH362,0),2)</f>
        <v>0</v>
      </c>
      <c r="AG362" s="32">
        <f t="shared" ref="AG362:AG375" si="143">ROUND(IF(AQ362="2",BI362,0),2)</f>
        <v>0</v>
      </c>
      <c r="AH362" s="32">
        <f t="shared" ref="AH362:AH375" si="144">ROUND(IF(AQ362="0",BJ362,0),2)</f>
        <v>0</v>
      </c>
      <c r="AI362" s="12" t="s">
        <v>55</v>
      </c>
      <c r="AJ362" s="32">
        <f t="shared" ref="AJ362:AJ375" si="145">IF(AN362=0,L362,0)</f>
        <v>0</v>
      </c>
      <c r="AK362" s="32">
        <f t="shared" ref="AK362:AK375" si="146">IF(AN362=12,L362,0)</f>
        <v>0</v>
      </c>
      <c r="AL362" s="32">
        <f t="shared" ref="AL362:AL375" si="147">IF(AN362=21,L362,0)</f>
        <v>0</v>
      </c>
      <c r="AN362" s="32">
        <v>21</v>
      </c>
      <c r="AO362" s="32">
        <f>H362*0.913054722</f>
        <v>0</v>
      </c>
      <c r="AP362" s="32">
        <f>H362*(1-0.913054722)</f>
        <v>0</v>
      </c>
      <c r="AQ362" s="36" t="s">
        <v>90</v>
      </c>
      <c r="AV362" s="32">
        <f t="shared" ref="AV362:AV375" si="148">ROUND(AW362+AX362,2)</f>
        <v>0</v>
      </c>
      <c r="AW362" s="32">
        <f t="shared" ref="AW362:AW375" si="149">ROUND(G362*AO362,2)</f>
        <v>0</v>
      </c>
      <c r="AX362" s="32">
        <f t="shared" ref="AX362:AX375" si="150">ROUND(G362*AP362,2)</f>
        <v>0</v>
      </c>
      <c r="AY362" s="36" t="s">
        <v>781</v>
      </c>
      <c r="AZ362" s="36" t="s">
        <v>664</v>
      </c>
      <c r="BA362" s="12" t="s">
        <v>65</v>
      </c>
      <c r="BC362" s="32">
        <f t="shared" ref="BC362:BC375" si="151">AW362+AX362</f>
        <v>0</v>
      </c>
      <c r="BD362" s="32">
        <f t="shared" ref="BD362:BD375" si="152">H362/(100-BE362)*100</f>
        <v>0</v>
      </c>
      <c r="BE362" s="32">
        <v>0</v>
      </c>
      <c r="BF362" s="32">
        <f t="shared" ref="BF362:BF375" si="153">P362</f>
        <v>9.0719999999999995E-2</v>
      </c>
      <c r="BH362" s="32">
        <f t="shared" ref="BH362:BH375" si="154">G362*AO362</f>
        <v>0</v>
      </c>
      <c r="BI362" s="32">
        <f t="shared" ref="BI362:BI375" si="155">G362*AP362</f>
        <v>0</v>
      </c>
      <c r="BJ362" s="32">
        <f t="shared" ref="BJ362:BJ375" si="156">G362*H362</f>
        <v>0</v>
      </c>
      <c r="BK362" s="36" t="s">
        <v>66</v>
      </c>
      <c r="BL362" s="32">
        <v>735</v>
      </c>
      <c r="BW362" s="32">
        <f t="shared" ref="BW362:BW375" si="157">I362</f>
        <v>21</v>
      </c>
      <c r="BX362" s="4" t="s">
        <v>780</v>
      </c>
    </row>
    <row r="363" spans="1:76" x14ac:dyDescent="0.25">
      <c r="A363" s="2" t="s">
        <v>782</v>
      </c>
      <c r="B363" s="3" t="s">
        <v>55</v>
      </c>
      <c r="C363" s="3" t="s">
        <v>783</v>
      </c>
      <c r="D363" s="89" t="s">
        <v>784</v>
      </c>
      <c r="E363" s="90"/>
      <c r="F363" s="3" t="s">
        <v>88</v>
      </c>
      <c r="G363" s="32">
        <v>1</v>
      </c>
      <c r="H363" s="199">
        <v>0</v>
      </c>
      <c r="I363" s="33">
        <v>21</v>
      </c>
      <c r="J363" s="32">
        <f t="shared" si="132"/>
        <v>0</v>
      </c>
      <c r="K363" s="32">
        <f t="shared" si="133"/>
        <v>0</v>
      </c>
      <c r="L363" s="32">
        <f t="shared" si="134"/>
        <v>0</v>
      </c>
      <c r="M363" s="32">
        <f t="shared" si="135"/>
        <v>0</v>
      </c>
      <c r="N363" s="34">
        <f>IF(L649=0,0,L363/L649)</f>
        <v>0</v>
      </c>
      <c r="O363" s="32">
        <v>3.8879999999999998E-2</v>
      </c>
      <c r="P363" s="32">
        <f t="shared" si="136"/>
        <v>3.8879999999999998E-2</v>
      </c>
      <c r="Q363" s="35" t="s">
        <v>77</v>
      </c>
      <c r="Z363" s="32">
        <f t="shared" si="137"/>
        <v>0</v>
      </c>
      <c r="AB363" s="32">
        <f t="shared" si="138"/>
        <v>0</v>
      </c>
      <c r="AC363" s="32">
        <f t="shared" si="139"/>
        <v>0</v>
      </c>
      <c r="AD363" s="32">
        <f t="shared" si="140"/>
        <v>0</v>
      </c>
      <c r="AE363" s="32">
        <f t="shared" si="141"/>
        <v>0</v>
      </c>
      <c r="AF363" s="32">
        <f t="shared" si="142"/>
        <v>0</v>
      </c>
      <c r="AG363" s="32">
        <f t="shared" si="143"/>
        <v>0</v>
      </c>
      <c r="AH363" s="32">
        <f t="shared" si="144"/>
        <v>0</v>
      </c>
      <c r="AI363" s="12" t="s">
        <v>55</v>
      </c>
      <c r="AJ363" s="32">
        <f t="shared" si="145"/>
        <v>0</v>
      </c>
      <c r="AK363" s="32">
        <f t="shared" si="146"/>
        <v>0</v>
      </c>
      <c r="AL363" s="32">
        <f t="shared" si="147"/>
        <v>0</v>
      </c>
      <c r="AN363" s="32">
        <v>21</v>
      </c>
      <c r="AO363" s="32">
        <f>H363*0.913021834</f>
        <v>0</v>
      </c>
      <c r="AP363" s="32">
        <f>H363*(1-0.913021834)</f>
        <v>0</v>
      </c>
      <c r="AQ363" s="36" t="s">
        <v>90</v>
      </c>
      <c r="AV363" s="32">
        <f t="shared" si="148"/>
        <v>0</v>
      </c>
      <c r="AW363" s="32">
        <f t="shared" si="149"/>
        <v>0</v>
      </c>
      <c r="AX363" s="32">
        <f t="shared" si="150"/>
        <v>0</v>
      </c>
      <c r="AY363" s="36" t="s">
        <v>781</v>
      </c>
      <c r="AZ363" s="36" t="s">
        <v>664</v>
      </c>
      <c r="BA363" s="12" t="s">
        <v>65</v>
      </c>
      <c r="BC363" s="32">
        <f t="shared" si="151"/>
        <v>0</v>
      </c>
      <c r="BD363" s="32">
        <f t="shared" si="152"/>
        <v>0</v>
      </c>
      <c r="BE363" s="32">
        <v>0</v>
      </c>
      <c r="BF363" s="32">
        <f t="shared" si="153"/>
        <v>3.8879999999999998E-2</v>
      </c>
      <c r="BH363" s="32">
        <f t="shared" si="154"/>
        <v>0</v>
      </c>
      <c r="BI363" s="32">
        <f t="shared" si="155"/>
        <v>0</v>
      </c>
      <c r="BJ363" s="32">
        <f t="shared" si="156"/>
        <v>0</v>
      </c>
      <c r="BK363" s="36" t="s">
        <v>66</v>
      </c>
      <c r="BL363" s="32">
        <v>735</v>
      </c>
      <c r="BW363" s="32">
        <f t="shared" si="157"/>
        <v>21</v>
      </c>
      <c r="BX363" s="4" t="s">
        <v>784</v>
      </c>
    </row>
    <row r="364" spans="1:76" x14ac:dyDescent="0.25">
      <c r="A364" s="2" t="s">
        <v>785</v>
      </c>
      <c r="B364" s="3" t="s">
        <v>55</v>
      </c>
      <c r="C364" s="3" t="s">
        <v>786</v>
      </c>
      <c r="D364" s="89" t="s">
        <v>787</v>
      </c>
      <c r="E364" s="90"/>
      <c r="F364" s="3" t="s">
        <v>88</v>
      </c>
      <c r="G364" s="32">
        <v>1</v>
      </c>
      <c r="H364" s="199">
        <v>0</v>
      </c>
      <c r="I364" s="33">
        <v>21</v>
      </c>
      <c r="J364" s="32">
        <f t="shared" si="132"/>
        <v>0</v>
      </c>
      <c r="K364" s="32">
        <f t="shared" si="133"/>
        <v>0</v>
      </c>
      <c r="L364" s="32">
        <f t="shared" si="134"/>
        <v>0</v>
      </c>
      <c r="M364" s="32">
        <f t="shared" si="135"/>
        <v>0</v>
      </c>
      <c r="N364" s="34">
        <f>IF(L649=0,0,L364/L649)</f>
        <v>0</v>
      </c>
      <c r="O364" s="32">
        <v>6.1929999999999999E-2</v>
      </c>
      <c r="P364" s="32">
        <f t="shared" si="136"/>
        <v>6.1929999999999999E-2</v>
      </c>
      <c r="Q364" s="35" t="s">
        <v>77</v>
      </c>
      <c r="Z364" s="32">
        <f t="shared" si="137"/>
        <v>0</v>
      </c>
      <c r="AB364" s="32">
        <f t="shared" si="138"/>
        <v>0</v>
      </c>
      <c r="AC364" s="32">
        <f t="shared" si="139"/>
        <v>0</v>
      </c>
      <c r="AD364" s="32">
        <f t="shared" si="140"/>
        <v>0</v>
      </c>
      <c r="AE364" s="32">
        <f t="shared" si="141"/>
        <v>0</v>
      </c>
      <c r="AF364" s="32">
        <f t="shared" si="142"/>
        <v>0</v>
      </c>
      <c r="AG364" s="32">
        <f t="shared" si="143"/>
        <v>0</v>
      </c>
      <c r="AH364" s="32">
        <f t="shared" si="144"/>
        <v>0</v>
      </c>
      <c r="AI364" s="12" t="s">
        <v>55</v>
      </c>
      <c r="AJ364" s="32">
        <f t="shared" si="145"/>
        <v>0</v>
      </c>
      <c r="AK364" s="32">
        <f t="shared" si="146"/>
        <v>0</v>
      </c>
      <c r="AL364" s="32">
        <f t="shared" si="147"/>
        <v>0</v>
      </c>
      <c r="AN364" s="32">
        <v>21</v>
      </c>
      <c r="AO364" s="32">
        <f>H364*0.938869404</f>
        <v>0</v>
      </c>
      <c r="AP364" s="32">
        <f>H364*(1-0.938869404)</f>
        <v>0</v>
      </c>
      <c r="AQ364" s="36" t="s">
        <v>90</v>
      </c>
      <c r="AV364" s="32">
        <f t="shared" si="148"/>
        <v>0</v>
      </c>
      <c r="AW364" s="32">
        <f t="shared" si="149"/>
        <v>0</v>
      </c>
      <c r="AX364" s="32">
        <f t="shared" si="150"/>
        <v>0</v>
      </c>
      <c r="AY364" s="36" t="s">
        <v>781</v>
      </c>
      <c r="AZ364" s="36" t="s">
        <v>664</v>
      </c>
      <c r="BA364" s="12" t="s">
        <v>65</v>
      </c>
      <c r="BC364" s="32">
        <f t="shared" si="151"/>
        <v>0</v>
      </c>
      <c r="BD364" s="32">
        <f t="shared" si="152"/>
        <v>0</v>
      </c>
      <c r="BE364" s="32">
        <v>0</v>
      </c>
      <c r="BF364" s="32">
        <f t="shared" si="153"/>
        <v>6.1929999999999999E-2</v>
      </c>
      <c r="BH364" s="32">
        <f t="shared" si="154"/>
        <v>0</v>
      </c>
      <c r="BI364" s="32">
        <f t="shared" si="155"/>
        <v>0</v>
      </c>
      <c r="BJ364" s="32">
        <f t="shared" si="156"/>
        <v>0</v>
      </c>
      <c r="BK364" s="36" t="s">
        <v>66</v>
      </c>
      <c r="BL364" s="32">
        <v>735</v>
      </c>
      <c r="BW364" s="32">
        <f t="shared" si="157"/>
        <v>21</v>
      </c>
      <c r="BX364" s="4" t="s">
        <v>787</v>
      </c>
    </row>
    <row r="365" spans="1:76" x14ac:dyDescent="0.25">
      <c r="A365" s="2" t="s">
        <v>788</v>
      </c>
      <c r="B365" s="3" t="s">
        <v>55</v>
      </c>
      <c r="C365" s="3" t="s">
        <v>789</v>
      </c>
      <c r="D365" s="89" t="s">
        <v>790</v>
      </c>
      <c r="E365" s="90"/>
      <c r="F365" s="3" t="s">
        <v>88</v>
      </c>
      <c r="G365" s="32">
        <v>1</v>
      </c>
      <c r="H365" s="199">
        <v>0</v>
      </c>
      <c r="I365" s="33">
        <v>21</v>
      </c>
      <c r="J365" s="32">
        <f t="shared" si="132"/>
        <v>0</v>
      </c>
      <c r="K365" s="32">
        <f t="shared" si="133"/>
        <v>0</v>
      </c>
      <c r="L365" s="32">
        <f t="shared" si="134"/>
        <v>0</v>
      </c>
      <c r="M365" s="32">
        <f t="shared" si="135"/>
        <v>0</v>
      </c>
      <c r="N365" s="34">
        <f>IF(L649=0,0,L365/L649)</f>
        <v>0</v>
      </c>
      <c r="O365" s="32">
        <v>0.11260000000000001</v>
      </c>
      <c r="P365" s="32">
        <f t="shared" si="136"/>
        <v>0.11260000000000001</v>
      </c>
      <c r="Q365" s="35" t="s">
        <v>77</v>
      </c>
      <c r="Z365" s="32">
        <f t="shared" si="137"/>
        <v>0</v>
      </c>
      <c r="AB365" s="32">
        <f t="shared" si="138"/>
        <v>0</v>
      </c>
      <c r="AC365" s="32">
        <f t="shared" si="139"/>
        <v>0</v>
      </c>
      <c r="AD365" s="32">
        <f t="shared" si="140"/>
        <v>0</v>
      </c>
      <c r="AE365" s="32">
        <f t="shared" si="141"/>
        <v>0</v>
      </c>
      <c r="AF365" s="32">
        <f t="shared" si="142"/>
        <v>0</v>
      </c>
      <c r="AG365" s="32">
        <f t="shared" si="143"/>
        <v>0</v>
      </c>
      <c r="AH365" s="32">
        <f t="shared" si="144"/>
        <v>0</v>
      </c>
      <c r="AI365" s="12" t="s">
        <v>55</v>
      </c>
      <c r="AJ365" s="32">
        <f t="shared" si="145"/>
        <v>0</v>
      </c>
      <c r="AK365" s="32">
        <f t="shared" si="146"/>
        <v>0</v>
      </c>
      <c r="AL365" s="32">
        <f t="shared" si="147"/>
        <v>0</v>
      </c>
      <c r="AN365" s="32">
        <v>21</v>
      </c>
      <c r="AO365" s="32">
        <f>H365*0.947888889</f>
        <v>0</v>
      </c>
      <c r="AP365" s="32">
        <f>H365*(1-0.947888889)</f>
        <v>0</v>
      </c>
      <c r="AQ365" s="36" t="s">
        <v>90</v>
      </c>
      <c r="AV365" s="32">
        <f t="shared" si="148"/>
        <v>0</v>
      </c>
      <c r="AW365" s="32">
        <f t="shared" si="149"/>
        <v>0</v>
      </c>
      <c r="AX365" s="32">
        <f t="shared" si="150"/>
        <v>0</v>
      </c>
      <c r="AY365" s="36" t="s">
        <v>781</v>
      </c>
      <c r="AZ365" s="36" t="s">
        <v>664</v>
      </c>
      <c r="BA365" s="12" t="s">
        <v>65</v>
      </c>
      <c r="BC365" s="32">
        <f t="shared" si="151"/>
        <v>0</v>
      </c>
      <c r="BD365" s="32">
        <f t="shared" si="152"/>
        <v>0</v>
      </c>
      <c r="BE365" s="32">
        <v>0</v>
      </c>
      <c r="BF365" s="32">
        <f t="shared" si="153"/>
        <v>0.11260000000000001</v>
      </c>
      <c r="BH365" s="32">
        <f t="shared" si="154"/>
        <v>0</v>
      </c>
      <c r="BI365" s="32">
        <f t="shared" si="155"/>
        <v>0</v>
      </c>
      <c r="BJ365" s="32">
        <f t="shared" si="156"/>
        <v>0</v>
      </c>
      <c r="BK365" s="36" t="s">
        <v>66</v>
      </c>
      <c r="BL365" s="32">
        <v>735</v>
      </c>
      <c r="BW365" s="32">
        <f t="shared" si="157"/>
        <v>21</v>
      </c>
      <c r="BX365" s="4" t="s">
        <v>790</v>
      </c>
    </row>
    <row r="366" spans="1:76" x14ac:dyDescent="0.25">
      <c r="A366" s="2" t="s">
        <v>791</v>
      </c>
      <c r="B366" s="3" t="s">
        <v>55</v>
      </c>
      <c r="C366" s="3" t="s">
        <v>792</v>
      </c>
      <c r="D366" s="89" t="s">
        <v>793</v>
      </c>
      <c r="E366" s="90"/>
      <c r="F366" s="3" t="s">
        <v>88</v>
      </c>
      <c r="G366" s="32">
        <v>1</v>
      </c>
      <c r="H366" s="199">
        <v>0</v>
      </c>
      <c r="I366" s="33">
        <v>21</v>
      </c>
      <c r="J366" s="32">
        <f t="shared" si="132"/>
        <v>0</v>
      </c>
      <c r="K366" s="32">
        <f t="shared" si="133"/>
        <v>0</v>
      </c>
      <c r="L366" s="32">
        <f t="shared" si="134"/>
        <v>0</v>
      </c>
      <c r="M366" s="32">
        <f t="shared" si="135"/>
        <v>0</v>
      </c>
      <c r="N366" s="34">
        <f>IF(L649=0,0,L366/L649)</f>
        <v>0</v>
      </c>
      <c r="O366" s="32">
        <v>5.0819999999999997E-2</v>
      </c>
      <c r="P366" s="32">
        <f t="shared" si="136"/>
        <v>5.0819999999999997E-2</v>
      </c>
      <c r="Q366" s="35" t="s">
        <v>77</v>
      </c>
      <c r="Z366" s="32">
        <f t="shared" si="137"/>
        <v>0</v>
      </c>
      <c r="AB366" s="32">
        <f t="shared" si="138"/>
        <v>0</v>
      </c>
      <c r="AC366" s="32">
        <f t="shared" si="139"/>
        <v>0</v>
      </c>
      <c r="AD366" s="32">
        <f t="shared" si="140"/>
        <v>0</v>
      </c>
      <c r="AE366" s="32">
        <f t="shared" si="141"/>
        <v>0</v>
      </c>
      <c r="AF366" s="32">
        <f t="shared" si="142"/>
        <v>0</v>
      </c>
      <c r="AG366" s="32">
        <f t="shared" si="143"/>
        <v>0</v>
      </c>
      <c r="AH366" s="32">
        <f t="shared" si="144"/>
        <v>0</v>
      </c>
      <c r="AI366" s="12" t="s">
        <v>55</v>
      </c>
      <c r="AJ366" s="32">
        <f t="shared" si="145"/>
        <v>0</v>
      </c>
      <c r="AK366" s="32">
        <f t="shared" si="146"/>
        <v>0</v>
      </c>
      <c r="AL366" s="32">
        <f t="shared" si="147"/>
        <v>0</v>
      </c>
      <c r="AN366" s="32">
        <v>21</v>
      </c>
      <c r="AO366" s="32">
        <f>H366*0.928019196</f>
        <v>0</v>
      </c>
      <c r="AP366" s="32">
        <f>H366*(1-0.928019196)</f>
        <v>0</v>
      </c>
      <c r="AQ366" s="36" t="s">
        <v>90</v>
      </c>
      <c r="AV366" s="32">
        <f t="shared" si="148"/>
        <v>0</v>
      </c>
      <c r="AW366" s="32">
        <f t="shared" si="149"/>
        <v>0</v>
      </c>
      <c r="AX366" s="32">
        <f t="shared" si="150"/>
        <v>0</v>
      </c>
      <c r="AY366" s="36" t="s">
        <v>781</v>
      </c>
      <c r="AZ366" s="36" t="s">
        <v>664</v>
      </c>
      <c r="BA366" s="12" t="s">
        <v>65</v>
      </c>
      <c r="BC366" s="32">
        <f t="shared" si="151"/>
        <v>0</v>
      </c>
      <c r="BD366" s="32">
        <f t="shared" si="152"/>
        <v>0</v>
      </c>
      <c r="BE366" s="32">
        <v>0</v>
      </c>
      <c r="BF366" s="32">
        <f t="shared" si="153"/>
        <v>5.0819999999999997E-2</v>
      </c>
      <c r="BH366" s="32">
        <f t="shared" si="154"/>
        <v>0</v>
      </c>
      <c r="BI366" s="32">
        <f t="shared" si="155"/>
        <v>0</v>
      </c>
      <c r="BJ366" s="32">
        <f t="shared" si="156"/>
        <v>0</v>
      </c>
      <c r="BK366" s="36" t="s">
        <v>66</v>
      </c>
      <c r="BL366" s="32">
        <v>735</v>
      </c>
      <c r="BW366" s="32">
        <f t="shared" si="157"/>
        <v>21</v>
      </c>
      <c r="BX366" s="4" t="s">
        <v>793</v>
      </c>
    </row>
    <row r="367" spans="1:76" x14ac:dyDescent="0.25">
      <c r="A367" s="2" t="s">
        <v>794</v>
      </c>
      <c r="B367" s="3" t="s">
        <v>55</v>
      </c>
      <c r="C367" s="3" t="s">
        <v>795</v>
      </c>
      <c r="D367" s="89" t="s">
        <v>796</v>
      </c>
      <c r="E367" s="90"/>
      <c r="F367" s="3" t="s">
        <v>88</v>
      </c>
      <c r="G367" s="32">
        <v>1</v>
      </c>
      <c r="H367" s="199">
        <v>0</v>
      </c>
      <c r="I367" s="33">
        <v>21</v>
      </c>
      <c r="J367" s="32">
        <f t="shared" si="132"/>
        <v>0</v>
      </c>
      <c r="K367" s="32">
        <f t="shared" si="133"/>
        <v>0</v>
      </c>
      <c r="L367" s="32">
        <f t="shared" si="134"/>
        <v>0</v>
      </c>
      <c r="M367" s="32">
        <f t="shared" si="135"/>
        <v>0</v>
      </c>
      <c r="N367" s="34">
        <f>IF(L649=0,0,L367/L649)</f>
        <v>0</v>
      </c>
      <c r="O367" s="32">
        <v>7.8820000000000001E-2</v>
      </c>
      <c r="P367" s="32">
        <f t="shared" si="136"/>
        <v>7.8820000000000001E-2</v>
      </c>
      <c r="Q367" s="35" t="s">
        <v>77</v>
      </c>
      <c r="Z367" s="32">
        <f t="shared" si="137"/>
        <v>0</v>
      </c>
      <c r="AB367" s="32">
        <f t="shared" si="138"/>
        <v>0</v>
      </c>
      <c r="AC367" s="32">
        <f t="shared" si="139"/>
        <v>0</v>
      </c>
      <c r="AD367" s="32">
        <f t="shared" si="140"/>
        <v>0</v>
      </c>
      <c r="AE367" s="32">
        <f t="shared" si="141"/>
        <v>0</v>
      </c>
      <c r="AF367" s="32">
        <f t="shared" si="142"/>
        <v>0</v>
      </c>
      <c r="AG367" s="32">
        <f t="shared" si="143"/>
        <v>0</v>
      </c>
      <c r="AH367" s="32">
        <f t="shared" si="144"/>
        <v>0</v>
      </c>
      <c r="AI367" s="12" t="s">
        <v>55</v>
      </c>
      <c r="AJ367" s="32">
        <f t="shared" si="145"/>
        <v>0</v>
      </c>
      <c r="AK367" s="32">
        <f t="shared" si="146"/>
        <v>0</v>
      </c>
      <c r="AL367" s="32">
        <f t="shared" si="147"/>
        <v>0</v>
      </c>
      <c r="AN367" s="32">
        <v>21</v>
      </c>
      <c r="AO367" s="32">
        <f>H367*0.944100494</f>
        <v>0</v>
      </c>
      <c r="AP367" s="32">
        <f>H367*(1-0.944100494)</f>
        <v>0</v>
      </c>
      <c r="AQ367" s="36" t="s">
        <v>90</v>
      </c>
      <c r="AV367" s="32">
        <f t="shared" si="148"/>
        <v>0</v>
      </c>
      <c r="AW367" s="32">
        <f t="shared" si="149"/>
        <v>0</v>
      </c>
      <c r="AX367" s="32">
        <f t="shared" si="150"/>
        <v>0</v>
      </c>
      <c r="AY367" s="36" t="s">
        <v>781</v>
      </c>
      <c r="AZ367" s="36" t="s">
        <v>664</v>
      </c>
      <c r="BA367" s="12" t="s">
        <v>65</v>
      </c>
      <c r="BC367" s="32">
        <f t="shared" si="151"/>
        <v>0</v>
      </c>
      <c r="BD367" s="32">
        <f t="shared" si="152"/>
        <v>0</v>
      </c>
      <c r="BE367" s="32">
        <v>0</v>
      </c>
      <c r="BF367" s="32">
        <f t="shared" si="153"/>
        <v>7.8820000000000001E-2</v>
      </c>
      <c r="BH367" s="32">
        <f t="shared" si="154"/>
        <v>0</v>
      </c>
      <c r="BI367" s="32">
        <f t="shared" si="155"/>
        <v>0</v>
      </c>
      <c r="BJ367" s="32">
        <f t="shared" si="156"/>
        <v>0</v>
      </c>
      <c r="BK367" s="36" t="s">
        <v>66</v>
      </c>
      <c r="BL367" s="32">
        <v>735</v>
      </c>
      <c r="BW367" s="32">
        <f t="shared" si="157"/>
        <v>21</v>
      </c>
      <c r="BX367" s="4" t="s">
        <v>796</v>
      </c>
    </row>
    <row r="368" spans="1:76" x14ac:dyDescent="0.25">
      <c r="A368" s="2" t="s">
        <v>797</v>
      </c>
      <c r="B368" s="3" t="s">
        <v>55</v>
      </c>
      <c r="C368" s="3" t="s">
        <v>789</v>
      </c>
      <c r="D368" s="89" t="s">
        <v>798</v>
      </c>
      <c r="E368" s="90"/>
      <c r="F368" s="3" t="s">
        <v>88</v>
      </c>
      <c r="G368" s="32">
        <v>1</v>
      </c>
      <c r="H368" s="199">
        <v>0</v>
      </c>
      <c r="I368" s="33">
        <v>21</v>
      </c>
      <c r="J368" s="32">
        <f t="shared" si="132"/>
        <v>0</v>
      </c>
      <c r="K368" s="32">
        <f t="shared" si="133"/>
        <v>0</v>
      </c>
      <c r="L368" s="32">
        <f t="shared" si="134"/>
        <v>0</v>
      </c>
      <c r="M368" s="32">
        <f t="shared" si="135"/>
        <v>0</v>
      </c>
      <c r="N368" s="34">
        <f>IF(L649=0,0,L368/L649)</f>
        <v>0</v>
      </c>
      <c r="O368" s="32">
        <v>0.11260000000000001</v>
      </c>
      <c r="P368" s="32">
        <f t="shared" si="136"/>
        <v>0.11260000000000001</v>
      </c>
      <c r="Q368" s="35" t="s">
        <v>77</v>
      </c>
      <c r="Z368" s="32">
        <f t="shared" si="137"/>
        <v>0</v>
      </c>
      <c r="AB368" s="32">
        <f t="shared" si="138"/>
        <v>0</v>
      </c>
      <c r="AC368" s="32">
        <f t="shared" si="139"/>
        <v>0</v>
      </c>
      <c r="AD368" s="32">
        <f t="shared" si="140"/>
        <v>0</v>
      </c>
      <c r="AE368" s="32">
        <f t="shared" si="141"/>
        <v>0</v>
      </c>
      <c r="AF368" s="32">
        <f t="shared" si="142"/>
        <v>0</v>
      </c>
      <c r="AG368" s="32">
        <f t="shared" si="143"/>
        <v>0</v>
      </c>
      <c r="AH368" s="32">
        <f t="shared" si="144"/>
        <v>0</v>
      </c>
      <c r="AI368" s="12" t="s">
        <v>55</v>
      </c>
      <c r="AJ368" s="32">
        <f t="shared" si="145"/>
        <v>0</v>
      </c>
      <c r="AK368" s="32">
        <f t="shared" si="146"/>
        <v>0</v>
      </c>
      <c r="AL368" s="32">
        <f t="shared" si="147"/>
        <v>0</v>
      </c>
      <c r="AN368" s="32">
        <v>21</v>
      </c>
      <c r="AO368" s="32">
        <f>H368*0.947888889</f>
        <v>0</v>
      </c>
      <c r="AP368" s="32">
        <f>H368*(1-0.947888889)</f>
        <v>0</v>
      </c>
      <c r="AQ368" s="36" t="s">
        <v>90</v>
      </c>
      <c r="AV368" s="32">
        <f t="shared" si="148"/>
        <v>0</v>
      </c>
      <c r="AW368" s="32">
        <f t="shared" si="149"/>
        <v>0</v>
      </c>
      <c r="AX368" s="32">
        <f t="shared" si="150"/>
        <v>0</v>
      </c>
      <c r="AY368" s="36" t="s">
        <v>781</v>
      </c>
      <c r="AZ368" s="36" t="s">
        <v>664</v>
      </c>
      <c r="BA368" s="12" t="s">
        <v>65</v>
      </c>
      <c r="BC368" s="32">
        <f t="shared" si="151"/>
        <v>0</v>
      </c>
      <c r="BD368" s="32">
        <f t="shared" si="152"/>
        <v>0</v>
      </c>
      <c r="BE368" s="32">
        <v>0</v>
      </c>
      <c r="BF368" s="32">
        <f t="shared" si="153"/>
        <v>0.11260000000000001</v>
      </c>
      <c r="BH368" s="32">
        <f t="shared" si="154"/>
        <v>0</v>
      </c>
      <c r="BI368" s="32">
        <f t="shared" si="155"/>
        <v>0</v>
      </c>
      <c r="BJ368" s="32">
        <f t="shared" si="156"/>
        <v>0</v>
      </c>
      <c r="BK368" s="36" t="s">
        <v>66</v>
      </c>
      <c r="BL368" s="32">
        <v>735</v>
      </c>
      <c r="BW368" s="32">
        <f t="shared" si="157"/>
        <v>21</v>
      </c>
      <c r="BX368" s="4" t="s">
        <v>798</v>
      </c>
    </row>
    <row r="369" spans="1:76" x14ac:dyDescent="0.25">
      <c r="A369" s="2" t="s">
        <v>799</v>
      </c>
      <c r="B369" s="3" t="s">
        <v>55</v>
      </c>
      <c r="C369" s="3" t="s">
        <v>800</v>
      </c>
      <c r="D369" s="89" t="s">
        <v>801</v>
      </c>
      <c r="E369" s="90"/>
      <c r="F369" s="3" t="s">
        <v>88</v>
      </c>
      <c r="G369" s="32">
        <v>9</v>
      </c>
      <c r="H369" s="199">
        <v>0</v>
      </c>
      <c r="I369" s="33">
        <v>21</v>
      </c>
      <c r="J369" s="32">
        <f t="shared" si="132"/>
        <v>0</v>
      </c>
      <c r="K369" s="32">
        <f t="shared" si="133"/>
        <v>0</v>
      </c>
      <c r="L369" s="32">
        <f t="shared" si="134"/>
        <v>0</v>
      </c>
      <c r="M369" s="32">
        <f t="shared" si="135"/>
        <v>0</v>
      </c>
      <c r="N369" s="34">
        <f>IF(L649=0,0,L369/L649)</f>
        <v>0</v>
      </c>
      <c r="O369" s="32">
        <v>0</v>
      </c>
      <c r="P369" s="32">
        <f t="shared" si="136"/>
        <v>0</v>
      </c>
      <c r="Q369" s="35"/>
      <c r="Z369" s="32">
        <f t="shared" si="137"/>
        <v>0</v>
      </c>
      <c r="AB369" s="32">
        <f t="shared" si="138"/>
        <v>0</v>
      </c>
      <c r="AC369" s="32">
        <f t="shared" si="139"/>
        <v>0</v>
      </c>
      <c r="AD369" s="32">
        <f t="shared" si="140"/>
        <v>0</v>
      </c>
      <c r="AE369" s="32">
        <f t="shared" si="141"/>
        <v>0</v>
      </c>
      <c r="AF369" s="32">
        <f t="shared" si="142"/>
        <v>0</v>
      </c>
      <c r="AG369" s="32">
        <f t="shared" si="143"/>
        <v>0</v>
      </c>
      <c r="AH369" s="32">
        <f t="shared" si="144"/>
        <v>0</v>
      </c>
      <c r="AI369" s="12" t="s">
        <v>55</v>
      </c>
      <c r="AJ369" s="32">
        <f t="shared" si="145"/>
        <v>0</v>
      </c>
      <c r="AK369" s="32">
        <f t="shared" si="146"/>
        <v>0</v>
      </c>
      <c r="AL369" s="32">
        <f t="shared" si="147"/>
        <v>0</v>
      </c>
      <c r="AN369" s="32">
        <v>21</v>
      </c>
      <c r="AO369" s="32">
        <f>H369*0.14147842</f>
        <v>0</v>
      </c>
      <c r="AP369" s="32">
        <f>H369*(1-0.14147842)</f>
        <v>0</v>
      </c>
      <c r="AQ369" s="36" t="s">
        <v>90</v>
      </c>
      <c r="AV369" s="32">
        <f t="shared" si="148"/>
        <v>0</v>
      </c>
      <c r="AW369" s="32">
        <f t="shared" si="149"/>
        <v>0</v>
      </c>
      <c r="AX369" s="32">
        <f t="shared" si="150"/>
        <v>0</v>
      </c>
      <c r="AY369" s="36" t="s">
        <v>781</v>
      </c>
      <c r="AZ369" s="36" t="s">
        <v>664</v>
      </c>
      <c r="BA369" s="12" t="s">
        <v>65</v>
      </c>
      <c r="BC369" s="32">
        <f t="shared" si="151"/>
        <v>0</v>
      </c>
      <c r="BD369" s="32">
        <f t="shared" si="152"/>
        <v>0</v>
      </c>
      <c r="BE369" s="32">
        <v>0</v>
      </c>
      <c r="BF369" s="32">
        <f t="shared" si="153"/>
        <v>0</v>
      </c>
      <c r="BH369" s="32">
        <f t="shared" si="154"/>
        <v>0</v>
      </c>
      <c r="BI369" s="32">
        <f t="shared" si="155"/>
        <v>0</v>
      </c>
      <c r="BJ369" s="32">
        <f t="shared" si="156"/>
        <v>0</v>
      </c>
      <c r="BK369" s="36" t="s">
        <v>66</v>
      </c>
      <c r="BL369" s="32">
        <v>735</v>
      </c>
      <c r="BW369" s="32">
        <f t="shared" si="157"/>
        <v>21</v>
      </c>
      <c r="BX369" s="4" t="s">
        <v>801</v>
      </c>
    </row>
    <row r="370" spans="1:76" x14ac:dyDescent="0.25">
      <c r="A370" s="2" t="s">
        <v>802</v>
      </c>
      <c r="B370" s="3" t="s">
        <v>55</v>
      </c>
      <c r="C370" s="3" t="s">
        <v>803</v>
      </c>
      <c r="D370" s="89" t="s">
        <v>804</v>
      </c>
      <c r="E370" s="90"/>
      <c r="F370" s="3" t="s">
        <v>88</v>
      </c>
      <c r="G370" s="32">
        <v>8</v>
      </c>
      <c r="H370" s="199">
        <v>0</v>
      </c>
      <c r="I370" s="33">
        <v>21</v>
      </c>
      <c r="J370" s="32">
        <f t="shared" si="132"/>
        <v>0</v>
      </c>
      <c r="K370" s="32">
        <f t="shared" si="133"/>
        <v>0</v>
      </c>
      <c r="L370" s="32">
        <f t="shared" si="134"/>
        <v>0</v>
      </c>
      <c r="M370" s="32">
        <f t="shared" si="135"/>
        <v>0</v>
      </c>
      <c r="N370" s="34">
        <f>IF(L649=0,0,L370/L649)</f>
        <v>0</v>
      </c>
      <c r="O370" s="32">
        <v>1.3999999999999999E-4</v>
      </c>
      <c r="P370" s="32">
        <f t="shared" si="136"/>
        <v>1.1199999999999999E-3</v>
      </c>
      <c r="Q370" s="35"/>
      <c r="Z370" s="32">
        <f t="shared" si="137"/>
        <v>0</v>
      </c>
      <c r="AB370" s="32">
        <f t="shared" si="138"/>
        <v>0</v>
      </c>
      <c r="AC370" s="32">
        <f t="shared" si="139"/>
        <v>0</v>
      </c>
      <c r="AD370" s="32">
        <f t="shared" si="140"/>
        <v>0</v>
      </c>
      <c r="AE370" s="32">
        <f t="shared" si="141"/>
        <v>0</v>
      </c>
      <c r="AF370" s="32">
        <f t="shared" si="142"/>
        <v>0</v>
      </c>
      <c r="AG370" s="32">
        <f t="shared" si="143"/>
        <v>0</v>
      </c>
      <c r="AH370" s="32">
        <f t="shared" si="144"/>
        <v>0</v>
      </c>
      <c r="AI370" s="12" t="s">
        <v>55</v>
      </c>
      <c r="AJ370" s="32">
        <f t="shared" si="145"/>
        <v>0</v>
      </c>
      <c r="AK370" s="32">
        <f t="shared" si="146"/>
        <v>0</v>
      </c>
      <c r="AL370" s="32">
        <f t="shared" si="147"/>
        <v>0</v>
      </c>
      <c r="AN370" s="32">
        <v>21</v>
      </c>
      <c r="AO370" s="32">
        <f>H370*0.949510309</f>
        <v>0</v>
      </c>
      <c r="AP370" s="32">
        <f>H370*(1-0.949510309)</f>
        <v>0</v>
      </c>
      <c r="AQ370" s="36" t="s">
        <v>90</v>
      </c>
      <c r="AV370" s="32">
        <f t="shared" si="148"/>
        <v>0</v>
      </c>
      <c r="AW370" s="32">
        <f t="shared" si="149"/>
        <v>0</v>
      </c>
      <c r="AX370" s="32">
        <f t="shared" si="150"/>
        <v>0</v>
      </c>
      <c r="AY370" s="36" t="s">
        <v>781</v>
      </c>
      <c r="AZ370" s="36" t="s">
        <v>664</v>
      </c>
      <c r="BA370" s="12" t="s">
        <v>65</v>
      </c>
      <c r="BC370" s="32">
        <f t="shared" si="151"/>
        <v>0</v>
      </c>
      <c r="BD370" s="32">
        <f t="shared" si="152"/>
        <v>0</v>
      </c>
      <c r="BE370" s="32">
        <v>0</v>
      </c>
      <c r="BF370" s="32">
        <f t="shared" si="153"/>
        <v>1.1199999999999999E-3</v>
      </c>
      <c r="BH370" s="32">
        <f t="shared" si="154"/>
        <v>0</v>
      </c>
      <c r="BI370" s="32">
        <f t="shared" si="155"/>
        <v>0</v>
      </c>
      <c r="BJ370" s="32">
        <f t="shared" si="156"/>
        <v>0</v>
      </c>
      <c r="BK370" s="36" t="s">
        <v>66</v>
      </c>
      <c r="BL370" s="32">
        <v>735</v>
      </c>
      <c r="BW370" s="32">
        <f t="shared" si="157"/>
        <v>21</v>
      </c>
      <c r="BX370" s="4" t="s">
        <v>804</v>
      </c>
    </row>
    <row r="371" spans="1:76" x14ac:dyDescent="0.25">
      <c r="A371" s="2" t="s">
        <v>805</v>
      </c>
      <c r="B371" s="3" t="s">
        <v>55</v>
      </c>
      <c r="C371" s="3" t="s">
        <v>806</v>
      </c>
      <c r="D371" s="89" t="s">
        <v>807</v>
      </c>
      <c r="E371" s="90"/>
      <c r="F371" s="3" t="s">
        <v>88</v>
      </c>
      <c r="G371" s="32">
        <v>1</v>
      </c>
      <c r="H371" s="199">
        <v>0</v>
      </c>
      <c r="I371" s="33">
        <v>21</v>
      </c>
      <c r="J371" s="32">
        <f t="shared" si="132"/>
        <v>0</v>
      </c>
      <c r="K371" s="32">
        <f t="shared" si="133"/>
        <v>0</v>
      </c>
      <c r="L371" s="32">
        <f t="shared" si="134"/>
        <v>0</v>
      </c>
      <c r="M371" s="32">
        <f t="shared" si="135"/>
        <v>0</v>
      </c>
      <c r="N371" s="34">
        <f>IF(L649=0,0,L371/L649)</f>
        <v>0</v>
      </c>
      <c r="O371" s="32">
        <v>1.3999999999999999E-4</v>
      </c>
      <c r="P371" s="32">
        <f t="shared" si="136"/>
        <v>1.3999999999999999E-4</v>
      </c>
      <c r="Q371" s="35"/>
      <c r="Z371" s="32">
        <f t="shared" si="137"/>
        <v>0</v>
      </c>
      <c r="AB371" s="32">
        <f t="shared" si="138"/>
        <v>0</v>
      </c>
      <c r="AC371" s="32">
        <f t="shared" si="139"/>
        <v>0</v>
      </c>
      <c r="AD371" s="32">
        <f t="shared" si="140"/>
        <v>0</v>
      </c>
      <c r="AE371" s="32">
        <f t="shared" si="141"/>
        <v>0</v>
      </c>
      <c r="AF371" s="32">
        <f t="shared" si="142"/>
        <v>0</v>
      </c>
      <c r="AG371" s="32">
        <f t="shared" si="143"/>
        <v>0</v>
      </c>
      <c r="AH371" s="32">
        <f t="shared" si="144"/>
        <v>0</v>
      </c>
      <c r="AI371" s="12" t="s">
        <v>55</v>
      </c>
      <c r="AJ371" s="32">
        <f t="shared" si="145"/>
        <v>0</v>
      </c>
      <c r="AK371" s="32">
        <f t="shared" si="146"/>
        <v>0</v>
      </c>
      <c r="AL371" s="32">
        <f t="shared" si="147"/>
        <v>0</v>
      </c>
      <c r="AN371" s="32">
        <v>21</v>
      </c>
      <c r="AO371" s="32">
        <f>H371*0.742541727</f>
        <v>0</v>
      </c>
      <c r="AP371" s="32">
        <f>H371*(1-0.742541727)</f>
        <v>0</v>
      </c>
      <c r="AQ371" s="36" t="s">
        <v>90</v>
      </c>
      <c r="AV371" s="32">
        <f t="shared" si="148"/>
        <v>0</v>
      </c>
      <c r="AW371" s="32">
        <f t="shared" si="149"/>
        <v>0</v>
      </c>
      <c r="AX371" s="32">
        <f t="shared" si="150"/>
        <v>0</v>
      </c>
      <c r="AY371" s="36" t="s">
        <v>781</v>
      </c>
      <c r="AZ371" s="36" t="s">
        <v>664</v>
      </c>
      <c r="BA371" s="12" t="s">
        <v>65</v>
      </c>
      <c r="BC371" s="32">
        <f t="shared" si="151"/>
        <v>0</v>
      </c>
      <c r="BD371" s="32">
        <f t="shared" si="152"/>
        <v>0</v>
      </c>
      <c r="BE371" s="32">
        <v>0</v>
      </c>
      <c r="BF371" s="32">
        <f t="shared" si="153"/>
        <v>1.3999999999999999E-4</v>
      </c>
      <c r="BH371" s="32">
        <f t="shared" si="154"/>
        <v>0</v>
      </c>
      <c r="BI371" s="32">
        <f t="shared" si="155"/>
        <v>0</v>
      </c>
      <c r="BJ371" s="32">
        <f t="shared" si="156"/>
        <v>0</v>
      </c>
      <c r="BK371" s="36" t="s">
        <v>66</v>
      </c>
      <c r="BL371" s="32">
        <v>735</v>
      </c>
      <c r="BW371" s="32">
        <f t="shared" si="157"/>
        <v>21</v>
      </c>
      <c r="BX371" s="4" t="s">
        <v>807</v>
      </c>
    </row>
    <row r="372" spans="1:76" x14ac:dyDescent="0.25">
      <c r="A372" s="2" t="s">
        <v>808</v>
      </c>
      <c r="B372" s="3" t="s">
        <v>55</v>
      </c>
      <c r="C372" s="3" t="s">
        <v>809</v>
      </c>
      <c r="D372" s="89" t="s">
        <v>810</v>
      </c>
      <c r="E372" s="90"/>
      <c r="F372" s="3" t="s">
        <v>88</v>
      </c>
      <c r="G372" s="32">
        <v>9</v>
      </c>
      <c r="H372" s="199">
        <v>0</v>
      </c>
      <c r="I372" s="33">
        <v>21</v>
      </c>
      <c r="J372" s="32">
        <f t="shared" si="132"/>
        <v>0</v>
      </c>
      <c r="K372" s="32">
        <f t="shared" si="133"/>
        <v>0</v>
      </c>
      <c r="L372" s="32">
        <f t="shared" si="134"/>
        <v>0</v>
      </c>
      <c r="M372" s="32">
        <f t="shared" si="135"/>
        <v>0</v>
      </c>
      <c r="N372" s="34">
        <f>IF(L649=0,0,L372/L649)</f>
        <v>0</v>
      </c>
      <c r="O372" s="32">
        <v>4.4000000000000002E-4</v>
      </c>
      <c r="P372" s="32">
        <f t="shared" si="136"/>
        <v>3.96E-3</v>
      </c>
      <c r="Q372" s="35" t="s">
        <v>77</v>
      </c>
      <c r="Z372" s="32">
        <f t="shared" si="137"/>
        <v>0</v>
      </c>
      <c r="AB372" s="32">
        <f t="shared" si="138"/>
        <v>0</v>
      </c>
      <c r="AC372" s="32">
        <f t="shared" si="139"/>
        <v>0</v>
      </c>
      <c r="AD372" s="32">
        <f t="shared" si="140"/>
        <v>0</v>
      </c>
      <c r="AE372" s="32">
        <f t="shared" si="141"/>
        <v>0</v>
      </c>
      <c r="AF372" s="32">
        <f t="shared" si="142"/>
        <v>0</v>
      </c>
      <c r="AG372" s="32">
        <f t="shared" si="143"/>
        <v>0</v>
      </c>
      <c r="AH372" s="32">
        <f t="shared" si="144"/>
        <v>0</v>
      </c>
      <c r="AI372" s="12" t="s">
        <v>55</v>
      </c>
      <c r="AJ372" s="32">
        <f t="shared" si="145"/>
        <v>0</v>
      </c>
      <c r="AK372" s="32">
        <f t="shared" si="146"/>
        <v>0</v>
      </c>
      <c r="AL372" s="32">
        <f t="shared" si="147"/>
        <v>0</v>
      </c>
      <c r="AN372" s="32">
        <v>21</v>
      </c>
      <c r="AO372" s="32">
        <f>H372*0.887208619</f>
        <v>0</v>
      </c>
      <c r="AP372" s="32">
        <f>H372*(1-0.887208619)</f>
        <v>0</v>
      </c>
      <c r="AQ372" s="36" t="s">
        <v>90</v>
      </c>
      <c r="AV372" s="32">
        <f t="shared" si="148"/>
        <v>0</v>
      </c>
      <c r="AW372" s="32">
        <f t="shared" si="149"/>
        <v>0</v>
      </c>
      <c r="AX372" s="32">
        <f t="shared" si="150"/>
        <v>0</v>
      </c>
      <c r="AY372" s="36" t="s">
        <v>781</v>
      </c>
      <c r="AZ372" s="36" t="s">
        <v>664</v>
      </c>
      <c r="BA372" s="12" t="s">
        <v>65</v>
      </c>
      <c r="BC372" s="32">
        <f t="shared" si="151"/>
        <v>0</v>
      </c>
      <c r="BD372" s="32">
        <f t="shared" si="152"/>
        <v>0</v>
      </c>
      <c r="BE372" s="32">
        <v>0</v>
      </c>
      <c r="BF372" s="32">
        <f t="shared" si="153"/>
        <v>3.96E-3</v>
      </c>
      <c r="BH372" s="32">
        <f t="shared" si="154"/>
        <v>0</v>
      </c>
      <c r="BI372" s="32">
        <f t="shared" si="155"/>
        <v>0</v>
      </c>
      <c r="BJ372" s="32">
        <f t="shared" si="156"/>
        <v>0</v>
      </c>
      <c r="BK372" s="36" t="s">
        <v>66</v>
      </c>
      <c r="BL372" s="32">
        <v>735</v>
      </c>
      <c r="BW372" s="32">
        <f t="shared" si="157"/>
        <v>21</v>
      </c>
      <c r="BX372" s="4" t="s">
        <v>810</v>
      </c>
    </row>
    <row r="373" spans="1:76" x14ac:dyDescent="0.25">
      <c r="A373" s="2" t="s">
        <v>811</v>
      </c>
      <c r="B373" s="3" t="s">
        <v>55</v>
      </c>
      <c r="C373" s="3" t="s">
        <v>812</v>
      </c>
      <c r="D373" s="89" t="s">
        <v>813</v>
      </c>
      <c r="E373" s="90"/>
      <c r="F373" s="3" t="s">
        <v>88</v>
      </c>
      <c r="G373" s="32">
        <v>18</v>
      </c>
      <c r="H373" s="199">
        <v>0</v>
      </c>
      <c r="I373" s="33">
        <v>21</v>
      </c>
      <c r="J373" s="32">
        <f t="shared" si="132"/>
        <v>0</v>
      </c>
      <c r="K373" s="32">
        <f t="shared" si="133"/>
        <v>0</v>
      </c>
      <c r="L373" s="32">
        <f t="shared" si="134"/>
        <v>0</v>
      </c>
      <c r="M373" s="32">
        <f t="shared" si="135"/>
        <v>0</v>
      </c>
      <c r="N373" s="34">
        <f>IF(L649=0,0,L373/L649)</f>
        <v>0</v>
      </c>
      <c r="O373" s="32">
        <v>0</v>
      </c>
      <c r="P373" s="32">
        <f t="shared" si="136"/>
        <v>0</v>
      </c>
      <c r="Q373" s="35"/>
      <c r="Z373" s="32">
        <f t="shared" si="137"/>
        <v>0</v>
      </c>
      <c r="AB373" s="32">
        <f t="shared" si="138"/>
        <v>0</v>
      </c>
      <c r="AC373" s="32">
        <f t="shared" si="139"/>
        <v>0</v>
      </c>
      <c r="AD373" s="32">
        <f t="shared" si="140"/>
        <v>0</v>
      </c>
      <c r="AE373" s="32">
        <f t="shared" si="141"/>
        <v>0</v>
      </c>
      <c r="AF373" s="32">
        <f t="shared" si="142"/>
        <v>0</v>
      </c>
      <c r="AG373" s="32">
        <f t="shared" si="143"/>
        <v>0</v>
      </c>
      <c r="AH373" s="32">
        <f t="shared" si="144"/>
        <v>0</v>
      </c>
      <c r="AI373" s="12" t="s">
        <v>55</v>
      </c>
      <c r="AJ373" s="32">
        <f t="shared" si="145"/>
        <v>0</v>
      </c>
      <c r="AK373" s="32">
        <f t="shared" si="146"/>
        <v>0</v>
      </c>
      <c r="AL373" s="32">
        <f t="shared" si="147"/>
        <v>0</v>
      </c>
      <c r="AN373" s="32">
        <v>21</v>
      </c>
      <c r="AO373" s="32">
        <f>H373*1</f>
        <v>0</v>
      </c>
      <c r="AP373" s="32">
        <f>H373*(1-1)</f>
        <v>0</v>
      </c>
      <c r="AQ373" s="36" t="s">
        <v>90</v>
      </c>
      <c r="AV373" s="32">
        <f t="shared" si="148"/>
        <v>0</v>
      </c>
      <c r="AW373" s="32">
        <f t="shared" si="149"/>
        <v>0</v>
      </c>
      <c r="AX373" s="32">
        <f t="shared" si="150"/>
        <v>0</v>
      </c>
      <c r="AY373" s="36" t="s">
        <v>781</v>
      </c>
      <c r="AZ373" s="36" t="s">
        <v>664</v>
      </c>
      <c r="BA373" s="12" t="s">
        <v>65</v>
      </c>
      <c r="BC373" s="32">
        <f t="shared" si="151"/>
        <v>0</v>
      </c>
      <c r="BD373" s="32">
        <f t="shared" si="152"/>
        <v>0</v>
      </c>
      <c r="BE373" s="32">
        <v>0</v>
      </c>
      <c r="BF373" s="32">
        <f t="shared" si="153"/>
        <v>0</v>
      </c>
      <c r="BH373" s="32">
        <f t="shared" si="154"/>
        <v>0</v>
      </c>
      <c r="BI373" s="32">
        <f t="shared" si="155"/>
        <v>0</v>
      </c>
      <c r="BJ373" s="32">
        <f t="shared" si="156"/>
        <v>0</v>
      </c>
      <c r="BK373" s="36" t="s">
        <v>66</v>
      </c>
      <c r="BL373" s="32">
        <v>735</v>
      </c>
      <c r="BW373" s="32">
        <f t="shared" si="157"/>
        <v>21</v>
      </c>
      <c r="BX373" s="4" t="s">
        <v>813</v>
      </c>
    </row>
    <row r="374" spans="1:76" x14ac:dyDescent="0.25">
      <c r="A374" s="2" t="s">
        <v>814</v>
      </c>
      <c r="B374" s="3" t="s">
        <v>55</v>
      </c>
      <c r="C374" s="3" t="s">
        <v>815</v>
      </c>
      <c r="D374" s="89" t="s">
        <v>816</v>
      </c>
      <c r="E374" s="90"/>
      <c r="F374" s="3" t="s">
        <v>88</v>
      </c>
      <c r="G374" s="32">
        <v>1</v>
      </c>
      <c r="H374" s="199">
        <v>0</v>
      </c>
      <c r="I374" s="33">
        <v>21</v>
      </c>
      <c r="J374" s="32">
        <f t="shared" si="132"/>
        <v>0</v>
      </c>
      <c r="K374" s="32">
        <f t="shared" si="133"/>
        <v>0</v>
      </c>
      <c r="L374" s="32">
        <f t="shared" si="134"/>
        <v>0</v>
      </c>
      <c r="M374" s="32">
        <f t="shared" si="135"/>
        <v>0</v>
      </c>
      <c r="N374" s="34">
        <f>IF(L649=0,0,L374/L649)</f>
        <v>0</v>
      </c>
      <c r="O374" s="32">
        <v>2.2000000000000001E-4</v>
      </c>
      <c r="P374" s="32">
        <f t="shared" si="136"/>
        <v>2.2000000000000001E-4</v>
      </c>
      <c r="Q374" s="35" t="s">
        <v>55</v>
      </c>
      <c r="Z374" s="32">
        <f t="shared" si="137"/>
        <v>0</v>
      </c>
      <c r="AB374" s="32">
        <f t="shared" si="138"/>
        <v>0</v>
      </c>
      <c r="AC374" s="32">
        <f t="shared" si="139"/>
        <v>0</v>
      </c>
      <c r="AD374" s="32">
        <f t="shared" si="140"/>
        <v>0</v>
      </c>
      <c r="AE374" s="32">
        <f t="shared" si="141"/>
        <v>0</v>
      </c>
      <c r="AF374" s="32">
        <f t="shared" si="142"/>
        <v>0</v>
      </c>
      <c r="AG374" s="32">
        <f t="shared" si="143"/>
        <v>0</v>
      </c>
      <c r="AH374" s="32">
        <f t="shared" si="144"/>
        <v>0</v>
      </c>
      <c r="AI374" s="12" t="s">
        <v>55</v>
      </c>
      <c r="AJ374" s="32">
        <f t="shared" si="145"/>
        <v>0</v>
      </c>
      <c r="AK374" s="32">
        <f t="shared" si="146"/>
        <v>0</v>
      </c>
      <c r="AL374" s="32">
        <f t="shared" si="147"/>
        <v>0</v>
      </c>
      <c r="AN374" s="32">
        <v>21</v>
      </c>
      <c r="AO374" s="32">
        <f>H374*0.876852642</f>
        <v>0</v>
      </c>
      <c r="AP374" s="32">
        <f>H374*(1-0.876852642)</f>
        <v>0</v>
      </c>
      <c r="AQ374" s="36" t="s">
        <v>90</v>
      </c>
      <c r="AV374" s="32">
        <f t="shared" si="148"/>
        <v>0</v>
      </c>
      <c r="AW374" s="32">
        <f t="shared" si="149"/>
        <v>0</v>
      </c>
      <c r="AX374" s="32">
        <f t="shared" si="150"/>
        <v>0</v>
      </c>
      <c r="AY374" s="36" t="s">
        <v>781</v>
      </c>
      <c r="AZ374" s="36" t="s">
        <v>664</v>
      </c>
      <c r="BA374" s="12" t="s">
        <v>65</v>
      </c>
      <c r="BC374" s="32">
        <f t="shared" si="151"/>
        <v>0</v>
      </c>
      <c r="BD374" s="32">
        <f t="shared" si="152"/>
        <v>0</v>
      </c>
      <c r="BE374" s="32">
        <v>0</v>
      </c>
      <c r="BF374" s="32">
        <f t="shared" si="153"/>
        <v>2.2000000000000001E-4</v>
      </c>
      <c r="BH374" s="32">
        <f t="shared" si="154"/>
        <v>0</v>
      </c>
      <c r="BI374" s="32">
        <f t="shared" si="155"/>
        <v>0</v>
      </c>
      <c r="BJ374" s="32">
        <f t="shared" si="156"/>
        <v>0</v>
      </c>
      <c r="BK374" s="36" t="s">
        <v>66</v>
      </c>
      <c r="BL374" s="32">
        <v>735</v>
      </c>
      <c r="BW374" s="32">
        <f t="shared" si="157"/>
        <v>21</v>
      </c>
      <c r="BX374" s="4" t="s">
        <v>816</v>
      </c>
    </row>
    <row r="375" spans="1:76" x14ac:dyDescent="0.25">
      <c r="A375" s="2" t="s">
        <v>817</v>
      </c>
      <c r="B375" s="3" t="s">
        <v>55</v>
      </c>
      <c r="C375" s="3" t="s">
        <v>812</v>
      </c>
      <c r="D375" s="89" t="s">
        <v>736</v>
      </c>
      <c r="E375" s="90"/>
      <c r="F375" s="3" t="s">
        <v>316</v>
      </c>
      <c r="G375" s="32">
        <v>1</v>
      </c>
      <c r="H375" s="199">
        <v>0</v>
      </c>
      <c r="I375" s="33">
        <v>21</v>
      </c>
      <c r="J375" s="32">
        <f t="shared" si="132"/>
        <v>0</v>
      </c>
      <c r="K375" s="32">
        <f t="shared" si="133"/>
        <v>0</v>
      </c>
      <c r="L375" s="32">
        <f t="shared" si="134"/>
        <v>0</v>
      </c>
      <c r="M375" s="32">
        <f t="shared" si="135"/>
        <v>0</v>
      </c>
      <c r="N375" s="34">
        <f>IF(L649=0,0,L375/L649)</f>
        <v>0</v>
      </c>
      <c r="O375" s="32">
        <v>0</v>
      </c>
      <c r="P375" s="32">
        <f t="shared" si="136"/>
        <v>0</v>
      </c>
      <c r="Q375" s="35"/>
      <c r="Z375" s="32">
        <f t="shared" si="137"/>
        <v>0</v>
      </c>
      <c r="AB375" s="32">
        <f t="shared" si="138"/>
        <v>0</v>
      </c>
      <c r="AC375" s="32">
        <f t="shared" si="139"/>
        <v>0</v>
      </c>
      <c r="AD375" s="32">
        <f t="shared" si="140"/>
        <v>0</v>
      </c>
      <c r="AE375" s="32">
        <f t="shared" si="141"/>
        <v>0</v>
      </c>
      <c r="AF375" s="32">
        <f t="shared" si="142"/>
        <v>0</v>
      </c>
      <c r="AG375" s="32">
        <f t="shared" si="143"/>
        <v>0</v>
      </c>
      <c r="AH375" s="32">
        <f t="shared" si="144"/>
        <v>0</v>
      </c>
      <c r="AI375" s="12" t="s">
        <v>55</v>
      </c>
      <c r="AJ375" s="32">
        <f t="shared" si="145"/>
        <v>0</v>
      </c>
      <c r="AK375" s="32">
        <f t="shared" si="146"/>
        <v>0</v>
      </c>
      <c r="AL375" s="32">
        <f t="shared" si="147"/>
        <v>0</v>
      </c>
      <c r="AN375" s="32">
        <v>21</v>
      </c>
      <c r="AO375" s="32">
        <f>H375*0.815099415</f>
        <v>0</v>
      </c>
      <c r="AP375" s="32">
        <f>H375*(1-0.815099415)</f>
        <v>0</v>
      </c>
      <c r="AQ375" s="36" t="s">
        <v>90</v>
      </c>
      <c r="AV375" s="32">
        <f t="shared" si="148"/>
        <v>0</v>
      </c>
      <c r="AW375" s="32">
        <f t="shared" si="149"/>
        <v>0</v>
      </c>
      <c r="AX375" s="32">
        <f t="shared" si="150"/>
        <v>0</v>
      </c>
      <c r="AY375" s="36" t="s">
        <v>781</v>
      </c>
      <c r="AZ375" s="36" t="s">
        <v>664</v>
      </c>
      <c r="BA375" s="12" t="s">
        <v>65</v>
      </c>
      <c r="BC375" s="32">
        <f t="shared" si="151"/>
        <v>0</v>
      </c>
      <c r="BD375" s="32">
        <f t="shared" si="152"/>
        <v>0</v>
      </c>
      <c r="BE375" s="32">
        <v>0</v>
      </c>
      <c r="BF375" s="32">
        <f t="shared" si="153"/>
        <v>0</v>
      </c>
      <c r="BH375" s="32">
        <f t="shared" si="154"/>
        <v>0</v>
      </c>
      <c r="BI375" s="32">
        <f t="shared" si="155"/>
        <v>0</v>
      </c>
      <c r="BJ375" s="32">
        <f t="shared" si="156"/>
        <v>0</v>
      </c>
      <c r="BK375" s="36" t="s">
        <v>66</v>
      </c>
      <c r="BL375" s="32">
        <v>735</v>
      </c>
      <c r="BW375" s="32">
        <f t="shared" si="157"/>
        <v>21</v>
      </c>
      <c r="BX375" s="4" t="s">
        <v>736</v>
      </c>
    </row>
    <row r="376" spans="1:76" ht="13.5" customHeight="1" x14ac:dyDescent="0.25">
      <c r="A376" s="42"/>
      <c r="C376" s="43"/>
      <c r="D376" s="95" t="s">
        <v>454</v>
      </c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7"/>
    </row>
    <row r="377" spans="1:76" x14ac:dyDescent="0.25">
      <c r="A377" s="37" t="s">
        <v>55</v>
      </c>
      <c r="B377" s="38" t="s">
        <v>55</v>
      </c>
      <c r="C377" s="38" t="s">
        <v>818</v>
      </c>
      <c r="D377" s="98" t="s">
        <v>819</v>
      </c>
      <c r="E377" s="99"/>
      <c r="F377" s="39" t="s">
        <v>3</v>
      </c>
      <c r="G377" s="39" t="s">
        <v>3</v>
      </c>
      <c r="H377" s="39" t="s">
        <v>3</v>
      </c>
      <c r="I377" s="39" t="s">
        <v>3</v>
      </c>
      <c r="J377" s="1">
        <f>SUM(J378:J394)</f>
        <v>0</v>
      </c>
      <c r="K377" s="1">
        <f>SUM(K378:K394)</f>
        <v>0</v>
      </c>
      <c r="L377" s="1">
        <f>SUM(L378:L394)</f>
        <v>0</v>
      </c>
      <c r="M377" s="1">
        <f>SUM(M378:M394)</f>
        <v>0</v>
      </c>
      <c r="N377" s="40">
        <f>IF(L649=0,0,L377/L649)</f>
        <v>0</v>
      </c>
      <c r="O377" s="12" t="s">
        <v>55</v>
      </c>
      <c r="P377" s="1">
        <f>SUM(P378:P394)</f>
        <v>0.22467999999999999</v>
      </c>
      <c r="Q377" s="41" t="s">
        <v>55</v>
      </c>
      <c r="AI377" s="12" t="s">
        <v>55</v>
      </c>
      <c r="AS377" s="1">
        <f>SUM(AJ378:AJ394)</f>
        <v>0</v>
      </c>
      <c r="AT377" s="1">
        <f>SUM(AK378:AK394)</f>
        <v>0</v>
      </c>
      <c r="AU377" s="1">
        <f>SUM(AL378:AL394)</f>
        <v>0</v>
      </c>
    </row>
    <row r="378" spans="1:76" x14ac:dyDescent="0.25">
      <c r="A378" s="2" t="s">
        <v>820</v>
      </c>
      <c r="B378" s="3" t="s">
        <v>55</v>
      </c>
      <c r="C378" s="3" t="s">
        <v>821</v>
      </c>
      <c r="D378" s="89" t="s">
        <v>822</v>
      </c>
      <c r="E378" s="90"/>
      <c r="F378" s="3" t="s">
        <v>136</v>
      </c>
      <c r="G378" s="32">
        <v>18.5</v>
      </c>
      <c r="H378" s="199">
        <v>0</v>
      </c>
      <c r="I378" s="33">
        <v>21</v>
      </c>
      <c r="J378" s="32">
        <f>ROUND(G378*AO378,2)</f>
        <v>0</v>
      </c>
      <c r="K378" s="32">
        <f>ROUND(G378*AP378,2)</f>
        <v>0</v>
      </c>
      <c r="L378" s="32">
        <f>ROUND(G378*H378,2)</f>
        <v>0</v>
      </c>
      <c r="M378" s="32">
        <f>L378*(1+BW378/100)</f>
        <v>0</v>
      </c>
      <c r="N378" s="34">
        <f>IF(L649=0,0,L378/L649)</f>
        <v>0</v>
      </c>
      <c r="O378" s="32">
        <v>2.3800000000000002E-3</v>
      </c>
      <c r="P378" s="32">
        <f>G378*O378</f>
        <v>4.403E-2</v>
      </c>
      <c r="Q378" s="35" t="s">
        <v>77</v>
      </c>
      <c r="Z378" s="32">
        <f>ROUND(IF(AQ378="5",BJ378,0),2)</f>
        <v>0</v>
      </c>
      <c r="AB378" s="32">
        <f>ROUND(IF(AQ378="1",BH378,0),2)</f>
        <v>0</v>
      </c>
      <c r="AC378" s="32">
        <f>ROUND(IF(AQ378="1",BI378,0),2)</f>
        <v>0</v>
      </c>
      <c r="AD378" s="32">
        <f>ROUND(IF(AQ378="7",BH378,0),2)</f>
        <v>0</v>
      </c>
      <c r="AE378" s="32">
        <f>ROUND(IF(AQ378="7",BI378,0),2)</f>
        <v>0</v>
      </c>
      <c r="AF378" s="32">
        <f>ROUND(IF(AQ378="2",BH378,0),2)</f>
        <v>0</v>
      </c>
      <c r="AG378" s="32">
        <f>ROUND(IF(AQ378="2",BI378,0),2)</f>
        <v>0</v>
      </c>
      <c r="AH378" s="32">
        <f>ROUND(IF(AQ378="0",BJ378,0),2)</f>
        <v>0</v>
      </c>
      <c r="AI378" s="12" t="s">
        <v>55</v>
      </c>
      <c r="AJ378" s="32">
        <f>IF(AN378=0,L378,0)</f>
        <v>0</v>
      </c>
      <c r="AK378" s="32">
        <f>IF(AN378=12,L378,0)</f>
        <v>0</v>
      </c>
      <c r="AL378" s="32">
        <f>IF(AN378=21,L378,0)</f>
        <v>0</v>
      </c>
      <c r="AN378" s="32">
        <v>21</v>
      </c>
      <c r="AO378" s="32">
        <f>H378*0.462311439</f>
        <v>0</v>
      </c>
      <c r="AP378" s="32">
        <f>H378*(1-0.462311439)</f>
        <v>0</v>
      </c>
      <c r="AQ378" s="36" t="s">
        <v>90</v>
      </c>
      <c r="AV378" s="32">
        <f>ROUND(AW378+AX378,2)</f>
        <v>0</v>
      </c>
      <c r="AW378" s="32">
        <f>ROUND(G378*AO378,2)</f>
        <v>0</v>
      </c>
      <c r="AX378" s="32">
        <f>ROUND(G378*AP378,2)</f>
        <v>0</v>
      </c>
      <c r="AY378" s="36" t="s">
        <v>823</v>
      </c>
      <c r="AZ378" s="36" t="s">
        <v>824</v>
      </c>
      <c r="BA378" s="12" t="s">
        <v>65</v>
      </c>
      <c r="BC378" s="32">
        <f>AW378+AX378</f>
        <v>0</v>
      </c>
      <c r="BD378" s="32">
        <f>H378/(100-BE378)*100</f>
        <v>0</v>
      </c>
      <c r="BE378" s="32">
        <v>0</v>
      </c>
      <c r="BF378" s="32">
        <f>P378</f>
        <v>4.403E-2</v>
      </c>
      <c r="BH378" s="32">
        <f>G378*AO378</f>
        <v>0</v>
      </c>
      <c r="BI378" s="32">
        <f>G378*AP378</f>
        <v>0</v>
      </c>
      <c r="BJ378" s="32">
        <f>G378*H378</f>
        <v>0</v>
      </c>
      <c r="BK378" s="36" t="s">
        <v>66</v>
      </c>
      <c r="BL378" s="32">
        <v>764</v>
      </c>
      <c r="BW378" s="32">
        <f>I378</f>
        <v>21</v>
      </c>
      <c r="BX378" s="4" t="s">
        <v>822</v>
      </c>
    </row>
    <row r="379" spans="1:76" ht="13.5" customHeight="1" x14ac:dyDescent="0.25">
      <c r="A379" s="42"/>
      <c r="C379" s="43"/>
      <c r="D379" s="101" t="s">
        <v>1465</v>
      </c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7"/>
    </row>
    <row r="380" spans="1:76" x14ac:dyDescent="0.25">
      <c r="A380" s="2" t="s">
        <v>825</v>
      </c>
      <c r="B380" s="3" t="s">
        <v>55</v>
      </c>
      <c r="C380" s="3" t="s">
        <v>826</v>
      </c>
      <c r="D380" s="89" t="s">
        <v>827</v>
      </c>
      <c r="E380" s="90"/>
      <c r="F380" s="3" t="s">
        <v>136</v>
      </c>
      <c r="G380" s="32">
        <v>6.6</v>
      </c>
      <c r="H380" s="199">
        <v>0</v>
      </c>
      <c r="I380" s="33">
        <v>21</v>
      </c>
      <c r="J380" s="32">
        <f>ROUND(G380*AO380,2)</f>
        <v>0</v>
      </c>
      <c r="K380" s="32">
        <f>ROUND(G380*AP380,2)</f>
        <v>0</v>
      </c>
      <c r="L380" s="32">
        <f>ROUND(G380*H380,2)</f>
        <v>0</v>
      </c>
      <c r="M380" s="32">
        <f>L380*(1+BW380/100)</f>
        <v>0</v>
      </c>
      <c r="N380" s="34">
        <f>IF(L649=0,0,L380/L649)</f>
        <v>0</v>
      </c>
      <c r="O380" s="32">
        <v>1.97E-3</v>
      </c>
      <c r="P380" s="32">
        <f>G380*O380</f>
        <v>1.3002E-2</v>
      </c>
      <c r="Q380" s="35" t="s">
        <v>77</v>
      </c>
      <c r="Z380" s="32">
        <f>ROUND(IF(AQ380="5",BJ380,0),2)</f>
        <v>0</v>
      </c>
      <c r="AB380" s="32">
        <f>ROUND(IF(AQ380="1",BH380,0),2)</f>
        <v>0</v>
      </c>
      <c r="AC380" s="32">
        <f>ROUND(IF(AQ380="1",BI380,0),2)</f>
        <v>0</v>
      </c>
      <c r="AD380" s="32">
        <f>ROUND(IF(AQ380="7",BH380,0),2)</f>
        <v>0</v>
      </c>
      <c r="AE380" s="32">
        <f>ROUND(IF(AQ380="7",BI380,0),2)</f>
        <v>0</v>
      </c>
      <c r="AF380" s="32">
        <f>ROUND(IF(AQ380="2",BH380,0),2)</f>
        <v>0</v>
      </c>
      <c r="AG380" s="32">
        <f>ROUND(IF(AQ380="2",BI380,0),2)</f>
        <v>0</v>
      </c>
      <c r="AH380" s="32">
        <f>ROUND(IF(AQ380="0",BJ380,0),2)</f>
        <v>0</v>
      </c>
      <c r="AI380" s="12" t="s">
        <v>55</v>
      </c>
      <c r="AJ380" s="32">
        <f>IF(AN380=0,L380,0)</f>
        <v>0</v>
      </c>
      <c r="AK380" s="32">
        <f>IF(AN380=12,L380,0)</f>
        <v>0</v>
      </c>
      <c r="AL380" s="32">
        <f>IF(AN380=21,L380,0)</f>
        <v>0</v>
      </c>
      <c r="AN380" s="32">
        <v>21</v>
      </c>
      <c r="AO380" s="32">
        <f>H380*0.476834196</f>
        <v>0</v>
      </c>
      <c r="AP380" s="32">
        <f>H380*(1-0.476834196)</f>
        <v>0</v>
      </c>
      <c r="AQ380" s="36" t="s">
        <v>90</v>
      </c>
      <c r="AV380" s="32">
        <f>ROUND(AW380+AX380,2)</f>
        <v>0</v>
      </c>
      <c r="AW380" s="32">
        <f>ROUND(G380*AO380,2)</f>
        <v>0</v>
      </c>
      <c r="AX380" s="32">
        <f>ROUND(G380*AP380,2)</f>
        <v>0</v>
      </c>
      <c r="AY380" s="36" t="s">
        <v>823</v>
      </c>
      <c r="AZ380" s="36" t="s">
        <v>824</v>
      </c>
      <c r="BA380" s="12" t="s">
        <v>65</v>
      </c>
      <c r="BC380" s="32">
        <f>AW380+AX380</f>
        <v>0</v>
      </c>
      <c r="BD380" s="32">
        <f>H380/(100-BE380)*100</f>
        <v>0</v>
      </c>
      <c r="BE380" s="32">
        <v>0</v>
      </c>
      <c r="BF380" s="32">
        <f>P380</f>
        <v>1.3002E-2</v>
      </c>
      <c r="BH380" s="32">
        <f>G380*AO380</f>
        <v>0</v>
      </c>
      <c r="BI380" s="32">
        <f>G380*AP380</f>
        <v>0</v>
      </c>
      <c r="BJ380" s="32">
        <f>G380*H380</f>
        <v>0</v>
      </c>
      <c r="BK380" s="36" t="s">
        <v>66</v>
      </c>
      <c r="BL380" s="32">
        <v>764</v>
      </c>
      <c r="BW380" s="32">
        <f>I380</f>
        <v>21</v>
      </c>
      <c r="BX380" s="4" t="s">
        <v>827</v>
      </c>
    </row>
    <row r="381" spans="1:76" ht="13.5" customHeight="1" x14ac:dyDescent="0.25">
      <c r="A381" s="42"/>
      <c r="C381" s="43"/>
      <c r="D381" s="101" t="s">
        <v>1466</v>
      </c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7"/>
    </row>
    <row r="382" spans="1:76" x14ac:dyDescent="0.25">
      <c r="A382" s="2" t="s">
        <v>828</v>
      </c>
      <c r="B382" s="3" t="s">
        <v>55</v>
      </c>
      <c r="C382" s="3" t="s">
        <v>829</v>
      </c>
      <c r="D382" s="89" t="s">
        <v>830</v>
      </c>
      <c r="E382" s="90"/>
      <c r="F382" s="3" t="s">
        <v>136</v>
      </c>
      <c r="G382" s="32">
        <v>13.2</v>
      </c>
      <c r="H382" s="199">
        <v>0</v>
      </c>
      <c r="I382" s="33">
        <v>21</v>
      </c>
      <c r="J382" s="32">
        <f>ROUND(G382*AO382,2)</f>
        <v>0</v>
      </c>
      <c r="K382" s="32">
        <f>ROUND(G382*AP382,2)</f>
        <v>0</v>
      </c>
      <c r="L382" s="32">
        <f>ROUND(G382*H382,2)</f>
        <v>0</v>
      </c>
      <c r="M382" s="32">
        <f>L382*(1+BW382/100)</f>
        <v>0</v>
      </c>
      <c r="N382" s="34">
        <f>IF(L649=0,0,L382/L649)</f>
        <v>0</v>
      </c>
      <c r="O382" s="32">
        <v>1.1900000000000001E-3</v>
      </c>
      <c r="P382" s="32">
        <f>G382*O382</f>
        <v>1.5708E-2</v>
      </c>
      <c r="Q382" s="35"/>
      <c r="Z382" s="32">
        <f>ROUND(IF(AQ382="5",BJ382,0),2)</f>
        <v>0</v>
      </c>
      <c r="AB382" s="32">
        <f>ROUND(IF(AQ382="1",BH382,0),2)</f>
        <v>0</v>
      </c>
      <c r="AC382" s="32">
        <f>ROUND(IF(AQ382="1",BI382,0),2)</f>
        <v>0</v>
      </c>
      <c r="AD382" s="32">
        <f>ROUND(IF(AQ382="7",BH382,0),2)</f>
        <v>0</v>
      </c>
      <c r="AE382" s="32">
        <f>ROUND(IF(AQ382="7",BI382,0),2)</f>
        <v>0</v>
      </c>
      <c r="AF382" s="32">
        <f>ROUND(IF(AQ382="2",BH382,0),2)</f>
        <v>0</v>
      </c>
      <c r="AG382" s="32">
        <f>ROUND(IF(AQ382="2",BI382,0),2)</f>
        <v>0</v>
      </c>
      <c r="AH382" s="32">
        <f>ROUND(IF(AQ382="0",BJ382,0),2)</f>
        <v>0</v>
      </c>
      <c r="AI382" s="12" t="s">
        <v>55</v>
      </c>
      <c r="AJ382" s="32">
        <f>IF(AN382=0,L382,0)</f>
        <v>0</v>
      </c>
      <c r="AK382" s="32">
        <f>IF(AN382=12,L382,0)</f>
        <v>0</v>
      </c>
      <c r="AL382" s="32">
        <f>IF(AN382=21,L382,0)</f>
        <v>0</v>
      </c>
      <c r="AN382" s="32">
        <v>21</v>
      </c>
      <c r="AO382" s="32">
        <f>H382*0.576506331</f>
        <v>0</v>
      </c>
      <c r="AP382" s="32">
        <f>H382*(1-0.576506331)</f>
        <v>0</v>
      </c>
      <c r="AQ382" s="36" t="s">
        <v>90</v>
      </c>
      <c r="AV382" s="32">
        <f>ROUND(AW382+AX382,2)</f>
        <v>0</v>
      </c>
      <c r="AW382" s="32">
        <f>ROUND(G382*AO382,2)</f>
        <v>0</v>
      </c>
      <c r="AX382" s="32">
        <f>ROUND(G382*AP382,2)</f>
        <v>0</v>
      </c>
      <c r="AY382" s="36" t="s">
        <v>823</v>
      </c>
      <c r="AZ382" s="36" t="s">
        <v>824</v>
      </c>
      <c r="BA382" s="12" t="s">
        <v>65</v>
      </c>
      <c r="BC382" s="32">
        <f>AW382+AX382</f>
        <v>0</v>
      </c>
      <c r="BD382" s="32">
        <f>H382/(100-BE382)*100</f>
        <v>0</v>
      </c>
      <c r="BE382" s="32">
        <v>0</v>
      </c>
      <c r="BF382" s="32">
        <f>P382</f>
        <v>1.5708E-2</v>
      </c>
      <c r="BH382" s="32">
        <f>G382*AO382</f>
        <v>0</v>
      </c>
      <c r="BI382" s="32">
        <f>G382*AP382</f>
        <v>0</v>
      </c>
      <c r="BJ382" s="32">
        <f>G382*H382</f>
        <v>0</v>
      </c>
      <c r="BK382" s="36" t="s">
        <v>66</v>
      </c>
      <c r="BL382" s="32">
        <v>764</v>
      </c>
      <c r="BW382" s="32">
        <f>I382</f>
        <v>21</v>
      </c>
      <c r="BX382" s="4" t="s">
        <v>830</v>
      </c>
    </row>
    <row r="383" spans="1:76" x14ac:dyDescent="0.25">
      <c r="A383" s="2" t="s">
        <v>831</v>
      </c>
      <c r="B383" s="3" t="s">
        <v>55</v>
      </c>
      <c r="C383" s="3" t="s">
        <v>832</v>
      </c>
      <c r="D383" s="89" t="s">
        <v>833</v>
      </c>
      <c r="E383" s="90"/>
      <c r="F383" s="3" t="s">
        <v>76</v>
      </c>
      <c r="G383" s="32">
        <v>19.8</v>
      </c>
      <c r="H383" s="199">
        <v>0</v>
      </c>
      <c r="I383" s="33">
        <v>21</v>
      </c>
      <c r="J383" s="32">
        <f>ROUND(G383*AO383,2)</f>
        <v>0</v>
      </c>
      <c r="K383" s="32">
        <f>ROUND(G383*AP383,2)</f>
        <v>0</v>
      </c>
      <c r="L383" s="32">
        <f>ROUND(G383*H383,2)</f>
        <v>0</v>
      </c>
      <c r="M383" s="32">
        <f>L383*(1+BW383/100)</f>
        <v>0</v>
      </c>
      <c r="N383" s="34">
        <f>IF(L649=0,0,L383/L649)</f>
        <v>0</v>
      </c>
      <c r="O383" s="32">
        <v>5.2199999999999998E-3</v>
      </c>
      <c r="P383" s="32">
        <f>G383*O383</f>
        <v>0.103356</v>
      </c>
      <c r="Q383" s="35" t="s">
        <v>77</v>
      </c>
      <c r="Z383" s="32">
        <f>ROUND(IF(AQ383="5",BJ383,0),2)</f>
        <v>0</v>
      </c>
      <c r="AB383" s="32">
        <f>ROUND(IF(AQ383="1",BH383,0),2)</f>
        <v>0</v>
      </c>
      <c r="AC383" s="32">
        <f>ROUND(IF(AQ383="1",BI383,0),2)</f>
        <v>0</v>
      </c>
      <c r="AD383" s="32">
        <f>ROUND(IF(AQ383="7",BH383,0),2)</f>
        <v>0</v>
      </c>
      <c r="AE383" s="32">
        <f>ROUND(IF(AQ383="7",BI383,0),2)</f>
        <v>0</v>
      </c>
      <c r="AF383" s="32">
        <f>ROUND(IF(AQ383="2",BH383,0),2)</f>
        <v>0</v>
      </c>
      <c r="AG383" s="32">
        <f>ROUND(IF(AQ383="2",BI383,0),2)</f>
        <v>0</v>
      </c>
      <c r="AH383" s="32">
        <f>ROUND(IF(AQ383="0",BJ383,0),2)</f>
        <v>0</v>
      </c>
      <c r="AI383" s="12" t="s">
        <v>55</v>
      </c>
      <c r="AJ383" s="32">
        <f>IF(AN383=0,L383,0)</f>
        <v>0</v>
      </c>
      <c r="AK383" s="32">
        <f>IF(AN383=12,L383,0)</f>
        <v>0</v>
      </c>
      <c r="AL383" s="32">
        <f>IF(AN383=21,L383,0)</f>
        <v>0</v>
      </c>
      <c r="AN383" s="32">
        <v>21</v>
      </c>
      <c r="AO383" s="32">
        <f>H383*0.341415071</f>
        <v>0</v>
      </c>
      <c r="AP383" s="32">
        <f>H383*(1-0.341415071)</f>
        <v>0</v>
      </c>
      <c r="AQ383" s="36" t="s">
        <v>90</v>
      </c>
      <c r="AV383" s="32">
        <f>ROUND(AW383+AX383,2)</f>
        <v>0</v>
      </c>
      <c r="AW383" s="32">
        <f>ROUND(G383*AO383,2)</f>
        <v>0</v>
      </c>
      <c r="AX383" s="32">
        <f>ROUND(G383*AP383,2)</f>
        <v>0</v>
      </c>
      <c r="AY383" s="36" t="s">
        <v>823</v>
      </c>
      <c r="AZ383" s="36" t="s">
        <v>824</v>
      </c>
      <c r="BA383" s="12" t="s">
        <v>65</v>
      </c>
      <c r="BC383" s="32">
        <f>AW383+AX383</f>
        <v>0</v>
      </c>
      <c r="BD383" s="32">
        <f>H383/(100-BE383)*100</f>
        <v>0</v>
      </c>
      <c r="BE383" s="32">
        <v>0</v>
      </c>
      <c r="BF383" s="32">
        <f>P383</f>
        <v>0.103356</v>
      </c>
      <c r="BH383" s="32">
        <f>G383*AO383</f>
        <v>0</v>
      </c>
      <c r="BI383" s="32">
        <f>G383*AP383</f>
        <v>0</v>
      </c>
      <c r="BJ383" s="32">
        <f>G383*H383</f>
        <v>0</v>
      </c>
      <c r="BK383" s="36" t="s">
        <v>66</v>
      </c>
      <c r="BL383" s="32">
        <v>764</v>
      </c>
      <c r="BW383" s="32">
        <f>I383</f>
        <v>21</v>
      </c>
      <c r="BX383" s="4" t="s">
        <v>833</v>
      </c>
    </row>
    <row r="384" spans="1:76" x14ac:dyDescent="0.25">
      <c r="A384" s="2" t="s">
        <v>834</v>
      </c>
      <c r="B384" s="3" t="s">
        <v>55</v>
      </c>
      <c r="C384" s="3" t="s">
        <v>835</v>
      </c>
      <c r="D384" s="89" t="s">
        <v>836</v>
      </c>
      <c r="E384" s="90"/>
      <c r="F384" s="3" t="s">
        <v>136</v>
      </c>
      <c r="G384" s="32">
        <v>6.2</v>
      </c>
      <c r="H384" s="199">
        <v>0</v>
      </c>
      <c r="I384" s="33">
        <v>21</v>
      </c>
      <c r="J384" s="32">
        <f>ROUND(G384*AO384,2)</f>
        <v>0</v>
      </c>
      <c r="K384" s="32">
        <f>ROUND(G384*AP384,2)</f>
        <v>0</v>
      </c>
      <c r="L384" s="32">
        <f>ROUND(G384*H384,2)</f>
        <v>0</v>
      </c>
      <c r="M384" s="32">
        <f>L384*(1+BW384/100)</f>
        <v>0</v>
      </c>
      <c r="N384" s="34">
        <f>IF(L649=0,0,L384/L649)</f>
        <v>0</v>
      </c>
      <c r="O384" s="32">
        <v>1.8799999999999999E-3</v>
      </c>
      <c r="P384" s="32">
        <f>G384*O384</f>
        <v>1.1656E-2</v>
      </c>
      <c r="Q384" s="35" t="s">
        <v>77</v>
      </c>
      <c r="Z384" s="32">
        <f>ROUND(IF(AQ384="5",BJ384,0),2)</f>
        <v>0</v>
      </c>
      <c r="AB384" s="32">
        <f>ROUND(IF(AQ384="1",BH384,0),2)</f>
        <v>0</v>
      </c>
      <c r="AC384" s="32">
        <f>ROUND(IF(AQ384="1",BI384,0),2)</f>
        <v>0</v>
      </c>
      <c r="AD384" s="32">
        <f>ROUND(IF(AQ384="7",BH384,0),2)</f>
        <v>0</v>
      </c>
      <c r="AE384" s="32">
        <f>ROUND(IF(AQ384="7",BI384,0),2)</f>
        <v>0</v>
      </c>
      <c r="AF384" s="32">
        <f>ROUND(IF(AQ384="2",BH384,0),2)</f>
        <v>0</v>
      </c>
      <c r="AG384" s="32">
        <f>ROUND(IF(AQ384="2",BI384,0),2)</f>
        <v>0</v>
      </c>
      <c r="AH384" s="32">
        <f>ROUND(IF(AQ384="0",BJ384,0),2)</f>
        <v>0</v>
      </c>
      <c r="AI384" s="12" t="s">
        <v>55</v>
      </c>
      <c r="AJ384" s="32">
        <f>IF(AN384=0,L384,0)</f>
        <v>0</v>
      </c>
      <c r="AK384" s="32">
        <f>IF(AN384=12,L384,0)</f>
        <v>0</v>
      </c>
      <c r="AL384" s="32">
        <f>IF(AN384=21,L384,0)</f>
        <v>0</v>
      </c>
      <c r="AN384" s="32">
        <v>21</v>
      </c>
      <c r="AO384" s="32">
        <f>H384*0.209774036</f>
        <v>0</v>
      </c>
      <c r="AP384" s="32">
        <f>H384*(1-0.209774036)</f>
        <v>0</v>
      </c>
      <c r="AQ384" s="36" t="s">
        <v>90</v>
      </c>
      <c r="AV384" s="32">
        <f>ROUND(AW384+AX384,2)</f>
        <v>0</v>
      </c>
      <c r="AW384" s="32">
        <f>ROUND(G384*AO384,2)</f>
        <v>0</v>
      </c>
      <c r="AX384" s="32">
        <f>ROUND(G384*AP384,2)</f>
        <v>0</v>
      </c>
      <c r="AY384" s="36" t="s">
        <v>823</v>
      </c>
      <c r="AZ384" s="36" t="s">
        <v>824</v>
      </c>
      <c r="BA384" s="12" t="s">
        <v>65</v>
      </c>
      <c r="BC384" s="32">
        <f>AW384+AX384</f>
        <v>0</v>
      </c>
      <c r="BD384" s="32">
        <f>H384/(100-BE384)*100</f>
        <v>0</v>
      </c>
      <c r="BE384" s="32">
        <v>0</v>
      </c>
      <c r="BF384" s="32">
        <f>P384</f>
        <v>1.1656E-2</v>
      </c>
      <c r="BH384" s="32">
        <f>G384*AO384</f>
        <v>0</v>
      </c>
      <c r="BI384" s="32">
        <f>G384*AP384</f>
        <v>0</v>
      </c>
      <c r="BJ384" s="32">
        <f>G384*H384</f>
        <v>0</v>
      </c>
      <c r="BK384" s="36" t="s">
        <v>66</v>
      </c>
      <c r="BL384" s="32">
        <v>764</v>
      </c>
      <c r="BW384" s="32">
        <f>I384</f>
        <v>21</v>
      </c>
      <c r="BX384" s="4" t="s">
        <v>836</v>
      </c>
    </row>
    <row r="385" spans="1:76" x14ac:dyDescent="0.25">
      <c r="A385" s="2" t="s">
        <v>837</v>
      </c>
      <c r="B385" s="3" t="s">
        <v>55</v>
      </c>
      <c r="C385" s="3" t="s">
        <v>838</v>
      </c>
      <c r="D385" s="89" t="s">
        <v>839</v>
      </c>
      <c r="E385" s="90"/>
      <c r="F385" s="3" t="s">
        <v>136</v>
      </c>
      <c r="G385" s="32">
        <v>6.7</v>
      </c>
      <c r="H385" s="199">
        <v>0</v>
      </c>
      <c r="I385" s="33">
        <v>21</v>
      </c>
      <c r="J385" s="32">
        <f>ROUND(G385*AO385,2)</f>
        <v>0</v>
      </c>
      <c r="K385" s="32">
        <f>ROUND(G385*AP385,2)</f>
        <v>0</v>
      </c>
      <c r="L385" s="32">
        <f>ROUND(G385*H385,2)</f>
        <v>0</v>
      </c>
      <c r="M385" s="32">
        <f>L385*(1+BW385/100)</f>
        <v>0</v>
      </c>
      <c r="N385" s="34">
        <f>IF(L649=0,0,L385/L649)</f>
        <v>0</v>
      </c>
      <c r="O385" s="32">
        <v>2.7499999999999998E-3</v>
      </c>
      <c r="P385" s="32">
        <f>G385*O385</f>
        <v>1.8425E-2</v>
      </c>
      <c r="Q385" s="35" t="s">
        <v>77</v>
      </c>
      <c r="Z385" s="32">
        <f>ROUND(IF(AQ385="5",BJ385,0),2)</f>
        <v>0</v>
      </c>
      <c r="AB385" s="32">
        <f>ROUND(IF(AQ385="1",BH385,0),2)</f>
        <v>0</v>
      </c>
      <c r="AC385" s="32">
        <f>ROUND(IF(AQ385="1",BI385,0),2)</f>
        <v>0</v>
      </c>
      <c r="AD385" s="32">
        <f>ROUND(IF(AQ385="7",BH385,0),2)</f>
        <v>0</v>
      </c>
      <c r="AE385" s="32">
        <f>ROUND(IF(AQ385="7",BI385,0),2)</f>
        <v>0</v>
      </c>
      <c r="AF385" s="32">
        <f>ROUND(IF(AQ385="2",BH385,0),2)</f>
        <v>0</v>
      </c>
      <c r="AG385" s="32">
        <f>ROUND(IF(AQ385="2",BI385,0),2)</f>
        <v>0</v>
      </c>
      <c r="AH385" s="32">
        <f>ROUND(IF(AQ385="0",BJ385,0),2)</f>
        <v>0</v>
      </c>
      <c r="AI385" s="12" t="s">
        <v>55</v>
      </c>
      <c r="AJ385" s="32">
        <f>IF(AN385=0,L385,0)</f>
        <v>0</v>
      </c>
      <c r="AK385" s="32">
        <f>IF(AN385=12,L385,0)</f>
        <v>0</v>
      </c>
      <c r="AL385" s="32">
        <f>IF(AN385=21,L385,0)</f>
        <v>0</v>
      </c>
      <c r="AN385" s="32">
        <v>21</v>
      </c>
      <c r="AO385" s="32">
        <f>H385*0.242724516</f>
        <v>0</v>
      </c>
      <c r="AP385" s="32">
        <f>H385*(1-0.242724516)</f>
        <v>0</v>
      </c>
      <c r="AQ385" s="36" t="s">
        <v>90</v>
      </c>
      <c r="AV385" s="32">
        <f>ROUND(AW385+AX385,2)</f>
        <v>0</v>
      </c>
      <c r="AW385" s="32">
        <f>ROUND(G385*AO385,2)</f>
        <v>0</v>
      </c>
      <c r="AX385" s="32">
        <f>ROUND(G385*AP385,2)</f>
        <v>0</v>
      </c>
      <c r="AY385" s="36" t="s">
        <v>823</v>
      </c>
      <c r="AZ385" s="36" t="s">
        <v>824</v>
      </c>
      <c r="BA385" s="12" t="s">
        <v>65</v>
      </c>
      <c r="BC385" s="32">
        <f>AW385+AX385</f>
        <v>0</v>
      </c>
      <c r="BD385" s="32">
        <f>H385/(100-BE385)*100</f>
        <v>0</v>
      </c>
      <c r="BE385" s="32">
        <v>0</v>
      </c>
      <c r="BF385" s="32">
        <f>P385</f>
        <v>1.8425E-2</v>
      </c>
      <c r="BH385" s="32">
        <f>G385*AO385</f>
        <v>0</v>
      </c>
      <c r="BI385" s="32">
        <f>G385*AP385</f>
        <v>0</v>
      </c>
      <c r="BJ385" s="32">
        <f>G385*H385</f>
        <v>0</v>
      </c>
      <c r="BK385" s="36" t="s">
        <v>66</v>
      </c>
      <c r="BL385" s="32">
        <v>764</v>
      </c>
      <c r="BW385" s="32">
        <f>I385</f>
        <v>21</v>
      </c>
      <c r="BX385" s="4" t="s">
        <v>839</v>
      </c>
    </row>
    <row r="386" spans="1:76" ht="13.5" customHeight="1" x14ac:dyDescent="0.25">
      <c r="A386" s="42"/>
      <c r="C386" s="43"/>
      <c r="D386" s="95" t="s">
        <v>840</v>
      </c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7"/>
    </row>
    <row r="387" spans="1:76" x14ac:dyDescent="0.25">
      <c r="A387" s="2" t="s">
        <v>841</v>
      </c>
      <c r="B387" s="3" t="s">
        <v>55</v>
      </c>
      <c r="C387" s="3" t="s">
        <v>842</v>
      </c>
      <c r="D387" s="89" t="s">
        <v>843</v>
      </c>
      <c r="E387" s="90"/>
      <c r="F387" s="3" t="s">
        <v>136</v>
      </c>
      <c r="G387" s="32">
        <v>13.2</v>
      </c>
      <c r="H387" s="199">
        <v>0</v>
      </c>
      <c r="I387" s="33">
        <v>21</v>
      </c>
      <c r="J387" s="32">
        <f>ROUND(G387*AO387,2)</f>
        <v>0</v>
      </c>
      <c r="K387" s="32">
        <f>ROUND(G387*AP387,2)</f>
        <v>0</v>
      </c>
      <c r="L387" s="32">
        <f>ROUND(G387*H387,2)</f>
        <v>0</v>
      </c>
      <c r="M387" s="32">
        <f>L387*(1+BW387/100)</f>
        <v>0</v>
      </c>
      <c r="N387" s="34">
        <f>IF(L649=0,0,L387/L649)</f>
        <v>0</v>
      </c>
      <c r="O387" s="32">
        <v>5.4000000000000001E-4</v>
      </c>
      <c r="P387" s="32">
        <f>G387*O387</f>
        <v>7.1279999999999998E-3</v>
      </c>
      <c r="Q387" s="35" t="s">
        <v>77</v>
      </c>
      <c r="Z387" s="32">
        <f>ROUND(IF(AQ387="5",BJ387,0),2)</f>
        <v>0</v>
      </c>
      <c r="AB387" s="32">
        <f>ROUND(IF(AQ387="1",BH387,0),2)</f>
        <v>0</v>
      </c>
      <c r="AC387" s="32">
        <f>ROUND(IF(AQ387="1",BI387,0),2)</f>
        <v>0</v>
      </c>
      <c r="AD387" s="32">
        <f>ROUND(IF(AQ387="7",BH387,0),2)</f>
        <v>0</v>
      </c>
      <c r="AE387" s="32">
        <f>ROUND(IF(AQ387="7",BI387,0),2)</f>
        <v>0</v>
      </c>
      <c r="AF387" s="32">
        <f>ROUND(IF(AQ387="2",BH387,0),2)</f>
        <v>0</v>
      </c>
      <c r="AG387" s="32">
        <f>ROUND(IF(AQ387="2",BI387,0),2)</f>
        <v>0</v>
      </c>
      <c r="AH387" s="32">
        <f>ROUND(IF(AQ387="0",BJ387,0),2)</f>
        <v>0</v>
      </c>
      <c r="AI387" s="12" t="s">
        <v>55</v>
      </c>
      <c r="AJ387" s="32">
        <f>IF(AN387=0,L387,0)</f>
        <v>0</v>
      </c>
      <c r="AK387" s="32">
        <f>IF(AN387=12,L387,0)</f>
        <v>0</v>
      </c>
      <c r="AL387" s="32">
        <f>IF(AN387=21,L387,0)</f>
        <v>0</v>
      </c>
      <c r="AN387" s="32">
        <v>21</v>
      </c>
      <c r="AO387" s="32">
        <f>H387*0.669469571</f>
        <v>0</v>
      </c>
      <c r="AP387" s="32">
        <f>H387*(1-0.669469571)</f>
        <v>0</v>
      </c>
      <c r="AQ387" s="36" t="s">
        <v>90</v>
      </c>
      <c r="AV387" s="32">
        <f>ROUND(AW387+AX387,2)</f>
        <v>0</v>
      </c>
      <c r="AW387" s="32">
        <f>ROUND(G387*AO387,2)</f>
        <v>0</v>
      </c>
      <c r="AX387" s="32">
        <f>ROUND(G387*AP387,2)</f>
        <v>0</v>
      </c>
      <c r="AY387" s="36" t="s">
        <v>823</v>
      </c>
      <c r="AZ387" s="36" t="s">
        <v>824</v>
      </c>
      <c r="BA387" s="12" t="s">
        <v>65</v>
      </c>
      <c r="BC387" s="32">
        <f>AW387+AX387</f>
        <v>0</v>
      </c>
      <c r="BD387" s="32">
        <f>H387/(100-BE387)*100</f>
        <v>0</v>
      </c>
      <c r="BE387" s="32">
        <v>0</v>
      </c>
      <c r="BF387" s="32">
        <f>P387</f>
        <v>7.1279999999999998E-3</v>
      </c>
      <c r="BH387" s="32">
        <f>G387*AO387</f>
        <v>0</v>
      </c>
      <c r="BI387" s="32">
        <f>G387*AP387</f>
        <v>0</v>
      </c>
      <c r="BJ387" s="32">
        <f>G387*H387</f>
        <v>0</v>
      </c>
      <c r="BK387" s="36" t="s">
        <v>66</v>
      </c>
      <c r="BL387" s="32">
        <v>764</v>
      </c>
      <c r="BW387" s="32">
        <f>I387</f>
        <v>21</v>
      </c>
      <c r="BX387" s="4" t="s">
        <v>843</v>
      </c>
    </row>
    <row r="388" spans="1:76" ht="13.5" customHeight="1" x14ac:dyDescent="0.25">
      <c r="A388" s="42"/>
      <c r="C388" s="43"/>
      <c r="D388" s="101" t="s">
        <v>1467</v>
      </c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7"/>
    </row>
    <row r="389" spans="1:76" x14ac:dyDescent="0.25">
      <c r="A389" s="2" t="s">
        <v>844</v>
      </c>
      <c r="B389" s="3" t="s">
        <v>55</v>
      </c>
      <c r="C389" s="3" t="s">
        <v>845</v>
      </c>
      <c r="D389" s="89" t="s">
        <v>846</v>
      </c>
      <c r="E389" s="90"/>
      <c r="F389" s="3" t="s">
        <v>136</v>
      </c>
      <c r="G389" s="32">
        <v>2.5</v>
      </c>
      <c r="H389" s="199">
        <v>0</v>
      </c>
      <c r="I389" s="33">
        <v>21</v>
      </c>
      <c r="J389" s="32">
        <f>ROUND(G389*AO389,2)</f>
        <v>0</v>
      </c>
      <c r="K389" s="32">
        <f>ROUND(G389*AP389,2)</f>
        <v>0</v>
      </c>
      <c r="L389" s="32">
        <f>ROUND(G389*H389,2)</f>
        <v>0</v>
      </c>
      <c r="M389" s="32">
        <f>L389*(1+BW389/100)</f>
        <v>0</v>
      </c>
      <c r="N389" s="34">
        <f>IF(L649=0,0,L389/L649)</f>
        <v>0</v>
      </c>
      <c r="O389" s="32">
        <v>1.5900000000000001E-3</v>
      </c>
      <c r="P389" s="32">
        <f>G389*O389</f>
        <v>3.9750000000000002E-3</v>
      </c>
      <c r="Q389" s="35" t="s">
        <v>77</v>
      </c>
      <c r="Z389" s="32">
        <f>ROUND(IF(AQ389="5",BJ389,0),2)</f>
        <v>0</v>
      </c>
      <c r="AB389" s="32">
        <f>ROUND(IF(AQ389="1",BH389,0),2)</f>
        <v>0</v>
      </c>
      <c r="AC389" s="32">
        <f>ROUND(IF(AQ389="1",BI389,0),2)</f>
        <v>0</v>
      </c>
      <c r="AD389" s="32">
        <f>ROUND(IF(AQ389="7",BH389,0),2)</f>
        <v>0</v>
      </c>
      <c r="AE389" s="32">
        <f>ROUND(IF(AQ389="7",BI389,0),2)</f>
        <v>0</v>
      </c>
      <c r="AF389" s="32">
        <f>ROUND(IF(AQ389="2",BH389,0),2)</f>
        <v>0</v>
      </c>
      <c r="AG389" s="32">
        <f>ROUND(IF(AQ389="2",BI389,0),2)</f>
        <v>0</v>
      </c>
      <c r="AH389" s="32">
        <f>ROUND(IF(AQ389="0",BJ389,0),2)</f>
        <v>0</v>
      </c>
      <c r="AI389" s="12" t="s">
        <v>55</v>
      </c>
      <c r="AJ389" s="32">
        <f>IF(AN389=0,L389,0)</f>
        <v>0</v>
      </c>
      <c r="AK389" s="32">
        <f>IF(AN389=12,L389,0)</f>
        <v>0</v>
      </c>
      <c r="AL389" s="32">
        <f>IF(AN389=21,L389,0)</f>
        <v>0</v>
      </c>
      <c r="AN389" s="32">
        <v>21</v>
      </c>
      <c r="AO389" s="32">
        <f>H389*0.600632708</f>
        <v>0</v>
      </c>
      <c r="AP389" s="32">
        <f>H389*(1-0.600632708)</f>
        <v>0</v>
      </c>
      <c r="AQ389" s="36" t="s">
        <v>90</v>
      </c>
      <c r="AV389" s="32">
        <f>ROUND(AW389+AX389,2)</f>
        <v>0</v>
      </c>
      <c r="AW389" s="32">
        <f>ROUND(G389*AO389,2)</f>
        <v>0</v>
      </c>
      <c r="AX389" s="32">
        <f>ROUND(G389*AP389,2)</f>
        <v>0</v>
      </c>
      <c r="AY389" s="36" t="s">
        <v>823</v>
      </c>
      <c r="AZ389" s="36" t="s">
        <v>824</v>
      </c>
      <c r="BA389" s="12" t="s">
        <v>65</v>
      </c>
      <c r="BC389" s="32">
        <f>AW389+AX389</f>
        <v>0</v>
      </c>
      <c r="BD389" s="32">
        <f>H389/(100-BE389)*100</f>
        <v>0</v>
      </c>
      <c r="BE389" s="32">
        <v>0</v>
      </c>
      <c r="BF389" s="32">
        <f>P389</f>
        <v>3.9750000000000002E-3</v>
      </c>
      <c r="BH389" s="32">
        <f>G389*AO389</f>
        <v>0</v>
      </c>
      <c r="BI389" s="32">
        <f>G389*AP389</f>
        <v>0</v>
      </c>
      <c r="BJ389" s="32">
        <f>G389*H389</f>
        <v>0</v>
      </c>
      <c r="BK389" s="36" t="s">
        <v>66</v>
      </c>
      <c r="BL389" s="32">
        <v>764</v>
      </c>
      <c r="BW389" s="32">
        <f>I389</f>
        <v>21</v>
      </c>
      <c r="BX389" s="4" t="s">
        <v>846</v>
      </c>
    </row>
    <row r="390" spans="1:76" ht="13.5" customHeight="1" x14ac:dyDescent="0.25">
      <c r="A390" s="42"/>
      <c r="C390" s="43"/>
      <c r="D390" s="95" t="s">
        <v>847</v>
      </c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7"/>
    </row>
    <row r="391" spans="1:76" x14ac:dyDescent="0.25">
      <c r="A391" s="2" t="s">
        <v>848</v>
      </c>
      <c r="B391" s="3" t="s">
        <v>55</v>
      </c>
      <c r="C391" s="3" t="s">
        <v>849</v>
      </c>
      <c r="D391" s="89" t="s">
        <v>850</v>
      </c>
      <c r="E391" s="90"/>
      <c r="F391" s="3" t="s">
        <v>136</v>
      </c>
      <c r="G391" s="32">
        <v>1</v>
      </c>
      <c r="H391" s="199">
        <v>0</v>
      </c>
      <c r="I391" s="33">
        <v>21</v>
      </c>
      <c r="J391" s="32">
        <f>ROUND(G391*AO391,2)</f>
        <v>0</v>
      </c>
      <c r="K391" s="32">
        <f>ROUND(G391*AP391,2)</f>
        <v>0</v>
      </c>
      <c r="L391" s="32">
        <f>ROUND(G391*H391,2)</f>
        <v>0</v>
      </c>
      <c r="M391" s="32">
        <f>L391*(1+BW391/100)</f>
        <v>0</v>
      </c>
      <c r="N391" s="34">
        <f>IF(L649=0,0,L391/L649)</f>
        <v>0</v>
      </c>
      <c r="O391" s="32">
        <v>5.7999999999999996E-3</v>
      </c>
      <c r="P391" s="32">
        <f>G391*O391</f>
        <v>5.7999999999999996E-3</v>
      </c>
      <c r="Q391" s="35" t="s">
        <v>77</v>
      </c>
      <c r="Z391" s="32">
        <f>ROUND(IF(AQ391="5",BJ391,0),2)</f>
        <v>0</v>
      </c>
      <c r="AB391" s="32">
        <f>ROUND(IF(AQ391="1",BH391,0),2)</f>
        <v>0</v>
      </c>
      <c r="AC391" s="32">
        <f>ROUND(IF(AQ391="1",BI391,0),2)</f>
        <v>0</v>
      </c>
      <c r="AD391" s="32">
        <f>ROUND(IF(AQ391="7",BH391,0),2)</f>
        <v>0</v>
      </c>
      <c r="AE391" s="32">
        <f>ROUND(IF(AQ391="7",BI391,0),2)</f>
        <v>0</v>
      </c>
      <c r="AF391" s="32">
        <f>ROUND(IF(AQ391="2",BH391,0),2)</f>
        <v>0</v>
      </c>
      <c r="AG391" s="32">
        <f>ROUND(IF(AQ391="2",BI391,0),2)</f>
        <v>0</v>
      </c>
      <c r="AH391" s="32">
        <f>ROUND(IF(AQ391="0",BJ391,0),2)</f>
        <v>0</v>
      </c>
      <c r="AI391" s="12" t="s">
        <v>55</v>
      </c>
      <c r="AJ391" s="32">
        <f>IF(AN391=0,L391,0)</f>
        <v>0</v>
      </c>
      <c r="AK391" s="32">
        <f>IF(AN391=12,L391,0)</f>
        <v>0</v>
      </c>
      <c r="AL391" s="32">
        <f>IF(AN391=21,L391,0)</f>
        <v>0</v>
      </c>
      <c r="AN391" s="32">
        <v>21</v>
      </c>
      <c r="AO391" s="32">
        <f>H391*0.500195122</f>
        <v>0</v>
      </c>
      <c r="AP391" s="32">
        <f>H391*(1-0.500195122)</f>
        <v>0</v>
      </c>
      <c r="AQ391" s="36" t="s">
        <v>90</v>
      </c>
      <c r="AV391" s="32">
        <f>ROUND(AW391+AX391,2)</f>
        <v>0</v>
      </c>
      <c r="AW391" s="32">
        <f>ROUND(G391*AO391,2)</f>
        <v>0</v>
      </c>
      <c r="AX391" s="32">
        <f>ROUND(G391*AP391,2)</f>
        <v>0</v>
      </c>
      <c r="AY391" s="36" t="s">
        <v>823</v>
      </c>
      <c r="AZ391" s="36" t="s">
        <v>824</v>
      </c>
      <c r="BA391" s="12" t="s">
        <v>65</v>
      </c>
      <c r="BC391" s="32">
        <f>AW391+AX391</f>
        <v>0</v>
      </c>
      <c r="BD391" s="32">
        <f>H391/(100-BE391)*100</f>
        <v>0</v>
      </c>
      <c r="BE391" s="32">
        <v>0</v>
      </c>
      <c r="BF391" s="32">
        <f>P391</f>
        <v>5.7999999999999996E-3</v>
      </c>
      <c r="BH391" s="32">
        <f>G391*AO391</f>
        <v>0</v>
      </c>
      <c r="BI391" s="32">
        <f>G391*AP391</f>
        <v>0</v>
      </c>
      <c r="BJ391" s="32">
        <f>G391*H391</f>
        <v>0</v>
      </c>
      <c r="BK391" s="36" t="s">
        <v>66</v>
      </c>
      <c r="BL391" s="32">
        <v>764</v>
      </c>
      <c r="BW391" s="32">
        <f>I391</f>
        <v>21</v>
      </c>
      <c r="BX391" s="4" t="s">
        <v>850</v>
      </c>
    </row>
    <row r="392" spans="1:76" x14ac:dyDescent="0.25">
      <c r="A392" s="2" t="s">
        <v>851</v>
      </c>
      <c r="B392" s="3" t="s">
        <v>55</v>
      </c>
      <c r="C392" s="3" t="s">
        <v>852</v>
      </c>
      <c r="D392" s="89" t="s">
        <v>853</v>
      </c>
      <c r="E392" s="90"/>
      <c r="F392" s="3" t="s">
        <v>88</v>
      </c>
      <c r="G392" s="32">
        <v>2</v>
      </c>
      <c r="H392" s="199">
        <v>0</v>
      </c>
      <c r="I392" s="33">
        <v>21</v>
      </c>
      <c r="J392" s="32">
        <f>ROUND(G392*AO392,2)</f>
        <v>0</v>
      </c>
      <c r="K392" s="32">
        <f>ROUND(G392*AP392,2)</f>
        <v>0</v>
      </c>
      <c r="L392" s="32">
        <f>ROUND(G392*H392,2)</f>
        <v>0</v>
      </c>
      <c r="M392" s="32">
        <f>L392*(1+BW392/100)</f>
        <v>0</v>
      </c>
      <c r="N392" s="34">
        <f>IF(L649=0,0,L392/L649)</f>
        <v>0</v>
      </c>
      <c r="O392" s="32">
        <v>8.0000000000000004E-4</v>
      </c>
      <c r="P392" s="32">
        <f>G392*O392</f>
        <v>1.6000000000000001E-3</v>
      </c>
      <c r="Q392" s="35" t="s">
        <v>55</v>
      </c>
      <c r="Z392" s="32">
        <f>ROUND(IF(AQ392="5",BJ392,0),2)</f>
        <v>0</v>
      </c>
      <c r="AB392" s="32">
        <f>ROUND(IF(AQ392="1",BH392,0),2)</f>
        <v>0</v>
      </c>
      <c r="AC392" s="32">
        <f>ROUND(IF(AQ392="1",BI392,0),2)</f>
        <v>0</v>
      </c>
      <c r="AD392" s="32">
        <f>ROUND(IF(AQ392="7",BH392,0),2)</f>
        <v>0</v>
      </c>
      <c r="AE392" s="32">
        <f>ROUND(IF(AQ392="7",BI392,0),2)</f>
        <v>0</v>
      </c>
      <c r="AF392" s="32">
        <f>ROUND(IF(AQ392="2",BH392,0),2)</f>
        <v>0</v>
      </c>
      <c r="AG392" s="32">
        <f>ROUND(IF(AQ392="2",BI392,0),2)</f>
        <v>0</v>
      </c>
      <c r="AH392" s="32">
        <f>ROUND(IF(AQ392="0",BJ392,0),2)</f>
        <v>0</v>
      </c>
      <c r="AI392" s="12" t="s">
        <v>55</v>
      </c>
      <c r="AJ392" s="32">
        <f>IF(AN392=0,L392,0)</f>
        <v>0</v>
      </c>
      <c r="AK392" s="32">
        <f>IF(AN392=12,L392,0)</f>
        <v>0</v>
      </c>
      <c r="AL392" s="32">
        <f>IF(AN392=21,L392,0)</f>
        <v>0</v>
      </c>
      <c r="AN392" s="32">
        <v>21</v>
      </c>
      <c r="AO392" s="32">
        <f>H392*0.475214097</f>
        <v>0</v>
      </c>
      <c r="AP392" s="32">
        <f>H392*(1-0.475214097)</f>
        <v>0</v>
      </c>
      <c r="AQ392" s="36" t="s">
        <v>90</v>
      </c>
      <c r="AV392" s="32">
        <f>ROUND(AW392+AX392,2)</f>
        <v>0</v>
      </c>
      <c r="AW392" s="32">
        <f>ROUND(G392*AO392,2)</f>
        <v>0</v>
      </c>
      <c r="AX392" s="32">
        <f>ROUND(G392*AP392,2)</f>
        <v>0</v>
      </c>
      <c r="AY392" s="36" t="s">
        <v>823</v>
      </c>
      <c r="AZ392" s="36" t="s">
        <v>824</v>
      </c>
      <c r="BA392" s="12" t="s">
        <v>65</v>
      </c>
      <c r="BC392" s="32">
        <f>AW392+AX392</f>
        <v>0</v>
      </c>
      <c r="BD392" s="32">
        <f>H392/(100-BE392)*100</f>
        <v>0</v>
      </c>
      <c r="BE392" s="32">
        <v>0</v>
      </c>
      <c r="BF392" s="32">
        <f>P392</f>
        <v>1.6000000000000001E-3</v>
      </c>
      <c r="BH392" s="32">
        <f>G392*AO392</f>
        <v>0</v>
      </c>
      <c r="BI392" s="32">
        <f>G392*AP392</f>
        <v>0</v>
      </c>
      <c r="BJ392" s="32">
        <f>G392*H392</f>
        <v>0</v>
      </c>
      <c r="BK392" s="36" t="s">
        <v>66</v>
      </c>
      <c r="BL392" s="32">
        <v>764</v>
      </c>
      <c r="BW392" s="32">
        <f>I392</f>
        <v>21</v>
      </c>
      <c r="BX392" s="4" t="s">
        <v>853</v>
      </c>
    </row>
    <row r="393" spans="1:76" ht="13.5" customHeight="1" x14ac:dyDescent="0.25">
      <c r="A393" s="42"/>
      <c r="C393" s="43"/>
      <c r="D393" s="101" t="s">
        <v>1468</v>
      </c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7"/>
    </row>
    <row r="394" spans="1:76" x14ac:dyDescent="0.25">
      <c r="A394" s="2" t="s">
        <v>854</v>
      </c>
      <c r="B394" s="3" t="s">
        <v>55</v>
      </c>
      <c r="C394" s="3" t="s">
        <v>855</v>
      </c>
      <c r="D394" s="89" t="s">
        <v>856</v>
      </c>
      <c r="E394" s="90"/>
      <c r="F394" s="3" t="s">
        <v>316</v>
      </c>
      <c r="G394" s="32">
        <v>1</v>
      </c>
      <c r="H394" s="199">
        <v>0</v>
      </c>
      <c r="I394" s="33">
        <v>21</v>
      </c>
      <c r="J394" s="32">
        <f>ROUND(G394*AO394,2)</f>
        <v>0</v>
      </c>
      <c r="K394" s="32">
        <f>ROUND(G394*AP394,2)</f>
        <v>0</v>
      </c>
      <c r="L394" s="32">
        <f>ROUND(G394*H394,2)</f>
        <v>0</v>
      </c>
      <c r="M394" s="32">
        <f>L394*(1+BW394/100)</f>
        <v>0</v>
      </c>
      <c r="N394" s="34">
        <f>IF(L649=0,0,L394/L649)</f>
        <v>0</v>
      </c>
      <c r="O394" s="32">
        <v>0</v>
      </c>
      <c r="P394" s="32">
        <f>G394*O394</f>
        <v>0</v>
      </c>
      <c r="Q394" s="35" t="s">
        <v>55</v>
      </c>
      <c r="Z394" s="32">
        <f>ROUND(IF(AQ394="5",BJ394,0),2)</f>
        <v>0</v>
      </c>
      <c r="AB394" s="32">
        <f>ROUND(IF(AQ394="1",BH394,0),2)</f>
        <v>0</v>
      </c>
      <c r="AC394" s="32">
        <f>ROUND(IF(AQ394="1",BI394,0),2)</f>
        <v>0</v>
      </c>
      <c r="AD394" s="32">
        <f>ROUND(IF(AQ394="7",BH394,0),2)</f>
        <v>0</v>
      </c>
      <c r="AE394" s="32">
        <f>ROUND(IF(AQ394="7",BI394,0),2)</f>
        <v>0</v>
      </c>
      <c r="AF394" s="32">
        <f>ROUND(IF(AQ394="2",BH394,0),2)</f>
        <v>0</v>
      </c>
      <c r="AG394" s="32">
        <f>ROUND(IF(AQ394="2",BI394,0),2)</f>
        <v>0</v>
      </c>
      <c r="AH394" s="32">
        <f>ROUND(IF(AQ394="0",BJ394,0),2)</f>
        <v>0</v>
      </c>
      <c r="AI394" s="12" t="s">
        <v>55</v>
      </c>
      <c r="AJ394" s="32">
        <f>IF(AN394=0,L394,0)</f>
        <v>0</v>
      </c>
      <c r="AK394" s="32">
        <f>IF(AN394=12,L394,0)</f>
        <v>0</v>
      </c>
      <c r="AL394" s="32">
        <f>IF(AN394=21,L394,0)</f>
        <v>0</v>
      </c>
      <c r="AN394" s="32">
        <v>21</v>
      </c>
      <c r="AO394" s="32">
        <f>H394*0.531569966</f>
        <v>0</v>
      </c>
      <c r="AP394" s="32">
        <f>H394*(1-0.531569966)</f>
        <v>0</v>
      </c>
      <c r="AQ394" s="36" t="s">
        <v>90</v>
      </c>
      <c r="AV394" s="32">
        <f>ROUND(AW394+AX394,2)</f>
        <v>0</v>
      </c>
      <c r="AW394" s="32">
        <f>ROUND(G394*AO394,2)</f>
        <v>0</v>
      </c>
      <c r="AX394" s="32">
        <f>ROUND(G394*AP394,2)</f>
        <v>0</v>
      </c>
      <c r="AY394" s="36" t="s">
        <v>823</v>
      </c>
      <c r="AZ394" s="36" t="s">
        <v>824</v>
      </c>
      <c r="BA394" s="12" t="s">
        <v>65</v>
      </c>
      <c r="BC394" s="32">
        <f>AW394+AX394</f>
        <v>0</v>
      </c>
      <c r="BD394" s="32">
        <f>H394/(100-BE394)*100</f>
        <v>0</v>
      </c>
      <c r="BE394" s="32">
        <v>0</v>
      </c>
      <c r="BF394" s="32">
        <f>P394</f>
        <v>0</v>
      </c>
      <c r="BH394" s="32">
        <f>G394*AO394</f>
        <v>0</v>
      </c>
      <c r="BI394" s="32">
        <f>G394*AP394</f>
        <v>0</v>
      </c>
      <c r="BJ394" s="32">
        <f>G394*H394</f>
        <v>0</v>
      </c>
      <c r="BK394" s="36" t="s">
        <v>66</v>
      </c>
      <c r="BL394" s="32">
        <v>764</v>
      </c>
      <c r="BW394" s="32">
        <f>I394</f>
        <v>21</v>
      </c>
      <c r="BX394" s="4" t="s">
        <v>856</v>
      </c>
    </row>
    <row r="395" spans="1:76" ht="13.5" customHeight="1" x14ac:dyDescent="0.25">
      <c r="A395" s="42"/>
      <c r="C395" s="43"/>
      <c r="D395" s="95" t="s">
        <v>454</v>
      </c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7"/>
    </row>
    <row r="396" spans="1:76" x14ac:dyDescent="0.25">
      <c r="A396" s="37" t="s">
        <v>55</v>
      </c>
      <c r="B396" s="38" t="s">
        <v>55</v>
      </c>
      <c r="C396" s="38" t="s">
        <v>857</v>
      </c>
      <c r="D396" s="98" t="s">
        <v>858</v>
      </c>
      <c r="E396" s="99"/>
      <c r="F396" s="39" t="s">
        <v>3</v>
      </c>
      <c r="G396" s="39" t="s">
        <v>3</v>
      </c>
      <c r="H396" s="39" t="s">
        <v>3</v>
      </c>
      <c r="I396" s="39" t="s">
        <v>3</v>
      </c>
      <c r="J396" s="1">
        <f>SUM(J397:J446)</f>
        <v>0</v>
      </c>
      <c r="K396" s="1">
        <f>SUM(K397:K446)</f>
        <v>0</v>
      </c>
      <c r="L396" s="1">
        <f>SUM(L397:L446)</f>
        <v>0</v>
      </c>
      <c r="M396" s="1">
        <f>SUM(M397:M446)</f>
        <v>0</v>
      </c>
      <c r="N396" s="40">
        <f>IF(L649=0,0,L396/L649)</f>
        <v>0</v>
      </c>
      <c r="O396" s="12" t="s">
        <v>55</v>
      </c>
      <c r="P396" s="1">
        <f>SUM(P397:P446)</f>
        <v>3.9367254599999999</v>
      </c>
      <c r="Q396" s="41" t="s">
        <v>55</v>
      </c>
      <c r="AI396" s="12" t="s">
        <v>55</v>
      </c>
      <c r="AS396" s="1">
        <f>SUM(AJ397:AJ446)</f>
        <v>0</v>
      </c>
      <c r="AT396" s="1">
        <f>SUM(AK397:AK446)</f>
        <v>0</v>
      </c>
      <c r="AU396" s="1">
        <f>SUM(AL397:AL446)</f>
        <v>0</v>
      </c>
    </row>
    <row r="397" spans="1:76" x14ac:dyDescent="0.25">
      <c r="A397" s="2" t="s">
        <v>859</v>
      </c>
      <c r="B397" s="3" t="s">
        <v>55</v>
      </c>
      <c r="C397" s="3" t="s">
        <v>860</v>
      </c>
      <c r="D397" s="89" t="s">
        <v>861</v>
      </c>
      <c r="E397" s="90"/>
      <c r="F397" s="3" t="s">
        <v>76</v>
      </c>
      <c r="G397" s="32">
        <v>45.2</v>
      </c>
      <c r="H397" s="199">
        <v>0</v>
      </c>
      <c r="I397" s="33">
        <v>21</v>
      </c>
      <c r="J397" s="32">
        <f>ROUND(G397*AO397,2)</f>
        <v>0</v>
      </c>
      <c r="K397" s="32">
        <f>ROUND(G397*AP397,2)</f>
        <v>0</v>
      </c>
      <c r="L397" s="32">
        <f>ROUND(G397*H397,2)</f>
        <v>0</v>
      </c>
      <c r="M397" s="32">
        <f>L397*(1+BW397/100)</f>
        <v>0</v>
      </c>
      <c r="N397" s="34">
        <f>IF(L649=0,0,L397/L649)</f>
        <v>0</v>
      </c>
      <c r="O397" s="32">
        <v>1.7000000000000001E-4</v>
      </c>
      <c r="P397" s="32">
        <f>G397*O397</f>
        <v>7.6840000000000007E-3</v>
      </c>
      <c r="Q397" s="35" t="s">
        <v>77</v>
      </c>
      <c r="Z397" s="32">
        <f>ROUND(IF(AQ397="5",BJ397,0),2)</f>
        <v>0</v>
      </c>
      <c r="AB397" s="32">
        <f>ROUND(IF(AQ397="1",BH397,0),2)</f>
        <v>0</v>
      </c>
      <c r="AC397" s="32">
        <f>ROUND(IF(AQ397="1",BI397,0),2)</f>
        <v>0</v>
      </c>
      <c r="AD397" s="32">
        <f>ROUND(IF(AQ397="7",BH397,0),2)</f>
        <v>0</v>
      </c>
      <c r="AE397" s="32">
        <f>ROUND(IF(AQ397="7",BI397,0),2)</f>
        <v>0</v>
      </c>
      <c r="AF397" s="32">
        <f>ROUND(IF(AQ397="2",BH397,0),2)</f>
        <v>0</v>
      </c>
      <c r="AG397" s="32">
        <f>ROUND(IF(AQ397="2",BI397,0),2)</f>
        <v>0</v>
      </c>
      <c r="AH397" s="32">
        <f>ROUND(IF(AQ397="0",BJ397,0),2)</f>
        <v>0</v>
      </c>
      <c r="AI397" s="12" t="s">
        <v>55</v>
      </c>
      <c r="AJ397" s="32">
        <f>IF(AN397=0,L397,0)</f>
        <v>0</v>
      </c>
      <c r="AK397" s="32">
        <f>IF(AN397=12,L397,0)</f>
        <v>0</v>
      </c>
      <c r="AL397" s="32">
        <f>IF(AN397=21,L397,0)</f>
        <v>0</v>
      </c>
      <c r="AN397" s="32">
        <v>21</v>
      </c>
      <c r="AO397" s="32">
        <f>H397*0.014944894</f>
        <v>0</v>
      </c>
      <c r="AP397" s="32">
        <f>H397*(1-0.014944894)</f>
        <v>0</v>
      </c>
      <c r="AQ397" s="36" t="s">
        <v>90</v>
      </c>
      <c r="AV397" s="32">
        <f>ROUND(AW397+AX397,2)</f>
        <v>0</v>
      </c>
      <c r="AW397" s="32">
        <f>ROUND(G397*AO397,2)</f>
        <v>0</v>
      </c>
      <c r="AX397" s="32">
        <f>ROUND(G397*AP397,2)</f>
        <v>0</v>
      </c>
      <c r="AY397" s="36" t="s">
        <v>862</v>
      </c>
      <c r="AZ397" s="36" t="s">
        <v>824</v>
      </c>
      <c r="BA397" s="12" t="s">
        <v>65</v>
      </c>
      <c r="BC397" s="32">
        <f>AW397+AX397</f>
        <v>0</v>
      </c>
      <c r="BD397" s="32">
        <f>H397/(100-BE397)*100</f>
        <v>0</v>
      </c>
      <c r="BE397" s="32">
        <v>0</v>
      </c>
      <c r="BF397" s="32">
        <f>P397</f>
        <v>7.6840000000000007E-3</v>
      </c>
      <c r="BH397" s="32">
        <f>G397*AO397</f>
        <v>0</v>
      </c>
      <c r="BI397" s="32">
        <f>G397*AP397</f>
        <v>0</v>
      </c>
      <c r="BJ397" s="32">
        <f>G397*H397</f>
        <v>0</v>
      </c>
      <c r="BK397" s="36" t="s">
        <v>66</v>
      </c>
      <c r="BL397" s="32">
        <v>766</v>
      </c>
      <c r="BW397" s="32">
        <f>I397</f>
        <v>21</v>
      </c>
      <c r="BX397" s="4" t="s">
        <v>861</v>
      </c>
    </row>
    <row r="398" spans="1:76" ht="13.5" customHeight="1" x14ac:dyDescent="0.25">
      <c r="A398" s="42"/>
      <c r="C398" s="43"/>
      <c r="D398" s="95" t="s">
        <v>863</v>
      </c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7"/>
    </row>
    <row r="399" spans="1:76" x14ac:dyDescent="0.25">
      <c r="A399" s="2" t="s">
        <v>864</v>
      </c>
      <c r="B399" s="3" t="s">
        <v>55</v>
      </c>
      <c r="C399" s="3" t="s">
        <v>865</v>
      </c>
      <c r="D399" s="89" t="s">
        <v>866</v>
      </c>
      <c r="E399" s="90"/>
      <c r="F399" s="3" t="s">
        <v>76</v>
      </c>
      <c r="G399" s="32">
        <v>14.577999999999999</v>
      </c>
      <c r="H399" s="199">
        <v>0</v>
      </c>
      <c r="I399" s="33">
        <v>21</v>
      </c>
      <c r="J399" s="32">
        <f>ROUND(G399*AO399,2)</f>
        <v>0</v>
      </c>
      <c r="K399" s="32">
        <f>ROUND(G399*AP399,2)</f>
        <v>0</v>
      </c>
      <c r="L399" s="32">
        <f>ROUND(G399*H399,2)</f>
        <v>0</v>
      </c>
      <c r="M399" s="32">
        <f>L399*(1+BW399/100)</f>
        <v>0</v>
      </c>
      <c r="N399" s="34">
        <f>IF(L649=0,0,L399/L649)</f>
        <v>0</v>
      </c>
      <c r="O399" s="32">
        <v>2.1919999999999999E-2</v>
      </c>
      <c r="P399" s="32">
        <f>G399*O399</f>
        <v>0.31954975999999996</v>
      </c>
      <c r="Q399" s="35" t="s">
        <v>77</v>
      </c>
      <c r="Z399" s="32">
        <f>ROUND(IF(AQ399="5",BJ399,0),2)</f>
        <v>0</v>
      </c>
      <c r="AB399" s="32">
        <f>ROUND(IF(AQ399="1",BH399,0),2)</f>
        <v>0</v>
      </c>
      <c r="AC399" s="32">
        <f>ROUND(IF(AQ399="1",BI399,0),2)</f>
        <v>0</v>
      </c>
      <c r="AD399" s="32">
        <f>ROUND(IF(AQ399="7",BH399,0),2)</f>
        <v>0</v>
      </c>
      <c r="AE399" s="32">
        <f>ROUND(IF(AQ399="7",BI399,0),2)</f>
        <v>0</v>
      </c>
      <c r="AF399" s="32">
        <f>ROUND(IF(AQ399="2",BH399,0),2)</f>
        <v>0</v>
      </c>
      <c r="AG399" s="32">
        <f>ROUND(IF(AQ399="2",BI399,0),2)</f>
        <v>0</v>
      </c>
      <c r="AH399" s="32">
        <f>ROUND(IF(AQ399="0",BJ399,0),2)</f>
        <v>0</v>
      </c>
      <c r="AI399" s="12" t="s">
        <v>55</v>
      </c>
      <c r="AJ399" s="32">
        <f>IF(AN399=0,L399,0)</f>
        <v>0</v>
      </c>
      <c r="AK399" s="32">
        <f>IF(AN399=12,L399,0)</f>
        <v>0</v>
      </c>
      <c r="AL399" s="32">
        <f>IF(AN399=21,L399,0)</f>
        <v>0</v>
      </c>
      <c r="AN399" s="32">
        <v>21</v>
      </c>
      <c r="AO399" s="32">
        <f>H399*0.696783145</f>
        <v>0</v>
      </c>
      <c r="AP399" s="32">
        <f>H399*(1-0.696783145)</f>
        <v>0</v>
      </c>
      <c r="AQ399" s="36" t="s">
        <v>90</v>
      </c>
      <c r="AV399" s="32">
        <f>ROUND(AW399+AX399,2)</f>
        <v>0</v>
      </c>
      <c r="AW399" s="32">
        <f>ROUND(G399*AO399,2)</f>
        <v>0</v>
      </c>
      <c r="AX399" s="32">
        <f>ROUND(G399*AP399,2)</f>
        <v>0</v>
      </c>
      <c r="AY399" s="36" t="s">
        <v>862</v>
      </c>
      <c r="AZ399" s="36" t="s">
        <v>824</v>
      </c>
      <c r="BA399" s="12" t="s">
        <v>65</v>
      </c>
      <c r="BC399" s="32">
        <f>AW399+AX399</f>
        <v>0</v>
      </c>
      <c r="BD399" s="32">
        <f>H399/(100-BE399)*100</f>
        <v>0</v>
      </c>
      <c r="BE399" s="32">
        <v>0</v>
      </c>
      <c r="BF399" s="32">
        <f>P399</f>
        <v>0.31954975999999996</v>
      </c>
      <c r="BH399" s="32">
        <f>G399*AO399</f>
        <v>0</v>
      </c>
      <c r="BI399" s="32">
        <f>G399*AP399</f>
        <v>0</v>
      </c>
      <c r="BJ399" s="32">
        <f>G399*H399</f>
        <v>0</v>
      </c>
      <c r="BK399" s="36" t="s">
        <v>66</v>
      </c>
      <c r="BL399" s="32">
        <v>766</v>
      </c>
      <c r="BW399" s="32">
        <f>I399</f>
        <v>21</v>
      </c>
      <c r="BX399" s="4" t="s">
        <v>866</v>
      </c>
    </row>
    <row r="400" spans="1:76" ht="13.5" customHeight="1" x14ac:dyDescent="0.25">
      <c r="A400" s="42"/>
      <c r="C400" s="43"/>
      <c r="D400" s="95" t="s">
        <v>867</v>
      </c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7"/>
    </row>
    <row r="401" spans="1:76" x14ac:dyDescent="0.25">
      <c r="A401" s="2" t="s">
        <v>868</v>
      </c>
      <c r="B401" s="3" t="s">
        <v>55</v>
      </c>
      <c r="C401" s="3" t="s">
        <v>869</v>
      </c>
      <c r="D401" s="89" t="s">
        <v>870</v>
      </c>
      <c r="E401" s="90"/>
      <c r="F401" s="3" t="s">
        <v>475</v>
      </c>
      <c r="G401" s="32">
        <v>5</v>
      </c>
      <c r="H401" s="199">
        <v>0</v>
      </c>
      <c r="I401" s="33">
        <v>21</v>
      </c>
      <c r="J401" s="32">
        <f>ROUND(G401*AO401,2)</f>
        <v>0</v>
      </c>
      <c r="K401" s="32">
        <f>ROUND(G401*AP401,2)</f>
        <v>0</v>
      </c>
      <c r="L401" s="32">
        <f>ROUND(G401*H401,2)</f>
        <v>0</v>
      </c>
      <c r="M401" s="32">
        <f>L401*(1+BW401/100)</f>
        <v>0</v>
      </c>
      <c r="N401" s="34">
        <f>IF(L649=0,0,L401/L649)</f>
        <v>0</v>
      </c>
      <c r="O401" s="32">
        <v>0</v>
      </c>
      <c r="P401" s="32">
        <f>G401*O401</f>
        <v>0</v>
      </c>
      <c r="Q401" s="35"/>
      <c r="Z401" s="32">
        <f>ROUND(IF(AQ401="5",BJ401,0),2)</f>
        <v>0</v>
      </c>
      <c r="AB401" s="32">
        <f>ROUND(IF(AQ401="1",BH401,0),2)</f>
        <v>0</v>
      </c>
      <c r="AC401" s="32">
        <f>ROUND(IF(AQ401="1",BI401,0),2)</f>
        <v>0</v>
      </c>
      <c r="AD401" s="32">
        <f>ROUND(IF(AQ401="7",BH401,0),2)</f>
        <v>0</v>
      </c>
      <c r="AE401" s="32">
        <f>ROUND(IF(AQ401="7",BI401,0),2)</f>
        <v>0</v>
      </c>
      <c r="AF401" s="32">
        <f>ROUND(IF(AQ401="2",BH401,0),2)</f>
        <v>0</v>
      </c>
      <c r="AG401" s="32">
        <f>ROUND(IF(AQ401="2",BI401,0),2)</f>
        <v>0</v>
      </c>
      <c r="AH401" s="32">
        <f>ROUND(IF(AQ401="0",BJ401,0),2)</f>
        <v>0</v>
      </c>
      <c r="AI401" s="12" t="s">
        <v>55</v>
      </c>
      <c r="AJ401" s="32">
        <f>IF(AN401=0,L401,0)</f>
        <v>0</v>
      </c>
      <c r="AK401" s="32">
        <f>IF(AN401=12,L401,0)</f>
        <v>0</v>
      </c>
      <c r="AL401" s="32">
        <f>IF(AN401=21,L401,0)</f>
        <v>0</v>
      </c>
      <c r="AN401" s="32">
        <v>21</v>
      </c>
      <c r="AO401" s="32">
        <f>H401*0.993883792</f>
        <v>0</v>
      </c>
      <c r="AP401" s="32">
        <f>H401*(1-0.993883792)</f>
        <v>0</v>
      </c>
      <c r="AQ401" s="36" t="s">
        <v>90</v>
      </c>
      <c r="AV401" s="32">
        <f>ROUND(AW401+AX401,2)</f>
        <v>0</v>
      </c>
      <c r="AW401" s="32">
        <f>ROUND(G401*AO401,2)</f>
        <v>0</v>
      </c>
      <c r="AX401" s="32">
        <f>ROUND(G401*AP401,2)</f>
        <v>0</v>
      </c>
      <c r="AY401" s="36" t="s">
        <v>862</v>
      </c>
      <c r="AZ401" s="36" t="s">
        <v>824</v>
      </c>
      <c r="BA401" s="12" t="s">
        <v>65</v>
      </c>
      <c r="BC401" s="32">
        <f>AW401+AX401</f>
        <v>0</v>
      </c>
      <c r="BD401" s="32">
        <f>H401/(100-BE401)*100</f>
        <v>0</v>
      </c>
      <c r="BE401" s="32">
        <v>0</v>
      </c>
      <c r="BF401" s="32">
        <f>P401</f>
        <v>0</v>
      </c>
      <c r="BH401" s="32">
        <f>G401*AO401</f>
        <v>0</v>
      </c>
      <c r="BI401" s="32">
        <f>G401*AP401</f>
        <v>0</v>
      </c>
      <c r="BJ401" s="32">
        <f>G401*H401</f>
        <v>0</v>
      </c>
      <c r="BK401" s="36" t="s">
        <v>66</v>
      </c>
      <c r="BL401" s="32">
        <v>766</v>
      </c>
      <c r="BW401" s="32">
        <f>I401</f>
        <v>21</v>
      </c>
      <c r="BX401" s="4" t="s">
        <v>870</v>
      </c>
    </row>
    <row r="402" spans="1:76" x14ac:dyDescent="0.25">
      <c r="A402" s="2" t="s">
        <v>871</v>
      </c>
      <c r="B402" s="3" t="s">
        <v>55</v>
      </c>
      <c r="C402" s="3" t="s">
        <v>872</v>
      </c>
      <c r="D402" s="89" t="s">
        <v>873</v>
      </c>
      <c r="E402" s="90"/>
      <c r="F402" s="3" t="s">
        <v>88</v>
      </c>
      <c r="G402" s="32">
        <v>2</v>
      </c>
      <c r="H402" s="199">
        <v>0</v>
      </c>
      <c r="I402" s="33">
        <v>21</v>
      </c>
      <c r="J402" s="32">
        <f>ROUND(G402*AO402,2)</f>
        <v>0</v>
      </c>
      <c r="K402" s="32">
        <f>ROUND(G402*AP402,2)</f>
        <v>0</v>
      </c>
      <c r="L402" s="32">
        <f>ROUND(G402*H402,2)</f>
        <v>0</v>
      </c>
      <c r="M402" s="32">
        <f>L402*(1+BW402/100)</f>
        <v>0</v>
      </c>
      <c r="N402" s="34">
        <f>IF(L649=0,0,L402/L649)</f>
        <v>0</v>
      </c>
      <c r="O402" s="32">
        <v>1.8800000000000001E-2</v>
      </c>
      <c r="P402" s="32">
        <f>G402*O402</f>
        <v>3.7600000000000001E-2</v>
      </c>
      <c r="Q402" s="35" t="s">
        <v>77</v>
      </c>
      <c r="Z402" s="32">
        <f>ROUND(IF(AQ402="5",BJ402,0),2)</f>
        <v>0</v>
      </c>
      <c r="AB402" s="32">
        <f>ROUND(IF(AQ402="1",BH402,0),2)</f>
        <v>0</v>
      </c>
      <c r="AC402" s="32">
        <f>ROUND(IF(AQ402="1",BI402,0),2)</f>
        <v>0</v>
      </c>
      <c r="AD402" s="32">
        <f>ROUND(IF(AQ402="7",BH402,0),2)</f>
        <v>0</v>
      </c>
      <c r="AE402" s="32">
        <f>ROUND(IF(AQ402="7",BI402,0),2)</f>
        <v>0</v>
      </c>
      <c r="AF402" s="32">
        <f>ROUND(IF(AQ402="2",BH402,0),2)</f>
        <v>0</v>
      </c>
      <c r="AG402" s="32">
        <f>ROUND(IF(AQ402="2",BI402,0),2)</f>
        <v>0</v>
      </c>
      <c r="AH402" s="32">
        <f>ROUND(IF(AQ402="0",BJ402,0),2)</f>
        <v>0</v>
      </c>
      <c r="AI402" s="12" t="s">
        <v>55</v>
      </c>
      <c r="AJ402" s="32">
        <f>IF(AN402=0,L402,0)</f>
        <v>0</v>
      </c>
      <c r="AK402" s="32">
        <f>IF(AN402=12,L402,0)</f>
        <v>0</v>
      </c>
      <c r="AL402" s="32">
        <f>IF(AN402=21,L402,0)</f>
        <v>0</v>
      </c>
      <c r="AN402" s="32">
        <v>21</v>
      </c>
      <c r="AO402" s="32">
        <f>H402*1</f>
        <v>0</v>
      </c>
      <c r="AP402" s="32">
        <f>H402*(1-1)</f>
        <v>0</v>
      </c>
      <c r="AQ402" s="36" t="s">
        <v>90</v>
      </c>
      <c r="AV402" s="32">
        <f>ROUND(AW402+AX402,2)</f>
        <v>0</v>
      </c>
      <c r="AW402" s="32">
        <f>ROUND(G402*AO402,2)</f>
        <v>0</v>
      </c>
      <c r="AX402" s="32">
        <f>ROUND(G402*AP402,2)</f>
        <v>0</v>
      </c>
      <c r="AY402" s="36" t="s">
        <v>862</v>
      </c>
      <c r="AZ402" s="36" t="s">
        <v>824</v>
      </c>
      <c r="BA402" s="12" t="s">
        <v>65</v>
      </c>
      <c r="BC402" s="32">
        <f>AW402+AX402</f>
        <v>0</v>
      </c>
      <c r="BD402" s="32">
        <f>H402/(100-BE402)*100</f>
        <v>0</v>
      </c>
      <c r="BE402" s="32">
        <v>0</v>
      </c>
      <c r="BF402" s="32">
        <f>P402</f>
        <v>3.7600000000000001E-2</v>
      </c>
      <c r="BH402" s="32">
        <f>G402*AO402</f>
        <v>0</v>
      </c>
      <c r="BI402" s="32">
        <f>G402*AP402</f>
        <v>0</v>
      </c>
      <c r="BJ402" s="32">
        <f>G402*H402</f>
        <v>0</v>
      </c>
      <c r="BK402" s="36" t="s">
        <v>147</v>
      </c>
      <c r="BL402" s="32">
        <v>766</v>
      </c>
      <c r="BW402" s="32">
        <f>I402</f>
        <v>21</v>
      </c>
      <c r="BX402" s="4" t="s">
        <v>873</v>
      </c>
    </row>
    <row r="403" spans="1:76" x14ac:dyDescent="0.25">
      <c r="A403" s="2" t="s">
        <v>874</v>
      </c>
      <c r="B403" s="3" t="s">
        <v>55</v>
      </c>
      <c r="C403" s="3" t="s">
        <v>872</v>
      </c>
      <c r="D403" s="89" t="s">
        <v>875</v>
      </c>
      <c r="E403" s="90"/>
      <c r="F403" s="3" t="s">
        <v>88</v>
      </c>
      <c r="G403" s="32">
        <v>6</v>
      </c>
      <c r="H403" s="199">
        <v>0</v>
      </c>
      <c r="I403" s="33">
        <v>21</v>
      </c>
      <c r="J403" s="32">
        <f>ROUND(G403*AO403,2)</f>
        <v>0</v>
      </c>
      <c r="K403" s="32">
        <f>ROUND(G403*AP403,2)</f>
        <v>0</v>
      </c>
      <c r="L403" s="32">
        <f>ROUND(G403*H403,2)</f>
        <v>0</v>
      </c>
      <c r="M403" s="32">
        <f>L403*(1+BW403/100)</f>
        <v>0</v>
      </c>
      <c r="N403" s="34">
        <f>IF(L649=0,0,L403/L649)</f>
        <v>0</v>
      </c>
      <c r="O403" s="32">
        <v>1.8800000000000001E-2</v>
      </c>
      <c r="P403" s="32">
        <f>G403*O403</f>
        <v>0.11280000000000001</v>
      </c>
      <c r="Q403" s="35" t="s">
        <v>77</v>
      </c>
      <c r="Z403" s="32">
        <f>ROUND(IF(AQ403="5",BJ403,0),2)</f>
        <v>0</v>
      </c>
      <c r="AB403" s="32">
        <f>ROUND(IF(AQ403="1",BH403,0),2)</f>
        <v>0</v>
      </c>
      <c r="AC403" s="32">
        <f>ROUND(IF(AQ403="1",BI403,0),2)</f>
        <v>0</v>
      </c>
      <c r="AD403" s="32">
        <f>ROUND(IF(AQ403="7",BH403,0),2)</f>
        <v>0</v>
      </c>
      <c r="AE403" s="32">
        <f>ROUND(IF(AQ403="7",BI403,0),2)</f>
        <v>0</v>
      </c>
      <c r="AF403" s="32">
        <f>ROUND(IF(AQ403="2",BH403,0),2)</f>
        <v>0</v>
      </c>
      <c r="AG403" s="32">
        <f>ROUND(IF(AQ403="2",BI403,0),2)</f>
        <v>0</v>
      </c>
      <c r="AH403" s="32">
        <f>ROUND(IF(AQ403="0",BJ403,0),2)</f>
        <v>0</v>
      </c>
      <c r="AI403" s="12" t="s">
        <v>55</v>
      </c>
      <c r="AJ403" s="32">
        <f>IF(AN403=0,L403,0)</f>
        <v>0</v>
      </c>
      <c r="AK403" s="32">
        <f>IF(AN403=12,L403,0)</f>
        <v>0</v>
      </c>
      <c r="AL403" s="32">
        <f>IF(AN403=21,L403,0)</f>
        <v>0</v>
      </c>
      <c r="AN403" s="32">
        <v>21</v>
      </c>
      <c r="AO403" s="32">
        <f>H403*1</f>
        <v>0</v>
      </c>
      <c r="AP403" s="32">
        <f>H403*(1-1)</f>
        <v>0</v>
      </c>
      <c r="AQ403" s="36" t="s">
        <v>90</v>
      </c>
      <c r="AV403" s="32">
        <f>ROUND(AW403+AX403,2)</f>
        <v>0</v>
      </c>
      <c r="AW403" s="32">
        <f>ROUND(G403*AO403,2)</f>
        <v>0</v>
      </c>
      <c r="AX403" s="32">
        <f>ROUND(G403*AP403,2)</f>
        <v>0</v>
      </c>
      <c r="AY403" s="36" t="s">
        <v>862</v>
      </c>
      <c r="AZ403" s="36" t="s">
        <v>824</v>
      </c>
      <c r="BA403" s="12" t="s">
        <v>65</v>
      </c>
      <c r="BC403" s="32">
        <f>AW403+AX403</f>
        <v>0</v>
      </c>
      <c r="BD403" s="32">
        <f>H403/(100-BE403)*100</f>
        <v>0</v>
      </c>
      <c r="BE403" s="32">
        <v>0</v>
      </c>
      <c r="BF403" s="32">
        <f>P403</f>
        <v>0.11280000000000001</v>
      </c>
      <c r="BH403" s="32">
        <f>G403*AO403</f>
        <v>0</v>
      </c>
      <c r="BI403" s="32">
        <f>G403*AP403</f>
        <v>0</v>
      </c>
      <c r="BJ403" s="32">
        <f>G403*H403</f>
        <v>0</v>
      </c>
      <c r="BK403" s="36" t="s">
        <v>147</v>
      </c>
      <c r="BL403" s="32">
        <v>766</v>
      </c>
      <c r="BW403" s="32">
        <f>I403</f>
        <v>21</v>
      </c>
      <c r="BX403" s="4" t="s">
        <v>875</v>
      </c>
    </row>
    <row r="404" spans="1:76" x14ac:dyDescent="0.25">
      <c r="A404" s="2" t="s">
        <v>876</v>
      </c>
      <c r="B404" s="3" t="s">
        <v>55</v>
      </c>
      <c r="C404" s="3" t="s">
        <v>877</v>
      </c>
      <c r="D404" s="89" t="s">
        <v>878</v>
      </c>
      <c r="E404" s="90"/>
      <c r="F404" s="3" t="s">
        <v>88</v>
      </c>
      <c r="G404" s="32">
        <v>8</v>
      </c>
      <c r="H404" s="199">
        <v>0</v>
      </c>
      <c r="I404" s="33">
        <v>21</v>
      </c>
      <c r="J404" s="32">
        <f>ROUND(G404*AO404,2)</f>
        <v>0</v>
      </c>
      <c r="K404" s="32">
        <f>ROUND(G404*AP404,2)</f>
        <v>0</v>
      </c>
      <c r="L404" s="32">
        <f>ROUND(G404*H404,2)</f>
        <v>0</v>
      </c>
      <c r="M404" s="32">
        <f>L404*(1+BW404/100)</f>
        <v>0</v>
      </c>
      <c r="N404" s="34">
        <f>IF(L649=0,0,L404/L649)</f>
        <v>0</v>
      </c>
      <c r="O404" s="32">
        <v>0</v>
      </c>
      <c r="P404" s="32">
        <f>G404*O404</f>
        <v>0</v>
      </c>
      <c r="Q404" s="35" t="s">
        <v>77</v>
      </c>
      <c r="Z404" s="32">
        <f>ROUND(IF(AQ404="5",BJ404,0),2)</f>
        <v>0</v>
      </c>
      <c r="AB404" s="32">
        <f>ROUND(IF(AQ404="1",BH404,0),2)</f>
        <v>0</v>
      </c>
      <c r="AC404" s="32">
        <f>ROUND(IF(AQ404="1",BI404,0),2)</f>
        <v>0</v>
      </c>
      <c r="AD404" s="32">
        <f>ROUND(IF(AQ404="7",BH404,0),2)</f>
        <v>0</v>
      </c>
      <c r="AE404" s="32">
        <f>ROUND(IF(AQ404="7",BI404,0),2)</f>
        <v>0</v>
      </c>
      <c r="AF404" s="32">
        <f>ROUND(IF(AQ404="2",BH404,0),2)</f>
        <v>0</v>
      </c>
      <c r="AG404" s="32">
        <f>ROUND(IF(AQ404="2",BI404,0),2)</f>
        <v>0</v>
      </c>
      <c r="AH404" s="32">
        <f>ROUND(IF(AQ404="0",BJ404,0),2)</f>
        <v>0</v>
      </c>
      <c r="AI404" s="12" t="s">
        <v>55</v>
      </c>
      <c r="AJ404" s="32">
        <f>IF(AN404=0,L404,0)</f>
        <v>0</v>
      </c>
      <c r="AK404" s="32">
        <f>IF(AN404=12,L404,0)</f>
        <v>0</v>
      </c>
      <c r="AL404" s="32">
        <f>IF(AN404=21,L404,0)</f>
        <v>0</v>
      </c>
      <c r="AN404" s="32">
        <v>21</v>
      </c>
      <c r="AO404" s="32">
        <f>H404*0</f>
        <v>0</v>
      </c>
      <c r="AP404" s="32">
        <f>H404*(1-0)</f>
        <v>0</v>
      </c>
      <c r="AQ404" s="36" t="s">
        <v>90</v>
      </c>
      <c r="AV404" s="32">
        <f>ROUND(AW404+AX404,2)</f>
        <v>0</v>
      </c>
      <c r="AW404" s="32">
        <f>ROUND(G404*AO404,2)</f>
        <v>0</v>
      </c>
      <c r="AX404" s="32">
        <f>ROUND(G404*AP404,2)</f>
        <v>0</v>
      </c>
      <c r="AY404" s="36" t="s">
        <v>862</v>
      </c>
      <c r="AZ404" s="36" t="s">
        <v>824</v>
      </c>
      <c r="BA404" s="12" t="s">
        <v>65</v>
      </c>
      <c r="BC404" s="32">
        <f>AW404+AX404</f>
        <v>0</v>
      </c>
      <c r="BD404" s="32">
        <f>H404/(100-BE404)*100</f>
        <v>0</v>
      </c>
      <c r="BE404" s="32">
        <v>0</v>
      </c>
      <c r="BF404" s="32">
        <f>P404</f>
        <v>0</v>
      </c>
      <c r="BH404" s="32">
        <f>G404*AO404</f>
        <v>0</v>
      </c>
      <c r="BI404" s="32">
        <f>G404*AP404</f>
        <v>0</v>
      </c>
      <c r="BJ404" s="32">
        <f>G404*H404</f>
        <v>0</v>
      </c>
      <c r="BK404" s="36" t="s">
        <v>66</v>
      </c>
      <c r="BL404" s="32">
        <v>766</v>
      </c>
      <c r="BW404" s="32">
        <f>I404</f>
        <v>21</v>
      </c>
      <c r="BX404" s="4" t="s">
        <v>878</v>
      </c>
    </row>
    <row r="405" spans="1:76" x14ac:dyDescent="0.25">
      <c r="A405" s="2" t="s">
        <v>879</v>
      </c>
      <c r="B405" s="3" t="s">
        <v>55</v>
      </c>
      <c r="C405" s="3" t="s">
        <v>880</v>
      </c>
      <c r="D405" s="89" t="s">
        <v>881</v>
      </c>
      <c r="E405" s="90"/>
      <c r="F405" s="3" t="s">
        <v>88</v>
      </c>
      <c r="G405" s="32">
        <v>2</v>
      </c>
      <c r="H405" s="199">
        <v>0</v>
      </c>
      <c r="I405" s="33">
        <v>21</v>
      </c>
      <c r="J405" s="32">
        <f>ROUND(G405*AO405,2)</f>
        <v>0</v>
      </c>
      <c r="K405" s="32">
        <f>ROUND(G405*AP405,2)</f>
        <v>0</v>
      </c>
      <c r="L405" s="32">
        <f>ROUND(G405*H405,2)</f>
        <v>0</v>
      </c>
      <c r="M405" s="32">
        <f>L405*(1+BW405/100)</f>
        <v>0</v>
      </c>
      <c r="N405" s="34">
        <f>IF(L649=0,0,L405/L649)</f>
        <v>0</v>
      </c>
      <c r="O405" s="32">
        <v>3.4250000000000003E-2</v>
      </c>
      <c r="P405" s="32">
        <f>G405*O405</f>
        <v>6.8500000000000005E-2</v>
      </c>
      <c r="Q405" s="35" t="s">
        <v>77</v>
      </c>
      <c r="Z405" s="32">
        <f>ROUND(IF(AQ405="5",BJ405,0),2)</f>
        <v>0</v>
      </c>
      <c r="AB405" s="32">
        <f>ROUND(IF(AQ405="1",BH405,0),2)</f>
        <v>0</v>
      </c>
      <c r="AC405" s="32">
        <f>ROUND(IF(AQ405="1",BI405,0),2)</f>
        <v>0</v>
      </c>
      <c r="AD405" s="32">
        <f>ROUND(IF(AQ405="7",BH405,0),2)</f>
        <v>0</v>
      </c>
      <c r="AE405" s="32">
        <f>ROUND(IF(AQ405="7",BI405,0),2)</f>
        <v>0</v>
      </c>
      <c r="AF405" s="32">
        <f>ROUND(IF(AQ405="2",BH405,0),2)</f>
        <v>0</v>
      </c>
      <c r="AG405" s="32">
        <f>ROUND(IF(AQ405="2",BI405,0),2)</f>
        <v>0</v>
      </c>
      <c r="AH405" s="32">
        <f>ROUND(IF(AQ405="0",BJ405,0),2)</f>
        <v>0</v>
      </c>
      <c r="AI405" s="12" t="s">
        <v>55</v>
      </c>
      <c r="AJ405" s="32">
        <f>IF(AN405=0,L405,0)</f>
        <v>0</v>
      </c>
      <c r="AK405" s="32">
        <f>IF(AN405=12,L405,0)</f>
        <v>0</v>
      </c>
      <c r="AL405" s="32">
        <f>IF(AN405=21,L405,0)</f>
        <v>0</v>
      </c>
      <c r="AN405" s="32">
        <v>21</v>
      </c>
      <c r="AO405" s="32">
        <f>H405*0.904244102</f>
        <v>0</v>
      </c>
      <c r="AP405" s="32">
        <f>H405*(1-0.904244102)</f>
        <v>0</v>
      </c>
      <c r="AQ405" s="36" t="s">
        <v>90</v>
      </c>
      <c r="AV405" s="32">
        <f>ROUND(AW405+AX405,2)</f>
        <v>0</v>
      </c>
      <c r="AW405" s="32">
        <f>ROUND(G405*AO405,2)</f>
        <v>0</v>
      </c>
      <c r="AX405" s="32">
        <f>ROUND(G405*AP405,2)</f>
        <v>0</v>
      </c>
      <c r="AY405" s="36" t="s">
        <v>862</v>
      </c>
      <c r="AZ405" s="36" t="s">
        <v>824</v>
      </c>
      <c r="BA405" s="12" t="s">
        <v>65</v>
      </c>
      <c r="BC405" s="32">
        <f>AW405+AX405</f>
        <v>0</v>
      </c>
      <c r="BD405" s="32">
        <f>H405/(100-BE405)*100</f>
        <v>0</v>
      </c>
      <c r="BE405" s="32">
        <v>0</v>
      </c>
      <c r="BF405" s="32">
        <f>P405</f>
        <v>6.8500000000000005E-2</v>
      </c>
      <c r="BH405" s="32">
        <f>G405*AO405</f>
        <v>0</v>
      </c>
      <c r="BI405" s="32">
        <f>G405*AP405</f>
        <v>0</v>
      </c>
      <c r="BJ405" s="32">
        <f>G405*H405</f>
        <v>0</v>
      </c>
      <c r="BK405" s="36" t="s">
        <v>66</v>
      </c>
      <c r="BL405" s="32">
        <v>766</v>
      </c>
      <c r="BW405" s="32">
        <f>I405</f>
        <v>21</v>
      </c>
      <c r="BX405" s="4" t="s">
        <v>881</v>
      </c>
    </row>
    <row r="406" spans="1:76" ht="13.5" customHeight="1" x14ac:dyDescent="0.25">
      <c r="A406" s="42"/>
      <c r="C406" s="43"/>
      <c r="D406" s="95" t="s">
        <v>882</v>
      </c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7"/>
    </row>
    <row r="407" spans="1:76" x14ac:dyDescent="0.25">
      <c r="A407" s="2" t="s">
        <v>883</v>
      </c>
      <c r="B407" s="3" t="s">
        <v>55</v>
      </c>
      <c r="C407" s="3" t="s">
        <v>884</v>
      </c>
      <c r="D407" s="89" t="s">
        <v>885</v>
      </c>
      <c r="E407" s="90"/>
      <c r="F407" s="3" t="s">
        <v>88</v>
      </c>
      <c r="G407" s="32">
        <v>2</v>
      </c>
      <c r="H407" s="199">
        <v>0</v>
      </c>
      <c r="I407" s="33">
        <v>21</v>
      </c>
      <c r="J407" s="32">
        <f>ROUND(G407*AO407,2)</f>
        <v>0</v>
      </c>
      <c r="K407" s="32">
        <f>ROUND(G407*AP407,2)</f>
        <v>0</v>
      </c>
      <c r="L407" s="32">
        <f>ROUND(G407*H407,2)</f>
        <v>0</v>
      </c>
      <c r="M407" s="32">
        <f>L407*(1+BW407/100)</f>
        <v>0</v>
      </c>
      <c r="N407" s="34">
        <f>IF(L649=0,0,L407/L649)</f>
        <v>0</v>
      </c>
      <c r="O407" s="32">
        <v>2.5000000000000001E-4</v>
      </c>
      <c r="P407" s="32">
        <f>G407*O407</f>
        <v>5.0000000000000001E-4</v>
      </c>
      <c r="Q407" s="35" t="s">
        <v>77</v>
      </c>
      <c r="Z407" s="32">
        <f>ROUND(IF(AQ407="5",BJ407,0),2)</f>
        <v>0</v>
      </c>
      <c r="AB407" s="32">
        <f>ROUND(IF(AQ407="1",BH407,0),2)</f>
        <v>0</v>
      </c>
      <c r="AC407" s="32">
        <f>ROUND(IF(AQ407="1",BI407,0),2)</f>
        <v>0</v>
      </c>
      <c r="AD407" s="32">
        <f>ROUND(IF(AQ407="7",BH407,0),2)</f>
        <v>0</v>
      </c>
      <c r="AE407" s="32">
        <f>ROUND(IF(AQ407="7",BI407,0),2)</f>
        <v>0</v>
      </c>
      <c r="AF407" s="32">
        <f>ROUND(IF(AQ407="2",BH407,0),2)</f>
        <v>0</v>
      </c>
      <c r="AG407" s="32">
        <f>ROUND(IF(AQ407="2",BI407,0),2)</f>
        <v>0</v>
      </c>
      <c r="AH407" s="32">
        <f>ROUND(IF(AQ407="0",BJ407,0),2)</f>
        <v>0</v>
      </c>
      <c r="AI407" s="12" t="s">
        <v>55</v>
      </c>
      <c r="AJ407" s="32">
        <f>IF(AN407=0,L407,0)</f>
        <v>0</v>
      </c>
      <c r="AK407" s="32">
        <f>IF(AN407=12,L407,0)</f>
        <v>0</v>
      </c>
      <c r="AL407" s="32">
        <f>IF(AN407=21,L407,0)</f>
        <v>0</v>
      </c>
      <c r="AN407" s="32">
        <v>21</v>
      </c>
      <c r="AO407" s="32">
        <f>H407*0.036660584</f>
        <v>0</v>
      </c>
      <c r="AP407" s="32">
        <f>H407*(1-0.036660584)</f>
        <v>0</v>
      </c>
      <c r="AQ407" s="36" t="s">
        <v>90</v>
      </c>
      <c r="AV407" s="32">
        <f>ROUND(AW407+AX407,2)</f>
        <v>0</v>
      </c>
      <c r="AW407" s="32">
        <f>ROUND(G407*AO407,2)</f>
        <v>0</v>
      </c>
      <c r="AX407" s="32">
        <f>ROUND(G407*AP407,2)</f>
        <v>0</v>
      </c>
      <c r="AY407" s="36" t="s">
        <v>862</v>
      </c>
      <c r="AZ407" s="36" t="s">
        <v>824</v>
      </c>
      <c r="BA407" s="12" t="s">
        <v>65</v>
      </c>
      <c r="BC407" s="32">
        <f>AW407+AX407</f>
        <v>0</v>
      </c>
      <c r="BD407" s="32">
        <f>H407/(100-BE407)*100</f>
        <v>0</v>
      </c>
      <c r="BE407" s="32">
        <v>0</v>
      </c>
      <c r="BF407" s="32">
        <f>P407</f>
        <v>5.0000000000000001E-4</v>
      </c>
      <c r="BH407" s="32">
        <f>G407*AO407</f>
        <v>0</v>
      </c>
      <c r="BI407" s="32">
        <f>G407*AP407</f>
        <v>0</v>
      </c>
      <c r="BJ407" s="32">
        <f>G407*H407</f>
        <v>0</v>
      </c>
      <c r="BK407" s="36" t="s">
        <v>66</v>
      </c>
      <c r="BL407" s="32">
        <v>766</v>
      </c>
      <c r="BW407" s="32">
        <f>I407</f>
        <v>21</v>
      </c>
      <c r="BX407" s="4" t="s">
        <v>885</v>
      </c>
    </row>
    <row r="408" spans="1:76" ht="13.5" customHeight="1" x14ac:dyDescent="0.25">
      <c r="A408" s="42"/>
      <c r="C408" s="43"/>
      <c r="D408" s="95" t="s">
        <v>886</v>
      </c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7"/>
    </row>
    <row r="409" spans="1:76" x14ac:dyDescent="0.25">
      <c r="A409" s="2" t="s">
        <v>887</v>
      </c>
      <c r="B409" s="3" t="s">
        <v>55</v>
      </c>
      <c r="C409" s="3" t="s">
        <v>888</v>
      </c>
      <c r="D409" s="89" t="s">
        <v>889</v>
      </c>
      <c r="E409" s="90"/>
      <c r="F409" s="3" t="s">
        <v>136</v>
      </c>
      <c r="G409" s="32">
        <v>7.2</v>
      </c>
      <c r="H409" s="199">
        <v>0</v>
      </c>
      <c r="I409" s="33">
        <v>21</v>
      </c>
      <c r="J409" s="32">
        <f>ROUND(G409*AO409,2)</f>
        <v>0</v>
      </c>
      <c r="K409" s="32">
        <f>ROUND(G409*AP409,2)</f>
        <v>0</v>
      </c>
      <c r="L409" s="32">
        <f>ROUND(G409*H409,2)</f>
        <v>0</v>
      </c>
      <c r="M409" s="32">
        <f>L409*(1+BW409/100)</f>
        <v>0</v>
      </c>
      <c r="N409" s="34">
        <f>IF(L649=0,0,L409/L649)</f>
        <v>0</v>
      </c>
      <c r="O409" s="32">
        <v>1.3999999999999999E-4</v>
      </c>
      <c r="P409" s="32">
        <f>G409*O409</f>
        <v>1.008E-3</v>
      </c>
      <c r="Q409" s="35" t="s">
        <v>77</v>
      </c>
      <c r="Z409" s="32">
        <f>ROUND(IF(AQ409="5",BJ409,0),2)</f>
        <v>0</v>
      </c>
      <c r="AB409" s="32">
        <f>ROUND(IF(AQ409="1",BH409,0),2)</f>
        <v>0</v>
      </c>
      <c r="AC409" s="32">
        <f>ROUND(IF(AQ409="1",BI409,0),2)</f>
        <v>0</v>
      </c>
      <c r="AD409" s="32">
        <f>ROUND(IF(AQ409="7",BH409,0),2)</f>
        <v>0</v>
      </c>
      <c r="AE409" s="32">
        <f>ROUND(IF(AQ409="7",BI409,0),2)</f>
        <v>0</v>
      </c>
      <c r="AF409" s="32">
        <f>ROUND(IF(AQ409="2",BH409,0),2)</f>
        <v>0</v>
      </c>
      <c r="AG409" s="32">
        <f>ROUND(IF(AQ409="2",BI409,0),2)</f>
        <v>0</v>
      </c>
      <c r="AH409" s="32">
        <f>ROUND(IF(AQ409="0",BJ409,0),2)</f>
        <v>0</v>
      </c>
      <c r="AI409" s="12" t="s">
        <v>55</v>
      </c>
      <c r="AJ409" s="32">
        <f>IF(AN409=0,L409,0)</f>
        <v>0</v>
      </c>
      <c r="AK409" s="32">
        <f>IF(AN409=12,L409,0)</f>
        <v>0</v>
      </c>
      <c r="AL409" s="32">
        <f>IF(AN409=21,L409,0)</f>
        <v>0</v>
      </c>
      <c r="AN409" s="32">
        <v>21</v>
      </c>
      <c r="AO409" s="32">
        <f>H409*0.497779197</f>
        <v>0</v>
      </c>
      <c r="AP409" s="32">
        <f>H409*(1-0.497779197)</f>
        <v>0</v>
      </c>
      <c r="AQ409" s="36" t="s">
        <v>90</v>
      </c>
      <c r="AV409" s="32">
        <f>ROUND(AW409+AX409,2)</f>
        <v>0</v>
      </c>
      <c r="AW409" s="32">
        <f>ROUND(G409*AO409,2)</f>
        <v>0</v>
      </c>
      <c r="AX409" s="32">
        <f>ROUND(G409*AP409,2)</f>
        <v>0</v>
      </c>
      <c r="AY409" s="36" t="s">
        <v>862</v>
      </c>
      <c r="AZ409" s="36" t="s">
        <v>824</v>
      </c>
      <c r="BA409" s="12" t="s">
        <v>65</v>
      </c>
      <c r="BC409" s="32">
        <f>AW409+AX409</f>
        <v>0</v>
      </c>
      <c r="BD409" s="32">
        <f>H409/(100-BE409)*100</f>
        <v>0</v>
      </c>
      <c r="BE409" s="32">
        <v>0</v>
      </c>
      <c r="BF409" s="32">
        <f>P409</f>
        <v>1.008E-3</v>
      </c>
      <c r="BH409" s="32">
        <f>G409*AO409</f>
        <v>0</v>
      </c>
      <c r="BI409" s="32">
        <f>G409*AP409</f>
        <v>0</v>
      </c>
      <c r="BJ409" s="32">
        <f>G409*H409</f>
        <v>0</v>
      </c>
      <c r="BK409" s="36" t="s">
        <v>66</v>
      </c>
      <c r="BL409" s="32">
        <v>766</v>
      </c>
      <c r="BW409" s="32">
        <f>I409</f>
        <v>21</v>
      </c>
      <c r="BX409" s="4" t="s">
        <v>889</v>
      </c>
    </row>
    <row r="410" spans="1:76" ht="13.5" customHeight="1" x14ac:dyDescent="0.25">
      <c r="A410" s="42"/>
      <c r="C410" s="43"/>
      <c r="D410" s="95" t="s">
        <v>890</v>
      </c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7"/>
    </row>
    <row r="411" spans="1:76" x14ac:dyDescent="0.25">
      <c r="A411" s="2" t="s">
        <v>891</v>
      </c>
      <c r="B411" s="3" t="s">
        <v>55</v>
      </c>
      <c r="C411" s="3" t="s">
        <v>892</v>
      </c>
      <c r="D411" s="89" t="s">
        <v>893</v>
      </c>
      <c r="E411" s="90"/>
      <c r="F411" s="3" t="s">
        <v>88</v>
      </c>
      <c r="G411" s="32">
        <v>10</v>
      </c>
      <c r="H411" s="199">
        <v>0</v>
      </c>
      <c r="I411" s="33">
        <v>21</v>
      </c>
      <c r="J411" s="32">
        <f>ROUND(G411*AO411,2)</f>
        <v>0</v>
      </c>
      <c r="K411" s="32">
        <f>ROUND(G411*AP411,2)</f>
        <v>0</v>
      </c>
      <c r="L411" s="32">
        <f>ROUND(G411*H411,2)</f>
        <v>0</v>
      </c>
      <c r="M411" s="32">
        <f>L411*(1+BW411/100)</f>
        <v>0</v>
      </c>
      <c r="N411" s="34">
        <f>IF(L649=0,0,L411/L649)</f>
        <v>0</v>
      </c>
      <c r="O411" s="32">
        <v>0</v>
      </c>
      <c r="P411" s="32">
        <f>G411*O411</f>
        <v>0</v>
      </c>
      <c r="Q411" s="35" t="s">
        <v>77</v>
      </c>
      <c r="Z411" s="32">
        <f>ROUND(IF(AQ411="5",BJ411,0),2)</f>
        <v>0</v>
      </c>
      <c r="AB411" s="32">
        <f>ROUND(IF(AQ411="1",BH411,0),2)</f>
        <v>0</v>
      </c>
      <c r="AC411" s="32">
        <f>ROUND(IF(AQ411="1",BI411,0),2)</f>
        <v>0</v>
      </c>
      <c r="AD411" s="32">
        <f>ROUND(IF(AQ411="7",BH411,0),2)</f>
        <v>0</v>
      </c>
      <c r="AE411" s="32">
        <f>ROUND(IF(AQ411="7",BI411,0),2)</f>
        <v>0</v>
      </c>
      <c r="AF411" s="32">
        <f>ROUND(IF(AQ411="2",BH411,0),2)</f>
        <v>0</v>
      </c>
      <c r="AG411" s="32">
        <f>ROUND(IF(AQ411="2",BI411,0),2)</f>
        <v>0</v>
      </c>
      <c r="AH411" s="32">
        <f>ROUND(IF(AQ411="0",BJ411,0),2)</f>
        <v>0</v>
      </c>
      <c r="AI411" s="12" t="s">
        <v>55</v>
      </c>
      <c r="AJ411" s="32">
        <f>IF(AN411=0,L411,0)</f>
        <v>0</v>
      </c>
      <c r="AK411" s="32">
        <f>IF(AN411=12,L411,0)</f>
        <v>0</v>
      </c>
      <c r="AL411" s="32">
        <f>IF(AN411=21,L411,0)</f>
        <v>0</v>
      </c>
      <c r="AN411" s="32">
        <v>21</v>
      </c>
      <c r="AO411" s="32">
        <f>H411*0</f>
        <v>0</v>
      </c>
      <c r="AP411" s="32">
        <f>H411*(1-0)</f>
        <v>0</v>
      </c>
      <c r="AQ411" s="36" t="s">
        <v>90</v>
      </c>
      <c r="AV411" s="32">
        <f>ROUND(AW411+AX411,2)</f>
        <v>0</v>
      </c>
      <c r="AW411" s="32">
        <f>ROUND(G411*AO411,2)</f>
        <v>0</v>
      </c>
      <c r="AX411" s="32">
        <f>ROUND(G411*AP411,2)</f>
        <v>0</v>
      </c>
      <c r="AY411" s="36" t="s">
        <v>862</v>
      </c>
      <c r="AZ411" s="36" t="s">
        <v>824</v>
      </c>
      <c r="BA411" s="12" t="s">
        <v>65</v>
      </c>
      <c r="BC411" s="32">
        <f>AW411+AX411</f>
        <v>0</v>
      </c>
      <c r="BD411" s="32">
        <f>H411/(100-BE411)*100</f>
        <v>0</v>
      </c>
      <c r="BE411" s="32">
        <v>0</v>
      </c>
      <c r="BF411" s="32">
        <f>P411</f>
        <v>0</v>
      </c>
      <c r="BH411" s="32">
        <f>G411*AO411</f>
        <v>0</v>
      </c>
      <c r="BI411" s="32">
        <f>G411*AP411</f>
        <v>0</v>
      </c>
      <c r="BJ411" s="32">
        <f>G411*H411</f>
        <v>0</v>
      </c>
      <c r="BK411" s="36" t="s">
        <v>66</v>
      </c>
      <c r="BL411" s="32">
        <v>766</v>
      </c>
      <c r="BW411" s="32">
        <f>I411</f>
        <v>21</v>
      </c>
      <c r="BX411" s="4" t="s">
        <v>893</v>
      </c>
    </row>
    <row r="412" spans="1:76" x14ac:dyDescent="0.25">
      <c r="A412" s="2" t="s">
        <v>894</v>
      </c>
      <c r="B412" s="3" t="s">
        <v>55</v>
      </c>
      <c r="C412" s="3" t="s">
        <v>895</v>
      </c>
      <c r="D412" s="89" t="s">
        <v>896</v>
      </c>
      <c r="E412" s="90"/>
      <c r="F412" s="3" t="s">
        <v>88</v>
      </c>
      <c r="G412" s="32">
        <v>6</v>
      </c>
      <c r="H412" s="199">
        <v>0</v>
      </c>
      <c r="I412" s="33">
        <v>21</v>
      </c>
      <c r="J412" s="32">
        <f>ROUND(G412*AO412,2)</f>
        <v>0</v>
      </c>
      <c r="K412" s="32">
        <f>ROUND(G412*AP412,2)</f>
        <v>0</v>
      </c>
      <c r="L412" s="32">
        <f>ROUND(G412*H412,2)</f>
        <v>0</v>
      </c>
      <c r="M412" s="32">
        <f>L412*(1+BW412/100)</f>
        <v>0</v>
      </c>
      <c r="N412" s="34">
        <f>IF(L649=0,0,L412/L649)</f>
        <v>0</v>
      </c>
      <c r="O412" s="32">
        <v>8.0000000000000004E-4</v>
      </c>
      <c r="P412" s="32">
        <f>G412*O412</f>
        <v>4.8000000000000004E-3</v>
      </c>
      <c r="Q412" s="35"/>
      <c r="Z412" s="32">
        <f>ROUND(IF(AQ412="5",BJ412,0),2)</f>
        <v>0</v>
      </c>
      <c r="AB412" s="32">
        <f>ROUND(IF(AQ412="1",BH412,0),2)</f>
        <v>0</v>
      </c>
      <c r="AC412" s="32">
        <f>ROUND(IF(AQ412="1",BI412,0),2)</f>
        <v>0</v>
      </c>
      <c r="AD412" s="32">
        <f>ROUND(IF(AQ412="7",BH412,0),2)</f>
        <v>0</v>
      </c>
      <c r="AE412" s="32">
        <f>ROUND(IF(AQ412="7",BI412,0),2)</f>
        <v>0</v>
      </c>
      <c r="AF412" s="32">
        <f>ROUND(IF(AQ412="2",BH412,0),2)</f>
        <v>0</v>
      </c>
      <c r="AG412" s="32">
        <f>ROUND(IF(AQ412="2",BI412,0),2)</f>
        <v>0</v>
      </c>
      <c r="AH412" s="32">
        <f>ROUND(IF(AQ412="0",BJ412,0),2)</f>
        <v>0</v>
      </c>
      <c r="AI412" s="12" t="s">
        <v>55</v>
      </c>
      <c r="AJ412" s="32">
        <f>IF(AN412=0,L412,0)</f>
        <v>0</v>
      </c>
      <c r="AK412" s="32">
        <f>IF(AN412=12,L412,0)</f>
        <v>0</v>
      </c>
      <c r="AL412" s="32">
        <f>IF(AN412=21,L412,0)</f>
        <v>0</v>
      </c>
      <c r="AN412" s="32">
        <v>21</v>
      </c>
      <c r="AO412" s="32">
        <f>H412*1</f>
        <v>0</v>
      </c>
      <c r="AP412" s="32">
        <f>H412*(1-1)</f>
        <v>0</v>
      </c>
      <c r="AQ412" s="36" t="s">
        <v>90</v>
      </c>
      <c r="AV412" s="32">
        <f>ROUND(AW412+AX412,2)</f>
        <v>0</v>
      </c>
      <c r="AW412" s="32">
        <f>ROUND(G412*AO412,2)</f>
        <v>0</v>
      </c>
      <c r="AX412" s="32">
        <f>ROUND(G412*AP412,2)</f>
        <v>0</v>
      </c>
      <c r="AY412" s="36" t="s">
        <v>862</v>
      </c>
      <c r="AZ412" s="36" t="s">
        <v>824</v>
      </c>
      <c r="BA412" s="12" t="s">
        <v>65</v>
      </c>
      <c r="BC412" s="32">
        <f>AW412+AX412</f>
        <v>0</v>
      </c>
      <c r="BD412" s="32">
        <f>H412/(100-BE412)*100</f>
        <v>0</v>
      </c>
      <c r="BE412" s="32">
        <v>0</v>
      </c>
      <c r="BF412" s="32">
        <f>P412</f>
        <v>4.8000000000000004E-3</v>
      </c>
      <c r="BH412" s="32">
        <f>G412*AO412</f>
        <v>0</v>
      </c>
      <c r="BI412" s="32">
        <f>G412*AP412</f>
        <v>0</v>
      </c>
      <c r="BJ412" s="32">
        <f>G412*H412</f>
        <v>0</v>
      </c>
      <c r="BK412" s="36" t="s">
        <v>147</v>
      </c>
      <c r="BL412" s="32">
        <v>766</v>
      </c>
      <c r="BW412" s="32">
        <f>I412</f>
        <v>21</v>
      </c>
      <c r="BX412" s="4" t="s">
        <v>896</v>
      </c>
    </row>
    <row r="413" spans="1:76" x14ac:dyDescent="0.25">
      <c r="A413" s="42"/>
      <c r="C413" s="43"/>
      <c r="D413" s="95" t="s">
        <v>897</v>
      </c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7"/>
      <c r="BX413" s="44" t="s">
        <v>897</v>
      </c>
    </row>
    <row r="414" spans="1:76" x14ac:dyDescent="0.25">
      <c r="A414" s="2" t="s">
        <v>898</v>
      </c>
      <c r="B414" s="3" t="s">
        <v>55</v>
      </c>
      <c r="C414" s="3" t="s">
        <v>899</v>
      </c>
      <c r="D414" s="89" t="s">
        <v>900</v>
      </c>
      <c r="E414" s="90"/>
      <c r="F414" s="3" t="s">
        <v>88</v>
      </c>
      <c r="G414" s="32">
        <v>2</v>
      </c>
      <c r="H414" s="199">
        <v>0</v>
      </c>
      <c r="I414" s="33">
        <v>21</v>
      </c>
      <c r="J414" s="32">
        <f>ROUND(G414*AO414,2)</f>
        <v>0</v>
      </c>
      <c r="K414" s="32">
        <f>ROUND(G414*AP414,2)</f>
        <v>0</v>
      </c>
      <c r="L414" s="32">
        <f>ROUND(G414*H414,2)</f>
        <v>0</v>
      </c>
      <c r="M414" s="32">
        <f>L414*(1+BW414/100)</f>
        <v>0</v>
      </c>
      <c r="N414" s="34">
        <f>IF(L649=0,0,L414/L649)</f>
        <v>0</v>
      </c>
      <c r="O414" s="32">
        <v>8.0000000000000004E-4</v>
      </c>
      <c r="P414" s="32">
        <f>G414*O414</f>
        <v>1.6000000000000001E-3</v>
      </c>
      <c r="Q414" s="35"/>
      <c r="Z414" s="32">
        <f>ROUND(IF(AQ414="5",BJ414,0),2)</f>
        <v>0</v>
      </c>
      <c r="AB414" s="32">
        <f>ROUND(IF(AQ414="1",BH414,0),2)</f>
        <v>0</v>
      </c>
      <c r="AC414" s="32">
        <f>ROUND(IF(AQ414="1",BI414,0),2)</f>
        <v>0</v>
      </c>
      <c r="AD414" s="32">
        <f>ROUND(IF(AQ414="7",BH414,0),2)</f>
        <v>0</v>
      </c>
      <c r="AE414" s="32">
        <f>ROUND(IF(AQ414="7",BI414,0),2)</f>
        <v>0</v>
      </c>
      <c r="AF414" s="32">
        <f>ROUND(IF(AQ414="2",BH414,0),2)</f>
        <v>0</v>
      </c>
      <c r="AG414" s="32">
        <f>ROUND(IF(AQ414="2",BI414,0),2)</f>
        <v>0</v>
      </c>
      <c r="AH414" s="32">
        <f>ROUND(IF(AQ414="0",BJ414,0),2)</f>
        <v>0</v>
      </c>
      <c r="AI414" s="12" t="s">
        <v>55</v>
      </c>
      <c r="AJ414" s="32">
        <f>IF(AN414=0,L414,0)</f>
        <v>0</v>
      </c>
      <c r="AK414" s="32">
        <f>IF(AN414=12,L414,0)</f>
        <v>0</v>
      </c>
      <c r="AL414" s="32">
        <f>IF(AN414=21,L414,0)</f>
        <v>0</v>
      </c>
      <c r="AN414" s="32">
        <v>21</v>
      </c>
      <c r="AO414" s="32">
        <f>H414*1</f>
        <v>0</v>
      </c>
      <c r="AP414" s="32">
        <f>H414*(1-1)</f>
        <v>0</v>
      </c>
      <c r="AQ414" s="36" t="s">
        <v>90</v>
      </c>
      <c r="AV414" s="32">
        <f>ROUND(AW414+AX414,2)</f>
        <v>0</v>
      </c>
      <c r="AW414" s="32">
        <f>ROUND(G414*AO414,2)</f>
        <v>0</v>
      </c>
      <c r="AX414" s="32">
        <f>ROUND(G414*AP414,2)</f>
        <v>0</v>
      </c>
      <c r="AY414" s="36" t="s">
        <v>862</v>
      </c>
      <c r="AZ414" s="36" t="s">
        <v>824</v>
      </c>
      <c r="BA414" s="12" t="s">
        <v>65</v>
      </c>
      <c r="BC414" s="32">
        <f>AW414+AX414</f>
        <v>0</v>
      </c>
      <c r="BD414" s="32">
        <f>H414/(100-BE414)*100</f>
        <v>0</v>
      </c>
      <c r="BE414" s="32">
        <v>0</v>
      </c>
      <c r="BF414" s="32">
        <f>P414</f>
        <v>1.6000000000000001E-3</v>
      </c>
      <c r="BH414" s="32">
        <f>G414*AO414</f>
        <v>0</v>
      </c>
      <c r="BI414" s="32">
        <f>G414*AP414</f>
        <v>0</v>
      </c>
      <c r="BJ414" s="32">
        <f>G414*H414</f>
        <v>0</v>
      </c>
      <c r="BK414" s="36" t="s">
        <v>147</v>
      </c>
      <c r="BL414" s="32">
        <v>766</v>
      </c>
      <c r="BW414" s="32">
        <f>I414</f>
        <v>21</v>
      </c>
      <c r="BX414" s="4" t="s">
        <v>900</v>
      </c>
    </row>
    <row r="415" spans="1:76" x14ac:dyDescent="0.25">
      <c r="A415" s="2" t="s">
        <v>901</v>
      </c>
      <c r="B415" s="3" t="s">
        <v>55</v>
      </c>
      <c r="C415" s="3" t="s">
        <v>902</v>
      </c>
      <c r="D415" s="89" t="s">
        <v>903</v>
      </c>
      <c r="E415" s="90"/>
      <c r="F415" s="3" t="s">
        <v>88</v>
      </c>
      <c r="G415" s="32">
        <v>2</v>
      </c>
      <c r="H415" s="199">
        <v>0</v>
      </c>
      <c r="I415" s="33">
        <v>21</v>
      </c>
      <c r="J415" s="32">
        <f>ROUND(G415*AO415,2)</f>
        <v>0</v>
      </c>
      <c r="K415" s="32">
        <f>ROUND(G415*AP415,2)</f>
        <v>0</v>
      </c>
      <c r="L415" s="32">
        <f>ROUND(G415*H415,2)</f>
        <v>0</v>
      </c>
      <c r="M415" s="32">
        <f>L415*(1+BW415/100)</f>
        <v>0</v>
      </c>
      <c r="N415" s="34">
        <f>IF(L649=0,0,L415/L649)</f>
        <v>0</v>
      </c>
      <c r="O415" s="32">
        <v>8.0000000000000004E-4</v>
      </c>
      <c r="P415" s="32">
        <f>G415*O415</f>
        <v>1.6000000000000001E-3</v>
      </c>
      <c r="Q415" s="35"/>
      <c r="Z415" s="32">
        <f>ROUND(IF(AQ415="5",BJ415,0),2)</f>
        <v>0</v>
      </c>
      <c r="AB415" s="32">
        <f>ROUND(IF(AQ415="1",BH415,0),2)</f>
        <v>0</v>
      </c>
      <c r="AC415" s="32">
        <f>ROUND(IF(AQ415="1",BI415,0),2)</f>
        <v>0</v>
      </c>
      <c r="AD415" s="32">
        <f>ROUND(IF(AQ415="7",BH415,0),2)</f>
        <v>0</v>
      </c>
      <c r="AE415" s="32">
        <f>ROUND(IF(AQ415="7",BI415,0),2)</f>
        <v>0</v>
      </c>
      <c r="AF415" s="32">
        <f>ROUND(IF(AQ415="2",BH415,0),2)</f>
        <v>0</v>
      </c>
      <c r="AG415" s="32">
        <f>ROUND(IF(AQ415="2",BI415,0),2)</f>
        <v>0</v>
      </c>
      <c r="AH415" s="32">
        <f>ROUND(IF(AQ415="0",BJ415,0),2)</f>
        <v>0</v>
      </c>
      <c r="AI415" s="12" t="s">
        <v>55</v>
      </c>
      <c r="AJ415" s="32">
        <f>IF(AN415=0,L415,0)</f>
        <v>0</v>
      </c>
      <c r="AK415" s="32">
        <f>IF(AN415=12,L415,0)</f>
        <v>0</v>
      </c>
      <c r="AL415" s="32">
        <f>IF(AN415=21,L415,0)</f>
        <v>0</v>
      </c>
      <c r="AN415" s="32">
        <v>21</v>
      </c>
      <c r="AO415" s="32">
        <f>H415*1</f>
        <v>0</v>
      </c>
      <c r="AP415" s="32">
        <f>H415*(1-1)</f>
        <v>0</v>
      </c>
      <c r="AQ415" s="36" t="s">
        <v>90</v>
      </c>
      <c r="AV415" s="32">
        <f>ROUND(AW415+AX415,2)</f>
        <v>0</v>
      </c>
      <c r="AW415" s="32">
        <f>ROUND(G415*AO415,2)</f>
        <v>0</v>
      </c>
      <c r="AX415" s="32">
        <f>ROUND(G415*AP415,2)</f>
        <v>0</v>
      </c>
      <c r="AY415" s="36" t="s">
        <v>862</v>
      </c>
      <c r="AZ415" s="36" t="s">
        <v>824</v>
      </c>
      <c r="BA415" s="12" t="s">
        <v>65</v>
      </c>
      <c r="BC415" s="32">
        <f>AW415+AX415</f>
        <v>0</v>
      </c>
      <c r="BD415" s="32">
        <f>H415/(100-BE415)*100</f>
        <v>0</v>
      </c>
      <c r="BE415" s="32">
        <v>0</v>
      </c>
      <c r="BF415" s="32">
        <f>P415</f>
        <v>1.6000000000000001E-3</v>
      </c>
      <c r="BH415" s="32">
        <f>G415*AO415</f>
        <v>0</v>
      </c>
      <c r="BI415" s="32">
        <f>G415*AP415</f>
        <v>0</v>
      </c>
      <c r="BJ415" s="32">
        <f>G415*H415</f>
        <v>0</v>
      </c>
      <c r="BK415" s="36" t="s">
        <v>147</v>
      </c>
      <c r="BL415" s="32">
        <v>766</v>
      </c>
      <c r="BW415" s="32">
        <f>I415</f>
        <v>21</v>
      </c>
      <c r="BX415" s="4" t="s">
        <v>903</v>
      </c>
    </row>
    <row r="416" spans="1:76" x14ac:dyDescent="0.25">
      <c r="A416" s="2" t="s">
        <v>904</v>
      </c>
      <c r="B416" s="3" t="s">
        <v>55</v>
      </c>
      <c r="C416" s="3" t="s">
        <v>905</v>
      </c>
      <c r="D416" s="89" t="s">
        <v>906</v>
      </c>
      <c r="E416" s="90"/>
      <c r="F416" s="3" t="s">
        <v>88</v>
      </c>
      <c r="G416" s="32">
        <v>3</v>
      </c>
      <c r="H416" s="199">
        <v>0</v>
      </c>
      <c r="I416" s="33">
        <v>21</v>
      </c>
      <c r="J416" s="32">
        <f>ROUND(G416*AO416,2)</f>
        <v>0</v>
      </c>
      <c r="K416" s="32">
        <f>ROUND(G416*AP416,2)</f>
        <v>0</v>
      </c>
      <c r="L416" s="32">
        <f>ROUND(G416*H416,2)</f>
        <v>0</v>
      </c>
      <c r="M416" s="32">
        <f>L416*(1+BW416/100)</f>
        <v>0</v>
      </c>
      <c r="N416" s="34">
        <f>IF(L649=0,0,L416/L649)</f>
        <v>0</v>
      </c>
      <c r="O416" s="32">
        <v>1.0000000000000001E-5</v>
      </c>
      <c r="P416" s="32">
        <f>G416*O416</f>
        <v>3.0000000000000004E-5</v>
      </c>
      <c r="Q416" s="35"/>
      <c r="Z416" s="32">
        <f>ROUND(IF(AQ416="5",BJ416,0),2)</f>
        <v>0</v>
      </c>
      <c r="AB416" s="32">
        <f>ROUND(IF(AQ416="1",BH416,0),2)</f>
        <v>0</v>
      </c>
      <c r="AC416" s="32">
        <f>ROUND(IF(AQ416="1",BI416,0),2)</f>
        <v>0</v>
      </c>
      <c r="AD416" s="32">
        <f>ROUND(IF(AQ416="7",BH416,0),2)</f>
        <v>0</v>
      </c>
      <c r="AE416" s="32">
        <f>ROUND(IF(AQ416="7",BI416,0),2)</f>
        <v>0</v>
      </c>
      <c r="AF416" s="32">
        <f>ROUND(IF(AQ416="2",BH416,0),2)</f>
        <v>0</v>
      </c>
      <c r="AG416" s="32">
        <f>ROUND(IF(AQ416="2",BI416,0),2)</f>
        <v>0</v>
      </c>
      <c r="AH416" s="32">
        <f>ROUND(IF(AQ416="0",BJ416,0),2)</f>
        <v>0</v>
      </c>
      <c r="AI416" s="12" t="s">
        <v>55</v>
      </c>
      <c r="AJ416" s="32">
        <f>IF(AN416=0,L416,0)</f>
        <v>0</v>
      </c>
      <c r="AK416" s="32">
        <f>IF(AN416=12,L416,0)</f>
        <v>0</v>
      </c>
      <c r="AL416" s="32">
        <f>IF(AN416=21,L416,0)</f>
        <v>0</v>
      </c>
      <c r="AN416" s="32">
        <v>21</v>
      </c>
      <c r="AO416" s="32">
        <f>H416*0.018238994</f>
        <v>0</v>
      </c>
      <c r="AP416" s="32">
        <f>H416*(1-0.018238994)</f>
        <v>0</v>
      </c>
      <c r="AQ416" s="36" t="s">
        <v>90</v>
      </c>
      <c r="AV416" s="32">
        <f>ROUND(AW416+AX416,2)</f>
        <v>0</v>
      </c>
      <c r="AW416" s="32">
        <f>ROUND(G416*AO416,2)</f>
        <v>0</v>
      </c>
      <c r="AX416" s="32">
        <f>ROUND(G416*AP416,2)</f>
        <v>0</v>
      </c>
      <c r="AY416" s="36" t="s">
        <v>862</v>
      </c>
      <c r="AZ416" s="36" t="s">
        <v>824</v>
      </c>
      <c r="BA416" s="12" t="s">
        <v>65</v>
      </c>
      <c r="BC416" s="32">
        <f>AW416+AX416</f>
        <v>0</v>
      </c>
      <c r="BD416" s="32">
        <f>H416/(100-BE416)*100</f>
        <v>0</v>
      </c>
      <c r="BE416" s="32">
        <v>0</v>
      </c>
      <c r="BF416" s="32">
        <f>P416</f>
        <v>3.0000000000000004E-5</v>
      </c>
      <c r="BH416" s="32">
        <f>G416*AO416</f>
        <v>0</v>
      </c>
      <c r="BI416" s="32">
        <f>G416*AP416</f>
        <v>0</v>
      </c>
      <c r="BJ416" s="32">
        <f>G416*H416</f>
        <v>0</v>
      </c>
      <c r="BK416" s="36" t="s">
        <v>66</v>
      </c>
      <c r="BL416" s="32">
        <v>766</v>
      </c>
      <c r="BW416" s="32">
        <f>I416</f>
        <v>21</v>
      </c>
      <c r="BX416" s="4" t="s">
        <v>906</v>
      </c>
    </row>
    <row r="417" spans="1:76" ht="13.5" customHeight="1" x14ac:dyDescent="0.25">
      <c r="A417" s="42"/>
      <c r="C417" s="43"/>
      <c r="D417" s="95" t="s">
        <v>907</v>
      </c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7"/>
    </row>
    <row r="418" spans="1:76" x14ac:dyDescent="0.25">
      <c r="A418" s="2" t="s">
        <v>908</v>
      </c>
      <c r="B418" s="3" t="s">
        <v>55</v>
      </c>
      <c r="C418" s="3" t="s">
        <v>909</v>
      </c>
      <c r="D418" s="89" t="s">
        <v>910</v>
      </c>
      <c r="E418" s="90"/>
      <c r="F418" s="3" t="s">
        <v>88</v>
      </c>
      <c r="G418" s="32">
        <v>2</v>
      </c>
      <c r="H418" s="199">
        <v>0</v>
      </c>
      <c r="I418" s="33">
        <v>21</v>
      </c>
      <c r="J418" s="32">
        <f>ROUND(G418*AO418,2)</f>
        <v>0</v>
      </c>
      <c r="K418" s="32">
        <f>ROUND(G418*AP418,2)</f>
        <v>0</v>
      </c>
      <c r="L418" s="32">
        <f>ROUND(G418*H418,2)</f>
        <v>0</v>
      </c>
      <c r="M418" s="32">
        <f>L418*(1+BW418/100)</f>
        <v>0</v>
      </c>
      <c r="N418" s="34">
        <f>IF(L649=0,0,L418/L649)</f>
        <v>0</v>
      </c>
      <c r="O418" s="32">
        <v>1.9E-3</v>
      </c>
      <c r="P418" s="32">
        <f>G418*O418</f>
        <v>3.8E-3</v>
      </c>
      <c r="Q418" s="35"/>
      <c r="Z418" s="32">
        <f>ROUND(IF(AQ418="5",BJ418,0),2)</f>
        <v>0</v>
      </c>
      <c r="AB418" s="32">
        <f>ROUND(IF(AQ418="1",BH418,0),2)</f>
        <v>0</v>
      </c>
      <c r="AC418" s="32">
        <f>ROUND(IF(AQ418="1",BI418,0),2)</f>
        <v>0</v>
      </c>
      <c r="AD418" s="32">
        <f>ROUND(IF(AQ418="7",BH418,0),2)</f>
        <v>0</v>
      </c>
      <c r="AE418" s="32">
        <f>ROUND(IF(AQ418="7",BI418,0),2)</f>
        <v>0</v>
      </c>
      <c r="AF418" s="32">
        <f>ROUND(IF(AQ418="2",BH418,0),2)</f>
        <v>0</v>
      </c>
      <c r="AG418" s="32">
        <f>ROUND(IF(AQ418="2",BI418,0),2)</f>
        <v>0</v>
      </c>
      <c r="AH418" s="32">
        <f>ROUND(IF(AQ418="0",BJ418,0),2)</f>
        <v>0</v>
      </c>
      <c r="AI418" s="12" t="s">
        <v>55</v>
      </c>
      <c r="AJ418" s="32">
        <f>IF(AN418=0,L418,0)</f>
        <v>0</v>
      </c>
      <c r="AK418" s="32">
        <f>IF(AN418=12,L418,0)</f>
        <v>0</v>
      </c>
      <c r="AL418" s="32">
        <f>IF(AN418=21,L418,0)</f>
        <v>0</v>
      </c>
      <c r="AN418" s="32">
        <v>21</v>
      </c>
      <c r="AO418" s="32">
        <f>H418*1</f>
        <v>0</v>
      </c>
      <c r="AP418" s="32">
        <f>H418*(1-1)</f>
        <v>0</v>
      </c>
      <c r="AQ418" s="36" t="s">
        <v>90</v>
      </c>
      <c r="AV418" s="32">
        <f>ROUND(AW418+AX418,2)</f>
        <v>0</v>
      </c>
      <c r="AW418" s="32">
        <f>ROUND(G418*AO418,2)</f>
        <v>0</v>
      </c>
      <c r="AX418" s="32">
        <f>ROUND(G418*AP418,2)</f>
        <v>0</v>
      </c>
      <c r="AY418" s="36" t="s">
        <v>862</v>
      </c>
      <c r="AZ418" s="36" t="s">
        <v>824</v>
      </c>
      <c r="BA418" s="12" t="s">
        <v>65</v>
      </c>
      <c r="BC418" s="32">
        <f>AW418+AX418</f>
        <v>0</v>
      </c>
      <c r="BD418" s="32">
        <f>H418/(100-BE418)*100</f>
        <v>0</v>
      </c>
      <c r="BE418" s="32">
        <v>0</v>
      </c>
      <c r="BF418" s="32">
        <f>P418</f>
        <v>3.8E-3</v>
      </c>
      <c r="BH418" s="32">
        <f>G418*AO418</f>
        <v>0</v>
      </c>
      <c r="BI418" s="32">
        <f>G418*AP418</f>
        <v>0</v>
      </c>
      <c r="BJ418" s="32">
        <f>G418*H418</f>
        <v>0</v>
      </c>
      <c r="BK418" s="36" t="s">
        <v>147</v>
      </c>
      <c r="BL418" s="32">
        <v>766</v>
      </c>
      <c r="BW418" s="32">
        <f>I418</f>
        <v>21</v>
      </c>
      <c r="BX418" s="4" t="s">
        <v>910</v>
      </c>
    </row>
    <row r="419" spans="1:76" x14ac:dyDescent="0.25">
      <c r="A419" s="2" t="s">
        <v>911</v>
      </c>
      <c r="B419" s="3" t="s">
        <v>55</v>
      </c>
      <c r="C419" s="3" t="s">
        <v>627</v>
      </c>
      <c r="D419" s="89" t="s">
        <v>912</v>
      </c>
      <c r="E419" s="90"/>
      <c r="F419" s="3" t="s">
        <v>88</v>
      </c>
      <c r="G419" s="32">
        <v>2</v>
      </c>
      <c r="H419" s="199">
        <v>0</v>
      </c>
      <c r="I419" s="33">
        <v>21</v>
      </c>
      <c r="J419" s="32">
        <f>ROUND(G419*AO419,2)</f>
        <v>0</v>
      </c>
      <c r="K419" s="32">
        <f>ROUND(G419*AP419,2)</f>
        <v>0</v>
      </c>
      <c r="L419" s="32">
        <f>ROUND(G419*H419,2)</f>
        <v>0</v>
      </c>
      <c r="M419" s="32">
        <f>L419*(1+BW419/100)</f>
        <v>0</v>
      </c>
      <c r="N419" s="34">
        <f>IF(L649=0,0,L419/L649)</f>
        <v>0</v>
      </c>
      <c r="O419" s="32">
        <v>0</v>
      </c>
      <c r="P419" s="32">
        <f>G419*O419</f>
        <v>0</v>
      </c>
      <c r="Q419" s="35" t="s">
        <v>77</v>
      </c>
      <c r="Z419" s="32">
        <f>ROUND(IF(AQ419="5",BJ419,0),2)</f>
        <v>0</v>
      </c>
      <c r="AB419" s="32">
        <f>ROUND(IF(AQ419="1",BH419,0),2)</f>
        <v>0</v>
      </c>
      <c r="AC419" s="32">
        <f>ROUND(IF(AQ419="1",BI419,0),2)</f>
        <v>0</v>
      </c>
      <c r="AD419" s="32">
        <f>ROUND(IF(AQ419="7",BH419,0),2)</f>
        <v>0</v>
      </c>
      <c r="AE419" s="32">
        <f>ROUND(IF(AQ419="7",BI419,0),2)</f>
        <v>0</v>
      </c>
      <c r="AF419" s="32">
        <f>ROUND(IF(AQ419="2",BH419,0),2)</f>
        <v>0</v>
      </c>
      <c r="AG419" s="32">
        <f>ROUND(IF(AQ419="2",BI419,0),2)</f>
        <v>0</v>
      </c>
      <c r="AH419" s="32">
        <f>ROUND(IF(AQ419="0",BJ419,0),2)</f>
        <v>0</v>
      </c>
      <c r="AI419" s="12" t="s">
        <v>55</v>
      </c>
      <c r="AJ419" s="32">
        <f>IF(AN419=0,L419,0)</f>
        <v>0</v>
      </c>
      <c r="AK419" s="32">
        <f>IF(AN419=12,L419,0)</f>
        <v>0</v>
      </c>
      <c r="AL419" s="32">
        <f>IF(AN419=21,L419,0)</f>
        <v>0</v>
      </c>
      <c r="AN419" s="32">
        <v>21</v>
      </c>
      <c r="AO419" s="32">
        <f>H419*0</f>
        <v>0</v>
      </c>
      <c r="AP419" s="32">
        <f>H419*(1-0)</f>
        <v>0</v>
      </c>
      <c r="AQ419" s="36" t="s">
        <v>90</v>
      </c>
      <c r="AV419" s="32">
        <f>ROUND(AW419+AX419,2)</f>
        <v>0</v>
      </c>
      <c r="AW419" s="32">
        <f>ROUND(G419*AO419,2)</f>
        <v>0</v>
      </c>
      <c r="AX419" s="32">
        <f>ROUND(G419*AP419,2)</f>
        <v>0</v>
      </c>
      <c r="AY419" s="36" t="s">
        <v>862</v>
      </c>
      <c r="AZ419" s="36" t="s">
        <v>824</v>
      </c>
      <c r="BA419" s="12" t="s">
        <v>65</v>
      </c>
      <c r="BC419" s="32">
        <f>AW419+AX419</f>
        <v>0</v>
      </c>
      <c r="BD419" s="32">
        <f>H419/(100-BE419)*100</f>
        <v>0</v>
      </c>
      <c r="BE419" s="32">
        <v>0</v>
      </c>
      <c r="BF419" s="32">
        <f>P419</f>
        <v>0</v>
      </c>
      <c r="BH419" s="32">
        <f>G419*AO419</f>
        <v>0</v>
      </c>
      <c r="BI419" s="32">
        <f>G419*AP419</f>
        <v>0</v>
      </c>
      <c r="BJ419" s="32">
        <f>G419*H419</f>
        <v>0</v>
      </c>
      <c r="BK419" s="36" t="s">
        <v>66</v>
      </c>
      <c r="BL419" s="32">
        <v>766</v>
      </c>
      <c r="BW419" s="32">
        <f>I419</f>
        <v>21</v>
      </c>
      <c r="BX419" s="4" t="s">
        <v>912</v>
      </c>
    </row>
    <row r="420" spans="1:76" x14ac:dyDescent="0.25">
      <c r="A420" s="2" t="s">
        <v>913</v>
      </c>
      <c r="B420" s="3" t="s">
        <v>55</v>
      </c>
      <c r="C420" s="3" t="s">
        <v>914</v>
      </c>
      <c r="D420" s="89" t="s">
        <v>915</v>
      </c>
      <c r="E420" s="90"/>
      <c r="F420" s="3" t="s">
        <v>88</v>
      </c>
      <c r="G420" s="32">
        <v>2</v>
      </c>
      <c r="H420" s="199">
        <v>0</v>
      </c>
      <c r="I420" s="33">
        <v>21</v>
      </c>
      <c r="J420" s="32">
        <f>ROUND(G420*AO420,2)</f>
        <v>0</v>
      </c>
      <c r="K420" s="32">
        <f>ROUND(G420*AP420,2)</f>
        <v>0</v>
      </c>
      <c r="L420" s="32">
        <f>ROUND(G420*H420,2)</f>
        <v>0</v>
      </c>
      <c r="M420" s="32">
        <f>L420*(1+BW420/100)</f>
        <v>0</v>
      </c>
      <c r="N420" s="34">
        <f>IF(L649=0,0,L420/L649)</f>
        <v>0</v>
      </c>
      <c r="O420" s="32">
        <v>0.105</v>
      </c>
      <c r="P420" s="32">
        <f>G420*O420</f>
        <v>0.21</v>
      </c>
      <c r="Q420" s="35"/>
      <c r="Z420" s="32">
        <f>ROUND(IF(AQ420="5",BJ420,0),2)</f>
        <v>0</v>
      </c>
      <c r="AB420" s="32">
        <f>ROUND(IF(AQ420="1",BH420,0),2)</f>
        <v>0</v>
      </c>
      <c r="AC420" s="32">
        <f>ROUND(IF(AQ420="1",BI420,0),2)</f>
        <v>0</v>
      </c>
      <c r="AD420" s="32">
        <f>ROUND(IF(AQ420="7",BH420,0),2)</f>
        <v>0</v>
      </c>
      <c r="AE420" s="32">
        <f>ROUND(IF(AQ420="7",BI420,0),2)</f>
        <v>0</v>
      </c>
      <c r="AF420" s="32">
        <f>ROUND(IF(AQ420="2",BH420,0),2)</f>
        <v>0</v>
      </c>
      <c r="AG420" s="32">
        <f>ROUND(IF(AQ420="2",BI420,0),2)</f>
        <v>0</v>
      </c>
      <c r="AH420" s="32">
        <f>ROUND(IF(AQ420="0",BJ420,0),2)</f>
        <v>0</v>
      </c>
      <c r="AI420" s="12" t="s">
        <v>55</v>
      </c>
      <c r="AJ420" s="32">
        <f>IF(AN420=0,L420,0)</f>
        <v>0</v>
      </c>
      <c r="AK420" s="32">
        <f>IF(AN420=12,L420,0)</f>
        <v>0</v>
      </c>
      <c r="AL420" s="32">
        <f>IF(AN420=21,L420,0)</f>
        <v>0</v>
      </c>
      <c r="AN420" s="32">
        <v>21</v>
      </c>
      <c r="AO420" s="32">
        <f>H420*0.771110669</f>
        <v>0</v>
      </c>
      <c r="AP420" s="32">
        <f>H420*(1-0.771110669)</f>
        <v>0</v>
      </c>
      <c r="AQ420" s="36" t="s">
        <v>90</v>
      </c>
      <c r="AV420" s="32">
        <f>ROUND(AW420+AX420,2)</f>
        <v>0</v>
      </c>
      <c r="AW420" s="32">
        <f>ROUND(G420*AO420,2)</f>
        <v>0</v>
      </c>
      <c r="AX420" s="32">
        <f>ROUND(G420*AP420,2)</f>
        <v>0</v>
      </c>
      <c r="AY420" s="36" t="s">
        <v>862</v>
      </c>
      <c r="AZ420" s="36" t="s">
        <v>824</v>
      </c>
      <c r="BA420" s="12" t="s">
        <v>65</v>
      </c>
      <c r="BC420" s="32">
        <f>AW420+AX420</f>
        <v>0</v>
      </c>
      <c r="BD420" s="32">
        <f>H420/(100-BE420)*100</f>
        <v>0</v>
      </c>
      <c r="BE420" s="32">
        <v>0</v>
      </c>
      <c r="BF420" s="32">
        <f>P420</f>
        <v>0.21</v>
      </c>
      <c r="BH420" s="32">
        <f>G420*AO420</f>
        <v>0</v>
      </c>
      <c r="BI420" s="32">
        <f>G420*AP420</f>
        <v>0</v>
      </c>
      <c r="BJ420" s="32">
        <f>G420*H420</f>
        <v>0</v>
      </c>
      <c r="BK420" s="36" t="s">
        <v>66</v>
      </c>
      <c r="BL420" s="32">
        <v>766</v>
      </c>
      <c r="BW420" s="32">
        <f>I420</f>
        <v>21</v>
      </c>
      <c r="BX420" s="4" t="s">
        <v>915</v>
      </c>
    </row>
    <row r="421" spans="1:76" ht="13.5" customHeight="1" x14ac:dyDescent="0.25">
      <c r="A421" s="42"/>
      <c r="C421" s="43"/>
      <c r="D421" s="95" t="s">
        <v>916</v>
      </c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7"/>
    </row>
    <row r="422" spans="1:76" x14ac:dyDescent="0.25">
      <c r="A422" s="2" t="s">
        <v>917</v>
      </c>
      <c r="B422" s="3" t="s">
        <v>55</v>
      </c>
      <c r="C422" s="3" t="s">
        <v>918</v>
      </c>
      <c r="D422" s="89" t="s">
        <v>919</v>
      </c>
      <c r="E422" s="90"/>
      <c r="F422" s="3" t="s">
        <v>88</v>
      </c>
      <c r="G422" s="32">
        <v>2</v>
      </c>
      <c r="H422" s="199">
        <v>0</v>
      </c>
      <c r="I422" s="33">
        <v>21</v>
      </c>
      <c r="J422" s="32">
        <f>ROUND(G422*AO422,2)</f>
        <v>0</v>
      </c>
      <c r="K422" s="32">
        <f>ROUND(G422*AP422,2)</f>
        <v>0</v>
      </c>
      <c r="L422" s="32">
        <f>ROUND(G422*H422,2)</f>
        <v>0</v>
      </c>
      <c r="M422" s="32">
        <f>L422*(1+BW422/100)</f>
        <v>0</v>
      </c>
      <c r="N422" s="34">
        <f>IF(L649=0,0,L422/L649)</f>
        <v>0</v>
      </c>
      <c r="O422" s="32">
        <v>5.0000000000000001E-4</v>
      </c>
      <c r="P422" s="32">
        <f>G422*O422</f>
        <v>1E-3</v>
      </c>
      <c r="Q422" s="35" t="s">
        <v>77</v>
      </c>
      <c r="Z422" s="32">
        <f>ROUND(IF(AQ422="5",BJ422,0),2)</f>
        <v>0</v>
      </c>
      <c r="AB422" s="32">
        <f>ROUND(IF(AQ422="1",BH422,0),2)</f>
        <v>0</v>
      </c>
      <c r="AC422" s="32">
        <f>ROUND(IF(AQ422="1",BI422,0),2)</f>
        <v>0</v>
      </c>
      <c r="AD422" s="32">
        <f>ROUND(IF(AQ422="7",BH422,0),2)</f>
        <v>0</v>
      </c>
      <c r="AE422" s="32">
        <f>ROUND(IF(AQ422="7",BI422,0),2)</f>
        <v>0</v>
      </c>
      <c r="AF422" s="32">
        <f>ROUND(IF(AQ422="2",BH422,0),2)</f>
        <v>0</v>
      </c>
      <c r="AG422" s="32">
        <f>ROUND(IF(AQ422="2",BI422,0),2)</f>
        <v>0</v>
      </c>
      <c r="AH422" s="32">
        <f>ROUND(IF(AQ422="0",BJ422,0),2)</f>
        <v>0</v>
      </c>
      <c r="AI422" s="12" t="s">
        <v>55</v>
      </c>
      <c r="AJ422" s="32">
        <f>IF(AN422=0,L422,0)</f>
        <v>0</v>
      </c>
      <c r="AK422" s="32">
        <f>IF(AN422=12,L422,0)</f>
        <v>0</v>
      </c>
      <c r="AL422" s="32">
        <f>IF(AN422=21,L422,0)</f>
        <v>0</v>
      </c>
      <c r="AN422" s="32">
        <v>21</v>
      </c>
      <c r="AO422" s="32">
        <f>H422*1</f>
        <v>0</v>
      </c>
      <c r="AP422" s="32">
        <f>H422*(1-1)</f>
        <v>0</v>
      </c>
      <c r="AQ422" s="36" t="s">
        <v>90</v>
      </c>
      <c r="AV422" s="32">
        <f>ROUND(AW422+AX422,2)</f>
        <v>0</v>
      </c>
      <c r="AW422" s="32">
        <f>ROUND(G422*AO422,2)</f>
        <v>0</v>
      </c>
      <c r="AX422" s="32">
        <f>ROUND(G422*AP422,2)</f>
        <v>0</v>
      </c>
      <c r="AY422" s="36" t="s">
        <v>862</v>
      </c>
      <c r="AZ422" s="36" t="s">
        <v>824</v>
      </c>
      <c r="BA422" s="12" t="s">
        <v>65</v>
      </c>
      <c r="BC422" s="32">
        <f>AW422+AX422</f>
        <v>0</v>
      </c>
      <c r="BD422" s="32">
        <f>H422/(100-BE422)*100</f>
        <v>0</v>
      </c>
      <c r="BE422" s="32">
        <v>0</v>
      </c>
      <c r="BF422" s="32">
        <f>P422</f>
        <v>1E-3</v>
      </c>
      <c r="BH422" s="32">
        <f>G422*AO422</f>
        <v>0</v>
      </c>
      <c r="BI422" s="32">
        <f>G422*AP422</f>
        <v>0</v>
      </c>
      <c r="BJ422" s="32">
        <f>G422*H422</f>
        <v>0</v>
      </c>
      <c r="BK422" s="36" t="s">
        <v>147</v>
      </c>
      <c r="BL422" s="32">
        <v>766</v>
      </c>
      <c r="BW422" s="32">
        <f>I422</f>
        <v>21</v>
      </c>
      <c r="BX422" s="4" t="s">
        <v>919</v>
      </c>
    </row>
    <row r="423" spans="1:76" x14ac:dyDescent="0.25">
      <c r="A423" s="2" t="s">
        <v>920</v>
      </c>
      <c r="B423" s="3" t="s">
        <v>55</v>
      </c>
      <c r="C423" s="3" t="s">
        <v>921</v>
      </c>
      <c r="D423" s="89" t="s">
        <v>922</v>
      </c>
      <c r="E423" s="90"/>
      <c r="F423" s="3" t="s">
        <v>88</v>
      </c>
      <c r="G423" s="32">
        <v>2</v>
      </c>
      <c r="H423" s="199">
        <v>0</v>
      </c>
      <c r="I423" s="33">
        <v>21</v>
      </c>
      <c r="J423" s="32">
        <f>ROUND(G423*AO423,2)</f>
        <v>0</v>
      </c>
      <c r="K423" s="32">
        <f>ROUND(G423*AP423,2)</f>
        <v>0</v>
      </c>
      <c r="L423" s="32">
        <f>ROUND(G423*H423,2)</f>
        <v>0</v>
      </c>
      <c r="M423" s="32">
        <f>L423*(1+BW423/100)</f>
        <v>0</v>
      </c>
      <c r="N423" s="34">
        <f>IF(L649=0,0,L423/L649)</f>
        <v>0</v>
      </c>
      <c r="O423" s="32">
        <v>2E-3</v>
      </c>
      <c r="P423" s="32">
        <f>G423*O423</f>
        <v>4.0000000000000001E-3</v>
      </c>
      <c r="Q423" s="35" t="s">
        <v>77</v>
      </c>
      <c r="Z423" s="32">
        <f>ROUND(IF(AQ423="5",BJ423,0),2)</f>
        <v>0</v>
      </c>
      <c r="AB423" s="32">
        <f>ROUND(IF(AQ423="1",BH423,0),2)</f>
        <v>0</v>
      </c>
      <c r="AC423" s="32">
        <f>ROUND(IF(AQ423="1",BI423,0),2)</f>
        <v>0</v>
      </c>
      <c r="AD423" s="32">
        <f>ROUND(IF(AQ423="7",BH423,0),2)</f>
        <v>0</v>
      </c>
      <c r="AE423" s="32">
        <f>ROUND(IF(AQ423="7",BI423,0),2)</f>
        <v>0</v>
      </c>
      <c r="AF423" s="32">
        <f>ROUND(IF(AQ423="2",BH423,0),2)</f>
        <v>0</v>
      </c>
      <c r="AG423" s="32">
        <f>ROUND(IF(AQ423="2",BI423,0),2)</f>
        <v>0</v>
      </c>
      <c r="AH423" s="32">
        <f>ROUND(IF(AQ423="0",BJ423,0),2)</f>
        <v>0</v>
      </c>
      <c r="AI423" s="12" t="s">
        <v>55</v>
      </c>
      <c r="AJ423" s="32">
        <f>IF(AN423=0,L423,0)</f>
        <v>0</v>
      </c>
      <c r="AK423" s="32">
        <f>IF(AN423=12,L423,0)</f>
        <v>0</v>
      </c>
      <c r="AL423" s="32">
        <f>IF(AN423=21,L423,0)</f>
        <v>0</v>
      </c>
      <c r="AN423" s="32">
        <v>21</v>
      </c>
      <c r="AO423" s="32">
        <f>H423*1</f>
        <v>0</v>
      </c>
      <c r="AP423" s="32">
        <f>H423*(1-1)</f>
        <v>0</v>
      </c>
      <c r="AQ423" s="36" t="s">
        <v>90</v>
      </c>
      <c r="AV423" s="32">
        <f>ROUND(AW423+AX423,2)</f>
        <v>0</v>
      </c>
      <c r="AW423" s="32">
        <f>ROUND(G423*AO423,2)</f>
        <v>0</v>
      </c>
      <c r="AX423" s="32">
        <f>ROUND(G423*AP423,2)</f>
        <v>0</v>
      </c>
      <c r="AY423" s="36" t="s">
        <v>862</v>
      </c>
      <c r="AZ423" s="36" t="s">
        <v>824</v>
      </c>
      <c r="BA423" s="12" t="s">
        <v>65</v>
      </c>
      <c r="BC423" s="32">
        <f>AW423+AX423</f>
        <v>0</v>
      </c>
      <c r="BD423" s="32">
        <f>H423/(100-BE423)*100</f>
        <v>0</v>
      </c>
      <c r="BE423" s="32">
        <v>0</v>
      </c>
      <c r="BF423" s="32">
        <f>P423</f>
        <v>4.0000000000000001E-3</v>
      </c>
      <c r="BH423" s="32">
        <f>G423*AO423</f>
        <v>0</v>
      </c>
      <c r="BI423" s="32">
        <f>G423*AP423</f>
        <v>0</v>
      </c>
      <c r="BJ423" s="32">
        <f>G423*H423</f>
        <v>0</v>
      </c>
      <c r="BK423" s="36" t="s">
        <v>147</v>
      </c>
      <c r="BL423" s="32">
        <v>766</v>
      </c>
      <c r="BW423" s="32">
        <f>I423</f>
        <v>21</v>
      </c>
      <c r="BX423" s="4" t="s">
        <v>922</v>
      </c>
    </row>
    <row r="424" spans="1:76" x14ac:dyDescent="0.25">
      <c r="A424" s="2" t="s">
        <v>923</v>
      </c>
      <c r="B424" s="3" t="s">
        <v>55</v>
      </c>
      <c r="C424" s="3" t="s">
        <v>924</v>
      </c>
      <c r="D424" s="89" t="s">
        <v>925</v>
      </c>
      <c r="E424" s="90"/>
      <c r="F424" s="3" t="s">
        <v>88</v>
      </c>
      <c r="G424" s="32">
        <v>2</v>
      </c>
      <c r="H424" s="199">
        <v>0</v>
      </c>
      <c r="I424" s="33">
        <v>21</v>
      </c>
      <c r="J424" s="32">
        <f>ROUND(G424*AO424,2)</f>
        <v>0</v>
      </c>
      <c r="K424" s="32">
        <f>ROUND(G424*AP424,2)</f>
        <v>0</v>
      </c>
      <c r="L424" s="32">
        <f>ROUND(G424*H424,2)</f>
        <v>0</v>
      </c>
      <c r="M424" s="32">
        <f>L424*(1+BW424/100)</f>
        <v>0</v>
      </c>
      <c r="N424" s="34">
        <f>IF(L649=0,0,L424/L649)</f>
        <v>0</v>
      </c>
      <c r="O424" s="32">
        <v>1E-4</v>
      </c>
      <c r="P424" s="32">
        <f>G424*O424</f>
        <v>2.0000000000000001E-4</v>
      </c>
      <c r="Q424" s="35" t="s">
        <v>77</v>
      </c>
      <c r="Z424" s="32">
        <f>ROUND(IF(AQ424="5",BJ424,0),2)</f>
        <v>0</v>
      </c>
      <c r="AB424" s="32">
        <f>ROUND(IF(AQ424="1",BH424,0),2)</f>
        <v>0</v>
      </c>
      <c r="AC424" s="32">
        <f>ROUND(IF(AQ424="1",BI424,0),2)</f>
        <v>0</v>
      </c>
      <c r="AD424" s="32">
        <f>ROUND(IF(AQ424="7",BH424,0),2)</f>
        <v>0</v>
      </c>
      <c r="AE424" s="32">
        <f>ROUND(IF(AQ424="7",BI424,0),2)</f>
        <v>0</v>
      </c>
      <c r="AF424" s="32">
        <f>ROUND(IF(AQ424="2",BH424,0),2)</f>
        <v>0</v>
      </c>
      <c r="AG424" s="32">
        <f>ROUND(IF(AQ424="2",BI424,0),2)</f>
        <v>0</v>
      </c>
      <c r="AH424" s="32">
        <f>ROUND(IF(AQ424="0",BJ424,0),2)</f>
        <v>0</v>
      </c>
      <c r="AI424" s="12" t="s">
        <v>55</v>
      </c>
      <c r="AJ424" s="32">
        <f>IF(AN424=0,L424,0)</f>
        <v>0</v>
      </c>
      <c r="AK424" s="32">
        <f>IF(AN424=12,L424,0)</f>
        <v>0</v>
      </c>
      <c r="AL424" s="32">
        <f>IF(AN424=21,L424,0)</f>
        <v>0</v>
      </c>
      <c r="AN424" s="32">
        <v>21</v>
      </c>
      <c r="AO424" s="32">
        <f>H424*1</f>
        <v>0</v>
      </c>
      <c r="AP424" s="32">
        <f>H424*(1-1)</f>
        <v>0</v>
      </c>
      <c r="AQ424" s="36" t="s">
        <v>90</v>
      </c>
      <c r="AV424" s="32">
        <f>ROUND(AW424+AX424,2)</f>
        <v>0</v>
      </c>
      <c r="AW424" s="32">
        <f>ROUND(G424*AO424,2)</f>
        <v>0</v>
      </c>
      <c r="AX424" s="32">
        <f>ROUND(G424*AP424,2)</f>
        <v>0</v>
      </c>
      <c r="AY424" s="36" t="s">
        <v>862</v>
      </c>
      <c r="AZ424" s="36" t="s">
        <v>824</v>
      </c>
      <c r="BA424" s="12" t="s">
        <v>65</v>
      </c>
      <c r="BC424" s="32">
        <f>AW424+AX424</f>
        <v>0</v>
      </c>
      <c r="BD424" s="32">
        <f>H424/(100-BE424)*100</f>
        <v>0</v>
      </c>
      <c r="BE424" s="32">
        <v>0</v>
      </c>
      <c r="BF424" s="32">
        <f>P424</f>
        <v>2.0000000000000001E-4</v>
      </c>
      <c r="BH424" s="32">
        <f>G424*AO424</f>
        <v>0</v>
      </c>
      <c r="BI424" s="32">
        <f>G424*AP424</f>
        <v>0</v>
      </c>
      <c r="BJ424" s="32">
        <f>G424*H424</f>
        <v>0</v>
      </c>
      <c r="BK424" s="36" t="s">
        <v>147</v>
      </c>
      <c r="BL424" s="32">
        <v>766</v>
      </c>
      <c r="BW424" s="32">
        <f>I424</f>
        <v>21</v>
      </c>
      <c r="BX424" s="4" t="s">
        <v>925</v>
      </c>
    </row>
    <row r="425" spans="1:76" x14ac:dyDescent="0.25">
      <c r="A425" s="42"/>
      <c r="C425" s="43"/>
      <c r="D425" s="95" t="s">
        <v>890</v>
      </c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7"/>
      <c r="BX425" s="44" t="s">
        <v>890</v>
      </c>
    </row>
    <row r="426" spans="1:76" x14ac:dyDescent="0.25">
      <c r="A426" s="2" t="s">
        <v>926</v>
      </c>
      <c r="B426" s="3" t="s">
        <v>55</v>
      </c>
      <c r="C426" s="3" t="s">
        <v>927</v>
      </c>
      <c r="D426" s="89" t="s">
        <v>928</v>
      </c>
      <c r="E426" s="90"/>
      <c r="F426" s="3" t="s">
        <v>88</v>
      </c>
      <c r="G426" s="32">
        <v>5</v>
      </c>
      <c r="H426" s="199">
        <v>0</v>
      </c>
      <c r="I426" s="33">
        <v>21</v>
      </c>
      <c r="J426" s="32">
        <f>ROUND(G426*AO426,2)</f>
        <v>0</v>
      </c>
      <c r="K426" s="32">
        <f>ROUND(G426*AP426,2)</f>
        <v>0</v>
      </c>
      <c r="L426" s="32">
        <f>ROUND(G426*H426,2)</f>
        <v>0</v>
      </c>
      <c r="M426" s="32">
        <f>L426*(1+BW426/100)</f>
        <v>0</v>
      </c>
      <c r="N426" s="34">
        <f>IF(L649=0,0,L426/L649)</f>
        <v>0</v>
      </c>
      <c r="O426" s="32">
        <v>1E-4</v>
      </c>
      <c r="P426" s="32">
        <f>G426*O426</f>
        <v>5.0000000000000001E-4</v>
      </c>
      <c r="Q426" s="35"/>
      <c r="Z426" s="32">
        <f>ROUND(IF(AQ426="5",BJ426,0),2)</f>
        <v>0</v>
      </c>
      <c r="AB426" s="32">
        <f>ROUND(IF(AQ426="1",BH426,0),2)</f>
        <v>0</v>
      </c>
      <c r="AC426" s="32">
        <f>ROUND(IF(AQ426="1",BI426,0),2)</f>
        <v>0</v>
      </c>
      <c r="AD426" s="32">
        <f>ROUND(IF(AQ426="7",BH426,0),2)</f>
        <v>0</v>
      </c>
      <c r="AE426" s="32">
        <f>ROUND(IF(AQ426="7",BI426,0),2)</f>
        <v>0</v>
      </c>
      <c r="AF426" s="32">
        <f>ROUND(IF(AQ426="2",BH426,0),2)</f>
        <v>0</v>
      </c>
      <c r="AG426" s="32">
        <f>ROUND(IF(AQ426="2",BI426,0),2)</f>
        <v>0</v>
      </c>
      <c r="AH426" s="32">
        <f>ROUND(IF(AQ426="0",BJ426,0),2)</f>
        <v>0</v>
      </c>
      <c r="AI426" s="12" t="s">
        <v>55</v>
      </c>
      <c r="AJ426" s="32">
        <f>IF(AN426=0,L426,0)</f>
        <v>0</v>
      </c>
      <c r="AK426" s="32">
        <f>IF(AN426=12,L426,0)</f>
        <v>0</v>
      </c>
      <c r="AL426" s="32">
        <f>IF(AN426=21,L426,0)</f>
        <v>0</v>
      </c>
      <c r="AN426" s="32">
        <v>21</v>
      </c>
      <c r="AO426" s="32">
        <f>H426*1</f>
        <v>0</v>
      </c>
      <c r="AP426" s="32">
        <f>H426*(1-1)</f>
        <v>0</v>
      </c>
      <c r="AQ426" s="36" t="s">
        <v>90</v>
      </c>
      <c r="AV426" s="32">
        <f>ROUND(AW426+AX426,2)</f>
        <v>0</v>
      </c>
      <c r="AW426" s="32">
        <f>ROUND(G426*AO426,2)</f>
        <v>0</v>
      </c>
      <c r="AX426" s="32">
        <f>ROUND(G426*AP426,2)</f>
        <v>0</v>
      </c>
      <c r="AY426" s="36" t="s">
        <v>862</v>
      </c>
      <c r="AZ426" s="36" t="s">
        <v>824</v>
      </c>
      <c r="BA426" s="12" t="s">
        <v>65</v>
      </c>
      <c r="BC426" s="32">
        <f>AW426+AX426</f>
        <v>0</v>
      </c>
      <c r="BD426" s="32">
        <f>H426/(100-BE426)*100</f>
        <v>0</v>
      </c>
      <c r="BE426" s="32">
        <v>0</v>
      </c>
      <c r="BF426" s="32">
        <f>P426</f>
        <v>5.0000000000000001E-4</v>
      </c>
      <c r="BH426" s="32">
        <f>G426*AO426</f>
        <v>0</v>
      </c>
      <c r="BI426" s="32">
        <f>G426*AP426</f>
        <v>0</v>
      </c>
      <c r="BJ426" s="32">
        <f>G426*H426</f>
        <v>0</v>
      </c>
      <c r="BK426" s="36" t="s">
        <v>147</v>
      </c>
      <c r="BL426" s="32">
        <v>766</v>
      </c>
      <c r="BW426" s="32">
        <f>I426</f>
        <v>21</v>
      </c>
      <c r="BX426" s="4" t="s">
        <v>928</v>
      </c>
    </row>
    <row r="427" spans="1:76" x14ac:dyDescent="0.25">
      <c r="A427" s="42"/>
      <c r="C427" s="43"/>
      <c r="D427" s="95" t="s">
        <v>929</v>
      </c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7"/>
      <c r="BX427" s="44" t="s">
        <v>929</v>
      </c>
    </row>
    <row r="428" spans="1:76" x14ac:dyDescent="0.25">
      <c r="A428" s="2" t="s">
        <v>930</v>
      </c>
      <c r="B428" s="3" t="s">
        <v>55</v>
      </c>
      <c r="C428" s="3" t="s">
        <v>931</v>
      </c>
      <c r="D428" s="89" t="s">
        <v>932</v>
      </c>
      <c r="E428" s="90"/>
      <c r="F428" s="3" t="s">
        <v>316</v>
      </c>
      <c r="G428" s="32">
        <v>1</v>
      </c>
      <c r="H428" s="199">
        <v>0</v>
      </c>
      <c r="I428" s="33">
        <v>21</v>
      </c>
      <c r="J428" s="32">
        <f>ROUND(G428*AO428,2)</f>
        <v>0</v>
      </c>
      <c r="K428" s="32">
        <f>ROUND(G428*AP428,2)</f>
        <v>0</v>
      </c>
      <c r="L428" s="32">
        <f>ROUND(G428*H428,2)</f>
        <v>0</v>
      </c>
      <c r="M428" s="32">
        <f>L428*(1+BW428/100)</f>
        <v>0</v>
      </c>
      <c r="N428" s="34">
        <f>IF(L649=0,0,L428/L649)</f>
        <v>0</v>
      </c>
      <c r="O428" s="32">
        <v>0.122</v>
      </c>
      <c r="P428" s="32">
        <f>G428*O428</f>
        <v>0.122</v>
      </c>
      <c r="Q428" s="35" t="s">
        <v>77</v>
      </c>
      <c r="Z428" s="32">
        <f>ROUND(IF(AQ428="5",BJ428,0),2)</f>
        <v>0</v>
      </c>
      <c r="AB428" s="32">
        <f>ROUND(IF(AQ428="1",BH428,0),2)</f>
        <v>0</v>
      </c>
      <c r="AC428" s="32">
        <f>ROUND(IF(AQ428="1",BI428,0),2)</f>
        <v>0</v>
      </c>
      <c r="AD428" s="32">
        <f>ROUND(IF(AQ428="7",BH428,0),2)</f>
        <v>0</v>
      </c>
      <c r="AE428" s="32">
        <f>ROUND(IF(AQ428="7",BI428,0),2)</f>
        <v>0</v>
      </c>
      <c r="AF428" s="32">
        <f>ROUND(IF(AQ428="2",BH428,0),2)</f>
        <v>0</v>
      </c>
      <c r="AG428" s="32">
        <f>ROUND(IF(AQ428="2",BI428,0),2)</f>
        <v>0</v>
      </c>
      <c r="AH428" s="32">
        <f>ROUND(IF(AQ428="0",BJ428,0),2)</f>
        <v>0</v>
      </c>
      <c r="AI428" s="12" t="s">
        <v>55</v>
      </c>
      <c r="AJ428" s="32">
        <f>IF(AN428=0,L428,0)</f>
        <v>0</v>
      </c>
      <c r="AK428" s="32">
        <f>IF(AN428=12,L428,0)</f>
        <v>0</v>
      </c>
      <c r="AL428" s="32">
        <f>IF(AN428=21,L428,0)</f>
        <v>0</v>
      </c>
      <c r="AN428" s="32">
        <v>21</v>
      </c>
      <c r="AO428" s="32">
        <f>H428*0.776480466</f>
        <v>0</v>
      </c>
      <c r="AP428" s="32">
        <f>H428*(1-0.776480466)</f>
        <v>0</v>
      </c>
      <c r="AQ428" s="36" t="s">
        <v>90</v>
      </c>
      <c r="AV428" s="32">
        <f>ROUND(AW428+AX428,2)</f>
        <v>0</v>
      </c>
      <c r="AW428" s="32">
        <f>ROUND(G428*AO428,2)</f>
        <v>0</v>
      </c>
      <c r="AX428" s="32">
        <f>ROUND(G428*AP428,2)</f>
        <v>0</v>
      </c>
      <c r="AY428" s="36" t="s">
        <v>862</v>
      </c>
      <c r="AZ428" s="36" t="s">
        <v>824</v>
      </c>
      <c r="BA428" s="12" t="s">
        <v>65</v>
      </c>
      <c r="BC428" s="32">
        <f>AW428+AX428</f>
        <v>0</v>
      </c>
      <c r="BD428" s="32">
        <f>H428/(100-BE428)*100</f>
        <v>0</v>
      </c>
      <c r="BE428" s="32">
        <v>0</v>
      </c>
      <c r="BF428" s="32">
        <f>P428</f>
        <v>0.122</v>
      </c>
      <c r="BH428" s="32">
        <f>G428*AO428</f>
        <v>0</v>
      </c>
      <c r="BI428" s="32">
        <f>G428*AP428</f>
        <v>0</v>
      </c>
      <c r="BJ428" s="32">
        <f>G428*H428</f>
        <v>0</v>
      </c>
      <c r="BK428" s="36" t="s">
        <v>66</v>
      </c>
      <c r="BL428" s="32">
        <v>766</v>
      </c>
      <c r="BW428" s="32">
        <f>I428</f>
        <v>21</v>
      </c>
      <c r="BX428" s="4" t="s">
        <v>932</v>
      </c>
    </row>
    <row r="429" spans="1:76" ht="13.5" customHeight="1" x14ac:dyDescent="0.25">
      <c r="A429" s="42"/>
      <c r="C429" s="43"/>
      <c r="D429" s="95" t="s">
        <v>933</v>
      </c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7"/>
    </row>
    <row r="430" spans="1:76" x14ac:dyDescent="0.25">
      <c r="A430" s="2" t="s">
        <v>934</v>
      </c>
      <c r="B430" s="3" t="s">
        <v>55</v>
      </c>
      <c r="C430" s="3" t="s">
        <v>935</v>
      </c>
      <c r="D430" s="89" t="s">
        <v>936</v>
      </c>
      <c r="E430" s="90"/>
      <c r="F430" s="3" t="s">
        <v>88</v>
      </c>
      <c r="G430" s="32">
        <v>1</v>
      </c>
      <c r="H430" s="199">
        <v>0</v>
      </c>
      <c r="I430" s="33">
        <v>21</v>
      </c>
      <c r="J430" s="32">
        <f>ROUND(G430*AO430,2)</f>
        <v>0</v>
      </c>
      <c r="K430" s="32">
        <f>ROUND(G430*AP430,2)</f>
        <v>0</v>
      </c>
      <c r="L430" s="32">
        <f>ROUND(G430*H430,2)</f>
        <v>0</v>
      </c>
      <c r="M430" s="32">
        <f>L430*(1+BW430/100)</f>
        <v>0</v>
      </c>
      <c r="N430" s="34">
        <f>IF(L649=0,0,L430/L649)</f>
        <v>0</v>
      </c>
      <c r="O430" s="32">
        <v>0.184</v>
      </c>
      <c r="P430" s="32">
        <f>G430*O430</f>
        <v>0.184</v>
      </c>
      <c r="Q430" s="35"/>
      <c r="Z430" s="32">
        <f>ROUND(IF(AQ430="5",BJ430,0),2)</f>
        <v>0</v>
      </c>
      <c r="AB430" s="32">
        <f>ROUND(IF(AQ430="1",BH430,0),2)</f>
        <v>0</v>
      </c>
      <c r="AC430" s="32">
        <f>ROUND(IF(AQ430="1",BI430,0),2)</f>
        <v>0</v>
      </c>
      <c r="AD430" s="32">
        <f>ROUND(IF(AQ430="7",BH430,0),2)</f>
        <v>0</v>
      </c>
      <c r="AE430" s="32">
        <f>ROUND(IF(AQ430="7",BI430,0),2)</f>
        <v>0</v>
      </c>
      <c r="AF430" s="32">
        <f>ROUND(IF(AQ430="2",BH430,0),2)</f>
        <v>0</v>
      </c>
      <c r="AG430" s="32">
        <f>ROUND(IF(AQ430="2",BI430,0),2)</f>
        <v>0</v>
      </c>
      <c r="AH430" s="32">
        <f>ROUND(IF(AQ430="0",BJ430,0),2)</f>
        <v>0</v>
      </c>
      <c r="AI430" s="12" t="s">
        <v>55</v>
      </c>
      <c r="AJ430" s="32">
        <f>IF(AN430=0,L430,0)</f>
        <v>0</v>
      </c>
      <c r="AK430" s="32">
        <f>IF(AN430=12,L430,0)</f>
        <v>0</v>
      </c>
      <c r="AL430" s="32">
        <f>IF(AN430=21,L430,0)</f>
        <v>0</v>
      </c>
      <c r="AN430" s="32">
        <v>21</v>
      </c>
      <c r="AO430" s="32">
        <f>H430*0.819048466</f>
        <v>0</v>
      </c>
      <c r="AP430" s="32">
        <f>H430*(1-0.819048466)</f>
        <v>0</v>
      </c>
      <c r="AQ430" s="36" t="s">
        <v>90</v>
      </c>
      <c r="AV430" s="32">
        <f>ROUND(AW430+AX430,2)</f>
        <v>0</v>
      </c>
      <c r="AW430" s="32">
        <f>ROUND(G430*AO430,2)</f>
        <v>0</v>
      </c>
      <c r="AX430" s="32">
        <f>ROUND(G430*AP430,2)</f>
        <v>0</v>
      </c>
      <c r="AY430" s="36" t="s">
        <v>862</v>
      </c>
      <c r="AZ430" s="36" t="s">
        <v>824</v>
      </c>
      <c r="BA430" s="12" t="s">
        <v>65</v>
      </c>
      <c r="BC430" s="32">
        <f>AW430+AX430</f>
        <v>0</v>
      </c>
      <c r="BD430" s="32">
        <f>H430/(100-BE430)*100</f>
        <v>0</v>
      </c>
      <c r="BE430" s="32">
        <v>0</v>
      </c>
      <c r="BF430" s="32">
        <f>P430</f>
        <v>0.184</v>
      </c>
      <c r="BH430" s="32">
        <f>G430*AO430</f>
        <v>0</v>
      </c>
      <c r="BI430" s="32">
        <f>G430*AP430</f>
        <v>0</v>
      </c>
      <c r="BJ430" s="32">
        <f>G430*H430</f>
        <v>0</v>
      </c>
      <c r="BK430" s="36" t="s">
        <v>66</v>
      </c>
      <c r="BL430" s="32">
        <v>766</v>
      </c>
      <c r="BW430" s="32">
        <f>I430</f>
        <v>21</v>
      </c>
      <c r="BX430" s="4" t="s">
        <v>936</v>
      </c>
    </row>
    <row r="431" spans="1:76" ht="13.5" customHeight="1" x14ac:dyDescent="0.25">
      <c r="A431" s="42"/>
      <c r="C431" s="43"/>
      <c r="D431" s="95" t="s">
        <v>937</v>
      </c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7"/>
    </row>
    <row r="432" spans="1:76" x14ac:dyDescent="0.25">
      <c r="A432" s="2" t="s">
        <v>938</v>
      </c>
      <c r="B432" s="3" t="s">
        <v>55</v>
      </c>
      <c r="C432" s="3" t="s">
        <v>939</v>
      </c>
      <c r="D432" s="89" t="s">
        <v>940</v>
      </c>
      <c r="E432" s="90"/>
      <c r="F432" s="3" t="s">
        <v>88</v>
      </c>
      <c r="G432" s="32">
        <v>1</v>
      </c>
      <c r="H432" s="199">
        <v>0</v>
      </c>
      <c r="I432" s="33">
        <v>21</v>
      </c>
      <c r="J432" s="32">
        <f>ROUND(G432*AO432,2)</f>
        <v>0</v>
      </c>
      <c r="K432" s="32">
        <f>ROUND(G432*AP432,2)</f>
        <v>0</v>
      </c>
      <c r="L432" s="32">
        <f>ROUND(G432*H432,2)</f>
        <v>0</v>
      </c>
      <c r="M432" s="32">
        <f>L432*(1+BW432/100)</f>
        <v>0</v>
      </c>
      <c r="N432" s="34">
        <f>IF(L649=0,0,L432/L649)</f>
        <v>0</v>
      </c>
      <c r="O432" s="32">
        <v>0.184</v>
      </c>
      <c r="P432" s="32">
        <f>G432*O432</f>
        <v>0.184</v>
      </c>
      <c r="Q432" s="35"/>
      <c r="Z432" s="32">
        <f>ROUND(IF(AQ432="5",BJ432,0),2)</f>
        <v>0</v>
      </c>
      <c r="AB432" s="32">
        <f>ROUND(IF(AQ432="1",BH432,0),2)</f>
        <v>0</v>
      </c>
      <c r="AC432" s="32">
        <f>ROUND(IF(AQ432="1",BI432,0),2)</f>
        <v>0</v>
      </c>
      <c r="AD432" s="32">
        <f>ROUND(IF(AQ432="7",BH432,0),2)</f>
        <v>0</v>
      </c>
      <c r="AE432" s="32">
        <f>ROUND(IF(AQ432="7",BI432,0),2)</f>
        <v>0</v>
      </c>
      <c r="AF432" s="32">
        <f>ROUND(IF(AQ432="2",BH432,0),2)</f>
        <v>0</v>
      </c>
      <c r="AG432" s="32">
        <f>ROUND(IF(AQ432="2",BI432,0),2)</f>
        <v>0</v>
      </c>
      <c r="AH432" s="32">
        <f>ROUND(IF(AQ432="0",BJ432,0),2)</f>
        <v>0</v>
      </c>
      <c r="AI432" s="12" t="s">
        <v>55</v>
      </c>
      <c r="AJ432" s="32">
        <f>IF(AN432=0,L432,0)</f>
        <v>0</v>
      </c>
      <c r="AK432" s="32">
        <f>IF(AN432=12,L432,0)</f>
        <v>0</v>
      </c>
      <c r="AL432" s="32">
        <f>IF(AN432=21,L432,0)</f>
        <v>0</v>
      </c>
      <c r="AN432" s="32">
        <v>21</v>
      </c>
      <c r="AO432" s="32">
        <f>H432*0.819051439</f>
        <v>0</v>
      </c>
      <c r="AP432" s="32">
        <f>H432*(1-0.819051439)</f>
        <v>0</v>
      </c>
      <c r="AQ432" s="36" t="s">
        <v>90</v>
      </c>
      <c r="AV432" s="32">
        <f>ROUND(AW432+AX432,2)</f>
        <v>0</v>
      </c>
      <c r="AW432" s="32">
        <f>ROUND(G432*AO432,2)</f>
        <v>0</v>
      </c>
      <c r="AX432" s="32">
        <f>ROUND(G432*AP432,2)</f>
        <v>0</v>
      </c>
      <c r="AY432" s="36" t="s">
        <v>862</v>
      </c>
      <c r="AZ432" s="36" t="s">
        <v>824</v>
      </c>
      <c r="BA432" s="12" t="s">
        <v>65</v>
      </c>
      <c r="BC432" s="32">
        <f>AW432+AX432</f>
        <v>0</v>
      </c>
      <c r="BD432" s="32">
        <f>H432/(100-BE432)*100</f>
        <v>0</v>
      </c>
      <c r="BE432" s="32">
        <v>0</v>
      </c>
      <c r="BF432" s="32">
        <f>P432</f>
        <v>0.184</v>
      </c>
      <c r="BH432" s="32">
        <f>G432*AO432</f>
        <v>0</v>
      </c>
      <c r="BI432" s="32">
        <f>G432*AP432</f>
        <v>0</v>
      </c>
      <c r="BJ432" s="32">
        <f>G432*H432</f>
        <v>0</v>
      </c>
      <c r="BK432" s="36" t="s">
        <v>66</v>
      </c>
      <c r="BL432" s="32">
        <v>766</v>
      </c>
      <c r="BW432" s="32">
        <f>I432</f>
        <v>21</v>
      </c>
      <c r="BX432" s="4" t="s">
        <v>940</v>
      </c>
    </row>
    <row r="433" spans="1:76" ht="13.5" customHeight="1" x14ac:dyDescent="0.25">
      <c r="A433" s="42"/>
      <c r="C433" s="43"/>
      <c r="D433" s="95" t="s">
        <v>941</v>
      </c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7"/>
    </row>
    <row r="434" spans="1:76" x14ac:dyDescent="0.25">
      <c r="A434" s="2" t="s">
        <v>942</v>
      </c>
      <c r="B434" s="3" t="s">
        <v>55</v>
      </c>
      <c r="C434" s="3" t="s">
        <v>943</v>
      </c>
      <c r="D434" s="89" t="s">
        <v>944</v>
      </c>
      <c r="E434" s="90"/>
      <c r="F434" s="3" t="s">
        <v>88</v>
      </c>
      <c r="G434" s="32">
        <v>1</v>
      </c>
      <c r="H434" s="199">
        <v>0</v>
      </c>
      <c r="I434" s="33">
        <v>21</v>
      </c>
      <c r="J434" s="32">
        <f>ROUND(G434*AO434,2)</f>
        <v>0</v>
      </c>
      <c r="K434" s="32">
        <f>ROUND(G434*AP434,2)</f>
        <v>0</v>
      </c>
      <c r="L434" s="32">
        <f>ROUND(G434*H434,2)</f>
        <v>0</v>
      </c>
      <c r="M434" s="32">
        <f>L434*(1+BW434/100)</f>
        <v>0</v>
      </c>
      <c r="N434" s="34">
        <f>IF(L649=0,0,L434/L649)</f>
        <v>0</v>
      </c>
      <c r="O434" s="32">
        <v>0</v>
      </c>
      <c r="P434" s="32">
        <f>G434*O434</f>
        <v>0</v>
      </c>
      <c r="Q434" s="35" t="s">
        <v>77</v>
      </c>
      <c r="Z434" s="32">
        <f>ROUND(IF(AQ434="5",BJ434,0),2)</f>
        <v>0</v>
      </c>
      <c r="AB434" s="32">
        <f>ROUND(IF(AQ434="1",BH434,0),2)</f>
        <v>0</v>
      </c>
      <c r="AC434" s="32">
        <f>ROUND(IF(AQ434="1",BI434,0),2)</f>
        <v>0</v>
      </c>
      <c r="AD434" s="32">
        <f>ROUND(IF(AQ434="7",BH434,0),2)</f>
        <v>0</v>
      </c>
      <c r="AE434" s="32">
        <f>ROUND(IF(AQ434="7",BI434,0),2)</f>
        <v>0</v>
      </c>
      <c r="AF434" s="32">
        <f>ROUND(IF(AQ434="2",BH434,0),2)</f>
        <v>0</v>
      </c>
      <c r="AG434" s="32">
        <f>ROUND(IF(AQ434="2",BI434,0),2)</f>
        <v>0</v>
      </c>
      <c r="AH434" s="32">
        <f>ROUND(IF(AQ434="0",BJ434,0),2)</f>
        <v>0</v>
      </c>
      <c r="AI434" s="12" t="s">
        <v>55</v>
      </c>
      <c r="AJ434" s="32">
        <f>IF(AN434=0,L434,0)</f>
        <v>0</v>
      </c>
      <c r="AK434" s="32">
        <f>IF(AN434=12,L434,0)</f>
        <v>0</v>
      </c>
      <c r="AL434" s="32">
        <f>IF(AN434=21,L434,0)</f>
        <v>0</v>
      </c>
      <c r="AN434" s="32">
        <v>21</v>
      </c>
      <c r="AO434" s="32">
        <f>H434*0</f>
        <v>0</v>
      </c>
      <c r="AP434" s="32">
        <f>H434*(1-0)</f>
        <v>0</v>
      </c>
      <c r="AQ434" s="36" t="s">
        <v>90</v>
      </c>
      <c r="AV434" s="32">
        <f>ROUND(AW434+AX434,2)</f>
        <v>0</v>
      </c>
      <c r="AW434" s="32">
        <f>ROUND(G434*AO434,2)</f>
        <v>0</v>
      </c>
      <c r="AX434" s="32">
        <f>ROUND(G434*AP434,2)</f>
        <v>0</v>
      </c>
      <c r="AY434" s="36" t="s">
        <v>862</v>
      </c>
      <c r="AZ434" s="36" t="s">
        <v>824</v>
      </c>
      <c r="BA434" s="12" t="s">
        <v>65</v>
      </c>
      <c r="BC434" s="32">
        <f>AW434+AX434</f>
        <v>0</v>
      </c>
      <c r="BD434" s="32">
        <f>H434/(100-BE434)*100</f>
        <v>0</v>
      </c>
      <c r="BE434" s="32">
        <v>0</v>
      </c>
      <c r="BF434" s="32">
        <f>P434</f>
        <v>0</v>
      </c>
      <c r="BH434" s="32">
        <f>G434*AO434</f>
        <v>0</v>
      </c>
      <c r="BI434" s="32">
        <f>G434*AP434</f>
        <v>0</v>
      </c>
      <c r="BJ434" s="32">
        <f>G434*H434</f>
        <v>0</v>
      </c>
      <c r="BK434" s="36" t="s">
        <v>66</v>
      </c>
      <c r="BL434" s="32">
        <v>766</v>
      </c>
      <c r="BW434" s="32">
        <f>I434</f>
        <v>21</v>
      </c>
      <c r="BX434" s="4" t="s">
        <v>944</v>
      </c>
    </row>
    <row r="435" spans="1:76" x14ac:dyDescent="0.25">
      <c r="A435" s="2" t="s">
        <v>945</v>
      </c>
      <c r="B435" s="3" t="s">
        <v>55</v>
      </c>
      <c r="C435" s="3" t="s">
        <v>914</v>
      </c>
      <c r="D435" s="89" t="s">
        <v>946</v>
      </c>
      <c r="E435" s="90"/>
      <c r="F435" s="3" t="s">
        <v>88</v>
      </c>
      <c r="G435" s="32">
        <v>2</v>
      </c>
      <c r="H435" s="199">
        <v>0</v>
      </c>
      <c r="I435" s="33">
        <v>21</v>
      </c>
      <c r="J435" s="32">
        <f>ROUND(G435*AO435,2)</f>
        <v>0</v>
      </c>
      <c r="K435" s="32">
        <f>ROUND(G435*AP435,2)</f>
        <v>0</v>
      </c>
      <c r="L435" s="32">
        <f>ROUND(G435*H435,2)</f>
        <v>0</v>
      </c>
      <c r="M435" s="32">
        <f>L435*(1+BW435/100)</f>
        <v>0</v>
      </c>
      <c r="N435" s="34">
        <f>IF(L649=0,0,L435/L649)</f>
        <v>0</v>
      </c>
      <c r="O435" s="32">
        <v>0.184</v>
      </c>
      <c r="P435" s="32">
        <f>G435*O435</f>
        <v>0.36799999999999999</v>
      </c>
      <c r="Q435" s="35"/>
      <c r="Z435" s="32">
        <f>ROUND(IF(AQ435="5",BJ435,0),2)</f>
        <v>0</v>
      </c>
      <c r="AB435" s="32">
        <f>ROUND(IF(AQ435="1",BH435,0),2)</f>
        <v>0</v>
      </c>
      <c r="AC435" s="32">
        <f>ROUND(IF(AQ435="1",BI435,0),2)</f>
        <v>0</v>
      </c>
      <c r="AD435" s="32">
        <f>ROUND(IF(AQ435="7",BH435,0),2)</f>
        <v>0</v>
      </c>
      <c r="AE435" s="32">
        <f>ROUND(IF(AQ435="7",BI435,0),2)</f>
        <v>0</v>
      </c>
      <c r="AF435" s="32">
        <f>ROUND(IF(AQ435="2",BH435,0),2)</f>
        <v>0</v>
      </c>
      <c r="AG435" s="32">
        <f>ROUND(IF(AQ435="2",BI435,0),2)</f>
        <v>0</v>
      </c>
      <c r="AH435" s="32">
        <f>ROUND(IF(AQ435="0",BJ435,0),2)</f>
        <v>0</v>
      </c>
      <c r="AI435" s="12" t="s">
        <v>55</v>
      </c>
      <c r="AJ435" s="32">
        <f>IF(AN435=0,L435,0)</f>
        <v>0</v>
      </c>
      <c r="AK435" s="32">
        <f>IF(AN435=12,L435,0)</f>
        <v>0</v>
      </c>
      <c r="AL435" s="32">
        <f>IF(AN435=21,L435,0)</f>
        <v>0</v>
      </c>
      <c r="AN435" s="32">
        <v>21</v>
      </c>
      <c r="AO435" s="32">
        <f>H435*0.819050026</f>
        <v>0</v>
      </c>
      <c r="AP435" s="32">
        <f>H435*(1-0.819050026)</f>
        <v>0</v>
      </c>
      <c r="AQ435" s="36" t="s">
        <v>90</v>
      </c>
      <c r="AV435" s="32">
        <f>ROUND(AW435+AX435,2)</f>
        <v>0</v>
      </c>
      <c r="AW435" s="32">
        <f>ROUND(G435*AO435,2)</f>
        <v>0</v>
      </c>
      <c r="AX435" s="32">
        <f>ROUND(G435*AP435,2)</f>
        <v>0</v>
      </c>
      <c r="AY435" s="36" t="s">
        <v>862</v>
      </c>
      <c r="AZ435" s="36" t="s">
        <v>824</v>
      </c>
      <c r="BA435" s="12" t="s">
        <v>65</v>
      </c>
      <c r="BC435" s="32">
        <f>AW435+AX435</f>
        <v>0</v>
      </c>
      <c r="BD435" s="32">
        <f>H435/(100-BE435)*100</f>
        <v>0</v>
      </c>
      <c r="BE435" s="32">
        <v>0</v>
      </c>
      <c r="BF435" s="32">
        <f>P435</f>
        <v>0.36799999999999999</v>
      </c>
      <c r="BH435" s="32">
        <f>G435*AO435</f>
        <v>0</v>
      </c>
      <c r="BI435" s="32">
        <f>G435*AP435</f>
        <v>0</v>
      </c>
      <c r="BJ435" s="32">
        <f>G435*H435</f>
        <v>0</v>
      </c>
      <c r="BK435" s="36" t="s">
        <v>66</v>
      </c>
      <c r="BL435" s="32">
        <v>766</v>
      </c>
      <c r="BW435" s="32">
        <f>I435</f>
        <v>21</v>
      </c>
      <c r="BX435" s="4" t="s">
        <v>946</v>
      </c>
    </row>
    <row r="436" spans="1:76" ht="15" customHeight="1" x14ac:dyDescent="0.25">
      <c r="A436" s="2" t="s">
        <v>947</v>
      </c>
      <c r="B436" s="3" t="s">
        <v>55</v>
      </c>
      <c r="C436" s="3" t="s">
        <v>948</v>
      </c>
      <c r="D436" s="100" t="s">
        <v>949</v>
      </c>
      <c r="E436" s="90"/>
      <c r="F436" s="3" t="s">
        <v>88</v>
      </c>
      <c r="G436" s="32">
        <v>9</v>
      </c>
      <c r="H436" s="199">
        <v>0</v>
      </c>
      <c r="I436" s="33">
        <v>21</v>
      </c>
      <c r="J436" s="32">
        <f>ROUND(G436*AO436,2)</f>
        <v>0</v>
      </c>
      <c r="K436" s="32">
        <f>ROUND(G436*AP436,2)</f>
        <v>0</v>
      </c>
      <c r="L436" s="32">
        <f>ROUND(G436*H436,2)</f>
        <v>0</v>
      </c>
      <c r="M436" s="32">
        <f>L436*(1+BW436/100)</f>
        <v>0</v>
      </c>
      <c r="N436" s="34">
        <f>IF(L649=0,0,L436/L649)</f>
        <v>0</v>
      </c>
      <c r="O436" s="32">
        <v>0.184</v>
      </c>
      <c r="P436" s="32">
        <f>G436*O436</f>
        <v>1.6559999999999999</v>
      </c>
      <c r="Q436" s="35"/>
      <c r="Z436" s="32">
        <f>ROUND(IF(AQ436="5",BJ436,0),2)</f>
        <v>0</v>
      </c>
      <c r="AB436" s="32">
        <f>ROUND(IF(AQ436="1",BH436,0),2)</f>
        <v>0</v>
      </c>
      <c r="AC436" s="32">
        <f>ROUND(IF(AQ436="1",BI436,0),2)</f>
        <v>0</v>
      </c>
      <c r="AD436" s="32">
        <f>ROUND(IF(AQ436="7",BH436,0),2)</f>
        <v>0</v>
      </c>
      <c r="AE436" s="32">
        <f>ROUND(IF(AQ436="7",BI436,0),2)</f>
        <v>0</v>
      </c>
      <c r="AF436" s="32">
        <f>ROUND(IF(AQ436="2",BH436,0),2)</f>
        <v>0</v>
      </c>
      <c r="AG436" s="32">
        <f>ROUND(IF(AQ436="2",BI436,0),2)</f>
        <v>0</v>
      </c>
      <c r="AH436" s="32">
        <f>ROUND(IF(AQ436="0",BJ436,0),2)</f>
        <v>0</v>
      </c>
      <c r="AI436" s="12" t="s">
        <v>55</v>
      </c>
      <c r="AJ436" s="32">
        <f>IF(AN436=0,L436,0)</f>
        <v>0</v>
      </c>
      <c r="AK436" s="32">
        <f>IF(AN436=12,L436,0)</f>
        <v>0</v>
      </c>
      <c r="AL436" s="32">
        <f>IF(AN436=21,L436,0)</f>
        <v>0</v>
      </c>
      <c r="AN436" s="32">
        <v>21</v>
      </c>
      <c r="AO436" s="32">
        <f>H436*0.819050933</f>
        <v>0</v>
      </c>
      <c r="AP436" s="32">
        <f>H436*(1-0.819050933)</f>
        <v>0</v>
      </c>
      <c r="AQ436" s="36" t="s">
        <v>90</v>
      </c>
      <c r="AV436" s="32">
        <f>ROUND(AW436+AX436,2)</f>
        <v>0</v>
      </c>
      <c r="AW436" s="32">
        <f>ROUND(G436*AO436,2)</f>
        <v>0</v>
      </c>
      <c r="AX436" s="32">
        <f>ROUND(G436*AP436,2)</f>
        <v>0</v>
      </c>
      <c r="AY436" s="36" t="s">
        <v>862</v>
      </c>
      <c r="AZ436" s="36" t="s">
        <v>824</v>
      </c>
      <c r="BA436" s="12" t="s">
        <v>65</v>
      </c>
      <c r="BC436" s="32">
        <f>AW436+AX436</f>
        <v>0</v>
      </c>
      <c r="BD436" s="32">
        <f>H436/(100-BE436)*100</f>
        <v>0</v>
      </c>
      <c r="BE436" s="32">
        <v>0</v>
      </c>
      <c r="BF436" s="32">
        <f>P436</f>
        <v>1.6559999999999999</v>
      </c>
      <c r="BH436" s="32">
        <f>G436*AO436</f>
        <v>0</v>
      </c>
      <c r="BI436" s="32">
        <f>G436*AP436</f>
        <v>0</v>
      </c>
      <c r="BJ436" s="32">
        <f>G436*H436</f>
        <v>0</v>
      </c>
      <c r="BK436" s="36" t="s">
        <v>66</v>
      </c>
      <c r="BL436" s="32">
        <v>766</v>
      </c>
      <c r="BW436" s="32">
        <f>I436</f>
        <v>21</v>
      </c>
      <c r="BX436" s="4" t="s">
        <v>949</v>
      </c>
    </row>
    <row r="437" spans="1:76" ht="13.5" customHeight="1" x14ac:dyDescent="0.25">
      <c r="A437" s="42"/>
      <c r="C437" s="43"/>
      <c r="D437" s="95" t="s">
        <v>950</v>
      </c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7"/>
    </row>
    <row r="438" spans="1:76" x14ac:dyDescent="0.25">
      <c r="A438" s="2" t="s">
        <v>951</v>
      </c>
      <c r="B438" s="3" t="s">
        <v>55</v>
      </c>
      <c r="C438" s="3" t="s">
        <v>952</v>
      </c>
      <c r="D438" s="89" t="s">
        <v>953</v>
      </c>
      <c r="E438" s="90"/>
      <c r="F438" s="3" t="s">
        <v>88</v>
      </c>
      <c r="G438" s="32">
        <v>2</v>
      </c>
      <c r="H438" s="199">
        <v>0</v>
      </c>
      <c r="I438" s="33">
        <v>21</v>
      </c>
      <c r="J438" s="32">
        <f>ROUND(G438*AO438,2)</f>
        <v>0</v>
      </c>
      <c r="K438" s="32">
        <f>ROUND(G438*AP438,2)</f>
        <v>0</v>
      </c>
      <c r="L438" s="32">
        <f>ROUND(G438*H438,2)</f>
        <v>0</v>
      </c>
      <c r="M438" s="32">
        <f>L438*(1+BW438/100)</f>
        <v>0</v>
      </c>
      <c r="N438" s="34">
        <f>IF(L649=0,0,L438/L649)</f>
        <v>0</v>
      </c>
      <c r="O438" s="32">
        <v>0</v>
      </c>
      <c r="P438" s="32">
        <f>G438*O438</f>
        <v>0</v>
      </c>
      <c r="Q438" s="35" t="s">
        <v>55</v>
      </c>
      <c r="Z438" s="32">
        <f>ROUND(IF(AQ438="5",BJ438,0),2)</f>
        <v>0</v>
      </c>
      <c r="AB438" s="32">
        <f>ROUND(IF(AQ438="1",BH438,0),2)</f>
        <v>0</v>
      </c>
      <c r="AC438" s="32">
        <f>ROUND(IF(AQ438="1",BI438,0),2)</f>
        <v>0</v>
      </c>
      <c r="AD438" s="32">
        <f>ROUND(IF(AQ438="7",BH438,0),2)</f>
        <v>0</v>
      </c>
      <c r="AE438" s="32">
        <f>ROUND(IF(AQ438="7",BI438,0),2)</f>
        <v>0</v>
      </c>
      <c r="AF438" s="32">
        <f>ROUND(IF(AQ438="2",BH438,0),2)</f>
        <v>0</v>
      </c>
      <c r="AG438" s="32">
        <f>ROUND(IF(AQ438="2",BI438,0),2)</f>
        <v>0</v>
      </c>
      <c r="AH438" s="32">
        <f>ROUND(IF(AQ438="0",BJ438,0),2)</f>
        <v>0</v>
      </c>
      <c r="AI438" s="12" t="s">
        <v>55</v>
      </c>
      <c r="AJ438" s="32">
        <f>IF(AN438=0,L438,0)</f>
        <v>0</v>
      </c>
      <c r="AK438" s="32">
        <f>IF(AN438=12,L438,0)</f>
        <v>0</v>
      </c>
      <c r="AL438" s="32">
        <f>IF(AN438=21,L438,0)</f>
        <v>0</v>
      </c>
      <c r="AN438" s="32">
        <v>21</v>
      </c>
      <c r="AO438" s="32">
        <f>H438*0.889478641</f>
        <v>0</v>
      </c>
      <c r="AP438" s="32">
        <f>H438*(1-0.889478641)</f>
        <v>0</v>
      </c>
      <c r="AQ438" s="36" t="s">
        <v>90</v>
      </c>
      <c r="AV438" s="32">
        <f>ROUND(AW438+AX438,2)</f>
        <v>0</v>
      </c>
      <c r="AW438" s="32">
        <f>ROUND(G438*AO438,2)</f>
        <v>0</v>
      </c>
      <c r="AX438" s="32">
        <f>ROUND(G438*AP438,2)</f>
        <v>0</v>
      </c>
      <c r="AY438" s="36" t="s">
        <v>862</v>
      </c>
      <c r="AZ438" s="36" t="s">
        <v>824</v>
      </c>
      <c r="BA438" s="12" t="s">
        <v>65</v>
      </c>
      <c r="BC438" s="32">
        <f>AW438+AX438</f>
        <v>0</v>
      </c>
      <c r="BD438" s="32">
        <f>H438/(100-BE438)*100</f>
        <v>0</v>
      </c>
      <c r="BE438" s="32">
        <v>0</v>
      </c>
      <c r="BF438" s="32">
        <f>P438</f>
        <v>0</v>
      </c>
      <c r="BH438" s="32">
        <f>G438*AO438</f>
        <v>0</v>
      </c>
      <c r="BI438" s="32">
        <f>G438*AP438</f>
        <v>0</v>
      </c>
      <c r="BJ438" s="32">
        <f>G438*H438</f>
        <v>0</v>
      </c>
      <c r="BK438" s="36" t="s">
        <v>66</v>
      </c>
      <c r="BL438" s="32">
        <v>766</v>
      </c>
      <c r="BW438" s="32">
        <f>I438</f>
        <v>21</v>
      </c>
      <c r="BX438" s="4" t="s">
        <v>953</v>
      </c>
    </row>
    <row r="439" spans="1:76" ht="13.5" customHeight="1" x14ac:dyDescent="0.25">
      <c r="A439" s="42"/>
      <c r="C439" s="43"/>
      <c r="D439" s="95" t="s">
        <v>954</v>
      </c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7"/>
    </row>
    <row r="440" spans="1:76" ht="15" customHeight="1" x14ac:dyDescent="0.25">
      <c r="A440" s="2" t="s">
        <v>955</v>
      </c>
      <c r="B440" s="3" t="s">
        <v>55</v>
      </c>
      <c r="C440" s="3" t="s">
        <v>956</v>
      </c>
      <c r="D440" s="89" t="s">
        <v>957</v>
      </c>
      <c r="E440" s="90"/>
      <c r="F440" s="3" t="s">
        <v>76</v>
      </c>
      <c r="G440" s="32">
        <v>9.51</v>
      </c>
      <c r="H440" s="199">
        <v>0</v>
      </c>
      <c r="I440" s="33">
        <v>21</v>
      </c>
      <c r="J440" s="32">
        <f>ROUND(G440*AO440,2)</f>
        <v>0</v>
      </c>
      <c r="K440" s="32">
        <f>ROUND(G440*AP440,2)</f>
        <v>0</v>
      </c>
      <c r="L440" s="32">
        <f>ROUND(G440*H440,2)</f>
        <v>0</v>
      </c>
      <c r="M440" s="32">
        <f>L440*(1+BW440/100)</f>
        <v>0</v>
      </c>
      <c r="N440" s="34">
        <f>IF(L649=0,0,L440/L649)</f>
        <v>0</v>
      </c>
      <c r="O440" s="32">
        <v>4.0370000000000003E-2</v>
      </c>
      <c r="P440" s="32">
        <f>G440*O440</f>
        <v>0.3839187</v>
      </c>
      <c r="Q440" s="35" t="s">
        <v>77</v>
      </c>
      <c r="Z440" s="32">
        <f>ROUND(IF(AQ440="5",BJ440,0),2)</f>
        <v>0</v>
      </c>
      <c r="AB440" s="32">
        <f>ROUND(IF(AQ440="1",BH440,0),2)</f>
        <v>0</v>
      </c>
      <c r="AC440" s="32">
        <f>ROUND(IF(AQ440="1",BI440,0),2)</f>
        <v>0</v>
      </c>
      <c r="AD440" s="32">
        <f>ROUND(IF(AQ440="7",BH440,0),2)</f>
        <v>0</v>
      </c>
      <c r="AE440" s="32">
        <f>ROUND(IF(AQ440="7",BI440,0),2)</f>
        <v>0</v>
      </c>
      <c r="AF440" s="32">
        <f>ROUND(IF(AQ440="2",BH440,0),2)</f>
        <v>0</v>
      </c>
      <c r="AG440" s="32">
        <f>ROUND(IF(AQ440="2",BI440,0),2)</f>
        <v>0</v>
      </c>
      <c r="AH440" s="32">
        <f>ROUND(IF(AQ440="0",BJ440,0),2)</f>
        <v>0</v>
      </c>
      <c r="AI440" s="12" t="s">
        <v>55</v>
      </c>
      <c r="AJ440" s="32">
        <f>IF(AN440=0,L440,0)</f>
        <v>0</v>
      </c>
      <c r="AK440" s="32">
        <f>IF(AN440=12,L440,0)</f>
        <v>0</v>
      </c>
      <c r="AL440" s="32">
        <f>IF(AN440=21,L440,0)</f>
        <v>0</v>
      </c>
      <c r="AN440" s="32">
        <v>21</v>
      </c>
      <c r="AO440" s="32">
        <f>H440*0.920036779</f>
        <v>0</v>
      </c>
      <c r="AP440" s="32">
        <f>H440*(1-0.920036779)</f>
        <v>0</v>
      </c>
      <c r="AQ440" s="36" t="s">
        <v>90</v>
      </c>
      <c r="AV440" s="32">
        <f>ROUND(AW440+AX440,2)</f>
        <v>0</v>
      </c>
      <c r="AW440" s="32">
        <f>ROUND(G440*AO440,2)</f>
        <v>0</v>
      </c>
      <c r="AX440" s="32">
        <f>ROUND(G440*AP440,2)</f>
        <v>0</v>
      </c>
      <c r="AY440" s="36" t="s">
        <v>862</v>
      </c>
      <c r="AZ440" s="36" t="s">
        <v>824</v>
      </c>
      <c r="BA440" s="12" t="s">
        <v>65</v>
      </c>
      <c r="BC440" s="32">
        <f>AW440+AX440</f>
        <v>0</v>
      </c>
      <c r="BD440" s="32">
        <f>H440/(100-BE440)*100</f>
        <v>0</v>
      </c>
      <c r="BE440" s="32">
        <v>0</v>
      </c>
      <c r="BF440" s="32">
        <f>P440</f>
        <v>0.3839187</v>
      </c>
      <c r="BH440" s="32">
        <f>G440*AO440</f>
        <v>0</v>
      </c>
      <c r="BI440" s="32">
        <f>G440*AP440</f>
        <v>0</v>
      </c>
      <c r="BJ440" s="32">
        <f>G440*H440</f>
        <v>0</v>
      </c>
      <c r="BK440" s="36" t="s">
        <v>66</v>
      </c>
      <c r="BL440" s="32">
        <v>766</v>
      </c>
      <c r="BW440" s="32">
        <f>I440</f>
        <v>21</v>
      </c>
      <c r="BX440" s="4" t="s">
        <v>957</v>
      </c>
    </row>
    <row r="441" spans="1:76" ht="13.5" customHeight="1" x14ac:dyDescent="0.25">
      <c r="A441" s="42"/>
      <c r="C441" s="43"/>
      <c r="D441" s="95" t="s">
        <v>958</v>
      </c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7"/>
    </row>
    <row r="442" spans="1:76" ht="25.5" x14ac:dyDescent="0.25">
      <c r="A442" s="2" t="s">
        <v>959</v>
      </c>
      <c r="B442" s="3" t="s">
        <v>55</v>
      </c>
      <c r="C442" s="3" t="s">
        <v>960</v>
      </c>
      <c r="D442" s="89" t="s">
        <v>961</v>
      </c>
      <c r="E442" s="90"/>
      <c r="F442" s="3" t="s">
        <v>88</v>
      </c>
      <c r="G442" s="32">
        <v>1</v>
      </c>
      <c r="H442" s="199">
        <v>0</v>
      </c>
      <c r="I442" s="33">
        <v>21</v>
      </c>
      <c r="J442" s="32">
        <f>ROUND(G442*AO442,2)</f>
        <v>0</v>
      </c>
      <c r="K442" s="32">
        <f>ROUND(G442*AP442,2)</f>
        <v>0</v>
      </c>
      <c r="L442" s="32">
        <f>ROUND(G442*H442,2)</f>
        <v>0</v>
      </c>
      <c r="M442" s="32">
        <f>L442*(1+BW442/100)</f>
        <v>0</v>
      </c>
      <c r="N442" s="34">
        <f>IF(L649=0,0,L442/L649)</f>
        <v>0</v>
      </c>
      <c r="O442" s="32">
        <v>9.5000000000000001E-2</v>
      </c>
      <c r="P442" s="32">
        <f>G442*O442</f>
        <v>9.5000000000000001E-2</v>
      </c>
      <c r="Q442" s="35"/>
      <c r="Z442" s="32">
        <f>ROUND(IF(AQ442="5",BJ442,0),2)</f>
        <v>0</v>
      </c>
      <c r="AB442" s="32">
        <f>ROUND(IF(AQ442="1",BH442,0),2)</f>
        <v>0</v>
      </c>
      <c r="AC442" s="32">
        <f>ROUND(IF(AQ442="1",BI442,0),2)</f>
        <v>0</v>
      </c>
      <c r="AD442" s="32">
        <f>ROUND(IF(AQ442="7",BH442,0),2)</f>
        <v>0</v>
      </c>
      <c r="AE442" s="32">
        <f>ROUND(IF(AQ442="7",BI442,0),2)</f>
        <v>0</v>
      </c>
      <c r="AF442" s="32">
        <f>ROUND(IF(AQ442="2",BH442,0),2)</f>
        <v>0</v>
      </c>
      <c r="AG442" s="32">
        <f>ROUND(IF(AQ442="2",BI442,0),2)</f>
        <v>0</v>
      </c>
      <c r="AH442" s="32">
        <f>ROUND(IF(AQ442="0",BJ442,0),2)</f>
        <v>0</v>
      </c>
      <c r="AI442" s="12" t="s">
        <v>55</v>
      </c>
      <c r="AJ442" s="32">
        <f>IF(AN442=0,L442,0)</f>
        <v>0</v>
      </c>
      <c r="AK442" s="32">
        <f>IF(AN442=12,L442,0)</f>
        <v>0</v>
      </c>
      <c r="AL442" s="32">
        <f>IF(AN442=21,L442,0)</f>
        <v>0</v>
      </c>
      <c r="AN442" s="32">
        <v>21</v>
      </c>
      <c r="AO442" s="32">
        <f>H442*1</f>
        <v>0</v>
      </c>
      <c r="AP442" s="32">
        <f>H442*(1-1)</f>
        <v>0</v>
      </c>
      <c r="AQ442" s="36" t="s">
        <v>90</v>
      </c>
      <c r="AV442" s="32">
        <f>ROUND(AW442+AX442,2)</f>
        <v>0</v>
      </c>
      <c r="AW442" s="32">
        <f>ROUND(G442*AO442,2)</f>
        <v>0</v>
      </c>
      <c r="AX442" s="32">
        <f>ROUND(G442*AP442,2)</f>
        <v>0</v>
      </c>
      <c r="AY442" s="36" t="s">
        <v>862</v>
      </c>
      <c r="AZ442" s="36" t="s">
        <v>824</v>
      </c>
      <c r="BA442" s="12" t="s">
        <v>65</v>
      </c>
      <c r="BC442" s="32">
        <f>AW442+AX442</f>
        <v>0</v>
      </c>
      <c r="BD442" s="32">
        <f>H442/(100-BE442)*100</f>
        <v>0</v>
      </c>
      <c r="BE442" s="32">
        <v>0</v>
      </c>
      <c r="BF442" s="32">
        <f>P442</f>
        <v>9.5000000000000001E-2</v>
      </c>
      <c r="BH442" s="32">
        <f>G442*AO442</f>
        <v>0</v>
      </c>
      <c r="BI442" s="32">
        <f>G442*AP442</f>
        <v>0</v>
      </c>
      <c r="BJ442" s="32">
        <f>G442*H442</f>
        <v>0</v>
      </c>
      <c r="BK442" s="36" t="s">
        <v>147</v>
      </c>
      <c r="BL442" s="32">
        <v>766</v>
      </c>
      <c r="BW442" s="32">
        <f>I442</f>
        <v>21</v>
      </c>
      <c r="BX442" s="4" t="s">
        <v>961</v>
      </c>
    </row>
    <row r="443" spans="1:76" x14ac:dyDescent="0.25">
      <c r="A443" s="42"/>
      <c r="C443" s="43"/>
      <c r="D443" s="95" t="s">
        <v>962</v>
      </c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7"/>
      <c r="BX443" s="44" t="s">
        <v>962</v>
      </c>
    </row>
    <row r="444" spans="1:76" x14ac:dyDescent="0.25">
      <c r="A444" s="2" t="s">
        <v>963</v>
      </c>
      <c r="B444" s="3" t="s">
        <v>55</v>
      </c>
      <c r="C444" s="3" t="s">
        <v>964</v>
      </c>
      <c r="D444" s="89" t="s">
        <v>965</v>
      </c>
      <c r="E444" s="90"/>
      <c r="F444" s="3" t="s">
        <v>136</v>
      </c>
      <c r="G444" s="32">
        <v>6.5</v>
      </c>
      <c r="H444" s="199">
        <v>0</v>
      </c>
      <c r="I444" s="33">
        <v>21</v>
      </c>
      <c r="J444" s="32">
        <f>ROUND(G444*AO444,2)</f>
        <v>0</v>
      </c>
      <c r="K444" s="32">
        <f>ROUND(G444*AP444,2)</f>
        <v>0</v>
      </c>
      <c r="L444" s="32">
        <f>ROUND(G444*H444,2)</f>
        <v>0</v>
      </c>
      <c r="M444" s="32">
        <f>L444*(1+BW444/100)</f>
        <v>0</v>
      </c>
      <c r="N444" s="34">
        <f>IF(L649=0,0,L444/L649)</f>
        <v>0</v>
      </c>
      <c r="O444" s="32">
        <v>2.0000000000000002E-5</v>
      </c>
      <c r="P444" s="32">
        <f>G444*O444</f>
        <v>1.3000000000000002E-4</v>
      </c>
      <c r="Q444" s="35" t="s">
        <v>77</v>
      </c>
      <c r="Z444" s="32">
        <f>ROUND(IF(AQ444="5",BJ444,0),2)</f>
        <v>0</v>
      </c>
      <c r="AB444" s="32">
        <f>ROUND(IF(AQ444="1",BH444,0),2)</f>
        <v>0</v>
      </c>
      <c r="AC444" s="32">
        <f>ROUND(IF(AQ444="1",BI444,0),2)</f>
        <v>0</v>
      </c>
      <c r="AD444" s="32">
        <f>ROUND(IF(AQ444="7",BH444,0),2)</f>
        <v>0</v>
      </c>
      <c r="AE444" s="32">
        <f>ROUND(IF(AQ444="7",BI444,0),2)</f>
        <v>0</v>
      </c>
      <c r="AF444" s="32">
        <f>ROUND(IF(AQ444="2",BH444,0),2)</f>
        <v>0</v>
      </c>
      <c r="AG444" s="32">
        <f>ROUND(IF(AQ444="2",BI444,0),2)</f>
        <v>0</v>
      </c>
      <c r="AH444" s="32">
        <f>ROUND(IF(AQ444="0",BJ444,0),2)</f>
        <v>0</v>
      </c>
      <c r="AI444" s="12" t="s">
        <v>55</v>
      </c>
      <c r="AJ444" s="32">
        <f>IF(AN444=0,L444,0)</f>
        <v>0</v>
      </c>
      <c r="AK444" s="32">
        <f>IF(AN444=12,L444,0)</f>
        <v>0</v>
      </c>
      <c r="AL444" s="32">
        <f>IF(AN444=21,L444,0)</f>
        <v>0</v>
      </c>
      <c r="AN444" s="32">
        <v>21</v>
      </c>
      <c r="AO444" s="32">
        <f>H444*0.041260461</f>
        <v>0</v>
      </c>
      <c r="AP444" s="32">
        <f>H444*(1-0.041260461)</f>
        <v>0</v>
      </c>
      <c r="AQ444" s="36" t="s">
        <v>90</v>
      </c>
      <c r="AV444" s="32">
        <f>ROUND(AW444+AX444,2)</f>
        <v>0</v>
      </c>
      <c r="AW444" s="32">
        <f>ROUND(G444*AO444,2)</f>
        <v>0</v>
      </c>
      <c r="AX444" s="32">
        <f>ROUND(G444*AP444,2)</f>
        <v>0</v>
      </c>
      <c r="AY444" s="36" t="s">
        <v>862</v>
      </c>
      <c r="AZ444" s="36" t="s">
        <v>824</v>
      </c>
      <c r="BA444" s="12" t="s">
        <v>65</v>
      </c>
      <c r="BC444" s="32">
        <f>AW444+AX444</f>
        <v>0</v>
      </c>
      <c r="BD444" s="32">
        <f>H444/(100-BE444)*100</f>
        <v>0</v>
      </c>
      <c r="BE444" s="32">
        <v>0</v>
      </c>
      <c r="BF444" s="32">
        <f>P444</f>
        <v>1.3000000000000002E-4</v>
      </c>
      <c r="BH444" s="32">
        <f>G444*AO444</f>
        <v>0</v>
      </c>
      <c r="BI444" s="32">
        <f>G444*AP444</f>
        <v>0</v>
      </c>
      <c r="BJ444" s="32">
        <f>G444*H444</f>
        <v>0</v>
      </c>
      <c r="BK444" s="36" t="s">
        <v>66</v>
      </c>
      <c r="BL444" s="32">
        <v>766</v>
      </c>
      <c r="BW444" s="32">
        <f>I444</f>
        <v>21</v>
      </c>
      <c r="BX444" s="4" t="s">
        <v>965</v>
      </c>
    </row>
    <row r="445" spans="1:76" ht="13.5" customHeight="1" x14ac:dyDescent="0.25">
      <c r="A445" s="42"/>
      <c r="C445" s="43"/>
      <c r="D445" s="95" t="s">
        <v>966</v>
      </c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7"/>
    </row>
    <row r="446" spans="1:76" x14ac:dyDescent="0.25">
      <c r="A446" s="2" t="s">
        <v>967</v>
      </c>
      <c r="B446" s="3" t="s">
        <v>55</v>
      </c>
      <c r="C446" s="3" t="s">
        <v>968</v>
      </c>
      <c r="D446" s="89" t="s">
        <v>969</v>
      </c>
      <c r="E446" s="90"/>
      <c r="F446" s="3" t="s">
        <v>136</v>
      </c>
      <c r="G446" s="32">
        <v>6.7</v>
      </c>
      <c r="H446" s="199">
        <v>0</v>
      </c>
      <c r="I446" s="33">
        <v>21</v>
      </c>
      <c r="J446" s="32">
        <f>ROUND(G446*AO446,2)</f>
        <v>0</v>
      </c>
      <c r="K446" s="32">
        <f>ROUND(G446*AP446,2)</f>
        <v>0</v>
      </c>
      <c r="L446" s="32">
        <f>ROUND(G446*H446,2)</f>
        <v>0</v>
      </c>
      <c r="M446" s="32">
        <f>L446*(1+BW446/100)</f>
        <v>0</v>
      </c>
      <c r="N446" s="34">
        <f>IF(L649=0,0,L446/L649)</f>
        <v>0</v>
      </c>
      <c r="O446" s="32">
        <v>2.5149999999999999E-2</v>
      </c>
      <c r="P446" s="32">
        <f>G446*O446</f>
        <v>0.16850499999999999</v>
      </c>
      <c r="Q446" s="35" t="s">
        <v>77</v>
      </c>
      <c r="Z446" s="32">
        <f>ROUND(IF(AQ446="5",BJ446,0),2)</f>
        <v>0</v>
      </c>
      <c r="AB446" s="32">
        <f>ROUND(IF(AQ446="1",BH446,0),2)</f>
        <v>0</v>
      </c>
      <c r="AC446" s="32">
        <f>ROUND(IF(AQ446="1",BI446,0),2)</f>
        <v>0</v>
      </c>
      <c r="AD446" s="32">
        <f>ROUND(IF(AQ446="7",BH446,0),2)</f>
        <v>0</v>
      </c>
      <c r="AE446" s="32">
        <f>ROUND(IF(AQ446="7",BI446,0),2)</f>
        <v>0</v>
      </c>
      <c r="AF446" s="32">
        <f>ROUND(IF(AQ446="2",BH446,0),2)</f>
        <v>0</v>
      </c>
      <c r="AG446" s="32">
        <f>ROUND(IF(AQ446="2",BI446,0),2)</f>
        <v>0</v>
      </c>
      <c r="AH446" s="32">
        <f>ROUND(IF(AQ446="0",BJ446,0),2)</f>
        <v>0</v>
      </c>
      <c r="AI446" s="12" t="s">
        <v>55</v>
      </c>
      <c r="AJ446" s="32">
        <f>IF(AN446=0,L446,0)</f>
        <v>0</v>
      </c>
      <c r="AK446" s="32">
        <f>IF(AN446=12,L446,0)</f>
        <v>0</v>
      </c>
      <c r="AL446" s="32">
        <f>IF(AN446=21,L446,0)</f>
        <v>0</v>
      </c>
      <c r="AN446" s="32">
        <v>21</v>
      </c>
      <c r="AO446" s="32">
        <f>H446*0.683474181</f>
        <v>0</v>
      </c>
      <c r="AP446" s="32">
        <f>H446*(1-0.683474181)</f>
        <v>0</v>
      </c>
      <c r="AQ446" s="36" t="s">
        <v>90</v>
      </c>
      <c r="AV446" s="32">
        <f>ROUND(AW446+AX446,2)</f>
        <v>0</v>
      </c>
      <c r="AW446" s="32">
        <f>ROUND(G446*AO446,2)</f>
        <v>0</v>
      </c>
      <c r="AX446" s="32">
        <f>ROUND(G446*AP446,2)</f>
        <v>0</v>
      </c>
      <c r="AY446" s="36" t="s">
        <v>862</v>
      </c>
      <c r="AZ446" s="36" t="s">
        <v>824</v>
      </c>
      <c r="BA446" s="12" t="s">
        <v>65</v>
      </c>
      <c r="BC446" s="32">
        <f>AW446+AX446</f>
        <v>0</v>
      </c>
      <c r="BD446" s="32">
        <f>H446/(100-BE446)*100</f>
        <v>0</v>
      </c>
      <c r="BE446" s="32">
        <v>0</v>
      </c>
      <c r="BF446" s="32">
        <f>P446</f>
        <v>0.16850499999999999</v>
      </c>
      <c r="BH446" s="32">
        <f>G446*AO446</f>
        <v>0</v>
      </c>
      <c r="BI446" s="32">
        <f>G446*AP446</f>
        <v>0</v>
      </c>
      <c r="BJ446" s="32">
        <f>G446*H446</f>
        <v>0</v>
      </c>
      <c r="BK446" s="36" t="s">
        <v>66</v>
      </c>
      <c r="BL446" s="32">
        <v>766</v>
      </c>
      <c r="BW446" s="32">
        <f>I446</f>
        <v>21</v>
      </c>
      <c r="BX446" s="4" t="s">
        <v>969</v>
      </c>
    </row>
    <row r="447" spans="1:76" ht="13.5" customHeight="1" x14ac:dyDescent="0.25">
      <c r="A447" s="42"/>
      <c r="C447" s="43"/>
      <c r="D447" s="95" t="s">
        <v>970</v>
      </c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7"/>
    </row>
    <row r="448" spans="1:76" x14ac:dyDescent="0.25">
      <c r="A448" s="37" t="s">
        <v>55</v>
      </c>
      <c r="B448" s="38" t="s">
        <v>55</v>
      </c>
      <c r="C448" s="38" t="s">
        <v>971</v>
      </c>
      <c r="D448" s="98" t="s">
        <v>972</v>
      </c>
      <c r="E448" s="99"/>
      <c r="F448" s="39" t="s">
        <v>3</v>
      </c>
      <c r="G448" s="39" t="s">
        <v>3</v>
      </c>
      <c r="H448" s="39" t="s">
        <v>3</v>
      </c>
      <c r="I448" s="39" t="s">
        <v>3</v>
      </c>
      <c r="J448" s="1">
        <f>SUM(J449:J459)</f>
        <v>0</v>
      </c>
      <c r="K448" s="1">
        <f>SUM(K449:K459)</f>
        <v>0</v>
      </c>
      <c r="L448" s="1">
        <f>SUM(L449:L459)</f>
        <v>0</v>
      </c>
      <c r="M448" s="1">
        <f>SUM(M449:M459)</f>
        <v>0</v>
      </c>
      <c r="N448" s="40">
        <f>IF(L649=0,0,L448/L649)</f>
        <v>0</v>
      </c>
      <c r="O448" s="12" t="s">
        <v>55</v>
      </c>
      <c r="P448" s="1">
        <f>SUM(P449:P459)</f>
        <v>1.026942</v>
      </c>
      <c r="Q448" s="41" t="s">
        <v>55</v>
      </c>
      <c r="AI448" s="12" t="s">
        <v>55</v>
      </c>
      <c r="AS448" s="1">
        <f>SUM(AJ449:AJ459)</f>
        <v>0</v>
      </c>
      <c r="AT448" s="1">
        <f>SUM(AK449:AK459)</f>
        <v>0</v>
      </c>
      <c r="AU448" s="1">
        <f>SUM(AL449:AL459)</f>
        <v>0</v>
      </c>
    </row>
    <row r="449" spans="1:76" x14ac:dyDescent="0.25">
      <c r="A449" s="2" t="s">
        <v>973</v>
      </c>
      <c r="B449" s="3" t="s">
        <v>55</v>
      </c>
      <c r="C449" s="3" t="s">
        <v>974</v>
      </c>
      <c r="D449" s="89" t="s">
        <v>975</v>
      </c>
      <c r="E449" s="90"/>
      <c r="F449" s="3" t="s">
        <v>76</v>
      </c>
      <c r="G449" s="32">
        <v>16.989999999999998</v>
      </c>
      <c r="H449" s="199">
        <v>0</v>
      </c>
      <c r="I449" s="33">
        <v>21</v>
      </c>
      <c r="J449" s="32">
        <f>ROUND(G449*AO449,2)</f>
        <v>0</v>
      </c>
      <c r="K449" s="32">
        <f>ROUND(G449*AP449,2)</f>
        <v>0</v>
      </c>
      <c r="L449" s="32">
        <f>ROUND(G449*H449,2)</f>
        <v>0</v>
      </c>
      <c r="M449" s="32">
        <f>L449*(1+BW449/100)</f>
        <v>0</v>
      </c>
      <c r="N449" s="34">
        <f>IF(L649=0,0,L449/L649)</f>
        <v>0</v>
      </c>
      <c r="O449" s="32">
        <v>3.7799999999999999E-3</v>
      </c>
      <c r="P449" s="32">
        <f>G449*O449</f>
        <v>6.4222199999999993E-2</v>
      </c>
      <c r="Q449" s="35" t="s">
        <v>77</v>
      </c>
      <c r="Z449" s="32">
        <f>ROUND(IF(AQ449="5",BJ449,0),2)</f>
        <v>0</v>
      </c>
      <c r="AB449" s="32">
        <f>ROUND(IF(AQ449="1",BH449,0),2)</f>
        <v>0</v>
      </c>
      <c r="AC449" s="32">
        <f>ROUND(IF(AQ449="1",BI449,0),2)</f>
        <v>0</v>
      </c>
      <c r="AD449" s="32">
        <f>ROUND(IF(AQ449="7",BH449,0),2)</f>
        <v>0</v>
      </c>
      <c r="AE449" s="32">
        <f>ROUND(IF(AQ449="7",BI449,0),2)</f>
        <v>0</v>
      </c>
      <c r="AF449" s="32">
        <f>ROUND(IF(AQ449="2",BH449,0),2)</f>
        <v>0</v>
      </c>
      <c r="AG449" s="32">
        <f>ROUND(IF(AQ449="2",BI449,0),2)</f>
        <v>0</v>
      </c>
      <c r="AH449" s="32">
        <f>ROUND(IF(AQ449="0",BJ449,0),2)</f>
        <v>0</v>
      </c>
      <c r="AI449" s="12" t="s">
        <v>55</v>
      </c>
      <c r="AJ449" s="32">
        <f>IF(AN449=0,L449,0)</f>
        <v>0</v>
      </c>
      <c r="AK449" s="32">
        <f>IF(AN449=12,L449,0)</f>
        <v>0</v>
      </c>
      <c r="AL449" s="32">
        <f>IF(AN449=21,L449,0)</f>
        <v>0</v>
      </c>
      <c r="AN449" s="32">
        <v>21</v>
      </c>
      <c r="AO449" s="32">
        <f>H449*0.689586432</f>
        <v>0</v>
      </c>
      <c r="AP449" s="32">
        <f>H449*(1-0.689586432)</f>
        <v>0</v>
      </c>
      <c r="AQ449" s="36" t="s">
        <v>90</v>
      </c>
      <c r="AV449" s="32">
        <f>ROUND(AW449+AX449,2)</f>
        <v>0</v>
      </c>
      <c r="AW449" s="32">
        <f>ROUND(G449*AO449,2)</f>
        <v>0</v>
      </c>
      <c r="AX449" s="32">
        <f>ROUND(G449*AP449,2)</f>
        <v>0</v>
      </c>
      <c r="AY449" s="36" t="s">
        <v>976</v>
      </c>
      <c r="AZ449" s="36" t="s">
        <v>977</v>
      </c>
      <c r="BA449" s="12" t="s">
        <v>65</v>
      </c>
      <c r="BC449" s="32">
        <f>AW449+AX449</f>
        <v>0</v>
      </c>
      <c r="BD449" s="32">
        <f>H449/(100-BE449)*100</f>
        <v>0</v>
      </c>
      <c r="BE449" s="32">
        <v>0</v>
      </c>
      <c r="BF449" s="32">
        <f>P449</f>
        <v>6.4222199999999993E-2</v>
      </c>
      <c r="BH449" s="32">
        <f>G449*AO449</f>
        <v>0</v>
      </c>
      <c r="BI449" s="32">
        <f>G449*AP449</f>
        <v>0</v>
      </c>
      <c r="BJ449" s="32">
        <f>G449*H449</f>
        <v>0</v>
      </c>
      <c r="BK449" s="36" t="s">
        <v>66</v>
      </c>
      <c r="BL449" s="32">
        <v>771</v>
      </c>
      <c r="BW449" s="32">
        <f>I449</f>
        <v>21</v>
      </c>
      <c r="BX449" s="4" t="s">
        <v>975</v>
      </c>
    </row>
    <row r="450" spans="1:76" ht="13.5" customHeight="1" x14ac:dyDescent="0.25">
      <c r="A450" s="42"/>
      <c r="C450" s="43"/>
      <c r="D450" s="95" t="s">
        <v>978</v>
      </c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7"/>
    </row>
    <row r="451" spans="1:76" x14ac:dyDescent="0.25">
      <c r="A451" s="2" t="s">
        <v>979</v>
      </c>
      <c r="B451" s="3" t="s">
        <v>55</v>
      </c>
      <c r="C451" s="3" t="s">
        <v>980</v>
      </c>
      <c r="D451" s="89" t="s">
        <v>981</v>
      </c>
      <c r="E451" s="90"/>
      <c r="F451" s="3" t="s">
        <v>76</v>
      </c>
      <c r="G451" s="32">
        <v>42.78</v>
      </c>
      <c r="H451" s="199">
        <v>0</v>
      </c>
      <c r="I451" s="33">
        <v>21</v>
      </c>
      <c r="J451" s="32">
        <f>ROUND(G451*AO451,2)</f>
        <v>0</v>
      </c>
      <c r="K451" s="32">
        <f>ROUND(G451*AP451,2)</f>
        <v>0</v>
      </c>
      <c r="L451" s="32">
        <f>ROUND(G451*H451,2)</f>
        <v>0</v>
      </c>
      <c r="M451" s="32">
        <f>L451*(1+BW451/100)</f>
        <v>0</v>
      </c>
      <c r="N451" s="34">
        <f>IF(L649=0,0,L451/L649)</f>
        <v>0</v>
      </c>
      <c r="O451" s="32">
        <v>0</v>
      </c>
      <c r="P451" s="32">
        <f>G451*O451</f>
        <v>0</v>
      </c>
      <c r="Q451" s="35" t="s">
        <v>77</v>
      </c>
      <c r="Z451" s="32">
        <f>ROUND(IF(AQ451="5",BJ451,0),2)</f>
        <v>0</v>
      </c>
      <c r="AB451" s="32">
        <f>ROUND(IF(AQ451="1",BH451,0),2)</f>
        <v>0</v>
      </c>
      <c r="AC451" s="32">
        <f>ROUND(IF(AQ451="1",BI451,0),2)</f>
        <v>0</v>
      </c>
      <c r="AD451" s="32">
        <f>ROUND(IF(AQ451="7",BH451,0),2)</f>
        <v>0</v>
      </c>
      <c r="AE451" s="32">
        <f>ROUND(IF(AQ451="7",BI451,0),2)</f>
        <v>0</v>
      </c>
      <c r="AF451" s="32">
        <f>ROUND(IF(AQ451="2",BH451,0),2)</f>
        <v>0</v>
      </c>
      <c r="AG451" s="32">
        <f>ROUND(IF(AQ451="2",BI451,0),2)</f>
        <v>0</v>
      </c>
      <c r="AH451" s="32">
        <f>ROUND(IF(AQ451="0",BJ451,0),2)</f>
        <v>0</v>
      </c>
      <c r="AI451" s="12" t="s">
        <v>55</v>
      </c>
      <c r="AJ451" s="32">
        <f>IF(AN451=0,L451,0)</f>
        <v>0</v>
      </c>
      <c r="AK451" s="32">
        <f>IF(AN451=12,L451,0)</f>
        <v>0</v>
      </c>
      <c r="AL451" s="32">
        <f>IF(AN451=21,L451,0)</f>
        <v>0</v>
      </c>
      <c r="AN451" s="32">
        <v>21</v>
      </c>
      <c r="AO451" s="32">
        <f>H451*0</f>
        <v>0</v>
      </c>
      <c r="AP451" s="32">
        <f>H451*(1-0)</f>
        <v>0</v>
      </c>
      <c r="AQ451" s="36" t="s">
        <v>90</v>
      </c>
      <c r="AV451" s="32">
        <f>ROUND(AW451+AX451,2)</f>
        <v>0</v>
      </c>
      <c r="AW451" s="32">
        <f>ROUND(G451*AO451,2)</f>
        <v>0</v>
      </c>
      <c r="AX451" s="32">
        <f>ROUND(G451*AP451,2)</f>
        <v>0</v>
      </c>
      <c r="AY451" s="36" t="s">
        <v>976</v>
      </c>
      <c r="AZ451" s="36" t="s">
        <v>977</v>
      </c>
      <c r="BA451" s="12" t="s">
        <v>65</v>
      </c>
      <c r="BC451" s="32">
        <f>AW451+AX451</f>
        <v>0</v>
      </c>
      <c r="BD451" s="32">
        <f>H451/(100-BE451)*100</f>
        <v>0</v>
      </c>
      <c r="BE451" s="32">
        <v>0</v>
      </c>
      <c r="BF451" s="32">
        <f>P451</f>
        <v>0</v>
      </c>
      <c r="BH451" s="32">
        <f>G451*AO451</f>
        <v>0</v>
      </c>
      <c r="BI451" s="32">
        <f>G451*AP451</f>
        <v>0</v>
      </c>
      <c r="BJ451" s="32">
        <f>G451*H451</f>
        <v>0</v>
      </c>
      <c r="BK451" s="36" t="s">
        <v>66</v>
      </c>
      <c r="BL451" s="32">
        <v>771</v>
      </c>
      <c r="BW451" s="32">
        <f>I451</f>
        <v>21</v>
      </c>
      <c r="BX451" s="4" t="s">
        <v>981</v>
      </c>
    </row>
    <row r="452" spans="1:76" ht="13.5" customHeight="1" x14ac:dyDescent="0.25">
      <c r="A452" s="42"/>
      <c r="C452" s="43"/>
      <c r="D452" s="95" t="s">
        <v>982</v>
      </c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7"/>
    </row>
    <row r="453" spans="1:76" x14ac:dyDescent="0.25">
      <c r="A453" s="2" t="s">
        <v>983</v>
      </c>
      <c r="B453" s="3" t="s">
        <v>55</v>
      </c>
      <c r="C453" s="3" t="s">
        <v>984</v>
      </c>
      <c r="D453" s="89" t="s">
        <v>985</v>
      </c>
      <c r="E453" s="90"/>
      <c r="F453" s="3" t="s">
        <v>76</v>
      </c>
      <c r="G453" s="32">
        <v>42.78</v>
      </c>
      <c r="H453" s="199">
        <v>0</v>
      </c>
      <c r="I453" s="33">
        <v>21</v>
      </c>
      <c r="J453" s="32">
        <f>ROUND(G453*AO453,2)</f>
        <v>0</v>
      </c>
      <c r="K453" s="32">
        <f>ROUND(G453*AP453,2)</f>
        <v>0</v>
      </c>
      <c r="L453" s="32">
        <f>ROUND(G453*H453,2)</f>
        <v>0</v>
      </c>
      <c r="M453" s="32">
        <f>L453*(1+BW453/100)</f>
        <v>0</v>
      </c>
      <c r="N453" s="34">
        <f>IF(L649=0,0,L453/L649)</f>
        <v>0</v>
      </c>
      <c r="O453" s="32">
        <v>0</v>
      </c>
      <c r="P453" s="32">
        <f>G453*O453</f>
        <v>0</v>
      </c>
      <c r="Q453" s="35" t="s">
        <v>77</v>
      </c>
      <c r="Z453" s="32">
        <f>ROUND(IF(AQ453="5",BJ453,0),2)</f>
        <v>0</v>
      </c>
      <c r="AB453" s="32">
        <f>ROUND(IF(AQ453="1",BH453,0),2)</f>
        <v>0</v>
      </c>
      <c r="AC453" s="32">
        <f>ROUND(IF(AQ453="1",BI453,0),2)</f>
        <v>0</v>
      </c>
      <c r="AD453" s="32">
        <f>ROUND(IF(AQ453="7",BH453,0),2)</f>
        <v>0</v>
      </c>
      <c r="AE453" s="32">
        <f>ROUND(IF(AQ453="7",BI453,0),2)</f>
        <v>0</v>
      </c>
      <c r="AF453" s="32">
        <f>ROUND(IF(AQ453="2",BH453,0),2)</f>
        <v>0</v>
      </c>
      <c r="AG453" s="32">
        <f>ROUND(IF(AQ453="2",BI453,0),2)</f>
        <v>0</v>
      </c>
      <c r="AH453" s="32">
        <f>ROUND(IF(AQ453="0",BJ453,0),2)</f>
        <v>0</v>
      </c>
      <c r="AI453" s="12" t="s">
        <v>55</v>
      </c>
      <c r="AJ453" s="32">
        <f>IF(AN453=0,L453,0)</f>
        <v>0</v>
      </c>
      <c r="AK453" s="32">
        <f>IF(AN453=12,L453,0)</f>
        <v>0</v>
      </c>
      <c r="AL453" s="32">
        <f>IF(AN453=21,L453,0)</f>
        <v>0</v>
      </c>
      <c r="AN453" s="32">
        <v>21</v>
      </c>
      <c r="AO453" s="32">
        <f>H453*0</f>
        <v>0</v>
      </c>
      <c r="AP453" s="32">
        <f>H453*(1-0)</f>
        <v>0</v>
      </c>
      <c r="AQ453" s="36" t="s">
        <v>90</v>
      </c>
      <c r="AV453" s="32">
        <f>ROUND(AW453+AX453,2)</f>
        <v>0</v>
      </c>
      <c r="AW453" s="32">
        <f>ROUND(G453*AO453,2)</f>
        <v>0</v>
      </c>
      <c r="AX453" s="32">
        <f>ROUND(G453*AP453,2)</f>
        <v>0</v>
      </c>
      <c r="AY453" s="36" t="s">
        <v>976</v>
      </c>
      <c r="AZ453" s="36" t="s">
        <v>977</v>
      </c>
      <c r="BA453" s="12" t="s">
        <v>65</v>
      </c>
      <c r="BC453" s="32">
        <f>AW453+AX453</f>
        <v>0</v>
      </c>
      <c r="BD453" s="32">
        <f>H453/(100-BE453)*100</f>
        <v>0</v>
      </c>
      <c r="BE453" s="32">
        <v>0</v>
      </c>
      <c r="BF453" s="32">
        <f>P453</f>
        <v>0</v>
      </c>
      <c r="BH453" s="32">
        <f>G453*AO453</f>
        <v>0</v>
      </c>
      <c r="BI453" s="32">
        <f>G453*AP453</f>
        <v>0</v>
      </c>
      <c r="BJ453" s="32">
        <f>G453*H453</f>
        <v>0</v>
      </c>
      <c r="BK453" s="36" t="s">
        <v>66</v>
      </c>
      <c r="BL453" s="32">
        <v>771</v>
      </c>
      <c r="BW453" s="32">
        <f>I453</f>
        <v>21</v>
      </c>
      <c r="BX453" s="4" t="s">
        <v>985</v>
      </c>
    </row>
    <row r="454" spans="1:76" ht="13.5" customHeight="1" x14ac:dyDescent="0.25">
      <c r="A454" s="42"/>
      <c r="C454" s="43"/>
      <c r="D454" s="95" t="s">
        <v>986</v>
      </c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7"/>
    </row>
    <row r="455" spans="1:76" x14ac:dyDescent="0.25">
      <c r="A455" s="2" t="s">
        <v>987</v>
      </c>
      <c r="B455" s="3" t="s">
        <v>55</v>
      </c>
      <c r="C455" s="3" t="s">
        <v>988</v>
      </c>
      <c r="D455" s="89" t="s">
        <v>989</v>
      </c>
      <c r="E455" s="90"/>
      <c r="F455" s="3" t="s">
        <v>76</v>
      </c>
      <c r="G455" s="32">
        <v>49.197000000000003</v>
      </c>
      <c r="H455" s="199">
        <v>0</v>
      </c>
      <c r="I455" s="33">
        <v>21</v>
      </c>
      <c r="J455" s="32">
        <f>ROUND(G455*AO455,2)</f>
        <v>0</v>
      </c>
      <c r="K455" s="32">
        <f>ROUND(G455*AP455,2)</f>
        <v>0</v>
      </c>
      <c r="L455" s="32">
        <f>ROUND(G455*H455,2)</f>
        <v>0</v>
      </c>
      <c r="M455" s="32">
        <f>L455*(1+BW455/100)</f>
        <v>0</v>
      </c>
      <c r="N455" s="34">
        <f>IF(L649=0,0,L455/L649)</f>
        <v>0</v>
      </c>
      <c r="O455" s="32">
        <v>1.8200000000000001E-2</v>
      </c>
      <c r="P455" s="32">
        <f>G455*O455</f>
        <v>0.89538540000000011</v>
      </c>
      <c r="Q455" s="35"/>
      <c r="Z455" s="32">
        <f>ROUND(IF(AQ455="5",BJ455,0),2)</f>
        <v>0</v>
      </c>
      <c r="AB455" s="32">
        <f>ROUND(IF(AQ455="1",BH455,0),2)</f>
        <v>0</v>
      </c>
      <c r="AC455" s="32">
        <f>ROUND(IF(AQ455="1",BI455,0),2)</f>
        <v>0</v>
      </c>
      <c r="AD455" s="32">
        <f>ROUND(IF(AQ455="7",BH455,0),2)</f>
        <v>0</v>
      </c>
      <c r="AE455" s="32">
        <f>ROUND(IF(AQ455="7",BI455,0),2)</f>
        <v>0</v>
      </c>
      <c r="AF455" s="32">
        <f>ROUND(IF(AQ455="2",BH455,0),2)</f>
        <v>0</v>
      </c>
      <c r="AG455" s="32">
        <f>ROUND(IF(AQ455="2",BI455,0),2)</f>
        <v>0</v>
      </c>
      <c r="AH455" s="32">
        <f>ROUND(IF(AQ455="0",BJ455,0),2)</f>
        <v>0</v>
      </c>
      <c r="AI455" s="12" t="s">
        <v>55</v>
      </c>
      <c r="AJ455" s="32">
        <f>IF(AN455=0,L455,0)</f>
        <v>0</v>
      </c>
      <c r="AK455" s="32">
        <f>IF(AN455=12,L455,0)</f>
        <v>0</v>
      </c>
      <c r="AL455" s="32">
        <f>IF(AN455=21,L455,0)</f>
        <v>0</v>
      </c>
      <c r="AN455" s="32">
        <v>21</v>
      </c>
      <c r="AO455" s="32">
        <f>H455*1</f>
        <v>0</v>
      </c>
      <c r="AP455" s="32">
        <f>H455*(1-1)</f>
        <v>0</v>
      </c>
      <c r="AQ455" s="36" t="s">
        <v>90</v>
      </c>
      <c r="AV455" s="32">
        <f>ROUND(AW455+AX455,2)</f>
        <v>0</v>
      </c>
      <c r="AW455" s="32">
        <f>ROUND(G455*AO455,2)</f>
        <v>0</v>
      </c>
      <c r="AX455" s="32">
        <f>ROUND(G455*AP455,2)</f>
        <v>0</v>
      </c>
      <c r="AY455" s="36" t="s">
        <v>976</v>
      </c>
      <c r="AZ455" s="36" t="s">
        <v>977</v>
      </c>
      <c r="BA455" s="12" t="s">
        <v>65</v>
      </c>
      <c r="BC455" s="32">
        <f>AW455+AX455</f>
        <v>0</v>
      </c>
      <c r="BD455" s="32">
        <f>H455/(100-BE455)*100</f>
        <v>0</v>
      </c>
      <c r="BE455" s="32">
        <v>0</v>
      </c>
      <c r="BF455" s="32">
        <f>P455</f>
        <v>0.89538540000000011</v>
      </c>
      <c r="BH455" s="32">
        <f>G455*AO455</f>
        <v>0</v>
      </c>
      <c r="BI455" s="32">
        <f>G455*AP455</f>
        <v>0</v>
      </c>
      <c r="BJ455" s="32">
        <f>G455*H455</f>
        <v>0</v>
      </c>
      <c r="BK455" s="36" t="s">
        <v>147</v>
      </c>
      <c r="BL455" s="32">
        <v>771</v>
      </c>
      <c r="BW455" s="32">
        <f>I455</f>
        <v>21</v>
      </c>
      <c r="BX455" s="4" t="s">
        <v>989</v>
      </c>
    </row>
    <row r="456" spans="1:76" ht="15" customHeight="1" x14ac:dyDescent="0.25">
      <c r="A456" s="42"/>
      <c r="C456" s="43"/>
      <c r="D456" s="95" t="s">
        <v>990</v>
      </c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7"/>
      <c r="BX456" s="44" t="s">
        <v>990</v>
      </c>
    </row>
    <row r="457" spans="1:76" x14ac:dyDescent="0.25">
      <c r="A457" s="2" t="s">
        <v>991</v>
      </c>
      <c r="B457" s="3" t="s">
        <v>55</v>
      </c>
      <c r="C457" s="3" t="s">
        <v>992</v>
      </c>
      <c r="D457" s="89" t="s">
        <v>993</v>
      </c>
      <c r="E457" s="90"/>
      <c r="F457" s="3" t="s">
        <v>136</v>
      </c>
      <c r="G457" s="32">
        <v>28.42</v>
      </c>
      <c r="H457" s="199">
        <v>0</v>
      </c>
      <c r="I457" s="33">
        <v>21</v>
      </c>
      <c r="J457" s="32">
        <f>ROUND(G457*AO457,2)</f>
        <v>0</v>
      </c>
      <c r="K457" s="32">
        <f>ROUND(G457*AP457,2)</f>
        <v>0</v>
      </c>
      <c r="L457" s="32">
        <f>ROUND(G457*H457,2)</f>
        <v>0</v>
      </c>
      <c r="M457" s="32">
        <f>L457*(1+BW457/100)</f>
        <v>0</v>
      </c>
      <c r="N457" s="34">
        <f>IF(L649=0,0,L457/L649)</f>
        <v>0</v>
      </c>
      <c r="O457" s="32">
        <v>3.2000000000000003E-4</v>
      </c>
      <c r="P457" s="32">
        <f>G457*O457</f>
        <v>9.0944000000000007E-3</v>
      </c>
      <c r="Q457" s="35" t="s">
        <v>77</v>
      </c>
      <c r="Z457" s="32">
        <f>ROUND(IF(AQ457="5",BJ457,0),2)</f>
        <v>0</v>
      </c>
      <c r="AB457" s="32">
        <f>ROUND(IF(AQ457="1",BH457,0),2)</f>
        <v>0</v>
      </c>
      <c r="AC457" s="32">
        <f>ROUND(IF(AQ457="1",BI457,0),2)</f>
        <v>0</v>
      </c>
      <c r="AD457" s="32">
        <f>ROUND(IF(AQ457="7",BH457,0),2)</f>
        <v>0</v>
      </c>
      <c r="AE457" s="32">
        <f>ROUND(IF(AQ457="7",BI457,0),2)</f>
        <v>0</v>
      </c>
      <c r="AF457" s="32">
        <f>ROUND(IF(AQ457="2",BH457,0),2)</f>
        <v>0</v>
      </c>
      <c r="AG457" s="32">
        <f>ROUND(IF(AQ457="2",BI457,0),2)</f>
        <v>0</v>
      </c>
      <c r="AH457" s="32">
        <f>ROUND(IF(AQ457="0",BJ457,0),2)</f>
        <v>0</v>
      </c>
      <c r="AI457" s="12" t="s">
        <v>55</v>
      </c>
      <c r="AJ457" s="32">
        <f>IF(AN457=0,L457,0)</f>
        <v>0</v>
      </c>
      <c r="AK457" s="32">
        <f>IF(AN457=12,L457,0)</f>
        <v>0</v>
      </c>
      <c r="AL457" s="32">
        <f>IF(AN457=21,L457,0)</f>
        <v>0</v>
      </c>
      <c r="AN457" s="32">
        <v>21</v>
      </c>
      <c r="AO457" s="32">
        <f>H457*0.088407019</f>
        <v>0</v>
      </c>
      <c r="AP457" s="32">
        <f>H457*(1-0.088407019)</f>
        <v>0</v>
      </c>
      <c r="AQ457" s="36" t="s">
        <v>90</v>
      </c>
      <c r="AV457" s="32">
        <f>ROUND(AW457+AX457,2)</f>
        <v>0</v>
      </c>
      <c r="AW457" s="32">
        <f>ROUND(G457*AO457,2)</f>
        <v>0</v>
      </c>
      <c r="AX457" s="32">
        <f>ROUND(G457*AP457,2)</f>
        <v>0</v>
      </c>
      <c r="AY457" s="36" t="s">
        <v>976</v>
      </c>
      <c r="AZ457" s="36" t="s">
        <v>977</v>
      </c>
      <c r="BA457" s="12" t="s">
        <v>65</v>
      </c>
      <c r="BC457" s="32">
        <f>AW457+AX457</f>
        <v>0</v>
      </c>
      <c r="BD457" s="32">
        <f>H457/(100-BE457)*100</f>
        <v>0</v>
      </c>
      <c r="BE457" s="32">
        <v>0</v>
      </c>
      <c r="BF457" s="32">
        <f>P457</f>
        <v>9.0944000000000007E-3</v>
      </c>
      <c r="BH457" s="32">
        <f>G457*AO457</f>
        <v>0</v>
      </c>
      <c r="BI457" s="32">
        <f>G457*AP457</f>
        <v>0</v>
      </c>
      <c r="BJ457" s="32">
        <f>G457*H457</f>
        <v>0</v>
      </c>
      <c r="BK457" s="36" t="s">
        <v>66</v>
      </c>
      <c r="BL457" s="32">
        <v>771</v>
      </c>
      <c r="BW457" s="32">
        <f>I457</f>
        <v>21</v>
      </c>
      <c r="BX457" s="4" t="s">
        <v>993</v>
      </c>
    </row>
    <row r="458" spans="1:76" x14ac:dyDescent="0.25">
      <c r="A458" s="2" t="s">
        <v>994</v>
      </c>
      <c r="B458" s="3" t="s">
        <v>55</v>
      </c>
      <c r="C458" s="3" t="s">
        <v>995</v>
      </c>
      <c r="D458" s="89" t="s">
        <v>996</v>
      </c>
      <c r="E458" s="90"/>
      <c r="F458" s="3" t="s">
        <v>136</v>
      </c>
      <c r="G458" s="32">
        <v>31.262</v>
      </c>
      <c r="H458" s="199">
        <v>0</v>
      </c>
      <c r="I458" s="33">
        <v>21</v>
      </c>
      <c r="J458" s="32">
        <f>ROUND(G458*AO458,2)</f>
        <v>0</v>
      </c>
      <c r="K458" s="32">
        <f>ROUND(G458*AP458,2)</f>
        <v>0</v>
      </c>
      <c r="L458" s="32">
        <f>ROUND(G458*H458,2)</f>
        <v>0</v>
      </c>
      <c r="M458" s="32">
        <f>L458*(1+BW458/100)</f>
        <v>0</v>
      </c>
      <c r="N458" s="34">
        <f>IF(L649=0,0,L458/L649)</f>
        <v>0</v>
      </c>
      <c r="O458" s="32">
        <v>0</v>
      </c>
      <c r="P458" s="32">
        <f>G458*O458</f>
        <v>0</v>
      </c>
      <c r="Q458" s="35" t="s">
        <v>77</v>
      </c>
      <c r="Z458" s="32">
        <f>ROUND(IF(AQ458="5",BJ458,0),2)</f>
        <v>0</v>
      </c>
      <c r="AB458" s="32">
        <f>ROUND(IF(AQ458="1",BH458,0),2)</f>
        <v>0</v>
      </c>
      <c r="AC458" s="32">
        <f>ROUND(IF(AQ458="1",BI458,0),2)</f>
        <v>0</v>
      </c>
      <c r="AD458" s="32">
        <f>ROUND(IF(AQ458="7",BH458,0),2)</f>
        <v>0</v>
      </c>
      <c r="AE458" s="32">
        <f>ROUND(IF(AQ458="7",BI458,0),2)</f>
        <v>0</v>
      </c>
      <c r="AF458" s="32">
        <f>ROUND(IF(AQ458="2",BH458,0),2)</f>
        <v>0</v>
      </c>
      <c r="AG458" s="32">
        <f>ROUND(IF(AQ458="2",BI458,0),2)</f>
        <v>0</v>
      </c>
      <c r="AH458" s="32">
        <f>ROUND(IF(AQ458="0",BJ458,0),2)</f>
        <v>0</v>
      </c>
      <c r="AI458" s="12" t="s">
        <v>55</v>
      </c>
      <c r="AJ458" s="32">
        <f>IF(AN458=0,L458,0)</f>
        <v>0</v>
      </c>
      <c r="AK458" s="32">
        <f>IF(AN458=12,L458,0)</f>
        <v>0</v>
      </c>
      <c r="AL458" s="32">
        <f>IF(AN458=21,L458,0)</f>
        <v>0</v>
      </c>
      <c r="AN458" s="32">
        <v>21</v>
      </c>
      <c r="AO458" s="32">
        <f>H458*0.044221512</f>
        <v>0</v>
      </c>
      <c r="AP458" s="32">
        <f>H458*(1-0.044221512)</f>
        <v>0</v>
      </c>
      <c r="AQ458" s="36" t="s">
        <v>90</v>
      </c>
      <c r="AV458" s="32">
        <f>ROUND(AW458+AX458,2)</f>
        <v>0</v>
      </c>
      <c r="AW458" s="32">
        <f>ROUND(G458*AO458,2)</f>
        <v>0</v>
      </c>
      <c r="AX458" s="32">
        <f>ROUND(G458*AP458,2)</f>
        <v>0</v>
      </c>
      <c r="AY458" s="36" t="s">
        <v>976</v>
      </c>
      <c r="AZ458" s="36" t="s">
        <v>977</v>
      </c>
      <c r="BA458" s="12" t="s">
        <v>65</v>
      </c>
      <c r="BC458" s="32">
        <f>AW458+AX458</f>
        <v>0</v>
      </c>
      <c r="BD458" s="32">
        <f>H458/(100-BE458)*100</f>
        <v>0</v>
      </c>
      <c r="BE458" s="32">
        <v>0</v>
      </c>
      <c r="BF458" s="32">
        <f>P458</f>
        <v>0</v>
      </c>
      <c r="BH458" s="32">
        <f>G458*AO458</f>
        <v>0</v>
      </c>
      <c r="BI458" s="32">
        <f>G458*AP458</f>
        <v>0</v>
      </c>
      <c r="BJ458" s="32">
        <f>G458*H458</f>
        <v>0</v>
      </c>
      <c r="BK458" s="36" t="s">
        <v>66</v>
      </c>
      <c r="BL458" s="32">
        <v>771</v>
      </c>
      <c r="BW458" s="32">
        <f>I458</f>
        <v>21</v>
      </c>
      <c r="BX458" s="4" t="s">
        <v>996</v>
      </c>
    </row>
    <row r="459" spans="1:76" x14ac:dyDescent="0.25">
      <c r="A459" s="2" t="s">
        <v>997</v>
      </c>
      <c r="B459" s="3" t="s">
        <v>55</v>
      </c>
      <c r="C459" s="3" t="s">
        <v>988</v>
      </c>
      <c r="D459" s="89" t="s">
        <v>989</v>
      </c>
      <c r="E459" s="90"/>
      <c r="F459" s="3" t="s">
        <v>76</v>
      </c>
      <c r="G459" s="32">
        <v>3.2</v>
      </c>
      <c r="H459" s="199">
        <v>0</v>
      </c>
      <c r="I459" s="33">
        <v>21</v>
      </c>
      <c r="J459" s="32">
        <f>ROUND(G459*AO459,2)</f>
        <v>0</v>
      </c>
      <c r="K459" s="32">
        <f>ROUND(G459*AP459,2)</f>
        <v>0</v>
      </c>
      <c r="L459" s="32">
        <f>ROUND(G459*H459,2)</f>
        <v>0</v>
      </c>
      <c r="M459" s="32">
        <f>L459*(1+BW459/100)</f>
        <v>0</v>
      </c>
      <c r="N459" s="34">
        <f>IF(L649=0,0,L459/L649)</f>
        <v>0</v>
      </c>
      <c r="O459" s="32">
        <v>1.8200000000000001E-2</v>
      </c>
      <c r="P459" s="32">
        <f>G459*O459</f>
        <v>5.8240000000000007E-2</v>
      </c>
      <c r="Q459" s="35"/>
      <c r="Z459" s="32">
        <f>ROUND(IF(AQ459="5",BJ459,0),2)</f>
        <v>0</v>
      </c>
      <c r="AB459" s="32">
        <f>ROUND(IF(AQ459="1",BH459,0),2)</f>
        <v>0</v>
      </c>
      <c r="AC459" s="32">
        <f>ROUND(IF(AQ459="1",BI459,0),2)</f>
        <v>0</v>
      </c>
      <c r="AD459" s="32">
        <f>ROUND(IF(AQ459="7",BH459,0),2)</f>
        <v>0</v>
      </c>
      <c r="AE459" s="32">
        <f>ROUND(IF(AQ459="7",BI459,0),2)</f>
        <v>0</v>
      </c>
      <c r="AF459" s="32">
        <f>ROUND(IF(AQ459="2",BH459,0),2)</f>
        <v>0</v>
      </c>
      <c r="AG459" s="32">
        <f>ROUND(IF(AQ459="2",BI459,0),2)</f>
        <v>0</v>
      </c>
      <c r="AH459" s="32">
        <f>ROUND(IF(AQ459="0",BJ459,0),2)</f>
        <v>0</v>
      </c>
      <c r="AI459" s="12" t="s">
        <v>55</v>
      </c>
      <c r="AJ459" s="32">
        <f>IF(AN459=0,L459,0)</f>
        <v>0</v>
      </c>
      <c r="AK459" s="32">
        <f>IF(AN459=12,L459,0)</f>
        <v>0</v>
      </c>
      <c r="AL459" s="32">
        <f>IF(AN459=21,L459,0)</f>
        <v>0</v>
      </c>
      <c r="AN459" s="32">
        <v>21</v>
      </c>
      <c r="AO459" s="32">
        <f>H459*1</f>
        <v>0</v>
      </c>
      <c r="AP459" s="32">
        <f>H459*(1-1)</f>
        <v>0</v>
      </c>
      <c r="AQ459" s="36" t="s">
        <v>90</v>
      </c>
      <c r="AV459" s="32">
        <f>ROUND(AW459+AX459,2)</f>
        <v>0</v>
      </c>
      <c r="AW459" s="32">
        <f>ROUND(G459*AO459,2)</f>
        <v>0</v>
      </c>
      <c r="AX459" s="32">
        <f>ROUND(G459*AP459,2)</f>
        <v>0</v>
      </c>
      <c r="AY459" s="36" t="s">
        <v>976</v>
      </c>
      <c r="AZ459" s="36" t="s">
        <v>977</v>
      </c>
      <c r="BA459" s="12" t="s">
        <v>65</v>
      </c>
      <c r="BC459" s="32">
        <f>AW459+AX459</f>
        <v>0</v>
      </c>
      <c r="BD459" s="32">
        <f>H459/(100-BE459)*100</f>
        <v>0</v>
      </c>
      <c r="BE459" s="32">
        <v>0</v>
      </c>
      <c r="BF459" s="32">
        <f>P459</f>
        <v>5.8240000000000007E-2</v>
      </c>
      <c r="BH459" s="32">
        <f>G459*AO459</f>
        <v>0</v>
      </c>
      <c r="BI459" s="32">
        <f>G459*AP459</f>
        <v>0</v>
      </c>
      <c r="BJ459" s="32">
        <f>G459*H459</f>
        <v>0</v>
      </c>
      <c r="BK459" s="36" t="s">
        <v>147</v>
      </c>
      <c r="BL459" s="32">
        <v>771</v>
      </c>
      <c r="BW459" s="32">
        <f>I459</f>
        <v>21</v>
      </c>
      <c r="BX459" s="4" t="s">
        <v>989</v>
      </c>
    </row>
    <row r="460" spans="1:76" x14ac:dyDescent="0.25">
      <c r="A460" s="42"/>
      <c r="C460" s="43"/>
      <c r="D460" s="95" t="s">
        <v>998</v>
      </c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7"/>
      <c r="BX460" s="44" t="s">
        <v>998</v>
      </c>
    </row>
    <row r="461" spans="1:76" x14ac:dyDescent="0.25">
      <c r="A461" s="37" t="s">
        <v>55</v>
      </c>
      <c r="B461" s="38" t="s">
        <v>55</v>
      </c>
      <c r="C461" s="38" t="s">
        <v>999</v>
      </c>
      <c r="D461" s="98" t="s">
        <v>1000</v>
      </c>
      <c r="E461" s="99"/>
      <c r="F461" s="39" t="s">
        <v>3</v>
      </c>
      <c r="G461" s="39" t="s">
        <v>3</v>
      </c>
      <c r="H461" s="39" t="s">
        <v>3</v>
      </c>
      <c r="I461" s="39" t="s">
        <v>3</v>
      </c>
      <c r="J461" s="1">
        <f>SUM(J462:J464)</f>
        <v>0</v>
      </c>
      <c r="K461" s="1">
        <f>SUM(K462:K464)</f>
        <v>0</v>
      </c>
      <c r="L461" s="1">
        <f>SUM(L462:L464)</f>
        <v>0</v>
      </c>
      <c r="M461" s="1">
        <f>SUM(M462:M464)</f>
        <v>0</v>
      </c>
      <c r="N461" s="40">
        <f>IF(L649=0,0,L461/L649)</f>
        <v>0</v>
      </c>
      <c r="O461" s="12" t="s">
        <v>55</v>
      </c>
      <c r="P461" s="1">
        <f>SUM(P462:P464)</f>
        <v>8.6407499999999998E-2</v>
      </c>
      <c r="Q461" s="41" t="s">
        <v>55</v>
      </c>
      <c r="AI461" s="12" t="s">
        <v>55</v>
      </c>
      <c r="AS461" s="1">
        <f>SUM(AJ462:AJ464)</f>
        <v>0</v>
      </c>
      <c r="AT461" s="1">
        <f>SUM(AK462:AK464)</f>
        <v>0</v>
      </c>
      <c r="AU461" s="1">
        <f>SUM(AL462:AL464)</f>
        <v>0</v>
      </c>
    </row>
    <row r="462" spans="1:76" x14ac:dyDescent="0.25">
      <c r="A462" s="2" t="s">
        <v>1001</v>
      </c>
      <c r="B462" s="3" t="s">
        <v>55</v>
      </c>
      <c r="C462" s="3" t="s">
        <v>1002</v>
      </c>
      <c r="D462" s="89" t="s">
        <v>1003</v>
      </c>
      <c r="E462" s="90"/>
      <c r="F462" s="3" t="s">
        <v>76</v>
      </c>
      <c r="G462" s="32">
        <v>17.43</v>
      </c>
      <c r="H462" s="199">
        <v>0</v>
      </c>
      <c r="I462" s="33">
        <v>21</v>
      </c>
      <c r="J462" s="32">
        <f>ROUND(G462*AO462,2)</f>
        <v>0</v>
      </c>
      <c r="K462" s="32">
        <f>ROUND(G462*AP462,2)</f>
        <v>0</v>
      </c>
      <c r="L462" s="32">
        <f>ROUND(G462*H462,2)</f>
        <v>0</v>
      </c>
      <c r="M462" s="32">
        <f>L462*(1+BW462/100)</f>
        <v>0</v>
      </c>
      <c r="N462" s="34">
        <f>IF(L649=0,0,L462/L649)</f>
        <v>0</v>
      </c>
      <c r="O462" s="32">
        <v>4.8500000000000001E-3</v>
      </c>
      <c r="P462" s="32">
        <f>G462*O462</f>
        <v>8.45355E-2</v>
      </c>
      <c r="Q462" s="35" t="s">
        <v>77</v>
      </c>
      <c r="Z462" s="32">
        <f>ROUND(IF(AQ462="5",BJ462,0),2)</f>
        <v>0</v>
      </c>
      <c r="AB462" s="32">
        <f>ROUND(IF(AQ462="1",BH462,0),2)</f>
        <v>0</v>
      </c>
      <c r="AC462" s="32">
        <f>ROUND(IF(AQ462="1",BI462,0),2)</f>
        <v>0</v>
      </c>
      <c r="AD462" s="32">
        <f>ROUND(IF(AQ462="7",BH462,0),2)</f>
        <v>0</v>
      </c>
      <c r="AE462" s="32">
        <f>ROUND(IF(AQ462="7",BI462,0),2)</f>
        <v>0</v>
      </c>
      <c r="AF462" s="32">
        <f>ROUND(IF(AQ462="2",BH462,0),2)</f>
        <v>0</v>
      </c>
      <c r="AG462" s="32">
        <f>ROUND(IF(AQ462="2",BI462,0),2)</f>
        <v>0</v>
      </c>
      <c r="AH462" s="32">
        <f>ROUND(IF(AQ462="0",BJ462,0),2)</f>
        <v>0</v>
      </c>
      <c r="AI462" s="12" t="s">
        <v>55</v>
      </c>
      <c r="AJ462" s="32">
        <f>IF(AN462=0,L462,0)</f>
        <v>0</v>
      </c>
      <c r="AK462" s="32">
        <f>IF(AN462=12,L462,0)</f>
        <v>0</v>
      </c>
      <c r="AL462" s="32">
        <f>IF(AN462=21,L462,0)</f>
        <v>0</v>
      </c>
      <c r="AN462" s="32">
        <v>21</v>
      </c>
      <c r="AO462" s="32">
        <f>H462*0.766784149</f>
        <v>0</v>
      </c>
      <c r="AP462" s="32">
        <f>H462*(1-0.766784149)</f>
        <v>0</v>
      </c>
      <c r="AQ462" s="36" t="s">
        <v>90</v>
      </c>
      <c r="AV462" s="32">
        <f>ROUND(AW462+AX462,2)</f>
        <v>0</v>
      </c>
      <c r="AW462" s="32">
        <f>ROUND(G462*AO462,2)</f>
        <v>0</v>
      </c>
      <c r="AX462" s="32">
        <f>ROUND(G462*AP462,2)</f>
        <v>0</v>
      </c>
      <c r="AY462" s="36" t="s">
        <v>1004</v>
      </c>
      <c r="AZ462" s="36" t="s">
        <v>977</v>
      </c>
      <c r="BA462" s="12" t="s">
        <v>65</v>
      </c>
      <c r="BC462" s="32">
        <f>AW462+AX462</f>
        <v>0</v>
      </c>
      <c r="BD462" s="32">
        <f>H462/(100-BE462)*100</f>
        <v>0</v>
      </c>
      <c r="BE462" s="32">
        <v>0</v>
      </c>
      <c r="BF462" s="32">
        <f>P462</f>
        <v>8.45355E-2</v>
      </c>
      <c r="BH462" s="32">
        <f>G462*AO462</f>
        <v>0</v>
      </c>
      <c r="BI462" s="32">
        <f>G462*AP462</f>
        <v>0</v>
      </c>
      <c r="BJ462" s="32">
        <f>G462*H462</f>
        <v>0</v>
      </c>
      <c r="BK462" s="36" t="s">
        <v>66</v>
      </c>
      <c r="BL462" s="32">
        <v>776</v>
      </c>
      <c r="BW462" s="32">
        <f>I462</f>
        <v>21</v>
      </c>
      <c r="BX462" s="4" t="s">
        <v>1003</v>
      </c>
    </row>
    <row r="463" spans="1:76" ht="13.5" customHeight="1" x14ac:dyDescent="0.25">
      <c r="A463" s="42"/>
      <c r="C463" s="43" t="s">
        <v>83</v>
      </c>
      <c r="D463" s="95" t="s">
        <v>1005</v>
      </c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7"/>
    </row>
    <row r="464" spans="1:76" x14ac:dyDescent="0.25">
      <c r="A464" s="2" t="s">
        <v>1006</v>
      </c>
      <c r="B464" s="3" t="s">
        <v>55</v>
      </c>
      <c r="C464" s="3" t="s">
        <v>1007</v>
      </c>
      <c r="D464" s="89" t="s">
        <v>1008</v>
      </c>
      <c r="E464" s="90"/>
      <c r="F464" s="3" t="s">
        <v>136</v>
      </c>
      <c r="G464" s="32">
        <v>23.4</v>
      </c>
      <c r="H464" s="199">
        <v>0</v>
      </c>
      <c r="I464" s="33">
        <v>21</v>
      </c>
      <c r="J464" s="32">
        <f>ROUND(G464*AO464,2)</f>
        <v>0</v>
      </c>
      <c r="K464" s="32">
        <f>ROUND(G464*AP464,2)</f>
        <v>0</v>
      </c>
      <c r="L464" s="32">
        <f>ROUND(G464*H464,2)</f>
        <v>0</v>
      </c>
      <c r="M464" s="32">
        <f>L464*(1+BW464/100)</f>
        <v>0</v>
      </c>
      <c r="N464" s="34">
        <f>IF(L649=0,0,L464/L649)</f>
        <v>0</v>
      </c>
      <c r="O464" s="32">
        <v>8.0000000000000007E-5</v>
      </c>
      <c r="P464" s="32">
        <f>G464*O464</f>
        <v>1.872E-3</v>
      </c>
      <c r="Q464" s="35" t="s">
        <v>77</v>
      </c>
      <c r="Z464" s="32">
        <f>ROUND(IF(AQ464="5",BJ464,0),2)</f>
        <v>0</v>
      </c>
      <c r="AB464" s="32">
        <f>ROUND(IF(AQ464="1",BH464,0),2)</f>
        <v>0</v>
      </c>
      <c r="AC464" s="32">
        <f>ROUND(IF(AQ464="1",BI464,0),2)</f>
        <v>0</v>
      </c>
      <c r="AD464" s="32">
        <f>ROUND(IF(AQ464="7",BH464,0),2)</f>
        <v>0</v>
      </c>
      <c r="AE464" s="32">
        <f>ROUND(IF(AQ464="7",BI464,0),2)</f>
        <v>0</v>
      </c>
      <c r="AF464" s="32">
        <f>ROUND(IF(AQ464="2",BH464,0),2)</f>
        <v>0</v>
      </c>
      <c r="AG464" s="32">
        <f>ROUND(IF(AQ464="2",BI464,0),2)</f>
        <v>0</v>
      </c>
      <c r="AH464" s="32">
        <f>ROUND(IF(AQ464="0",BJ464,0),2)</f>
        <v>0</v>
      </c>
      <c r="AI464" s="12" t="s">
        <v>55</v>
      </c>
      <c r="AJ464" s="32">
        <f>IF(AN464=0,L464,0)</f>
        <v>0</v>
      </c>
      <c r="AK464" s="32">
        <f>IF(AN464=12,L464,0)</f>
        <v>0</v>
      </c>
      <c r="AL464" s="32">
        <f>IF(AN464=21,L464,0)</f>
        <v>0</v>
      </c>
      <c r="AN464" s="32">
        <v>21</v>
      </c>
      <c r="AO464" s="32">
        <f>H464*0.284295663</f>
        <v>0</v>
      </c>
      <c r="AP464" s="32">
        <f>H464*(1-0.284295663)</f>
        <v>0</v>
      </c>
      <c r="AQ464" s="36" t="s">
        <v>90</v>
      </c>
      <c r="AV464" s="32">
        <f>ROUND(AW464+AX464,2)</f>
        <v>0</v>
      </c>
      <c r="AW464" s="32">
        <f>ROUND(G464*AO464,2)</f>
        <v>0</v>
      </c>
      <c r="AX464" s="32">
        <f>ROUND(G464*AP464,2)</f>
        <v>0</v>
      </c>
      <c r="AY464" s="36" t="s">
        <v>1004</v>
      </c>
      <c r="AZ464" s="36" t="s">
        <v>977</v>
      </c>
      <c r="BA464" s="12" t="s">
        <v>65</v>
      </c>
      <c r="BC464" s="32">
        <f>AW464+AX464</f>
        <v>0</v>
      </c>
      <c r="BD464" s="32">
        <f>H464/(100-BE464)*100</f>
        <v>0</v>
      </c>
      <c r="BE464" s="32">
        <v>0</v>
      </c>
      <c r="BF464" s="32">
        <f>P464</f>
        <v>1.872E-3</v>
      </c>
      <c r="BH464" s="32">
        <f>G464*AO464</f>
        <v>0</v>
      </c>
      <c r="BI464" s="32">
        <f>G464*AP464</f>
        <v>0</v>
      </c>
      <c r="BJ464" s="32">
        <f>G464*H464</f>
        <v>0</v>
      </c>
      <c r="BK464" s="36" t="s">
        <v>66</v>
      </c>
      <c r="BL464" s="32">
        <v>776</v>
      </c>
      <c r="BW464" s="32">
        <f>I464</f>
        <v>21</v>
      </c>
      <c r="BX464" s="4" t="s">
        <v>1008</v>
      </c>
    </row>
    <row r="465" spans="1:76" ht="13.5" customHeight="1" x14ac:dyDescent="0.25">
      <c r="A465" s="42"/>
      <c r="C465" s="43" t="s">
        <v>83</v>
      </c>
      <c r="D465" s="95" t="s">
        <v>1009</v>
      </c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7"/>
    </row>
    <row r="466" spans="1:76" x14ac:dyDescent="0.25">
      <c r="A466" s="37" t="s">
        <v>55</v>
      </c>
      <c r="B466" s="38" t="s">
        <v>55</v>
      </c>
      <c r="C466" s="38" t="s">
        <v>1010</v>
      </c>
      <c r="D466" s="98" t="s">
        <v>1011</v>
      </c>
      <c r="E466" s="99"/>
      <c r="F466" s="39" t="s">
        <v>3</v>
      </c>
      <c r="G466" s="39" t="s">
        <v>3</v>
      </c>
      <c r="H466" s="39" t="s">
        <v>3</v>
      </c>
      <c r="I466" s="39" t="s">
        <v>3</v>
      </c>
      <c r="J466" s="1">
        <f>SUM(J467:J473)</f>
        <v>0</v>
      </c>
      <c r="K466" s="1">
        <f>SUM(K467:K473)</f>
        <v>0</v>
      </c>
      <c r="L466" s="1">
        <f>SUM(L467:L473)</f>
        <v>0</v>
      </c>
      <c r="M466" s="1">
        <f>SUM(M467:M473)</f>
        <v>0</v>
      </c>
      <c r="N466" s="40">
        <f>IF(L649=0,0,L466/L649)</f>
        <v>0</v>
      </c>
      <c r="O466" s="12" t="s">
        <v>55</v>
      </c>
      <c r="P466" s="1">
        <f>SUM(P467:P473)</f>
        <v>2.0117354999999999</v>
      </c>
      <c r="Q466" s="41" t="s">
        <v>55</v>
      </c>
      <c r="AI466" s="12" t="s">
        <v>55</v>
      </c>
      <c r="AS466" s="1">
        <f>SUM(AJ467:AJ473)</f>
        <v>0</v>
      </c>
      <c r="AT466" s="1">
        <f>SUM(AK467:AK473)</f>
        <v>0</v>
      </c>
      <c r="AU466" s="1">
        <f>SUM(AL467:AL473)</f>
        <v>0</v>
      </c>
    </row>
    <row r="467" spans="1:76" x14ac:dyDescent="0.25">
      <c r="A467" s="2" t="s">
        <v>1012</v>
      </c>
      <c r="B467" s="3" t="s">
        <v>55</v>
      </c>
      <c r="C467" s="3" t="s">
        <v>1013</v>
      </c>
      <c r="D467" s="89" t="s">
        <v>1014</v>
      </c>
      <c r="E467" s="90"/>
      <c r="F467" s="3" t="s">
        <v>76</v>
      </c>
      <c r="G467" s="32">
        <v>37.74</v>
      </c>
      <c r="H467" s="199">
        <v>0</v>
      </c>
      <c r="I467" s="33">
        <v>21</v>
      </c>
      <c r="J467" s="32">
        <f>ROUND(G467*AO467,2)</f>
        <v>0</v>
      </c>
      <c r="K467" s="32">
        <f>ROUND(G467*AP467,2)</f>
        <v>0</v>
      </c>
      <c r="L467" s="32">
        <f>ROUND(G467*H467,2)</f>
        <v>0</v>
      </c>
      <c r="M467" s="32">
        <f>L467*(1+BW467/100)</f>
        <v>0</v>
      </c>
      <c r="N467" s="34">
        <f>IF(L649=0,0,L467/L649)</f>
        <v>0</v>
      </c>
      <c r="O467" s="32">
        <v>0</v>
      </c>
      <c r="P467" s="32">
        <f>G467*O467</f>
        <v>0</v>
      </c>
      <c r="Q467" s="35" t="s">
        <v>77</v>
      </c>
      <c r="Z467" s="32">
        <f>ROUND(IF(AQ467="5",BJ467,0),2)</f>
        <v>0</v>
      </c>
      <c r="AB467" s="32">
        <f>ROUND(IF(AQ467="1",BH467,0),2)</f>
        <v>0</v>
      </c>
      <c r="AC467" s="32">
        <f>ROUND(IF(AQ467="1",BI467,0),2)</f>
        <v>0</v>
      </c>
      <c r="AD467" s="32">
        <f>ROUND(IF(AQ467="7",BH467,0),2)</f>
        <v>0</v>
      </c>
      <c r="AE467" s="32">
        <f>ROUND(IF(AQ467="7",BI467,0),2)</f>
        <v>0</v>
      </c>
      <c r="AF467" s="32">
        <f>ROUND(IF(AQ467="2",BH467,0),2)</f>
        <v>0</v>
      </c>
      <c r="AG467" s="32">
        <f>ROUND(IF(AQ467="2",BI467,0),2)</f>
        <v>0</v>
      </c>
      <c r="AH467" s="32">
        <f>ROUND(IF(AQ467="0",BJ467,0),2)</f>
        <v>0</v>
      </c>
      <c r="AI467" s="12" t="s">
        <v>55</v>
      </c>
      <c r="AJ467" s="32">
        <f>IF(AN467=0,L467,0)</f>
        <v>0</v>
      </c>
      <c r="AK467" s="32">
        <f>IF(AN467=12,L467,0)</f>
        <v>0</v>
      </c>
      <c r="AL467" s="32">
        <f>IF(AN467=21,L467,0)</f>
        <v>0</v>
      </c>
      <c r="AN467" s="32">
        <v>21</v>
      </c>
      <c r="AO467" s="32">
        <f>H467*0</f>
        <v>0</v>
      </c>
      <c r="AP467" s="32">
        <f>H467*(1-0)</f>
        <v>0</v>
      </c>
      <c r="AQ467" s="36" t="s">
        <v>90</v>
      </c>
      <c r="AV467" s="32">
        <f>ROUND(AW467+AX467,2)</f>
        <v>0</v>
      </c>
      <c r="AW467" s="32">
        <f>ROUND(G467*AO467,2)</f>
        <v>0</v>
      </c>
      <c r="AX467" s="32">
        <f>ROUND(G467*AP467,2)</f>
        <v>0</v>
      </c>
      <c r="AY467" s="36" t="s">
        <v>1015</v>
      </c>
      <c r="AZ467" s="36" t="s">
        <v>1016</v>
      </c>
      <c r="BA467" s="12" t="s">
        <v>65</v>
      </c>
      <c r="BC467" s="32">
        <f>AW467+AX467</f>
        <v>0</v>
      </c>
      <c r="BD467" s="32">
        <f>H467/(100-BE467)*100</f>
        <v>0</v>
      </c>
      <c r="BE467" s="32">
        <v>0</v>
      </c>
      <c r="BF467" s="32">
        <f>P467</f>
        <v>0</v>
      </c>
      <c r="BH467" s="32">
        <f>G467*AO467</f>
        <v>0</v>
      </c>
      <c r="BI467" s="32">
        <f>G467*AP467</f>
        <v>0</v>
      </c>
      <c r="BJ467" s="32">
        <f>G467*H467</f>
        <v>0</v>
      </c>
      <c r="BK467" s="36" t="s">
        <v>66</v>
      </c>
      <c r="BL467" s="32">
        <v>781</v>
      </c>
      <c r="BW467" s="32">
        <f>I467</f>
        <v>21</v>
      </c>
      <c r="BX467" s="4" t="s">
        <v>1014</v>
      </c>
    </row>
    <row r="468" spans="1:76" x14ac:dyDescent="0.25">
      <c r="A468" s="2" t="s">
        <v>1017</v>
      </c>
      <c r="B468" s="3" t="s">
        <v>55</v>
      </c>
      <c r="C468" s="3" t="s">
        <v>1018</v>
      </c>
      <c r="D468" s="89" t="s">
        <v>1019</v>
      </c>
      <c r="E468" s="90"/>
      <c r="F468" s="3" t="s">
        <v>76</v>
      </c>
      <c r="G468" s="32">
        <v>94.35</v>
      </c>
      <c r="H468" s="199">
        <v>0</v>
      </c>
      <c r="I468" s="33">
        <v>21</v>
      </c>
      <c r="J468" s="32">
        <f>ROUND(G468*AO468,2)</f>
        <v>0</v>
      </c>
      <c r="K468" s="32">
        <f>ROUND(G468*AP468,2)</f>
        <v>0</v>
      </c>
      <c r="L468" s="32">
        <f>ROUND(G468*H468,2)</f>
        <v>0</v>
      </c>
      <c r="M468" s="32">
        <f>L468*(1+BW468/100)</f>
        <v>0</v>
      </c>
      <c r="N468" s="34">
        <f>IF(L649=0,0,L468/L649)</f>
        <v>0</v>
      </c>
      <c r="O468" s="32">
        <v>5.3499999999999997E-3</v>
      </c>
      <c r="P468" s="32">
        <f>G468*O468</f>
        <v>0.50477249999999996</v>
      </c>
      <c r="Q468" s="35" t="s">
        <v>77</v>
      </c>
      <c r="Z468" s="32">
        <f>ROUND(IF(AQ468="5",BJ468,0),2)</f>
        <v>0</v>
      </c>
      <c r="AB468" s="32">
        <f>ROUND(IF(AQ468="1",BH468,0),2)</f>
        <v>0</v>
      </c>
      <c r="AC468" s="32">
        <f>ROUND(IF(AQ468="1",BI468,0),2)</f>
        <v>0</v>
      </c>
      <c r="AD468" s="32">
        <f>ROUND(IF(AQ468="7",BH468,0),2)</f>
        <v>0</v>
      </c>
      <c r="AE468" s="32">
        <f>ROUND(IF(AQ468="7",BI468,0),2)</f>
        <v>0</v>
      </c>
      <c r="AF468" s="32">
        <f>ROUND(IF(AQ468="2",BH468,0),2)</f>
        <v>0</v>
      </c>
      <c r="AG468" s="32">
        <f>ROUND(IF(AQ468="2",BI468,0),2)</f>
        <v>0</v>
      </c>
      <c r="AH468" s="32">
        <f>ROUND(IF(AQ468="0",BJ468,0),2)</f>
        <v>0</v>
      </c>
      <c r="AI468" s="12" t="s">
        <v>55</v>
      </c>
      <c r="AJ468" s="32">
        <f>IF(AN468=0,L468,0)</f>
        <v>0</v>
      </c>
      <c r="AK468" s="32">
        <f>IF(AN468=12,L468,0)</f>
        <v>0</v>
      </c>
      <c r="AL468" s="32">
        <f>IF(AN468=21,L468,0)</f>
        <v>0</v>
      </c>
      <c r="AN468" s="32">
        <v>21</v>
      </c>
      <c r="AO468" s="32">
        <f>H468*0.175312788</f>
        <v>0</v>
      </c>
      <c r="AP468" s="32">
        <f>H468*(1-0.175312788)</f>
        <v>0</v>
      </c>
      <c r="AQ468" s="36" t="s">
        <v>90</v>
      </c>
      <c r="AV468" s="32">
        <f>ROUND(AW468+AX468,2)</f>
        <v>0</v>
      </c>
      <c r="AW468" s="32">
        <f>ROUND(G468*AO468,2)</f>
        <v>0</v>
      </c>
      <c r="AX468" s="32">
        <f>ROUND(G468*AP468,2)</f>
        <v>0</v>
      </c>
      <c r="AY468" s="36" t="s">
        <v>1015</v>
      </c>
      <c r="AZ468" s="36" t="s">
        <v>1016</v>
      </c>
      <c r="BA468" s="12" t="s">
        <v>65</v>
      </c>
      <c r="BC468" s="32">
        <f>AW468+AX468</f>
        <v>0</v>
      </c>
      <c r="BD468" s="32">
        <f>H468/(100-BE468)*100</f>
        <v>0</v>
      </c>
      <c r="BE468" s="32">
        <v>0</v>
      </c>
      <c r="BF468" s="32">
        <f>P468</f>
        <v>0.50477249999999996</v>
      </c>
      <c r="BH468" s="32">
        <f>G468*AO468</f>
        <v>0</v>
      </c>
      <c r="BI468" s="32">
        <f>G468*AP468</f>
        <v>0</v>
      </c>
      <c r="BJ468" s="32">
        <f>G468*H468</f>
        <v>0</v>
      </c>
      <c r="BK468" s="36" t="s">
        <v>66</v>
      </c>
      <c r="BL468" s="32">
        <v>781</v>
      </c>
      <c r="BW468" s="32">
        <f>I468</f>
        <v>21</v>
      </c>
      <c r="BX468" s="4" t="s">
        <v>1019</v>
      </c>
    </row>
    <row r="469" spans="1:76" ht="13.5" customHeight="1" x14ac:dyDescent="0.25">
      <c r="A469" s="42"/>
      <c r="C469" s="43"/>
      <c r="D469" s="95" t="s">
        <v>1020</v>
      </c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7"/>
    </row>
    <row r="470" spans="1:76" x14ac:dyDescent="0.25">
      <c r="A470" s="2" t="s">
        <v>1021</v>
      </c>
      <c r="B470" s="3" t="s">
        <v>55</v>
      </c>
      <c r="C470" s="3" t="s">
        <v>1022</v>
      </c>
      <c r="D470" s="89" t="s">
        <v>1023</v>
      </c>
      <c r="E470" s="90"/>
      <c r="F470" s="3" t="s">
        <v>76</v>
      </c>
      <c r="G470" s="32">
        <v>108.5025</v>
      </c>
      <c r="H470" s="199">
        <v>0</v>
      </c>
      <c r="I470" s="33">
        <v>21</v>
      </c>
      <c r="J470" s="32">
        <f>ROUND(G470*AO470,2)</f>
        <v>0</v>
      </c>
      <c r="K470" s="32">
        <f>ROUND(G470*AP470,2)</f>
        <v>0</v>
      </c>
      <c r="L470" s="32">
        <f>ROUND(G470*H470,2)</f>
        <v>0</v>
      </c>
      <c r="M470" s="32">
        <f>L470*(1+BW470/100)</f>
        <v>0</v>
      </c>
      <c r="N470" s="34">
        <f>IF(L649=0,0,L470/L649)</f>
        <v>0</v>
      </c>
      <c r="O470" s="32">
        <v>1.3599999999999999E-2</v>
      </c>
      <c r="P470" s="32">
        <f>G470*O470</f>
        <v>1.4756339999999999</v>
      </c>
      <c r="Q470" s="35"/>
      <c r="Z470" s="32">
        <f>ROUND(IF(AQ470="5",BJ470,0),2)</f>
        <v>0</v>
      </c>
      <c r="AB470" s="32">
        <f>ROUND(IF(AQ470="1",BH470,0),2)</f>
        <v>0</v>
      </c>
      <c r="AC470" s="32">
        <f>ROUND(IF(AQ470="1",BI470,0),2)</f>
        <v>0</v>
      </c>
      <c r="AD470" s="32">
        <f>ROUND(IF(AQ470="7",BH470,0),2)</f>
        <v>0</v>
      </c>
      <c r="AE470" s="32">
        <f>ROUND(IF(AQ470="7",BI470,0),2)</f>
        <v>0</v>
      </c>
      <c r="AF470" s="32">
        <f>ROUND(IF(AQ470="2",BH470,0),2)</f>
        <v>0</v>
      </c>
      <c r="AG470" s="32">
        <f>ROUND(IF(AQ470="2",BI470,0),2)</f>
        <v>0</v>
      </c>
      <c r="AH470" s="32">
        <f>ROUND(IF(AQ470="0",BJ470,0),2)</f>
        <v>0</v>
      </c>
      <c r="AI470" s="12" t="s">
        <v>55</v>
      </c>
      <c r="AJ470" s="32">
        <f>IF(AN470=0,L470,0)</f>
        <v>0</v>
      </c>
      <c r="AK470" s="32">
        <f>IF(AN470=12,L470,0)</f>
        <v>0</v>
      </c>
      <c r="AL470" s="32">
        <f>IF(AN470=21,L470,0)</f>
        <v>0</v>
      </c>
      <c r="AN470" s="32">
        <v>21</v>
      </c>
      <c r="AO470" s="32">
        <f>H470*1</f>
        <v>0</v>
      </c>
      <c r="AP470" s="32">
        <f>H470*(1-1)</f>
        <v>0</v>
      </c>
      <c r="AQ470" s="36" t="s">
        <v>90</v>
      </c>
      <c r="AV470" s="32">
        <f>ROUND(AW470+AX470,2)</f>
        <v>0</v>
      </c>
      <c r="AW470" s="32">
        <f>ROUND(G470*AO470,2)</f>
        <v>0</v>
      </c>
      <c r="AX470" s="32">
        <f>ROUND(G470*AP470,2)</f>
        <v>0</v>
      </c>
      <c r="AY470" s="36" t="s">
        <v>1015</v>
      </c>
      <c r="AZ470" s="36" t="s">
        <v>1016</v>
      </c>
      <c r="BA470" s="12" t="s">
        <v>65</v>
      </c>
      <c r="BC470" s="32">
        <f>AW470+AX470</f>
        <v>0</v>
      </c>
      <c r="BD470" s="32">
        <f>H470/(100-BE470)*100</f>
        <v>0</v>
      </c>
      <c r="BE470" s="32">
        <v>0</v>
      </c>
      <c r="BF470" s="32">
        <f>P470</f>
        <v>1.4756339999999999</v>
      </c>
      <c r="BH470" s="32">
        <f>G470*AO470</f>
        <v>0</v>
      </c>
      <c r="BI470" s="32">
        <f>G470*AP470</f>
        <v>0</v>
      </c>
      <c r="BJ470" s="32">
        <f>G470*H470</f>
        <v>0</v>
      </c>
      <c r="BK470" s="36" t="s">
        <v>147</v>
      </c>
      <c r="BL470" s="32">
        <v>781</v>
      </c>
      <c r="BW470" s="32">
        <f>I470</f>
        <v>21</v>
      </c>
      <c r="BX470" s="4" t="s">
        <v>1023</v>
      </c>
    </row>
    <row r="471" spans="1:76" x14ac:dyDescent="0.25">
      <c r="A471" s="42"/>
      <c r="C471" s="43"/>
      <c r="D471" s="95" t="s">
        <v>1024</v>
      </c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7"/>
      <c r="BX471" s="44" t="s">
        <v>1024</v>
      </c>
    </row>
    <row r="472" spans="1:76" x14ac:dyDescent="0.25">
      <c r="A472" s="2" t="s">
        <v>1025</v>
      </c>
      <c r="B472" s="3" t="s">
        <v>55</v>
      </c>
      <c r="C472" s="3" t="s">
        <v>1026</v>
      </c>
      <c r="D472" s="89" t="s">
        <v>1027</v>
      </c>
      <c r="E472" s="90"/>
      <c r="F472" s="3" t="s">
        <v>76</v>
      </c>
      <c r="G472" s="32">
        <v>94.35</v>
      </c>
      <c r="H472" s="199">
        <v>0</v>
      </c>
      <c r="I472" s="33">
        <v>21</v>
      </c>
      <c r="J472" s="32">
        <f>ROUND(G472*AO472,2)</f>
        <v>0</v>
      </c>
      <c r="K472" s="32">
        <f>ROUND(G472*AP472,2)</f>
        <v>0</v>
      </c>
      <c r="L472" s="32">
        <f>ROUND(G472*H472,2)</f>
        <v>0</v>
      </c>
      <c r="M472" s="32">
        <f>L472*(1+BW472/100)</f>
        <v>0</v>
      </c>
      <c r="N472" s="34">
        <f>IF(L649=0,0,L472/L649)</f>
        <v>0</v>
      </c>
      <c r="O472" s="32">
        <v>2.9999999999999997E-4</v>
      </c>
      <c r="P472" s="32">
        <f>G472*O472</f>
        <v>2.8304999999999997E-2</v>
      </c>
      <c r="Q472" s="35" t="s">
        <v>77</v>
      </c>
      <c r="Z472" s="32">
        <f>ROUND(IF(AQ472="5",BJ472,0),2)</f>
        <v>0</v>
      </c>
      <c r="AB472" s="32">
        <f>ROUND(IF(AQ472="1",BH472,0),2)</f>
        <v>0</v>
      </c>
      <c r="AC472" s="32">
        <f>ROUND(IF(AQ472="1",BI472,0),2)</f>
        <v>0</v>
      </c>
      <c r="AD472" s="32">
        <f>ROUND(IF(AQ472="7",BH472,0),2)</f>
        <v>0</v>
      </c>
      <c r="AE472" s="32">
        <f>ROUND(IF(AQ472="7",BI472,0),2)</f>
        <v>0</v>
      </c>
      <c r="AF472" s="32">
        <f>ROUND(IF(AQ472="2",BH472,0),2)</f>
        <v>0</v>
      </c>
      <c r="AG472" s="32">
        <f>ROUND(IF(AQ472="2",BI472,0),2)</f>
        <v>0</v>
      </c>
      <c r="AH472" s="32">
        <f>ROUND(IF(AQ472="0",BJ472,0),2)</f>
        <v>0</v>
      </c>
      <c r="AI472" s="12" t="s">
        <v>55</v>
      </c>
      <c r="AJ472" s="32">
        <f>IF(AN472=0,L472,0)</f>
        <v>0</v>
      </c>
      <c r="AK472" s="32">
        <f>IF(AN472=12,L472,0)</f>
        <v>0</v>
      </c>
      <c r="AL472" s="32">
        <f>IF(AN472=21,L472,0)</f>
        <v>0</v>
      </c>
      <c r="AN472" s="32">
        <v>21</v>
      </c>
      <c r="AO472" s="32">
        <f>H472*1</f>
        <v>0</v>
      </c>
      <c r="AP472" s="32">
        <f>H472*(1-1)</f>
        <v>0</v>
      </c>
      <c r="AQ472" s="36" t="s">
        <v>90</v>
      </c>
      <c r="AV472" s="32">
        <f>ROUND(AW472+AX472,2)</f>
        <v>0</v>
      </c>
      <c r="AW472" s="32">
        <f>ROUND(G472*AO472,2)</f>
        <v>0</v>
      </c>
      <c r="AX472" s="32">
        <f>ROUND(G472*AP472,2)</f>
        <v>0</v>
      </c>
      <c r="AY472" s="36" t="s">
        <v>1015</v>
      </c>
      <c r="AZ472" s="36" t="s">
        <v>1016</v>
      </c>
      <c r="BA472" s="12" t="s">
        <v>65</v>
      </c>
      <c r="BC472" s="32">
        <f>AW472+AX472</f>
        <v>0</v>
      </c>
      <c r="BD472" s="32">
        <f>H472/(100-BE472)*100</f>
        <v>0</v>
      </c>
      <c r="BE472" s="32">
        <v>0</v>
      </c>
      <c r="BF472" s="32">
        <f>P472</f>
        <v>2.8304999999999997E-2</v>
      </c>
      <c r="BH472" s="32">
        <f>G472*AO472</f>
        <v>0</v>
      </c>
      <c r="BI472" s="32">
        <f>G472*AP472</f>
        <v>0</v>
      </c>
      <c r="BJ472" s="32">
        <f>G472*H472</f>
        <v>0</v>
      </c>
      <c r="BK472" s="36" t="s">
        <v>66</v>
      </c>
      <c r="BL472" s="32">
        <v>781</v>
      </c>
      <c r="BW472" s="32">
        <f>I472</f>
        <v>21</v>
      </c>
      <c r="BX472" s="4" t="s">
        <v>1027</v>
      </c>
    </row>
    <row r="473" spans="1:76" x14ac:dyDescent="0.25">
      <c r="A473" s="2" t="s">
        <v>1028</v>
      </c>
      <c r="B473" s="3" t="s">
        <v>55</v>
      </c>
      <c r="C473" s="3" t="s">
        <v>1029</v>
      </c>
      <c r="D473" s="89" t="s">
        <v>1030</v>
      </c>
      <c r="E473" s="90"/>
      <c r="F473" s="3" t="s">
        <v>136</v>
      </c>
      <c r="G473" s="32">
        <v>21.6</v>
      </c>
      <c r="H473" s="199">
        <v>0</v>
      </c>
      <c r="I473" s="33">
        <v>21</v>
      </c>
      <c r="J473" s="32">
        <f>ROUND(G473*AO473,2)</f>
        <v>0</v>
      </c>
      <c r="K473" s="32">
        <f>ROUND(G473*AP473,2)</f>
        <v>0</v>
      </c>
      <c r="L473" s="32">
        <f>ROUND(G473*H473,2)</f>
        <v>0</v>
      </c>
      <c r="M473" s="32">
        <f>L473*(1+BW473/100)</f>
        <v>0</v>
      </c>
      <c r="N473" s="34">
        <f>IF(L649=0,0,L473/L649)</f>
        <v>0</v>
      </c>
      <c r="O473" s="32">
        <v>1.3999999999999999E-4</v>
      </c>
      <c r="P473" s="32">
        <f>G473*O473</f>
        <v>3.0239999999999998E-3</v>
      </c>
      <c r="Q473" s="35" t="s">
        <v>77</v>
      </c>
      <c r="Z473" s="32">
        <f>ROUND(IF(AQ473="5",BJ473,0),2)</f>
        <v>0</v>
      </c>
      <c r="AB473" s="32">
        <f>ROUND(IF(AQ473="1",BH473,0),2)</f>
        <v>0</v>
      </c>
      <c r="AC473" s="32">
        <f>ROUND(IF(AQ473="1",BI473,0),2)</f>
        <v>0</v>
      </c>
      <c r="AD473" s="32">
        <f>ROUND(IF(AQ473="7",BH473,0),2)</f>
        <v>0</v>
      </c>
      <c r="AE473" s="32">
        <f>ROUND(IF(AQ473="7",BI473,0),2)</f>
        <v>0</v>
      </c>
      <c r="AF473" s="32">
        <f>ROUND(IF(AQ473="2",BH473,0),2)</f>
        <v>0</v>
      </c>
      <c r="AG473" s="32">
        <f>ROUND(IF(AQ473="2",BI473,0),2)</f>
        <v>0</v>
      </c>
      <c r="AH473" s="32">
        <f>ROUND(IF(AQ473="0",BJ473,0),2)</f>
        <v>0</v>
      </c>
      <c r="AI473" s="12" t="s">
        <v>55</v>
      </c>
      <c r="AJ473" s="32">
        <f>IF(AN473=0,L473,0)</f>
        <v>0</v>
      </c>
      <c r="AK473" s="32">
        <f>IF(AN473=12,L473,0)</f>
        <v>0</v>
      </c>
      <c r="AL473" s="32">
        <f>IF(AN473=21,L473,0)</f>
        <v>0</v>
      </c>
      <c r="AN473" s="32">
        <v>21</v>
      </c>
      <c r="AO473" s="32">
        <f>H473*0.644188537</f>
        <v>0</v>
      </c>
      <c r="AP473" s="32">
        <f>H473*(1-0.644188537)</f>
        <v>0</v>
      </c>
      <c r="AQ473" s="36" t="s">
        <v>90</v>
      </c>
      <c r="AV473" s="32">
        <f>ROUND(AW473+AX473,2)</f>
        <v>0</v>
      </c>
      <c r="AW473" s="32">
        <f>ROUND(G473*AO473,2)</f>
        <v>0</v>
      </c>
      <c r="AX473" s="32">
        <f>ROUND(G473*AP473,2)</f>
        <v>0</v>
      </c>
      <c r="AY473" s="36" t="s">
        <v>1015</v>
      </c>
      <c r="AZ473" s="36" t="s">
        <v>1016</v>
      </c>
      <c r="BA473" s="12" t="s">
        <v>65</v>
      </c>
      <c r="BC473" s="32">
        <f>AW473+AX473</f>
        <v>0</v>
      </c>
      <c r="BD473" s="32">
        <f>H473/(100-BE473)*100</f>
        <v>0</v>
      </c>
      <c r="BE473" s="32">
        <v>0</v>
      </c>
      <c r="BF473" s="32">
        <f>P473</f>
        <v>3.0239999999999998E-3</v>
      </c>
      <c r="BH473" s="32">
        <f>G473*AO473</f>
        <v>0</v>
      </c>
      <c r="BI473" s="32">
        <f>G473*AP473</f>
        <v>0</v>
      </c>
      <c r="BJ473" s="32">
        <f>G473*H473</f>
        <v>0</v>
      </c>
      <c r="BK473" s="36" t="s">
        <v>66</v>
      </c>
      <c r="BL473" s="32">
        <v>781</v>
      </c>
      <c r="BW473" s="32">
        <f>I473</f>
        <v>21</v>
      </c>
      <c r="BX473" s="4" t="s">
        <v>1030</v>
      </c>
    </row>
    <row r="474" spans="1:76" ht="13.5" customHeight="1" x14ac:dyDescent="0.25">
      <c r="A474" s="42"/>
      <c r="C474" s="43"/>
      <c r="D474" s="95" t="s">
        <v>1031</v>
      </c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7"/>
    </row>
    <row r="475" spans="1:76" x14ac:dyDescent="0.25">
      <c r="A475" s="37" t="s">
        <v>55</v>
      </c>
      <c r="B475" s="38" t="s">
        <v>55</v>
      </c>
      <c r="C475" s="38" t="s">
        <v>1032</v>
      </c>
      <c r="D475" s="98" t="s">
        <v>1033</v>
      </c>
      <c r="E475" s="99"/>
      <c r="F475" s="39" t="s">
        <v>3</v>
      </c>
      <c r="G475" s="39" t="s">
        <v>3</v>
      </c>
      <c r="H475" s="39" t="s">
        <v>3</v>
      </c>
      <c r="I475" s="39" t="s">
        <v>3</v>
      </c>
      <c r="J475" s="1">
        <f>SUM(J476:J477)</f>
        <v>0</v>
      </c>
      <c r="K475" s="1">
        <f>SUM(K476:K477)</f>
        <v>0</v>
      </c>
      <c r="L475" s="1">
        <f>SUM(L476:L477)</f>
        <v>0</v>
      </c>
      <c r="M475" s="1">
        <f>SUM(M476:M477)</f>
        <v>0</v>
      </c>
      <c r="N475" s="40">
        <f>IF(L649=0,0,L475/L649)</f>
        <v>0</v>
      </c>
      <c r="O475" s="12" t="s">
        <v>55</v>
      </c>
      <c r="P475" s="1">
        <f>SUM(P476:P477)</f>
        <v>3.9509799999999998E-2</v>
      </c>
      <c r="Q475" s="41" t="s">
        <v>55</v>
      </c>
      <c r="AI475" s="12" t="s">
        <v>55</v>
      </c>
      <c r="AS475" s="1">
        <f>SUM(AJ476:AJ477)</f>
        <v>0</v>
      </c>
      <c r="AT475" s="1">
        <f>SUM(AK476:AK477)</f>
        <v>0</v>
      </c>
      <c r="AU475" s="1">
        <f>SUM(AL476:AL477)</f>
        <v>0</v>
      </c>
    </row>
    <row r="476" spans="1:76" x14ac:dyDescent="0.25">
      <c r="A476" s="2" t="s">
        <v>1034</v>
      </c>
      <c r="B476" s="3" t="s">
        <v>55</v>
      </c>
      <c r="C476" s="3" t="s">
        <v>1035</v>
      </c>
      <c r="D476" s="89" t="s">
        <v>1036</v>
      </c>
      <c r="E476" s="90"/>
      <c r="F476" s="3" t="s">
        <v>76</v>
      </c>
      <c r="G476" s="32">
        <v>179.59</v>
      </c>
      <c r="H476" s="199">
        <v>0</v>
      </c>
      <c r="I476" s="33">
        <v>21</v>
      </c>
      <c r="J476" s="32">
        <f>ROUND(G476*AO476,2)</f>
        <v>0</v>
      </c>
      <c r="K476" s="32">
        <f>ROUND(G476*AP476,2)</f>
        <v>0</v>
      </c>
      <c r="L476" s="32">
        <f>ROUND(G476*H476,2)</f>
        <v>0</v>
      </c>
      <c r="M476" s="32">
        <f>L476*(1+BW476/100)</f>
        <v>0</v>
      </c>
      <c r="N476" s="34">
        <f>IF(L649=0,0,L476/L649)</f>
        <v>0</v>
      </c>
      <c r="O476" s="32">
        <v>6.9999999999999994E-5</v>
      </c>
      <c r="P476" s="32">
        <f>G476*O476</f>
        <v>1.2571299999999999E-2</v>
      </c>
      <c r="Q476" s="35" t="s">
        <v>77</v>
      </c>
      <c r="Z476" s="32">
        <f>ROUND(IF(AQ476="5",BJ476,0),2)</f>
        <v>0</v>
      </c>
      <c r="AB476" s="32">
        <f>ROUND(IF(AQ476="1",BH476,0),2)</f>
        <v>0</v>
      </c>
      <c r="AC476" s="32">
        <f>ROUND(IF(AQ476="1",BI476,0),2)</f>
        <v>0</v>
      </c>
      <c r="AD476" s="32">
        <f>ROUND(IF(AQ476="7",BH476,0),2)</f>
        <v>0</v>
      </c>
      <c r="AE476" s="32">
        <f>ROUND(IF(AQ476="7",BI476,0),2)</f>
        <v>0</v>
      </c>
      <c r="AF476" s="32">
        <f>ROUND(IF(AQ476="2",BH476,0),2)</f>
        <v>0</v>
      </c>
      <c r="AG476" s="32">
        <f>ROUND(IF(AQ476="2",BI476,0),2)</f>
        <v>0</v>
      </c>
      <c r="AH476" s="32">
        <f>ROUND(IF(AQ476="0",BJ476,0),2)</f>
        <v>0</v>
      </c>
      <c r="AI476" s="12" t="s">
        <v>55</v>
      </c>
      <c r="AJ476" s="32">
        <f>IF(AN476=0,L476,0)</f>
        <v>0</v>
      </c>
      <c r="AK476" s="32">
        <f>IF(AN476=12,L476,0)</f>
        <v>0</v>
      </c>
      <c r="AL476" s="32">
        <f>IF(AN476=21,L476,0)</f>
        <v>0</v>
      </c>
      <c r="AN476" s="32">
        <v>21</v>
      </c>
      <c r="AO476" s="32">
        <f>H476*0.202509879</f>
        <v>0</v>
      </c>
      <c r="AP476" s="32">
        <f>H476*(1-0.202509879)</f>
        <v>0</v>
      </c>
      <c r="AQ476" s="36" t="s">
        <v>90</v>
      </c>
      <c r="AV476" s="32">
        <f>ROUND(AW476+AX476,2)</f>
        <v>0</v>
      </c>
      <c r="AW476" s="32">
        <f>ROUND(G476*AO476,2)</f>
        <v>0</v>
      </c>
      <c r="AX476" s="32">
        <f>ROUND(G476*AP476,2)</f>
        <v>0</v>
      </c>
      <c r="AY476" s="36" t="s">
        <v>1037</v>
      </c>
      <c r="AZ476" s="36" t="s">
        <v>1016</v>
      </c>
      <c r="BA476" s="12" t="s">
        <v>65</v>
      </c>
      <c r="BC476" s="32">
        <f>AW476+AX476</f>
        <v>0</v>
      </c>
      <c r="BD476" s="32">
        <f>H476/(100-BE476)*100</f>
        <v>0</v>
      </c>
      <c r="BE476" s="32">
        <v>0</v>
      </c>
      <c r="BF476" s="32">
        <f>P476</f>
        <v>1.2571299999999999E-2</v>
      </c>
      <c r="BH476" s="32">
        <f>G476*AO476</f>
        <v>0</v>
      </c>
      <c r="BI476" s="32">
        <f>G476*AP476</f>
        <v>0</v>
      </c>
      <c r="BJ476" s="32">
        <f>G476*H476</f>
        <v>0</v>
      </c>
      <c r="BK476" s="36" t="s">
        <v>66</v>
      </c>
      <c r="BL476" s="32">
        <v>784</v>
      </c>
      <c r="BW476" s="32">
        <f>I476</f>
        <v>21</v>
      </c>
      <c r="BX476" s="4" t="s">
        <v>1036</v>
      </c>
    </row>
    <row r="477" spans="1:76" x14ac:dyDescent="0.25">
      <c r="A477" s="2" t="s">
        <v>1038</v>
      </c>
      <c r="B477" s="3" t="s">
        <v>55</v>
      </c>
      <c r="C477" s="3" t="s">
        <v>1039</v>
      </c>
      <c r="D477" s="89" t="s">
        <v>1040</v>
      </c>
      <c r="E477" s="90"/>
      <c r="F477" s="3" t="s">
        <v>76</v>
      </c>
      <c r="G477" s="32">
        <v>179.59</v>
      </c>
      <c r="H477" s="199">
        <v>0</v>
      </c>
      <c r="I477" s="33">
        <v>21</v>
      </c>
      <c r="J477" s="32">
        <f>ROUND(G477*AO477,2)</f>
        <v>0</v>
      </c>
      <c r="K477" s="32">
        <f>ROUND(G477*AP477,2)</f>
        <v>0</v>
      </c>
      <c r="L477" s="32">
        <f>ROUND(G477*H477,2)</f>
        <v>0</v>
      </c>
      <c r="M477" s="32">
        <f>L477*(1+BW477/100)</f>
        <v>0</v>
      </c>
      <c r="N477" s="34">
        <f>IF(L649=0,0,L477/L649)</f>
        <v>0</v>
      </c>
      <c r="O477" s="32">
        <v>1.4999999999999999E-4</v>
      </c>
      <c r="P477" s="32">
        <f>G477*O477</f>
        <v>2.6938499999999997E-2</v>
      </c>
      <c r="Q477" s="35" t="s">
        <v>77</v>
      </c>
      <c r="Z477" s="32">
        <f>ROUND(IF(AQ477="5",BJ477,0),2)</f>
        <v>0</v>
      </c>
      <c r="AB477" s="32">
        <f>ROUND(IF(AQ477="1",BH477,0),2)</f>
        <v>0</v>
      </c>
      <c r="AC477" s="32">
        <f>ROUND(IF(AQ477="1",BI477,0),2)</f>
        <v>0</v>
      </c>
      <c r="AD477" s="32">
        <f>ROUND(IF(AQ477="7",BH477,0),2)</f>
        <v>0</v>
      </c>
      <c r="AE477" s="32">
        <f>ROUND(IF(AQ477="7",BI477,0),2)</f>
        <v>0</v>
      </c>
      <c r="AF477" s="32">
        <f>ROUND(IF(AQ477="2",BH477,0),2)</f>
        <v>0</v>
      </c>
      <c r="AG477" s="32">
        <f>ROUND(IF(AQ477="2",BI477,0),2)</f>
        <v>0</v>
      </c>
      <c r="AH477" s="32">
        <f>ROUND(IF(AQ477="0",BJ477,0),2)</f>
        <v>0</v>
      </c>
      <c r="AI477" s="12" t="s">
        <v>55</v>
      </c>
      <c r="AJ477" s="32">
        <f>IF(AN477=0,L477,0)</f>
        <v>0</v>
      </c>
      <c r="AK477" s="32">
        <f>IF(AN477=12,L477,0)</f>
        <v>0</v>
      </c>
      <c r="AL477" s="32">
        <f>IF(AN477=21,L477,0)</f>
        <v>0</v>
      </c>
      <c r="AN477" s="32">
        <v>21</v>
      </c>
      <c r="AO477" s="32">
        <f>H477*0.077824764</f>
        <v>0</v>
      </c>
      <c r="AP477" s="32">
        <f>H477*(1-0.077824764)</f>
        <v>0</v>
      </c>
      <c r="AQ477" s="36" t="s">
        <v>90</v>
      </c>
      <c r="AV477" s="32">
        <f>ROUND(AW477+AX477,2)</f>
        <v>0</v>
      </c>
      <c r="AW477" s="32">
        <f>ROUND(G477*AO477,2)</f>
        <v>0</v>
      </c>
      <c r="AX477" s="32">
        <f>ROUND(G477*AP477,2)</f>
        <v>0</v>
      </c>
      <c r="AY477" s="36" t="s">
        <v>1037</v>
      </c>
      <c r="AZ477" s="36" t="s">
        <v>1016</v>
      </c>
      <c r="BA477" s="12" t="s">
        <v>65</v>
      </c>
      <c r="BC477" s="32">
        <f>AW477+AX477</f>
        <v>0</v>
      </c>
      <c r="BD477" s="32">
        <f>H477/(100-BE477)*100</f>
        <v>0</v>
      </c>
      <c r="BE477" s="32">
        <v>0</v>
      </c>
      <c r="BF477" s="32">
        <f>P477</f>
        <v>2.6938499999999997E-2</v>
      </c>
      <c r="BH477" s="32">
        <f>G477*AO477</f>
        <v>0</v>
      </c>
      <c r="BI477" s="32">
        <f>G477*AP477</f>
        <v>0</v>
      </c>
      <c r="BJ477" s="32">
        <f>G477*H477</f>
        <v>0</v>
      </c>
      <c r="BK477" s="36" t="s">
        <v>66</v>
      </c>
      <c r="BL477" s="32">
        <v>784</v>
      </c>
      <c r="BW477" s="32">
        <f>I477</f>
        <v>21</v>
      </c>
      <c r="BX477" s="4" t="s">
        <v>1040</v>
      </c>
    </row>
    <row r="478" spans="1:76" ht="13.5" customHeight="1" x14ac:dyDescent="0.25">
      <c r="A478" s="42"/>
      <c r="C478" s="43"/>
      <c r="D478" s="95" t="s">
        <v>1041</v>
      </c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7"/>
    </row>
    <row r="479" spans="1:76" x14ac:dyDescent="0.25">
      <c r="A479" s="37" t="s">
        <v>55</v>
      </c>
      <c r="B479" s="38" t="s">
        <v>55</v>
      </c>
      <c r="C479" s="38" t="s">
        <v>394</v>
      </c>
      <c r="D479" s="98" t="s">
        <v>1042</v>
      </c>
      <c r="E479" s="99"/>
      <c r="F479" s="39" t="s">
        <v>3</v>
      </c>
      <c r="G479" s="39" t="s">
        <v>3</v>
      </c>
      <c r="H479" s="39" t="s">
        <v>3</v>
      </c>
      <c r="I479" s="39" t="s">
        <v>3</v>
      </c>
      <c r="J479" s="1">
        <f>SUM(J480:J480)</f>
        <v>0</v>
      </c>
      <c r="K479" s="1">
        <f>SUM(K480:K480)</f>
        <v>0</v>
      </c>
      <c r="L479" s="1">
        <f>SUM(L480:L480)</f>
        <v>0</v>
      </c>
      <c r="M479" s="1">
        <f>SUM(M480:M480)</f>
        <v>0</v>
      </c>
      <c r="N479" s="40">
        <f>IF(L649=0,0,L479/L649)</f>
        <v>0</v>
      </c>
      <c r="O479" s="12" t="s">
        <v>55</v>
      </c>
      <c r="P479" s="1">
        <f>SUM(P480:P480)</f>
        <v>0</v>
      </c>
      <c r="Q479" s="41" t="s">
        <v>55</v>
      </c>
      <c r="AI479" s="12" t="s">
        <v>55</v>
      </c>
      <c r="AS479" s="1">
        <f>SUM(AJ480:AJ480)</f>
        <v>0</v>
      </c>
      <c r="AT479" s="1">
        <f>SUM(AK480:AK480)</f>
        <v>0</v>
      </c>
      <c r="AU479" s="1">
        <f>SUM(AL480:AL480)</f>
        <v>0</v>
      </c>
    </row>
    <row r="480" spans="1:76" x14ac:dyDescent="0.25">
      <c r="A480" s="2" t="s">
        <v>1043</v>
      </c>
      <c r="B480" s="3" t="s">
        <v>55</v>
      </c>
      <c r="C480" s="3" t="s">
        <v>1044</v>
      </c>
      <c r="D480" s="89" t="s">
        <v>1045</v>
      </c>
      <c r="E480" s="90"/>
      <c r="F480" s="3" t="s">
        <v>1046</v>
      </c>
      <c r="G480" s="32">
        <v>50</v>
      </c>
      <c r="H480" s="199">
        <v>0</v>
      </c>
      <c r="I480" s="33">
        <v>21</v>
      </c>
      <c r="J480" s="32">
        <f>ROUND(G480*AO480,2)</f>
        <v>0</v>
      </c>
      <c r="K480" s="32">
        <f>ROUND(G480*AP480,2)</f>
        <v>0</v>
      </c>
      <c r="L480" s="32">
        <f>ROUND(G480*H480,2)</f>
        <v>0</v>
      </c>
      <c r="M480" s="32">
        <f>L480*(1+BW480/100)</f>
        <v>0</v>
      </c>
      <c r="N480" s="34">
        <f>IF(L649=0,0,L480/L649)</f>
        <v>0</v>
      </c>
      <c r="O480" s="32">
        <v>0</v>
      </c>
      <c r="P480" s="32">
        <f>G480*O480</f>
        <v>0</v>
      </c>
      <c r="Q480" s="35" t="s">
        <v>77</v>
      </c>
      <c r="Z480" s="32">
        <f>ROUND(IF(AQ480="5",BJ480,0),2)</f>
        <v>0</v>
      </c>
      <c r="AB480" s="32">
        <f>ROUND(IF(AQ480="1",BH480,0),2)</f>
        <v>0</v>
      </c>
      <c r="AC480" s="32">
        <f>ROUND(IF(AQ480="1",BI480,0),2)</f>
        <v>0</v>
      </c>
      <c r="AD480" s="32">
        <f>ROUND(IF(AQ480="7",BH480,0),2)</f>
        <v>0</v>
      </c>
      <c r="AE480" s="32">
        <f>ROUND(IF(AQ480="7",BI480,0),2)</f>
        <v>0</v>
      </c>
      <c r="AF480" s="32">
        <f>ROUND(IF(AQ480="2",BH480,0),2)</f>
        <v>0</v>
      </c>
      <c r="AG480" s="32">
        <f>ROUND(IF(AQ480="2",BI480,0),2)</f>
        <v>0</v>
      </c>
      <c r="AH480" s="32">
        <f>ROUND(IF(AQ480="0",BJ480,0),2)</f>
        <v>0</v>
      </c>
      <c r="AI480" s="12" t="s">
        <v>55</v>
      </c>
      <c r="AJ480" s="32">
        <f>IF(AN480=0,L480,0)</f>
        <v>0</v>
      </c>
      <c r="AK480" s="32">
        <f>IF(AN480=12,L480,0)</f>
        <v>0</v>
      </c>
      <c r="AL480" s="32">
        <f>IF(AN480=21,L480,0)</f>
        <v>0</v>
      </c>
      <c r="AN480" s="32">
        <v>21</v>
      </c>
      <c r="AO480" s="32">
        <f>H480*0</f>
        <v>0</v>
      </c>
      <c r="AP480" s="32">
        <f>H480*(1-0)</f>
        <v>0</v>
      </c>
      <c r="AQ480" s="36" t="s">
        <v>58</v>
      </c>
      <c r="AV480" s="32">
        <f>ROUND(AW480+AX480,2)</f>
        <v>0</v>
      </c>
      <c r="AW480" s="32">
        <f>ROUND(G480*AO480,2)</f>
        <v>0</v>
      </c>
      <c r="AX480" s="32">
        <f>ROUND(G480*AP480,2)</f>
        <v>0</v>
      </c>
      <c r="AY480" s="36" t="s">
        <v>1047</v>
      </c>
      <c r="AZ480" s="36" t="s">
        <v>1048</v>
      </c>
      <c r="BA480" s="12" t="s">
        <v>65</v>
      </c>
      <c r="BC480" s="32">
        <f>AW480+AX480</f>
        <v>0</v>
      </c>
      <c r="BD480" s="32">
        <f>H480/(100-BE480)*100</f>
        <v>0</v>
      </c>
      <c r="BE480" s="32">
        <v>0</v>
      </c>
      <c r="BF480" s="32">
        <f>P480</f>
        <v>0</v>
      </c>
      <c r="BH480" s="32">
        <f>G480*AO480</f>
        <v>0</v>
      </c>
      <c r="BI480" s="32">
        <f>G480*AP480</f>
        <v>0</v>
      </c>
      <c r="BJ480" s="32">
        <f>G480*H480</f>
        <v>0</v>
      </c>
      <c r="BK480" s="36" t="s">
        <v>66</v>
      </c>
      <c r="BL480" s="32">
        <v>90</v>
      </c>
      <c r="BW480" s="32">
        <f>I480</f>
        <v>21</v>
      </c>
      <c r="BX480" s="4" t="s">
        <v>1045</v>
      </c>
    </row>
    <row r="481" spans="1:76" ht="13.5" customHeight="1" x14ac:dyDescent="0.25">
      <c r="A481" s="42"/>
      <c r="C481" s="43"/>
      <c r="D481" s="95" t="s">
        <v>1049</v>
      </c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7"/>
    </row>
    <row r="482" spans="1:76" x14ac:dyDescent="0.25">
      <c r="A482" s="37" t="s">
        <v>55</v>
      </c>
      <c r="B482" s="38" t="s">
        <v>55</v>
      </c>
      <c r="C482" s="38" t="s">
        <v>405</v>
      </c>
      <c r="D482" s="98" t="s">
        <v>1050</v>
      </c>
      <c r="E482" s="99"/>
      <c r="F482" s="39" t="s">
        <v>3</v>
      </c>
      <c r="G482" s="39" t="s">
        <v>3</v>
      </c>
      <c r="H482" s="39" t="s">
        <v>3</v>
      </c>
      <c r="I482" s="39" t="s">
        <v>3</v>
      </c>
      <c r="J482" s="1">
        <f>SUM(J483:J486)</f>
        <v>0</v>
      </c>
      <c r="K482" s="1">
        <f>SUM(K483:K486)</f>
        <v>0</v>
      </c>
      <c r="L482" s="1">
        <f>SUM(L483:L486)</f>
        <v>0</v>
      </c>
      <c r="M482" s="1">
        <f>SUM(M483:M486)</f>
        <v>0</v>
      </c>
      <c r="N482" s="40">
        <f>IF(L649=0,0,L482/L649)</f>
        <v>0</v>
      </c>
      <c r="O482" s="12" t="s">
        <v>55</v>
      </c>
      <c r="P482" s="1">
        <f>SUM(P483:P486)</f>
        <v>2.9321000000000002</v>
      </c>
      <c r="Q482" s="41" t="s">
        <v>55</v>
      </c>
      <c r="AI482" s="12" t="s">
        <v>55</v>
      </c>
      <c r="AS482" s="1">
        <f>SUM(AJ483:AJ486)</f>
        <v>0</v>
      </c>
      <c r="AT482" s="1">
        <f>SUM(AK483:AK486)</f>
        <v>0</v>
      </c>
      <c r="AU482" s="1">
        <f>SUM(AL483:AL486)</f>
        <v>0</v>
      </c>
    </row>
    <row r="483" spans="1:76" x14ac:dyDescent="0.25">
      <c r="A483" s="2" t="s">
        <v>1051</v>
      </c>
      <c r="B483" s="3" t="s">
        <v>55</v>
      </c>
      <c r="C483" s="3" t="s">
        <v>1052</v>
      </c>
      <c r="D483" s="89" t="s">
        <v>1053</v>
      </c>
      <c r="E483" s="90"/>
      <c r="F483" s="3" t="s">
        <v>76</v>
      </c>
      <c r="G483" s="32">
        <v>85</v>
      </c>
      <c r="H483" s="199">
        <v>0</v>
      </c>
      <c r="I483" s="33">
        <v>21</v>
      </c>
      <c r="J483" s="32">
        <f>ROUND(G483*AO483,2)</f>
        <v>0</v>
      </c>
      <c r="K483" s="32">
        <f>ROUND(G483*AP483,2)</f>
        <v>0</v>
      </c>
      <c r="L483" s="32">
        <f>ROUND(G483*H483,2)</f>
        <v>0</v>
      </c>
      <c r="M483" s="32">
        <f>L483*(1+BW483/100)</f>
        <v>0</v>
      </c>
      <c r="N483" s="34">
        <f>IF(L649=0,0,L483/L649)</f>
        <v>0</v>
      </c>
      <c r="O483" s="32">
        <v>1.58E-3</v>
      </c>
      <c r="P483" s="32">
        <f>G483*O483</f>
        <v>0.1343</v>
      </c>
      <c r="Q483" s="35" t="s">
        <v>77</v>
      </c>
      <c r="Z483" s="32">
        <f>ROUND(IF(AQ483="5",BJ483,0),2)</f>
        <v>0</v>
      </c>
      <c r="AB483" s="32">
        <f>ROUND(IF(AQ483="1",BH483,0),2)</f>
        <v>0</v>
      </c>
      <c r="AC483" s="32">
        <f>ROUND(IF(AQ483="1",BI483,0),2)</f>
        <v>0</v>
      </c>
      <c r="AD483" s="32">
        <f>ROUND(IF(AQ483="7",BH483,0),2)</f>
        <v>0</v>
      </c>
      <c r="AE483" s="32">
        <f>ROUND(IF(AQ483="7",BI483,0),2)</f>
        <v>0</v>
      </c>
      <c r="AF483" s="32">
        <f>ROUND(IF(AQ483="2",BH483,0),2)</f>
        <v>0</v>
      </c>
      <c r="AG483" s="32">
        <f>ROUND(IF(AQ483="2",BI483,0),2)</f>
        <v>0</v>
      </c>
      <c r="AH483" s="32">
        <f>ROUND(IF(AQ483="0",BJ483,0),2)</f>
        <v>0</v>
      </c>
      <c r="AI483" s="12" t="s">
        <v>55</v>
      </c>
      <c r="AJ483" s="32">
        <f>IF(AN483=0,L483,0)</f>
        <v>0</v>
      </c>
      <c r="AK483" s="32">
        <f>IF(AN483=12,L483,0)</f>
        <v>0</v>
      </c>
      <c r="AL483" s="32">
        <f>IF(AN483=21,L483,0)</f>
        <v>0</v>
      </c>
      <c r="AN483" s="32">
        <v>21</v>
      </c>
      <c r="AO483" s="32">
        <f>H483*0.334582278</f>
        <v>0</v>
      </c>
      <c r="AP483" s="32">
        <f>H483*(1-0.334582278)</f>
        <v>0</v>
      </c>
      <c r="AQ483" s="36" t="s">
        <v>58</v>
      </c>
      <c r="AV483" s="32">
        <f>ROUND(AW483+AX483,2)</f>
        <v>0</v>
      </c>
      <c r="AW483" s="32">
        <f>ROUND(G483*AO483,2)</f>
        <v>0</v>
      </c>
      <c r="AX483" s="32">
        <f>ROUND(G483*AP483,2)</f>
        <v>0</v>
      </c>
      <c r="AY483" s="36" t="s">
        <v>1054</v>
      </c>
      <c r="AZ483" s="36" t="s">
        <v>1048</v>
      </c>
      <c r="BA483" s="12" t="s">
        <v>65</v>
      </c>
      <c r="BC483" s="32">
        <f>AW483+AX483</f>
        <v>0</v>
      </c>
      <c r="BD483" s="32">
        <f>H483/(100-BE483)*100</f>
        <v>0</v>
      </c>
      <c r="BE483" s="32">
        <v>0</v>
      </c>
      <c r="BF483" s="32">
        <f>P483</f>
        <v>0.1343</v>
      </c>
      <c r="BH483" s="32">
        <f>G483*AO483</f>
        <v>0</v>
      </c>
      <c r="BI483" s="32">
        <f>G483*AP483</f>
        <v>0</v>
      </c>
      <c r="BJ483" s="32">
        <f>G483*H483</f>
        <v>0</v>
      </c>
      <c r="BK483" s="36" t="s">
        <v>66</v>
      </c>
      <c r="BL483" s="32">
        <v>94</v>
      </c>
      <c r="BW483" s="32">
        <f>I483</f>
        <v>21</v>
      </c>
      <c r="BX483" s="4" t="s">
        <v>1053</v>
      </c>
    </row>
    <row r="484" spans="1:76" x14ac:dyDescent="0.25">
      <c r="A484" s="2" t="s">
        <v>1055</v>
      </c>
      <c r="B484" s="3" t="s">
        <v>55</v>
      </c>
      <c r="C484" s="3" t="s">
        <v>1056</v>
      </c>
      <c r="D484" s="89" t="s">
        <v>1057</v>
      </c>
      <c r="E484" s="90"/>
      <c r="F484" s="3" t="s">
        <v>76</v>
      </c>
      <c r="G484" s="32">
        <v>135</v>
      </c>
      <c r="H484" s="199">
        <v>0</v>
      </c>
      <c r="I484" s="33">
        <v>21</v>
      </c>
      <c r="J484" s="32">
        <f>ROUND(G484*AO484,2)</f>
        <v>0</v>
      </c>
      <c r="K484" s="32">
        <f>ROUND(G484*AP484,2)</f>
        <v>0</v>
      </c>
      <c r="L484" s="32">
        <f>ROUND(G484*H484,2)</f>
        <v>0</v>
      </c>
      <c r="M484" s="32">
        <f>L484*(1+BW484/100)</f>
        <v>0</v>
      </c>
      <c r="N484" s="34">
        <f>IF(L649=0,0,L484/L649)</f>
        <v>0</v>
      </c>
      <c r="O484" s="32">
        <v>2.0080000000000001E-2</v>
      </c>
      <c r="P484" s="32">
        <f>G484*O484</f>
        <v>2.7107999999999999</v>
      </c>
      <c r="Q484" s="35" t="s">
        <v>77</v>
      </c>
      <c r="Z484" s="32">
        <f>ROUND(IF(AQ484="5",BJ484,0),2)</f>
        <v>0</v>
      </c>
      <c r="AB484" s="32">
        <f>ROUND(IF(AQ484="1",BH484,0),2)</f>
        <v>0</v>
      </c>
      <c r="AC484" s="32">
        <f>ROUND(IF(AQ484="1",BI484,0),2)</f>
        <v>0</v>
      </c>
      <c r="AD484" s="32">
        <f>ROUND(IF(AQ484="7",BH484,0),2)</f>
        <v>0</v>
      </c>
      <c r="AE484" s="32">
        <f>ROUND(IF(AQ484="7",BI484,0),2)</f>
        <v>0</v>
      </c>
      <c r="AF484" s="32">
        <f>ROUND(IF(AQ484="2",BH484,0),2)</f>
        <v>0</v>
      </c>
      <c r="AG484" s="32">
        <f>ROUND(IF(AQ484="2",BI484,0),2)</f>
        <v>0</v>
      </c>
      <c r="AH484" s="32">
        <f>ROUND(IF(AQ484="0",BJ484,0),2)</f>
        <v>0</v>
      </c>
      <c r="AI484" s="12" t="s">
        <v>55</v>
      </c>
      <c r="AJ484" s="32">
        <f>IF(AN484=0,L484,0)</f>
        <v>0</v>
      </c>
      <c r="AK484" s="32">
        <f>IF(AN484=12,L484,0)</f>
        <v>0</v>
      </c>
      <c r="AL484" s="32">
        <f>IF(AN484=21,L484,0)</f>
        <v>0</v>
      </c>
      <c r="AN484" s="32">
        <v>21</v>
      </c>
      <c r="AO484" s="32">
        <f>H484*0.000109282</f>
        <v>0</v>
      </c>
      <c r="AP484" s="32">
        <f>H484*(1-0.000109282)</f>
        <v>0</v>
      </c>
      <c r="AQ484" s="36" t="s">
        <v>58</v>
      </c>
      <c r="AV484" s="32">
        <f>ROUND(AW484+AX484,2)</f>
        <v>0</v>
      </c>
      <c r="AW484" s="32">
        <f>ROUND(G484*AO484,2)</f>
        <v>0</v>
      </c>
      <c r="AX484" s="32">
        <f>ROUND(G484*AP484,2)</f>
        <v>0</v>
      </c>
      <c r="AY484" s="36" t="s">
        <v>1054</v>
      </c>
      <c r="AZ484" s="36" t="s">
        <v>1048</v>
      </c>
      <c r="BA484" s="12" t="s">
        <v>65</v>
      </c>
      <c r="BC484" s="32">
        <f>AW484+AX484</f>
        <v>0</v>
      </c>
      <c r="BD484" s="32">
        <f>H484/(100-BE484)*100</f>
        <v>0</v>
      </c>
      <c r="BE484" s="32">
        <v>0</v>
      </c>
      <c r="BF484" s="32">
        <f>P484</f>
        <v>2.7107999999999999</v>
      </c>
      <c r="BH484" s="32">
        <f>G484*AO484</f>
        <v>0</v>
      </c>
      <c r="BI484" s="32">
        <f>G484*AP484</f>
        <v>0</v>
      </c>
      <c r="BJ484" s="32">
        <f>G484*H484</f>
        <v>0</v>
      </c>
      <c r="BK484" s="36" t="s">
        <v>66</v>
      </c>
      <c r="BL484" s="32">
        <v>94</v>
      </c>
      <c r="BW484" s="32">
        <f>I484</f>
        <v>21</v>
      </c>
      <c r="BX484" s="4" t="s">
        <v>1057</v>
      </c>
    </row>
    <row r="485" spans="1:76" ht="13.5" customHeight="1" x14ac:dyDescent="0.25">
      <c r="A485" s="42"/>
      <c r="C485" s="43"/>
      <c r="D485" s="95" t="s">
        <v>1058</v>
      </c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7"/>
    </row>
    <row r="486" spans="1:76" x14ac:dyDescent="0.25">
      <c r="A486" s="2" t="s">
        <v>1059</v>
      </c>
      <c r="B486" s="3" t="s">
        <v>55</v>
      </c>
      <c r="C486" s="3" t="s">
        <v>1060</v>
      </c>
      <c r="D486" s="89" t="s">
        <v>1061</v>
      </c>
      <c r="E486" s="90"/>
      <c r="F486" s="3" t="s">
        <v>76</v>
      </c>
      <c r="G486" s="32">
        <v>145</v>
      </c>
      <c r="H486" s="199">
        <v>0</v>
      </c>
      <c r="I486" s="33">
        <v>21</v>
      </c>
      <c r="J486" s="32">
        <f>ROUND(G486*AO486,2)</f>
        <v>0</v>
      </c>
      <c r="K486" s="32">
        <f>ROUND(G486*AP486,2)</f>
        <v>0</v>
      </c>
      <c r="L486" s="32">
        <f>ROUND(G486*H486,2)</f>
        <v>0</v>
      </c>
      <c r="M486" s="32">
        <f>L486*(1+BW486/100)</f>
        <v>0</v>
      </c>
      <c r="N486" s="34">
        <f>IF(L649=0,0,L486/L649)</f>
        <v>0</v>
      </c>
      <c r="O486" s="32">
        <v>5.9999999999999995E-4</v>
      </c>
      <c r="P486" s="32">
        <f>G486*O486</f>
        <v>8.6999999999999994E-2</v>
      </c>
      <c r="Q486" s="35" t="s">
        <v>77</v>
      </c>
      <c r="Z486" s="32">
        <f>ROUND(IF(AQ486="5",BJ486,0),2)</f>
        <v>0</v>
      </c>
      <c r="AB486" s="32">
        <f>ROUND(IF(AQ486="1",BH486,0),2)</f>
        <v>0</v>
      </c>
      <c r="AC486" s="32">
        <f>ROUND(IF(AQ486="1",BI486,0),2)</f>
        <v>0</v>
      </c>
      <c r="AD486" s="32">
        <f>ROUND(IF(AQ486="7",BH486,0),2)</f>
        <v>0</v>
      </c>
      <c r="AE486" s="32">
        <f>ROUND(IF(AQ486="7",BI486,0),2)</f>
        <v>0</v>
      </c>
      <c r="AF486" s="32">
        <f>ROUND(IF(AQ486="2",BH486,0),2)</f>
        <v>0</v>
      </c>
      <c r="AG486" s="32">
        <f>ROUND(IF(AQ486="2",BI486,0),2)</f>
        <v>0</v>
      </c>
      <c r="AH486" s="32">
        <f>ROUND(IF(AQ486="0",BJ486,0),2)</f>
        <v>0</v>
      </c>
      <c r="AI486" s="12" t="s">
        <v>55</v>
      </c>
      <c r="AJ486" s="32">
        <f>IF(AN486=0,L486,0)</f>
        <v>0</v>
      </c>
      <c r="AK486" s="32">
        <f>IF(AN486=12,L486,0)</f>
        <v>0</v>
      </c>
      <c r="AL486" s="32">
        <f>IF(AN486=21,L486,0)</f>
        <v>0</v>
      </c>
      <c r="AN486" s="32">
        <v>21</v>
      </c>
      <c r="AO486" s="32">
        <f>H486*0.587328244</f>
        <v>0</v>
      </c>
      <c r="AP486" s="32">
        <f>H486*(1-0.587328244)</f>
        <v>0</v>
      </c>
      <c r="AQ486" s="36" t="s">
        <v>58</v>
      </c>
      <c r="AV486" s="32">
        <f>ROUND(AW486+AX486,2)</f>
        <v>0</v>
      </c>
      <c r="AW486" s="32">
        <f>ROUND(G486*AO486,2)</f>
        <v>0</v>
      </c>
      <c r="AX486" s="32">
        <f>ROUND(G486*AP486,2)</f>
        <v>0</v>
      </c>
      <c r="AY486" s="36" t="s">
        <v>1054</v>
      </c>
      <c r="AZ486" s="36" t="s">
        <v>1048</v>
      </c>
      <c r="BA486" s="12" t="s">
        <v>65</v>
      </c>
      <c r="BC486" s="32">
        <f>AW486+AX486</f>
        <v>0</v>
      </c>
      <c r="BD486" s="32">
        <f>H486/(100-BE486)*100</f>
        <v>0</v>
      </c>
      <c r="BE486" s="32">
        <v>0</v>
      </c>
      <c r="BF486" s="32">
        <f>P486</f>
        <v>8.6999999999999994E-2</v>
      </c>
      <c r="BH486" s="32">
        <f>G486*AO486</f>
        <v>0</v>
      </c>
      <c r="BI486" s="32">
        <f>G486*AP486</f>
        <v>0</v>
      </c>
      <c r="BJ486" s="32">
        <f>G486*H486</f>
        <v>0</v>
      </c>
      <c r="BK486" s="36" t="s">
        <v>66</v>
      </c>
      <c r="BL486" s="32">
        <v>94</v>
      </c>
      <c r="BW486" s="32">
        <f>I486</f>
        <v>21</v>
      </c>
      <c r="BX486" s="4" t="s">
        <v>1061</v>
      </c>
    </row>
    <row r="487" spans="1:76" ht="13.5" customHeight="1" x14ac:dyDescent="0.25">
      <c r="A487" s="42"/>
      <c r="C487" s="43"/>
      <c r="D487" s="95" t="s">
        <v>1062</v>
      </c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7"/>
    </row>
    <row r="488" spans="1:76" x14ac:dyDescent="0.25">
      <c r="A488" s="37" t="s">
        <v>55</v>
      </c>
      <c r="B488" s="38" t="s">
        <v>55</v>
      </c>
      <c r="C488" s="38" t="s">
        <v>406</v>
      </c>
      <c r="D488" s="98" t="s">
        <v>1063</v>
      </c>
      <c r="E488" s="99"/>
      <c r="F488" s="39" t="s">
        <v>3</v>
      </c>
      <c r="G488" s="39" t="s">
        <v>3</v>
      </c>
      <c r="H488" s="39" t="s">
        <v>3</v>
      </c>
      <c r="I488" s="39" t="s">
        <v>3</v>
      </c>
      <c r="J488" s="1">
        <f>SUM(J489:J515)</f>
        <v>0</v>
      </c>
      <c r="K488" s="1">
        <f>SUM(K489:K515)</f>
        <v>0</v>
      </c>
      <c r="L488" s="1">
        <f>SUM(L489:L515)</f>
        <v>0</v>
      </c>
      <c r="M488" s="1">
        <f>SUM(M489:M515)</f>
        <v>0</v>
      </c>
      <c r="N488" s="40">
        <f>IF(L649=0,0,L488/L649)</f>
        <v>0</v>
      </c>
      <c r="O488" s="12" t="s">
        <v>55</v>
      </c>
      <c r="P488" s="1">
        <f>SUM(P489:P515)</f>
        <v>2.6699767600000004</v>
      </c>
      <c r="Q488" s="41" t="s">
        <v>55</v>
      </c>
      <c r="AI488" s="12" t="s">
        <v>55</v>
      </c>
      <c r="AS488" s="1">
        <f>SUM(AJ489:AJ515)</f>
        <v>0</v>
      </c>
      <c r="AT488" s="1">
        <f>SUM(AK489:AK515)</f>
        <v>0</v>
      </c>
      <c r="AU488" s="1">
        <f>SUM(AL489:AL515)</f>
        <v>0</v>
      </c>
    </row>
    <row r="489" spans="1:76" x14ac:dyDescent="0.25">
      <c r="A489" s="2" t="s">
        <v>1064</v>
      </c>
      <c r="B489" s="3" t="s">
        <v>55</v>
      </c>
      <c r="C489" s="3" t="s">
        <v>1065</v>
      </c>
      <c r="D489" s="89" t="s">
        <v>1066</v>
      </c>
      <c r="E489" s="90"/>
      <c r="F489" s="3" t="s">
        <v>76</v>
      </c>
      <c r="G489" s="32">
        <v>60.21</v>
      </c>
      <c r="H489" s="199">
        <v>0</v>
      </c>
      <c r="I489" s="33">
        <v>21</v>
      </c>
      <c r="J489" s="32">
        <f>ROUND(G489*AO489,2)</f>
        <v>0</v>
      </c>
      <c r="K489" s="32">
        <f>ROUND(G489*AP489,2)</f>
        <v>0</v>
      </c>
      <c r="L489" s="32">
        <f>ROUND(G489*H489,2)</f>
        <v>0</v>
      </c>
      <c r="M489" s="32">
        <f>L489*(1+BW489/100)</f>
        <v>0</v>
      </c>
      <c r="N489" s="34">
        <f>IF(L649=0,0,L489/L649)</f>
        <v>0</v>
      </c>
      <c r="O489" s="32">
        <v>4.0000000000000003E-5</v>
      </c>
      <c r="P489" s="32">
        <f>G489*O489</f>
        <v>2.4084000000000002E-3</v>
      </c>
      <c r="Q489" s="35" t="s">
        <v>77</v>
      </c>
      <c r="Z489" s="32">
        <f>ROUND(IF(AQ489="5",BJ489,0),2)</f>
        <v>0</v>
      </c>
      <c r="AB489" s="32">
        <f>ROUND(IF(AQ489="1",BH489,0),2)</f>
        <v>0</v>
      </c>
      <c r="AC489" s="32">
        <f>ROUND(IF(AQ489="1",BI489,0),2)</f>
        <v>0</v>
      </c>
      <c r="AD489" s="32">
        <f>ROUND(IF(AQ489="7",BH489,0),2)</f>
        <v>0</v>
      </c>
      <c r="AE489" s="32">
        <f>ROUND(IF(AQ489="7",BI489,0),2)</f>
        <v>0</v>
      </c>
      <c r="AF489" s="32">
        <f>ROUND(IF(AQ489="2",BH489,0),2)</f>
        <v>0</v>
      </c>
      <c r="AG489" s="32">
        <f>ROUND(IF(AQ489="2",BI489,0),2)</f>
        <v>0</v>
      </c>
      <c r="AH489" s="32">
        <f>ROUND(IF(AQ489="0",BJ489,0),2)</f>
        <v>0</v>
      </c>
      <c r="AI489" s="12" t="s">
        <v>55</v>
      </c>
      <c r="AJ489" s="32">
        <f>IF(AN489=0,L489,0)</f>
        <v>0</v>
      </c>
      <c r="AK489" s="32">
        <f>IF(AN489=12,L489,0)</f>
        <v>0</v>
      </c>
      <c r="AL489" s="32">
        <f>IF(AN489=21,L489,0)</f>
        <v>0</v>
      </c>
      <c r="AN489" s="32">
        <v>21</v>
      </c>
      <c r="AO489" s="32">
        <f>H489*0.012649926</f>
        <v>0</v>
      </c>
      <c r="AP489" s="32">
        <f>H489*(1-0.012649926)</f>
        <v>0</v>
      </c>
      <c r="AQ489" s="36" t="s">
        <v>58</v>
      </c>
      <c r="AV489" s="32">
        <f>ROUND(AW489+AX489,2)</f>
        <v>0</v>
      </c>
      <c r="AW489" s="32">
        <f>ROUND(G489*AO489,2)</f>
        <v>0</v>
      </c>
      <c r="AX489" s="32">
        <f>ROUND(G489*AP489,2)</f>
        <v>0</v>
      </c>
      <c r="AY489" s="36" t="s">
        <v>1067</v>
      </c>
      <c r="AZ489" s="36" t="s">
        <v>1048</v>
      </c>
      <c r="BA489" s="12" t="s">
        <v>65</v>
      </c>
      <c r="BC489" s="32">
        <f>AW489+AX489</f>
        <v>0</v>
      </c>
      <c r="BD489" s="32">
        <f>H489/(100-BE489)*100</f>
        <v>0</v>
      </c>
      <c r="BE489" s="32">
        <v>0</v>
      </c>
      <c r="BF489" s="32">
        <f>P489</f>
        <v>2.4084000000000002E-3</v>
      </c>
      <c r="BH489" s="32">
        <f>G489*AO489</f>
        <v>0</v>
      </c>
      <c r="BI489" s="32">
        <f>G489*AP489</f>
        <v>0</v>
      </c>
      <c r="BJ489" s="32">
        <f>G489*H489</f>
        <v>0</v>
      </c>
      <c r="BK489" s="36" t="s">
        <v>66</v>
      </c>
      <c r="BL489" s="32">
        <v>95</v>
      </c>
      <c r="BW489" s="32">
        <f>I489</f>
        <v>21</v>
      </c>
      <c r="BX489" s="4" t="s">
        <v>1066</v>
      </c>
    </row>
    <row r="490" spans="1:76" ht="13.5" customHeight="1" x14ac:dyDescent="0.25">
      <c r="A490" s="42"/>
      <c r="C490" s="43"/>
      <c r="D490" s="95" t="s">
        <v>1068</v>
      </c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7"/>
    </row>
    <row r="491" spans="1:76" x14ac:dyDescent="0.25">
      <c r="A491" s="2" t="s">
        <v>1069</v>
      </c>
      <c r="B491" s="3" t="s">
        <v>55</v>
      </c>
      <c r="C491" s="3" t="s">
        <v>1070</v>
      </c>
      <c r="D491" s="89" t="s">
        <v>1071</v>
      </c>
      <c r="E491" s="90"/>
      <c r="F491" s="3" t="s">
        <v>82</v>
      </c>
      <c r="G491" s="32">
        <v>0.432</v>
      </c>
      <c r="H491" s="199">
        <v>0</v>
      </c>
      <c r="I491" s="33">
        <v>21</v>
      </c>
      <c r="J491" s="32">
        <f>ROUND(G491*AO491,2)</f>
        <v>0</v>
      </c>
      <c r="K491" s="32">
        <f>ROUND(G491*AP491,2)</f>
        <v>0</v>
      </c>
      <c r="L491" s="32">
        <f>ROUND(G491*H491,2)</f>
        <v>0</v>
      </c>
      <c r="M491" s="32">
        <f>L491*(1+BW491/100)</f>
        <v>0</v>
      </c>
      <c r="N491" s="34">
        <f>IF(L649=0,0,L491/L649)</f>
        <v>0</v>
      </c>
      <c r="O491" s="32">
        <v>2.6262799999999999</v>
      </c>
      <c r="P491" s="32">
        <f>G491*O491</f>
        <v>1.1345529599999999</v>
      </c>
      <c r="Q491" s="35" t="s">
        <v>77</v>
      </c>
      <c r="Z491" s="32">
        <f>ROUND(IF(AQ491="5",BJ491,0),2)</f>
        <v>0</v>
      </c>
      <c r="AB491" s="32">
        <f>ROUND(IF(AQ491="1",BH491,0),2)</f>
        <v>0</v>
      </c>
      <c r="AC491" s="32">
        <f>ROUND(IF(AQ491="1",BI491,0),2)</f>
        <v>0</v>
      </c>
      <c r="AD491" s="32">
        <f>ROUND(IF(AQ491="7",BH491,0),2)</f>
        <v>0</v>
      </c>
      <c r="AE491" s="32">
        <f>ROUND(IF(AQ491="7",BI491,0),2)</f>
        <v>0</v>
      </c>
      <c r="AF491" s="32">
        <f>ROUND(IF(AQ491="2",BH491,0),2)</f>
        <v>0</v>
      </c>
      <c r="AG491" s="32">
        <f>ROUND(IF(AQ491="2",BI491,0),2)</f>
        <v>0</v>
      </c>
      <c r="AH491" s="32">
        <f>ROUND(IF(AQ491="0",BJ491,0),2)</f>
        <v>0</v>
      </c>
      <c r="AI491" s="12" t="s">
        <v>55</v>
      </c>
      <c r="AJ491" s="32">
        <f>IF(AN491=0,L491,0)</f>
        <v>0</v>
      </c>
      <c r="AK491" s="32">
        <f>IF(AN491=12,L491,0)</f>
        <v>0</v>
      </c>
      <c r="AL491" s="32">
        <f>IF(AN491=21,L491,0)</f>
        <v>0</v>
      </c>
      <c r="AN491" s="32">
        <v>21</v>
      </c>
      <c r="AO491" s="32">
        <f>H491*0.878448448</f>
        <v>0</v>
      </c>
      <c r="AP491" s="32">
        <f>H491*(1-0.878448448)</f>
        <v>0</v>
      </c>
      <c r="AQ491" s="36" t="s">
        <v>58</v>
      </c>
      <c r="AV491" s="32">
        <f>ROUND(AW491+AX491,2)</f>
        <v>0</v>
      </c>
      <c r="AW491" s="32">
        <f>ROUND(G491*AO491,2)</f>
        <v>0</v>
      </c>
      <c r="AX491" s="32">
        <f>ROUND(G491*AP491,2)</f>
        <v>0</v>
      </c>
      <c r="AY491" s="36" t="s">
        <v>1067</v>
      </c>
      <c r="AZ491" s="36" t="s">
        <v>1048</v>
      </c>
      <c r="BA491" s="12" t="s">
        <v>65</v>
      </c>
      <c r="BC491" s="32">
        <f>AW491+AX491</f>
        <v>0</v>
      </c>
      <c r="BD491" s="32">
        <f>H491/(100-BE491)*100</f>
        <v>0</v>
      </c>
      <c r="BE491" s="32">
        <v>0</v>
      </c>
      <c r="BF491" s="32">
        <f>P491</f>
        <v>1.1345529599999999</v>
      </c>
      <c r="BH491" s="32">
        <f>G491*AO491</f>
        <v>0</v>
      </c>
      <c r="BI491" s="32">
        <f>G491*AP491</f>
        <v>0</v>
      </c>
      <c r="BJ491" s="32">
        <f>G491*H491</f>
        <v>0</v>
      </c>
      <c r="BK491" s="36" t="s">
        <v>66</v>
      </c>
      <c r="BL491" s="32">
        <v>95</v>
      </c>
      <c r="BW491" s="32">
        <f>I491</f>
        <v>21</v>
      </c>
      <c r="BX491" s="4" t="s">
        <v>1071</v>
      </c>
    </row>
    <row r="492" spans="1:76" ht="13.5" customHeight="1" x14ac:dyDescent="0.25">
      <c r="A492" s="42"/>
      <c r="C492" s="43"/>
      <c r="D492" s="95" t="s">
        <v>1072</v>
      </c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7"/>
    </row>
    <row r="493" spans="1:76" x14ac:dyDescent="0.25">
      <c r="A493" s="2" t="s">
        <v>1073</v>
      </c>
      <c r="B493" s="3" t="s">
        <v>55</v>
      </c>
      <c r="C493" s="3" t="s">
        <v>1074</v>
      </c>
      <c r="D493" s="89" t="s">
        <v>1075</v>
      </c>
      <c r="E493" s="90"/>
      <c r="F493" s="3" t="s">
        <v>76</v>
      </c>
      <c r="G493" s="32">
        <v>0.6</v>
      </c>
      <c r="H493" s="199">
        <v>0</v>
      </c>
      <c r="I493" s="33">
        <v>21</v>
      </c>
      <c r="J493" s="32">
        <f>ROUND(G493*AO493,2)</f>
        <v>0</v>
      </c>
      <c r="K493" s="32">
        <f>ROUND(G493*AP493,2)</f>
        <v>0</v>
      </c>
      <c r="L493" s="32">
        <f>ROUND(G493*H493,2)</f>
        <v>0</v>
      </c>
      <c r="M493" s="32">
        <f>L493*(1+BW493/100)</f>
        <v>0</v>
      </c>
      <c r="N493" s="34">
        <f>IF(L649=0,0,L493/L649)</f>
        <v>0</v>
      </c>
      <c r="O493" s="32">
        <v>3.0000000000000001E-3</v>
      </c>
      <c r="P493" s="32">
        <f>G493*O493</f>
        <v>1.8E-3</v>
      </c>
      <c r="Q493" s="35" t="s">
        <v>77</v>
      </c>
      <c r="Z493" s="32">
        <f>ROUND(IF(AQ493="5",BJ493,0),2)</f>
        <v>0</v>
      </c>
      <c r="AB493" s="32">
        <f>ROUND(IF(AQ493="1",BH493,0),2)</f>
        <v>0</v>
      </c>
      <c r="AC493" s="32">
        <f>ROUND(IF(AQ493="1",BI493,0),2)</f>
        <v>0</v>
      </c>
      <c r="AD493" s="32">
        <f>ROUND(IF(AQ493="7",BH493,0),2)</f>
        <v>0</v>
      </c>
      <c r="AE493" s="32">
        <f>ROUND(IF(AQ493="7",BI493,0),2)</f>
        <v>0</v>
      </c>
      <c r="AF493" s="32">
        <f>ROUND(IF(AQ493="2",BH493,0),2)</f>
        <v>0</v>
      </c>
      <c r="AG493" s="32">
        <f>ROUND(IF(AQ493="2",BI493,0),2)</f>
        <v>0</v>
      </c>
      <c r="AH493" s="32">
        <f>ROUND(IF(AQ493="0",BJ493,0),2)</f>
        <v>0</v>
      </c>
      <c r="AI493" s="12" t="s">
        <v>55</v>
      </c>
      <c r="AJ493" s="32">
        <f>IF(AN493=0,L493,0)</f>
        <v>0</v>
      </c>
      <c r="AK493" s="32">
        <f>IF(AN493=12,L493,0)</f>
        <v>0</v>
      </c>
      <c r="AL493" s="32">
        <f>IF(AN493=21,L493,0)</f>
        <v>0</v>
      </c>
      <c r="AN493" s="32">
        <v>21</v>
      </c>
      <c r="AO493" s="32">
        <f>H493*1</f>
        <v>0</v>
      </c>
      <c r="AP493" s="32">
        <f>H493*(1-1)</f>
        <v>0</v>
      </c>
      <c r="AQ493" s="36" t="s">
        <v>58</v>
      </c>
      <c r="AV493" s="32">
        <f>ROUND(AW493+AX493,2)</f>
        <v>0</v>
      </c>
      <c r="AW493" s="32">
        <f>ROUND(G493*AO493,2)</f>
        <v>0</v>
      </c>
      <c r="AX493" s="32">
        <f>ROUND(G493*AP493,2)</f>
        <v>0</v>
      </c>
      <c r="AY493" s="36" t="s">
        <v>1067</v>
      </c>
      <c r="AZ493" s="36" t="s">
        <v>1048</v>
      </c>
      <c r="BA493" s="12" t="s">
        <v>65</v>
      </c>
      <c r="BC493" s="32">
        <f>AW493+AX493</f>
        <v>0</v>
      </c>
      <c r="BD493" s="32">
        <f>H493/(100-BE493)*100</f>
        <v>0</v>
      </c>
      <c r="BE493" s="32">
        <v>0</v>
      </c>
      <c r="BF493" s="32">
        <f>P493</f>
        <v>1.8E-3</v>
      </c>
      <c r="BH493" s="32">
        <f>G493*AO493</f>
        <v>0</v>
      </c>
      <c r="BI493" s="32">
        <f>G493*AP493</f>
        <v>0</v>
      </c>
      <c r="BJ493" s="32">
        <f>G493*H493</f>
        <v>0</v>
      </c>
      <c r="BK493" s="36" t="s">
        <v>147</v>
      </c>
      <c r="BL493" s="32">
        <v>95</v>
      </c>
      <c r="BW493" s="32">
        <f>I493</f>
        <v>21</v>
      </c>
      <c r="BX493" s="4" t="s">
        <v>1075</v>
      </c>
    </row>
    <row r="494" spans="1:76" x14ac:dyDescent="0.25">
      <c r="A494" s="42"/>
      <c r="C494" s="43"/>
      <c r="D494" s="95" t="s">
        <v>1076</v>
      </c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7"/>
      <c r="BX494" s="44" t="s">
        <v>1076</v>
      </c>
    </row>
    <row r="495" spans="1:76" x14ac:dyDescent="0.25">
      <c r="A495" s="2" t="s">
        <v>1077</v>
      </c>
      <c r="B495" s="3" t="s">
        <v>55</v>
      </c>
      <c r="C495" s="3" t="s">
        <v>1078</v>
      </c>
      <c r="D495" s="89" t="s">
        <v>1079</v>
      </c>
      <c r="E495" s="90"/>
      <c r="F495" s="3" t="s">
        <v>88</v>
      </c>
      <c r="G495" s="32">
        <v>1</v>
      </c>
      <c r="H495" s="199">
        <v>0</v>
      </c>
      <c r="I495" s="33">
        <v>21</v>
      </c>
      <c r="J495" s="32">
        <f>ROUND(G495*AO495,2)</f>
        <v>0</v>
      </c>
      <c r="K495" s="32">
        <f>ROUND(G495*AP495,2)</f>
        <v>0</v>
      </c>
      <c r="L495" s="32">
        <f>ROUND(G495*H495,2)</f>
        <v>0</v>
      </c>
      <c r="M495" s="32">
        <f>L495*(1+BW495/100)</f>
        <v>0</v>
      </c>
      <c r="N495" s="34">
        <f>IF(L649=0,0,L495/L649)</f>
        <v>0</v>
      </c>
      <c r="O495" s="32">
        <v>4.9140000000000003E-2</v>
      </c>
      <c r="P495" s="32">
        <f>G495*O495</f>
        <v>4.9140000000000003E-2</v>
      </c>
      <c r="Q495" s="35" t="s">
        <v>77</v>
      </c>
      <c r="Z495" s="32">
        <f>ROUND(IF(AQ495="5",BJ495,0),2)</f>
        <v>0</v>
      </c>
      <c r="AB495" s="32">
        <f>ROUND(IF(AQ495="1",BH495,0),2)</f>
        <v>0</v>
      </c>
      <c r="AC495" s="32">
        <f>ROUND(IF(AQ495="1",BI495,0),2)</f>
        <v>0</v>
      </c>
      <c r="AD495" s="32">
        <f>ROUND(IF(AQ495="7",BH495,0),2)</f>
        <v>0</v>
      </c>
      <c r="AE495" s="32">
        <f>ROUND(IF(AQ495="7",BI495,0),2)</f>
        <v>0</v>
      </c>
      <c r="AF495" s="32">
        <f>ROUND(IF(AQ495="2",BH495,0),2)</f>
        <v>0</v>
      </c>
      <c r="AG495" s="32">
        <f>ROUND(IF(AQ495="2",BI495,0),2)</f>
        <v>0</v>
      </c>
      <c r="AH495" s="32">
        <f>ROUND(IF(AQ495="0",BJ495,0),2)</f>
        <v>0</v>
      </c>
      <c r="AI495" s="12" t="s">
        <v>55</v>
      </c>
      <c r="AJ495" s="32">
        <f>IF(AN495=0,L495,0)</f>
        <v>0</v>
      </c>
      <c r="AK495" s="32">
        <f>IF(AN495=12,L495,0)</f>
        <v>0</v>
      </c>
      <c r="AL495" s="32">
        <f>IF(AN495=21,L495,0)</f>
        <v>0</v>
      </c>
      <c r="AN495" s="32">
        <v>21</v>
      </c>
      <c r="AO495" s="32">
        <f>H495*0.051489118</f>
        <v>0</v>
      </c>
      <c r="AP495" s="32">
        <f>H495*(1-0.051489118)</f>
        <v>0</v>
      </c>
      <c r="AQ495" s="36" t="s">
        <v>58</v>
      </c>
      <c r="AV495" s="32">
        <f>ROUND(AW495+AX495,2)</f>
        <v>0</v>
      </c>
      <c r="AW495" s="32">
        <f>ROUND(G495*AO495,2)</f>
        <v>0</v>
      </c>
      <c r="AX495" s="32">
        <f>ROUND(G495*AP495,2)</f>
        <v>0</v>
      </c>
      <c r="AY495" s="36" t="s">
        <v>1067</v>
      </c>
      <c r="AZ495" s="36" t="s">
        <v>1048</v>
      </c>
      <c r="BA495" s="12" t="s">
        <v>65</v>
      </c>
      <c r="BC495" s="32">
        <f>AW495+AX495</f>
        <v>0</v>
      </c>
      <c r="BD495" s="32">
        <f>H495/(100-BE495)*100</f>
        <v>0</v>
      </c>
      <c r="BE495" s="32">
        <v>0</v>
      </c>
      <c r="BF495" s="32">
        <f>P495</f>
        <v>4.9140000000000003E-2</v>
      </c>
      <c r="BH495" s="32">
        <f>G495*AO495</f>
        <v>0</v>
      </c>
      <c r="BI495" s="32">
        <f>G495*AP495</f>
        <v>0</v>
      </c>
      <c r="BJ495" s="32">
        <f>G495*H495</f>
        <v>0</v>
      </c>
      <c r="BK495" s="36" t="s">
        <v>66</v>
      </c>
      <c r="BL495" s="32">
        <v>95</v>
      </c>
      <c r="BW495" s="32">
        <f>I495</f>
        <v>21</v>
      </c>
      <c r="BX495" s="4" t="s">
        <v>1079</v>
      </c>
    </row>
    <row r="496" spans="1:76" x14ac:dyDescent="0.25">
      <c r="A496" s="2" t="s">
        <v>1080</v>
      </c>
      <c r="B496" s="3" t="s">
        <v>55</v>
      </c>
      <c r="C496" s="3" t="s">
        <v>1081</v>
      </c>
      <c r="D496" s="89" t="s">
        <v>1082</v>
      </c>
      <c r="E496" s="90"/>
      <c r="F496" s="3" t="s">
        <v>136</v>
      </c>
      <c r="G496" s="32">
        <v>55.2</v>
      </c>
      <c r="H496" s="199">
        <v>0</v>
      </c>
      <c r="I496" s="33">
        <v>21</v>
      </c>
      <c r="J496" s="32">
        <f>ROUND(G496*AO496,2)</f>
        <v>0</v>
      </c>
      <c r="K496" s="32">
        <f>ROUND(G496*AP496,2)</f>
        <v>0</v>
      </c>
      <c r="L496" s="32">
        <f>ROUND(G496*H496,2)</f>
        <v>0</v>
      </c>
      <c r="M496" s="32">
        <f>L496*(1+BW496/100)</f>
        <v>0</v>
      </c>
      <c r="N496" s="34">
        <f>IF(L649=0,0,L496/L649)</f>
        <v>0</v>
      </c>
      <c r="O496" s="32">
        <v>1.6539999999999999E-2</v>
      </c>
      <c r="P496" s="32">
        <f>G496*O496</f>
        <v>0.91300800000000004</v>
      </c>
      <c r="Q496" s="35" t="s">
        <v>77</v>
      </c>
      <c r="Z496" s="32">
        <f>ROUND(IF(AQ496="5",BJ496,0),2)</f>
        <v>0</v>
      </c>
      <c r="AB496" s="32">
        <f>ROUND(IF(AQ496="1",BH496,0),2)</f>
        <v>0</v>
      </c>
      <c r="AC496" s="32">
        <f>ROUND(IF(AQ496="1",BI496,0),2)</f>
        <v>0</v>
      </c>
      <c r="AD496" s="32">
        <f>ROUND(IF(AQ496="7",BH496,0),2)</f>
        <v>0</v>
      </c>
      <c r="AE496" s="32">
        <f>ROUND(IF(AQ496="7",BI496,0),2)</f>
        <v>0</v>
      </c>
      <c r="AF496" s="32">
        <f>ROUND(IF(AQ496="2",BH496,0),2)</f>
        <v>0</v>
      </c>
      <c r="AG496" s="32">
        <f>ROUND(IF(AQ496="2",BI496,0),2)</f>
        <v>0</v>
      </c>
      <c r="AH496" s="32">
        <f>ROUND(IF(AQ496="0",BJ496,0),2)</f>
        <v>0</v>
      </c>
      <c r="AI496" s="12" t="s">
        <v>55</v>
      </c>
      <c r="AJ496" s="32">
        <f>IF(AN496=0,L496,0)</f>
        <v>0</v>
      </c>
      <c r="AK496" s="32">
        <f>IF(AN496=12,L496,0)</f>
        <v>0</v>
      </c>
      <c r="AL496" s="32">
        <f>IF(AN496=21,L496,0)</f>
        <v>0</v>
      </c>
      <c r="AN496" s="32">
        <v>21</v>
      </c>
      <c r="AO496" s="32">
        <f>H496*0.379151413</f>
        <v>0</v>
      </c>
      <c r="AP496" s="32">
        <f>H496*(1-0.379151413)</f>
        <v>0</v>
      </c>
      <c r="AQ496" s="36" t="s">
        <v>58</v>
      </c>
      <c r="AV496" s="32">
        <f>ROUND(AW496+AX496,2)</f>
        <v>0</v>
      </c>
      <c r="AW496" s="32">
        <f>ROUND(G496*AO496,2)</f>
        <v>0</v>
      </c>
      <c r="AX496" s="32">
        <f>ROUND(G496*AP496,2)</f>
        <v>0</v>
      </c>
      <c r="AY496" s="36" t="s">
        <v>1067</v>
      </c>
      <c r="AZ496" s="36" t="s">
        <v>1048</v>
      </c>
      <c r="BA496" s="12" t="s">
        <v>65</v>
      </c>
      <c r="BC496" s="32">
        <f>AW496+AX496</f>
        <v>0</v>
      </c>
      <c r="BD496" s="32">
        <f>H496/(100-BE496)*100</f>
        <v>0</v>
      </c>
      <c r="BE496" s="32">
        <v>0</v>
      </c>
      <c r="BF496" s="32">
        <f>P496</f>
        <v>0.91300800000000004</v>
      </c>
      <c r="BH496" s="32">
        <f>G496*AO496</f>
        <v>0</v>
      </c>
      <c r="BI496" s="32">
        <f>G496*AP496</f>
        <v>0</v>
      </c>
      <c r="BJ496" s="32">
        <f>G496*H496</f>
        <v>0</v>
      </c>
      <c r="BK496" s="36" t="s">
        <v>66</v>
      </c>
      <c r="BL496" s="32">
        <v>95</v>
      </c>
      <c r="BW496" s="32">
        <f>I496</f>
        <v>21</v>
      </c>
      <c r="BX496" s="4" t="s">
        <v>1082</v>
      </c>
    </row>
    <row r="497" spans="1:76" ht="13.5" customHeight="1" x14ac:dyDescent="0.25">
      <c r="A497" s="42"/>
      <c r="C497" s="43"/>
      <c r="D497" s="101" t="s">
        <v>1469</v>
      </c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7"/>
    </row>
    <row r="498" spans="1:76" x14ac:dyDescent="0.25">
      <c r="A498" s="2" t="s">
        <v>1083</v>
      </c>
      <c r="B498" s="3" t="s">
        <v>55</v>
      </c>
      <c r="C498" s="3" t="s">
        <v>1084</v>
      </c>
      <c r="D498" s="89" t="s">
        <v>1085</v>
      </c>
      <c r="E498" s="90"/>
      <c r="F498" s="3" t="s">
        <v>76</v>
      </c>
      <c r="G498" s="32">
        <v>20.93</v>
      </c>
      <c r="H498" s="199">
        <v>0</v>
      </c>
      <c r="I498" s="33">
        <v>21</v>
      </c>
      <c r="J498" s="32">
        <f>ROUND(G498*AO498,2)</f>
        <v>0</v>
      </c>
      <c r="K498" s="32">
        <f>ROUND(G498*AP498,2)</f>
        <v>0</v>
      </c>
      <c r="L498" s="32">
        <f>ROUND(G498*H498,2)</f>
        <v>0</v>
      </c>
      <c r="M498" s="32">
        <f>L498*(1+BW498/100)</f>
        <v>0</v>
      </c>
      <c r="N498" s="34">
        <f>IF(L649=0,0,L498/L649)</f>
        <v>0</v>
      </c>
      <c r="O498" s="32">
        <v>1.078E-2</v>
      </c>
      <c r="P498" s="32">
        <f>G498*O498</f>
        <v>0.22562539999999998</v>
      </c>
      <c r="Q498" s="35" t="s">
        <v>77</v>
      </c>
      <c r="Z498" s="32">
        <f>ROUND(IF(AQ498="5",BJ498,0),2)</f>
        <v>0</v>
      </c>
      <c r="AB498" s="32">
        <f>ROUND(IF(AQ498="1",BH498,0),2)</f>
        <v>0</v>
      </c>
      <c r="AC498" s="32">
        <f>ROUND(IF(AQ498="1",BI498,0),2)</f>
        <v>0</v>
      </c>
      <c r="AD498" s="32">
        <f>ROUND(IF(AQ498="7",BH498,0),2)</f>
        <v>0</v>
      </c>
      <c r="AE498" s="32">
        <f>ROUND(IF(AQ498="7",BI498,0),2)</f>
        <v>0</v>
      </c>
      <c r="AF498" s="32">
        <f>ROUND(IF(AQ498="2",BH498,0),2)</f>
        <v>0</v>
      </c>
      <c r="AG498" s="32">
        <f>ROUND(IF(AQ498="2",BI498,0),2)</f>
        <v>0</v>
      </c>
      <c r="AH498" s="32">
        <f>ROUND(IF(AQ498="0",BJ498,0),2)</f>
        <v>0</v>
      </c>
      <c r="AI498" s="12" t="s">
        <v>55</v>
      </c>
      <c r="AJ498" s="32">
        <f>IF(AN498=0,L498,0)</f>
        <v>0</v>
      </c>
      <c r="AK498" s="32">
        <f>IF(AN498=12,L498,0)</f>
        <v>0</v>
      </c>
      <c r="AL498" s="32">
        <f>IF(AN498=21,L498,0)</f>
        <v>0</v>
      </c>
      <c r="AN498" s="32">
        <v>21</v>
      </c>
      <c r="AO498" s="32">
        <f>H498*0.556710483</f>
        <v>0</v>
      </c>
      <c r="AP498" s="32">
        <f>H498*(1-0.556710483)</f>
        <v>0</v>
      </c>
      <c r="AQ498" s="36" t="s">
        <v>58</v>
      </c>
      <c r="AV498" s="32">
        <f>ROUND(AW498+AX498,2)</f>
        <v>0</v>
      </c>
      <c r="AW498" s="32">
        <f>ROUND(G498*AO498,2)</f>
        <v>0</v>
      </c>
      <c r="AX498" s="32">
        <f>ROUND(G498*AP498,2)</f>
        <v>0</v>
      </c>
      <c r="AY498" s="36" t="s">
        <v>1067</v>
      </c>
      <c r="AZ498" s="36" t="s">
        <v>1048</v>
      </c>
      <c r="BA498" s="12" t="s">
        <v>65</v>
      </c>
      <c r="BC498" s="32">
        <f>AW498+AX498</f>
        <v>0</v>
      </c>
      <c r="BD498" s="32">
        <f>H498/(100-BE498)*100</f>
        <v>0</v>
      </c>
      <c r="BE498" s="32">
        <v>0</v>
      </c>
      <c r="BF498" s="32">
        <f>P498</f>
        <v>0.22562539999999998</v>
      </c>
      <c r="BH498" s="32">
        <f>G498*AO498</f>
        <v>0</v>
      </c>
      <c r="BI498" s="32">
        <f>G498*AP498</f>
        <v>0</v>
      </c>
      <c r="BJ498" s="32">
        <f>G498*H498</f>
        <v>0</v>
      </c>
      <c r="BK498" s="36" t="s">
        <v>66</v>
      </c>
      <c r="BL498" s="32">
        <v>95</v>
      </c>
      <c r="BW498" s="32">
        <f>I498</f>
        <v>21</v>
      </c>
      <c r="BX498" s="4" t="s">
        <v>1085</v>
      </c>
    </row>
    <row r="499" spans="1:76" ht="13.5" customHeight="1" x14ac:dyDescent="0.25">
      <c r="A499" s="42"/>
      <c r="C499" s="43"/>
      <c r="D499" s="95" t="s">
        <v>1086</v>
      </c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7"/>
    </row>
    <row r="500" spans="1:76" x14ac:dyDescent="0.25">
      <c r="A500" s="2" t="s">
        <v>1087</v>
      </c>
      <c r="B500" s="3" t="s">
        <v>55</v>
      </c>
      <c r="C500" s="3" t="s">
        <v>1088</v>
      </c>
      <c r="D500" s="89" t="s">
        <v>1089</v>
      </c>
      <c r="E500" s="90"/>
      <c r="F500" s="3" t="s">
        <v>76</v>
      </c>
      <c r="G500" s="32">
        <v>20.93</v>
      </c>
      <c r="H500" s="199">
        <v>0</v>
      </c>
      <c r="I500" s="33">
        <v>21</v>
      </c>
      <c r="J500" s="32">
        <f>ROUND(G500*AO500,2)</f>
        <v>0</v>
      </c>
      <c r="K500" s="32">
        <f>ROUND(G500*AP500,2)</f>
        <v>0</v>
      </c>
      <c r="L500" s="32">
        <f>ROUND(G500*H500,2)</f>
        <v>0</v>
      </c>
      <c r="M500" s="32">
        <f>L500*(1+BW500/100)</f>
        <v>0</v>
      </c>
      <c r="N500" s="34">
        <f>IF(L649=0,0,L500/L649)</f>
        <v>0</v>
      </c>
      <c r="O500" s="32">
        <v>1.8000000000000001E-4</v>
      </c>
      <c r="P500" s="32">
        <f>G500*O500</f>
        <v>3.7674000000000002E-3</v>
      </c>
      <c r="Q500" s="35" t="s">
        <v>77</v>
      </c>
      <c r="Z500" s="32">
        <f>ROUND(IF(AQ500="5",BJ500,0),2)</f>
        <v>0</v>
      </c>
      <c r="AB500" s="32">
        <f>ROUND(IF(AQ500="1",BH500,0),2)</f>
        <v>0</v>
      </c>
      <c r="AC500" s="32">
        <f>ROUND(IF(AQ500="1",BI500,0),2)</f>
        <v>0</v>
      </c>
      <c r="AD500" s="32">
        <f>ROUND(IF(AQ500="7",BH500,0),2)</f>
        <v>0</v>
      </c>
      <c r="AE500" s="32">
        <f>ROUND(IF(AQ500="7",BI500,0),2)</f>
        <v>0</v>
      </c>
      <c r="AF500" s="32">
        <f>ROUND(IF(AQ500="2",BH500,0),2)</f>
        <v>0</v>
      </c>
      <c r="AG500" s="32">
        <f>ROUND(IF(AQ500="2",BI500,0),2)</f>
        <v>0</v>
      </c>
      <c r="AH500" s="32">
        <f>ROUND(IF(AQ500="0",BJ500,0),2)</f>
        <v>0</v>
      </c>
      <c r="AI500" s="12" t="s">
        <v>55</v>
      </c>
      <c r="AJ500" s="32">
        <f>IF(AN500=0,L500,0)</f>
        <v>0</v>
      </c>
      <c r="AK500" s="32">
        <f>IF(AN500=12,L500,0)</f>
        <v>0</v>
      </c>
      <c r="AL500" s="32">
        <f>IF(AN500=21,L500,0)</f>
        <v>0</v>
      </c>
      <c r="AN500" s="32">
        <v>21</v>
      </c>
      <c r="AO500" s="32">
        <f>H500*0.474643369</f>
        <v>0</v>
      </c>
      <c r="AP500" s="32">
        <f>H500*(1-0.474643369)</f>
        <v>0</v>
      </c>
      <c r="AQ500" s="36" t="s">
        <v>58</v>
      </c>
      <c r="AV500" s="32">
        <f>ROUND(AW500+AX500,2)</f>
        <v>0</v>
      </c>
      <c r="AW500" s="32">
        <f>ROUND(G500*AO500,2)</f>
        <v>0</v>
      </c>
      <c r="AX500" s="32">
        <f>ROUND(G500*AP500,2)</f>
        <v>0</v>
      </c>
      <c r="AY500" s="36" t="s">
        <v>1067</v>
      </c>
      <c r="AZ500" s="36" t="s">
        <v>1048</v>
      </c>
      <c r="BA500" s="12" t="s">
        <v>65</v>
      </c>
      <c r="BC500" s="32">
        <f>AW500+AX500</f>
        <v>0</v>
      </c>
      <c r="BD500" s="32">
        <f>H500/(100-BE500)*100</f>
        <v>0</v>
      </c>
      <c r="BE500" s="32">
        <v>0</v>
      </c>
      <c r="BF500" s="32">
        <f>P500</f>
        <v>3.7674000000000002E-3</v>
      </c>
      <c r="BH500" s="32">
        <f>G500*AO500</f>
        <v>0</v>
      </c>
      <c r="BI500" s="32">
        <f>G500*AP500</f>
        <v>0</v>
      </c>
      <c r="BJ500" s="32">
        <f>G500*H500</f>
        <v>0</v>
      </c>
      <c r="BK500" s="36" t="s">
        <v>66</v>
      </c>
      <c r="BL500" s="32">
        <v>95</v>
      </c>
      <c r="BW500" s="32">
        <f>I500</f>
        <v>21</v>
      </c>
      <c r="BX500" s="4" t="s">
        <v>1089</v>
      </c>
    </row>
    <row r="501" spans="1:76" ht="13.5" customHeight="1" x14ac:dyDescent="0.25">
      <c r="A501" s="42"/>
      <c r="C501" s="43"/>
      <c r="D501" s="95" t="s">
        <v>1090</v>
      </c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7"/>
    </row>
    <row r="502" spans="1:76" x14ac:dyDescent="0.25">
      <c r="A502" s="2" t="s">
        <v>1091</v>
      </c>
      <c r="B502" s="3" t="s">
        <v>55</v>
      </c>
      <c r="C502" s="3" t="s">
        <v>832</v>
      </c>
      <c r="D502" s="89" t="s">
        <v>833</v>
      </c>
      <c r="E502" s="90"/>
      <c r="F502" s="3" t="s">
        <v>76</v>
      </c>
      <c r="G502" s="32">
        <v>20.93</v>
      </c>
      <c r="H502" s="199">
        <v>0</v>
      </c>
      <c r="I502" s="33">
        <v>21</v>
      </c>
      <c r="J502" s="32">
        <f>ROUND(G502*AO502,2)</f>
        <v>0</v>
      </c>
      <c r="K502" s="32">
        <f>ROUND(G502*AP502,2)</f>
        <v>0</v>
      </c>
      <c r="L502" s="32">
        <f>ROUND(G502*H502,2)</f>
        <v>0</v>
      </c>
      <c r="M502" s="32">
        <f>L502*(1+BW502/100)</f>
        <v>0</v>
      </c>
      <c r="N502" s="34">
        <f>IF(L649=0,0,L502/L649)</f>
        <v>0</v>
      </c>
      <c r="O502" s="32">
        <v>5.2199999999999998E-3</v>
      </c>
      <c r="P502" s="32">
        <f>G502*O502</f>
        <v>0.10925459999999999</v>
      </c>
      <c r="Q502" s="35" t="s">
        <v>77</v>
      </c>
      <c r="Z502" s="32">
        <f>ROUND(IF(AQ502="5",BJ502,0),2)</f>
        <v>0</v>
      </c>
      <c r="AB502" s="32">
        <f>ROUND(IF(AQ502="1",BH502,0),2)</f>
        <v>0</v>
      </c>
      <c r="AC502" s="32">
        <f>ROUND(IF(AQ502="1",BI502,0),2)</f>
        <v>0</v>
      </c>
      <c r="AD502" s="32">
        <f>ROUND(IF(AQ502="7",BH502,0),2)</f>
        <v>0</v>
      </c>
      <c r="AE502" s="32">
        <f>ROUND(IF(AQ502="7",BI502,0),2)</f>
        <v>0</v>
      </c>
      <c r="AF502" s="32">
        <f>ROUND(IF(AQ502="2",BH502,0),2)</f>
        <v>0</v>
      </c>
      <c r="AG502" s="32">
        <f>ROUND(IF(AQ502="2",BI502,0),2)</f>
        <v>0</v>
      </c>
      <c r="AH502" s="32">
        <f>ROUND(IF(AQ502="0",BJ502,0),2)</f>
        <v>0</v>
      </c>
      <c r="AI502" s="12" t="s">
        <v>55</v>
      </c>
      <c r="AJ502" s="32">
        <f>IF(AN502=0,L502,0)</f>
        <v>0</v>
      </c>
      <c r="AK502" s="32">
        <f>IF(AN502=12,L502,0)</f>
        <v>0</v>
      </c>
      <c r="AL502" s="32">
        <f>IF(AN502=21,L502,0)</f>
        <v>0</v>
      </c>
      <c r="AN502" s="32">
        <v>21</v>
      </c>
      <c r="AO502" s="32">
        <f>H502*0.34141495</f>
        <v>0</v>
      </c>
      <c r="AP502" s="32">
        <f>H502*(1-0.34141495)</f>
        <v>0</v>
      </c>
      <c r="AQ502" s="36" t="s">
        <v>58</v>
      </c>
      <c r="AV502" s="32">
        <f>ROUND(AW502+AX502,2)</f>
        <v>0</v>
      </c>
      <c r="AW502" s="32">
        <f>ROUND(G502*AO502,2)</f>
        <v>0</v>
      </c>
      <c r="AX502" s="32">
        <f>ROUND(G502*AP502,2)</f>
        <v>0</v>
      </c>
      <c r="AY502" s="36" t="s">
        <v>1067</v>
      </c>
      <c r="AZ502" s="36" t="s">
        <v>1048</v>
      </c>
      <c r="BA502" s="12" t="s">
        <v>65</v>
      </c>
      <c r="BC502" s="32">
        <f>AW502+AX502</f>
        <v>0</v>
      </c>
      <c r="BD502" s="32">
        <f>H502/(100-BE502)*100</f>
        <v>0</v>
      </c>
      <c r="BE502" s="32">
        <v>0</v>
      </c>
      <c r="BF502" s="32">
        <f>P502</f>
        <v>0.10925459999999999</v>
      </c>
      <c r="BH502" s="32">
        <f>G502*AO502</f>
        <v>0</v>
      </c>
      <c r="BI502" s="32">
        <f>G502*AP502</f>
        <v>0</v>
      </c>
      <c r="BJ502" s="32">
        <f>G502*H502</f>
        <v>0</v>
      </c>
      <c r="BK502" s="36" t="s">
        <v>66</v>
      </c>
      <c r="BL502" s="32">
        <v>95</v>
      </c>
      <c r="BW502" s="32">
        <f>I502</f>
        <v>21</v>
      </c>
      <c r="BX502" s="4" t="s">
        <v>833</v>
      </c>
    </row>
    <row r="503" spans="1:76" ht="13.5" customHeight="1" x14ac:dyDescent="0.25">
      <c r="A503" s="42"/>
      <c r="C503" s="43"/>
      <c r="D503" s="101" t="s">
        <v>1072</v>
      </c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7"/>
    </row>
    <row r="504" spans="1:76" x14ac:dyDescent="0.25">
      <c r="A504" s="2" t="s">
        <v>1092</v>
      </c>
      <c r="B504" s="3" t="s">
        <v>55</v>
      </c>
      <c r="C504" s="3" t="s">
        <v>1093</v>
      </c>
      <c r="D504" s="89" t="s">
        <v>1094</v>
      </c>
      <c r="E504" s="90"/>
      <c r="F504" s="3" t="s">
        <v>88</v>
      </c>
      <c r="G504" s="32">
        <v>1</v>
      </c>
      <c r="H504" s="199">
        <v>0</v>
      </c>
      <c r="I504" s="33">
        <v>21</v>
      </c>
      <c r="J504" s="32">
        <f>ROUND(G504*AO504,2)</f>
        <v>0</v>
      </c>
      <c r="K504" s="32">
        <f>ROUND(G504*AP504,2)</f>
        <v>0</v>
      </c>
      <c r="L504" s="32">
        <f>ROUND(G504*H504,2)</f>
        <v>0</v>
      </c>
      <c r="M504" s="32">
        <f>L504*(1+BW504/100)</f>
        <v>0</v>
      </c>
      <c r="N504" s="34">
        <f>IF(L649=0,0,L504/L649)</f>
        <v>0</v>
      </c>
      <c r="O504" s="32">
        <v>1.66E-2</v>
      </c>
      <c r="P504" s="32">
        <f>G504*O504</f>
        <v>1.66E-2</v>
      </c>
      <c r="Q504" s="35"/>
      <c r="Z504" s="32">
        <f>ROUND(IF(AQ504="5",BJ504,0),2)</f>
        <v>0</v>
      </c>
      <c r="AB504" s="32">
        <f>ROUND(IF(AQ504="1",BH504,0),2)</f>
        <v>0</v>
      </c>
      <c r="AC504" s="32">
        <f>ROUND(IF(AQ504="1",BI504,0),2)</f>
        <v>0</v>
      </c>
      <c r="AD504" s="32">
        <f>ROUND(IF(AQ504="7",BH504,0),2)</f>
        <v>0</v>
      </c>
      <c r="AE504" s="32">
        <f>ROUND(IF(AQ504="7",BI504,0),2)</f>
        <v>0</v>
      </c>
      <c r="AF504" s="32">
        <f>ROUND(IF(AQ504="2",BH504,0),2)</f>
        <v>0</v>
      </c>
      <c r="AG504" s="32">
        <f>ROUND(IF(AQ504="2",BI504,0),2)</f>
        <v>0</v>
      </c>
      <c r="AH504" s="32">
        <f>ROUND(IF(AQ504="0",BJ504,0),2)</f>
        <v>0</v>
      </c>
      <c r="AI504" s="12" t="s">
        <v>55</v>
      </c>
      <c r="AJ504" s="32">
        <f>IF(AN504=0,L504,0)</f>
        <v>0</v>
      </c>
      <c r="AK504" s="32">
        <f>IF(AN504=12,L504,0)</f>
        <v>0</v>
      </c>
      <c r="AL504" s="32">
        <f>IF(AN504=21,L504,0)</f>
        <v>0</v>
      </c>
      <c r="AN504" s="32">
        <v>21</v>
      </c>
      <c r="AO504" s="32">
        <f>H504*1</f>
        <v>0</v>
      </c>
      <c r="AP504" s="32">
        <f>H504*(1-1)</f>
        <v>0</v>
      </c>
      <c r="AQ504" s="36" t="s">
        <v>58</v>
      </c>
      <c r="AV504" s="32">
        <f>ROUND(AW504+AX504,2)</f>
        <v>0</v>
      </c>
      <c r="AW504" s="32">
        <f>ROUND(G504*AO504,2)</f>
        <v>0</v>
      </c>
      <c r="AX504" s="32">
        <f>ROUND(G504*AP504,2)</f>
        <v>0</v>
      </c>
      <c r="AY504" s="36" t="s">
        <v>1067</v>
      </c>
      <c r="AZ504" s="36" t="s">
        <v>1048</v>
      </c>
      <c r="BA504" s="12" t="s">
        <v>65</v>
      </c>
      <c r="BC504" s="32">
        <f>AW504+AX504</f>
        <v>0</v>
      </c>
      <c r="BD504" s="32">
        <f>H504/(100-BE504)*100</f>
        <v>0</v>
      </c>
      <c r="BE504" s="32">
        <v>0</v>
      </c>
      <c r="BF504" s="32">
        <f>P504</f>
        <v>1.66E-2</v>
      </c>
      <c r="BH504" s="32">
        <f>G504*AO504</f>
        <v>0</v>
      </c>
      <c r="BI504" s="32">
        <f>G504*AP504</f>
        <v>0</v>
      </c>
      <c r="BJ504" s="32">
        <f>G504*H504</f>
        <v>0</v>
      </c>
      <c r="BK504" s="36" t="s">
        <v>147</v>
      </c>
      <c r="BL504" s="32">
        <v>95</v>
      </c>
      <c r="BW504" s="32">
        <f>I504</f>
        <v>21</v>
      </c>
      <c r="BX504" s="4" t="s">
        <v>1094</v>
      </c>
    </row>
    <row r="505" spans="1:76" x14ac:dyDescent="0.25">
      <c r="A505" s="42"/>
      <c r="C505" s="43"/>
      <c r="D505" s="95" t="s">
        <v>1095</v>
      </c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7"/>
      <c r="BX505" s="44" t="s">
        <v>1095</v>
      </c>
    </row>
    <row r="506" spans="1:76" x14ac:dyDescent="0.25">
      <c r="A506" s="2" t="s">
        <v>1096</v>
      </c>
      <c r="B506" s="3" t="s">
        <v>55</v>
      </c>
      <c r="C506" s="3" t="s">
        <v>1097</v>
      </c>
      <c r="D506" s="89" t="s">
        <v>1098</v>
      </c>
      <c r="E506" s="90"/>
      <c r="F506" s="3" t="s">
        <v>88</v>
      </c>
      <c r="G506" s="32">
        <v>1</v>
      </c>
      <c r="H506" s="199">
        <v>0</v>
      </c>
      <c r="I506" s="33">
        <v>21</v>
      </c>
      <c r="J506" s="32">
        <f>ROUND(G506*AO506,2)</f>
        <v>0</v>
      </c>
      <c r="K506" s="32">
        <f>ROUND(G506*AP506,2)</f>
        <v>0</v>
      </c>
      <c r="L506" s="32">
        <f>ROUND(G506*H506,2)</f>
        <v>0</v>
      </c>
      <c r="M506" s="32">
        <f>L506*(1+BW506/100)</f>
        <v>0</v>
      </c>
      <c r="N506" s="34">
        <f>IF(L649=0,0,L506/L649)</f>
        <v>0</v>
      </c>
      <c r="O506" s="32">
        <v>1.0000000000000001E-5</v>
      </c>
      <c r="P506" s="32">
        <f>G506*O506</f>
        <v>1.0000000000000001E-5</v>
      </c>
      <c r="Q506" s="35" t="s">
        <v>77</v>
      </c>
      <c r="Z506" s="32">
        <f>ROUND(IF(AQ506="5",BJ506,0),2)</f>
        <v>0</v>
      </c>
      <c r="AB506" s="32">
        <f>ROUND(IF(AQ506="1",BH506,0),2)</f>
        <v>0</v>
      </c>
      <c r="AC506" s="32">
        <f>ROUND(IF(AQ506="1",BI506,0),2)</f>
        <v>0</v>
      </c>
      <c r="AD506" s="32">
        <f>ROUND(IF(AQ506="7",BH506,0),2)</f>
        <v>0</v>
      </c>
      <c r="AE506" s="32">
        <f>ROUND(IF(AQ506="7",BI506,0),2)</f>
        <v>0</v>
      </c>
      <c r="AF506" s="32">
        <f>ROUND(IF(AQ506="2",BH506,0),2)</f>
        <v>0</v>
      </c>
      <c r="AG506" s="32">
        <f>ROUND(IF(AQ506="2",BI506,0),2)</f>
        <v>0</v>
      </c>
      <c r="AH506" s="32">
        <f>ROUND(IF(AQ506="0",BJ506,0),2)</f>
        <v>0</v>
      </c>
      <c r="AI506" s="12" t="s">
        <v>55</v>
      </c>
      <c r="AJ506" s="32">
        <f>IF(AN506=0,L506,0)</f>
        <v>0</v>
      </c>
      <c r="AK506" s="32">
        <f>IF(AN506=12,L506,0)</f>
        <v>0</v>
      </c>
      <c r="AL506" s="32">
        <f>IF(AN506=21,L506,0)</f>
        <v>0</v>
      </c>
      <c r="AN506" s="32">
        <v>21</v>
      </c>
      <c r="AO506" s="32">
        <f>H506*0.141145374</f>
        <v>0</v>
      </c>
      <c r="AP506" s="32">
        <f>H506*(1-0.141145374)</f>
        <v>0</v>
      </c>
      <c r="AQ506" s="36" t="s">
        <v>58</v>
      </c>
      <c r="AV506" s="32">
        <f>ROUND(AW506+AX506,2)</f>
        <v>0</v>
      </c>
      <c r="AW506" s="32">
        <f>ROUND(G506*AO506,2)</f>
        <v>0</v>
      </c>
      <c r="AX506" s="32">
        <f>ROUND(G506*AP506,2)</f>
        <v>0</v>
      </c>
      <c r="AY506" s="36" t="s">
        <v>1067</v>
      </c>
      <c r="AZ506" s="36" t="s">
        <v>1048</v>
      </c>
      <c r="BA506" s="12" t="s">
        <v>65</v>
      </c>
      <c r="BC506" s="32">
        <f>AW506+AX506</f>
        <v>0</v>
      </c>
      <c r="BD506" s="32">
        <f>H506/(100-BE506)*100</f>
        <v>0</v>
      </c>
      <c r="BE506" s="32">
        <v>0</v>
      </c>
      <c r="BF506" s="32">
        <f>P506</f>
        <v>1.0000000000000001E-5</v>
      </c>
      <c r="BH506" s="32">
        <f>G506*AO506</f>
        <v>0</v>
      </c>
      <c r="BI506" s="32">
        <f>G506*AP506</f>
        <v>0</v>
      </c>
      <c r="BJ506" s="32">
        <f>G506*H506</f>
        <v>0</v>
      </c>
      <c r="BK506" s="36" t="s">
        <v>66</v>
      </c>
      <c r="BL506" s="32">
        <v>95</v>
      </c>
      <c r="BW506" s="32">
        <f>I506</f>
        <v>21</v>
      </c>
      <c r="BX506" s="4" t="s">
        <v>1098</v>
      </c>
    </row>
    <row r="507" spans="1:76" ht="15" customHeight="1" x14ac:dyDescent="0.25">
      <c r="A507" s="42"/>
      <c r="C507" s="43"/>
      <c r="D507" s="101" t="s">
        <v>1470</v>
      </c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7"/>
      <c r="BX507" s="44" t="s">
        <v>1099</v>
      </c>
    </row>
    <row r="508" spans="1:76" x14ac:dyDescent="0.25">
      <c r="A508" s="2" t="s">
        <v>1100</v>
      </c>
      <c r="B508" s="3" t="s">
        <v>55</v>
      </c>
      <c r="C508" s="3" t="s">
        <v>1101</v>
      </c>
      <c r="D508" s="89" t="s">
        <v>1102</v>
      </c>
      <c r="E508" s="90"/>
      <c r="F508" s="3" t="s">
        <v>316</v>
      </c>
      <c r="G508" s="32">
        <v>1</v>
      </c>
      <c r="H508" s="199">
        <v>0</v>
      </c>
      <c r="I508" s="33">
        <v>21</v>
      </c>
      <c r="J508" s="32">
        <f>ROUND(G508*AO508,2)</f>
        <v>0</v>
      </c>
      <c r="K508" s="32">
        <f>ROUND(G508*AP508,2)</f>
        <v>0</v>
      </c>
      <c r="L508" s="32">
        <f>ROUND(G508*H508,2)</f>
        <v>0</v>
      </c>
      <c r="M508" s="32">
        <f>L508*(1+BW508/100)</f>
        <v>0</v>
      </c>
      <c r="N508" s="34">
        <f>IF(L649=0,0,L508/L649)</f>
        <v>0</v>
      </c>
      <c r="O508" s="32">
        <v>3.8999999999999999E-4</v>
      </c>
      <c r="P508" s="32">
        <f>G508*O508</f>
        <v>3.8999999999999999E-4</v>
      </c>
      <c r="Q508" s="35" t="s">
        <v>77</v>
      </c>
      <c r="Z508" s="32">
        <f>ROUND(IF(AQ508="5",BJ508,0),2)</f>
        <v>0</v>
      </c>
      <c r="AB508" s="32">
        <f>ROUND(IF(AQ508="1",BH508,0),2)</f>
        <v>0</v>
      </c>
      <c r="AC508" s="32">
        <f>ROUND(IF(AQ508="1",BI508,0),2)</f>
        <v>0</v>
      </c>
      <c r="AD508" s="32">
        <f>ROUND(IF(AQ508="7",BH508,0),2)</f>
        <v>0</v>
      </c>
      <c r="AE508" s="32">
        <f>ROUND(IF(AQ508="7",BI508,0),2)</f>
        <v>0</v>
      </c>
      <c r="AF508" s="32">
        <f>ROUND(IF(AQ508="2",BH508,0),2)</f>
        <v>0</v>
      </c>
      <c r="AG508" s="32">
        <f>ROUND(IF(AQ508="2",BI508,0),2)</f>
        <v>0</v>
      </c>
      <c r="AH508" s="32">
        <f>ROUND(IF(AQ508="0",BJ508,0),2)</f>
        <v>0</v>
      </c>
      <c r="AI508" s="12" t="s">
        <v>55</v>
      </c>
      <c r="AJ508" s="32">
        <f>IF(AN508=0,L508,0)</f>
        <v>0</v>
      </c>
      <c r="AK508" s="32">
        <f>IF(AN508=12,L508,0)</f>
        <v>0</v>
      </c>
      <c r="AL508" s="32">
        <f>IF(AN508=21,L508,0)</f>
        <v>0</v>
      </c>
      <c r="AN508" s="32">
        <v>21</v>
      </c>
      <c r="AO508" s="32">
        <f>H508*0.593174367</f>
        <v>0</v>
      </c>
      <c r="AP508" s="32">
        <f>H508*(1-0.593174367)</f>
        <v>0</v>
      </c>
      <c r="AQ508" s="36" t="s">
        <v>58</v>
      </c>
      <c r="AV508" s="32">
        <f>ROUND(AW508+AX508,2)</f>
        <v>0</v>
      </c>
      <c r="AW508" s="32">
        <f>ROUND(G508*AO508,2)</f>
        <v>0</v>
      </c>
      <c r="AX508" s="32">
        <f>ROUND(G508*AP508,2)</f>
        <v>0</v>
      </c>
      <c r="AY508" s="36" t="s">
        <v>1067</v>
      </c>
      <c r="AZ508" s="36" t="s">
        <v>1048</v>
      </c>
      <c r="BA508" s="12" t="s">
        <v>65</v>
      </c>
      <c r="BC508" s="32">
        <f>AW508+AX508</f>
        <v>0</v>
      </c>
      <c r="BD508" s="32">
        <f>H508/(100-BE508)*100</f>
        <v>0</v>
      </c>
      <c r="BE508" s="32">
        <v>0</v>
      </c>
      <c r="BF508" s="32">
        <f>P508</f>
        <v>3.8999999999999999E-4</v>
      </c>
      <c r="BH508" s="32">
        <f>G508*AO508</f>
        <v>0</v>
      </c>
      <c r="BI508" s="32">
        <f>G508*AP508</f>
        <v>0</v>
      </c>
      <c r="BJ508" s="32">
        <f>G508*H508</f>
        <v>0</v>
      </c>
      <c r="BK508" s="36" t="s">
        <v>66</v>
      </c>
      <c r="BL508" s="32">
        <v>95</v>
      </c>
      <c r="BW508" s="32">
        <f>I508</f>
        <v>21</v>
      </c>
      <c r="BX508" s="4" t="s">
        <v>1102</v>
      </c>
    </row>
    <row r="509" spans="1:76" ht="13.5" customHeight="1" x14ac:dyDescent="0.25">
      <c r="A509" s="42"/>
      <c r="C509" s="43"/>
      <c r="D509" s="95" t="s">
        <v>1103</v>
      </c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7"/>
    </row>
    <row r="510" spans="1:76" x14ac:dyDescent="0.25">
      <c r="A510" s="2" t="s">
        <v>1104</v>
      </c>
      <c r="B510" s="3" t="s">
        <v>55</v>
      </c>
      <c r="C510" s="3" t="s">
        <v>1105</v>
      </c>
      <c r="D510" s="89" t="s">
        <v>1106</v>
      </c>
      <c r="E510" s="90"/>
      <c r="F510" s="3" t="s">
        <v>88</v>
      </c>
      <c r="G510" s="32">
        <v>1</v>
      </c>
      <c r="H510" s="199">
        <v>0</v>
      </c>
      <c r="I510" s="33">
        <v>21</v>
      </c>
      <c r="J510" s="32">
        <f>ROUND(G510*AO510,2)</f>
        <v>0</v>
      </c>
      <c r="K510" s="32">
        <f>ROUND(G510*AP510,2)</f>
        <v>0</v>
      </c>
      <c r="L510" s="32">
        <f>ROUND(G510*H510,2)</f>
        <v>0</v>
      </c>
      <c r="M510" s="32">
        <f>L510*(1+BW510/100)</f>
        <v>0</v>
      </c>
      <c r="N510" s="34">
        <f>IF(L649=0,0,L510/L649)</f>
        <v>0</v>
      </c>
      <c r="O510" s="32">
        <v>0</v>
      </c>
      <c r="P510" s="32">
        <f>G510*O510</f>
        <v>0</v>
      </c>
      <c r="Q510" s="35" t="s">
        <v>55</v>
      </c>
      <c r="Z510" s="32">
        <f>ROUND(IF(AQ510="5",BJ510,0),2)</f>
        <v>0</v>
      </c>
      <c r="AB510" s="32">
        <f>ROUND(IF(AQ510="1",BH510,0),2)</f>
        <v>0</v>
      </c>
      <c r="AC510" s="32">
        <f>ROUND(IF(AQ510="1",BI510,0),2)</f>
        <v>0</v>
      </c>
      <c r="AD510" s="32">
        <f>ROUND(IF(AQ510="7",BH510,0),2)</f>
        <v>0</v>
      </c>
      <c r="AE510" s="32">
        <f>ROUND(IF(AQ510="7",BI510,0),2)</f>
        <v>0</v>
      </c>
      <c r="AF510" s="32">
        <f>ROUND(IF(AQ510="2",BH510,0),2)</f>
        <v>0</v>
      </c>
      <c r="AG510" s="32">
        <f>ROUND(IF(AQ510="2",BI510,0),2)</f>
        <v>0</v>
      </c>
      <c r="AH510" s="32">
        <f>ROUND(IF(AQ510="0",BJ510,0),2)</f>
        <v>0</v>
      </c>
      <c r="AI510" s="12" t="s">
        <v>55</v>
      </c>
      <c r="AJ510" s="32">
        <f>IF(AN510=0,L510,0)</f>
        <v>0</v>
      </c>
      <c r="AK510" s="32">
        <f>IF(AN510=12,L510,0)</f>
        <v>0</v>
      </c>
      <c r="AL510" s="32">
        <f>IF(AN510=21,L510,0)</f>
        <v>0</v>
      </c>
      <c r="AN510" s="32">
        <v>21</v>
      </c>
      <c r="AO510" s="32">
        <f>H510*0.851689637</f>
        <v>0</v>
      </c>
      <c r="AP510" s="32">
        <f>H510*(1-0.851689637)</f>
        <v>0</v>
      </c>
      <c r="AQ510" s="36" t="s">
        <v>58</v>
      </c>
      <c r="AV510" s="32">
        <f>ROUND(AW510+AX510,2)</f>
        <v>0</v>
      </c>
      <c r="AW510" s="32">
        <f>ROUND(G510*AO510,2)</f>
        <v>0</v>
      </c>
      <c r="AX510" s="32">
        <f>ROUND(G510*AP510,2)</f>
        <v>0</v>
      </c>
      <c r="AY510" s="36" t="s">
        <v>1067</v>
      </c>
      <c r="AZ510" s="36" t="s">
        <v>1048</v>
      </c>
      <c r="BA510" s="12" t="s">
        <v>65</v>
      </c>
      <c r="BC510" s="32">
        <f>AW510+AX510</f>
        <v>0</v>
      </c>
      <c r="BD510" s="32">
        <f>H510/(100-BE510)*100</f>
        <v>0</v>
      </c>
      <c r="BE510" s="32">
        <v>0</v>
      </c>
      <c r="BF510" s="32">
        <f>P510</f>
        <v>0</v>
      </c>
      <c r="BH510" s="32">
        <f>G510*AO510</f>
        <v>0</v>
      </c>
      <c r="BI510" s="32">
        <f>G510*AP510</f>
        <v>0</v>
      </c>
      <c r="BJ510" s="32">
        <f>G510*H510</f>
        <v>0</v>
      </c>
      <c r="BK510" s="36" t="s">
        <v>66</v>
      </c>
      <c r="BL510" s="32">
        <v>95</v>
      </c>
      <c r="BW510" s="32">
        <f>I510</f>
        <v>21</v>
      </c>
      <c r="BX510" s="4" t="s">
        <v>1106</v>
      </c>
    </row>
    <row r="511" spans="1:76" ht="13.5" customHeight="1" x14ac:dyDescent="0.25">
      <c r="A511" s="42"/>
      <c r="C511" s="43"/>
      <c r="D511" s="95" t="s">
        <v>954</v>
      </c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7"/>
    </row>
    <row r="512" spans="1:76" x14ac:dyDescent="0.25">
      <c r="A512" s="2" t="s">
        <v>1107</v>
      </c>
      <c r="B512" s="3" t="s">
        <v>55</v>
      </c>
      <c r="C512" s="3" t="s">
        <v>1108</v>
      </c>
      <c r="D512" s="89" t="s">
        <v>1109</v>
      </c>
      <c r="E512" s="90"/>
      <c r="F512" s="3" t="s">
        <v>88</v>
      </c>
      <c r="G512" s="32">
        <v>1</v>
      </c>
      <c r="H512" s="199">
        <v>0</v>
      </c>
      <c r="I512" s="33">
        <v>21</v>
      </c>
      <c r="J512" s="32">
        <f>ROUND(G512*AO512,2)</f>
        <v>0</v>
      </c>
      <c r="K512" s="32">
        <f>ROUND(G512*AP512,2)</f>
        <v>0</v>
      </c>
      <c r="L512" s="32">
        <f>ROUND(G512*H512,2)</f>
        <v>0</v>
      </c>
      <c r="M512" s="32">
        <f>L512*(1+BW512/100)</f>
        <v>0</v>
      </c>
      <c r="N512" s="34">
        <f>IF(L649=0,0,L512/L649)</f>
        <v>0</v>
      </c>
      <c r="O512" s="32">
        <v>0</v>
      </c>
      <c r="P512" s="32">
        <f>G512*O512</f>
        <v>0</v>
      </c>
      <c r="Q512" s="35" t="s">
        <v>77</v>
      </c>
      <c r="Z512" s="32">
        <f>ROUND(IF(AQ512="5",BJ512,0),2)</f>
        <v>0</v>
      </c>
      <c r="AB512" s="32">
        <f>ROUND(IF(AQ512="1",BH512,0),2)</f>
        <v>0</v>
      </c>
      <c r="AC512" s="32">
        <f>ROUND(IF(AQ512="1",BI512,0),2)</f>
        <v>0</v>
      </c>
      <c r="AD512" s="32">
        <f>ROUND(IF(AQ512="7",BH512,0),2)</f>
        <v>0</v>
      </c>
      <c r="AE512" s="32">
        <f>ROUND(IF(AQ512="7",BI512,0),2)</f>
        <v>0</v>
      </c>
      <c r="AF512" s="32">
        <f>ROUND(IF(AQ512="2",BH512,0),2)</f>
        <v>0</v>
      </c>
      <c r="AG512" s="32">
        <f>ROUND(IF(AQ512="2",BI512,0),2)</f>
        <v>0</v>
      </c>
      <c r="AH512" s="32">
        <f>ROUND(IF(AQ512="0",BJ512,0),2)</f>
        <v>0</v>
      </c>
      <c r="AI512" s="12" t="s">
        <v>55</v>
      </c>
      <c r="AJ512" s="32">
        <f>IF(AN512=0,L512,0)</f>
        <v>0</v>
      </c>
      <c r="AK512" s="32">
        <f>IF(AN512=12,L512,0)</f>
        <v>0</v>
      </c>
      <c r="AL512" s="32">
        <f>IF(AN512=21,L512,0)</f>
        <v>0</v>
      </c>
      <c r="AN512" s="32">
        <v>21</v>
      </c>
      <c r="AO512" s="32">
        <f>H512*0</f>
        <v>0</v>
      </c>
      <c r="AP512" s="32">
        <f>H512*(1-0)</f>
        <v>0</v>
      </c>
      <c r="AQ512" s="36" t="s">
        <v>67</v>
      </c>
      <c r="AV512" s="32">
        <f>ROUND(AW512+AX512,2)</f>
        <v>0</v>
      </c>
      <c r="AW512" s="32">
        <f>ROUND(G512*AO512,2)</f>
        <v>0</v>
      </c>
      <c r="AX512" s="32">
        <f>ROUND(G512*AP512,2)</f>
        <v>0</v>
      </c>
      <c r="AY512" s="36" t="s">
        <v>1067</v>
      </c>
      <c r="AZ512" s="36" t="s">
        <v>1048</v>
      </c>
      <c r="BA512" s="12" t="s">
        <v>65</v>
      </c>
      <c r="BC512" s="32">
        <f>AW512+AX512</f>
        <v>0</v>
      </c>
      <c r="BD512" s="32">
        <f>H512/(100-BE512)*100</f>
        <v>0</v>
      </c>
      <c r="BE512" s="32">
        <v>0</v>
      </c>
      <c r="BF512" s="32">
        <f>P512</f>
        <v>0</v>
      </c>
      <c r="BH512" s="32">
        <f>G512*AO512</f>
        <v>0</v>
      </c>
      <c r="BI512" s="32">
        <f>G512*AP512</f>
        <v>0</v>
      </c>
      <c r="BJ512" s="32">
        <f>G512*H512</f>
        <v>0</v>
      </c>
      <c r="BK512" s="36" t="s">
        <v>66</v>
      </c>
      <c r="BL512" s="32">
        <v>95</v>
      </c>
      <c r="BW512" s="32">
        <f>I512</f>
        <v>21</v>
      </c>
      <c r="BX512" s="4" t="s">
        <v>1109</v>
      </c>
    </row>
    <row r="513" spans="1:76" x14ac:dyDescent="0.25">
      <c r="A513" s="2" t="s">
        <v>1110</v>
      </c>
      <c r="B513" s="3" t="s">
        <v>55</v>
      </c>
      <c r="C513" s="3" t="s">
        <v>1111</v>
      </c>
      <c r="D513" s="89" t="s">
        <v>1112</v>
      </c>
      <c r="E513" s="90"/>
      <c r="F513" s="3" t="s">
        <v>88</v>
      </c>
      <c r="G513" s="32">
        <v>1</v>
      </c>
      <c r="H513" s="199">
        <v>0</v>
      </c>
      <c r="I513" s="33">
        <v>21</v>
      </c>
      <c r="J513" s="32">
        <f>ROUND(G513*AO513,2)</f>
        <v>0</v>
      </c>
      <c r="K513" s="32">
        <f>ROUND(G513*AP513,2)</f>
        <v>0</v>
      </c>
      <c r="L513" s="32">
        <f>ROUND(G513*H513,2)</f>
        <v>0</v>
      </c>
      <c r="M513" s="32">
        <f>L513*(1+BW513/100)</f>
        <v>0</v>
      </c>
      <c r="N513" s="34">
        <f>IF(L649=0,0,L513/L649)</f>
        <v>0</v>
      </c>
      <c r="O513" s="32">
        <v>6.0199999999999997E-2</v>
      </c>
      <c r="P513" s="32">
        <f>G513*O513</f>
        <v>6.0199999999999997E-2</v>
      </c>
      <c r="Q513" s="35" t="s">
        <v>77</v>
      </c>
      <c r="Z513" s="32">
        <f>ROUND(IF(AQ513="5",BJ513,0),2)</f>
        <v>0</v>
      </c>
      <c r="AB513" s="32">
        <f>ROUND(IF(AQ513="1",BH513,0),2)</f>
        <v>0</v>
      </c>
      <c r="AC513" s="32">
        <f>ROUND(IF(AQ513="1",BI513,0),2)</f>
        <v>0</v>
      </c>
      <c r="AD513" s="32">
        <f>ROUND(IF(AQ513="7",BH513,0),2)</f>
        <v>0</v>
      </c>
      <c r="AE513" s="32">
        <f>ROUND(IF(AQ513="7",BI513,0),2)</f>
        <v>0</v>
      </c>
      <c r="AF513" s="32">
        <f>ROUND(IF(AQ513="2",BH513,0),2)</f>
        <v>0</v>
      </c>
      <c r="AG513" s="32">
        <f>ROUND(IF(AQ513="2",BI513,0),2)</f>
        <v>0</v>
      </c>
      <c r="AH513" s="32">
        <f>ROUND(IF(AQ513="0",BJ513,0),2)</f>
        <v>0</v>
      </c>
      <c r="AI513" s="12" t="s">
        <v>55</v>
      </c>
      <c r="AJ513" s="32">
        <f>IF(AN513=0,L513,0)</f>
        <v>0</v>
      </c>
      <c r="AK513" s="32">
        <f>IF(AN513=12,L513,0)</f>
        <v>0</v>
      </c>
      <c r="AL513" s="32">
        <f>IF(AN513=21,L513,0)</f>
        <v>0</v>
      </c>
      <c r="AN513" s="32">
        <v>21</v>
      </c>
      <c r="AO513" s="32">
        <f>H513*1</f>
        <v>0</v>
      </c>
      <c r="AP513" s="32">
        <f>H513*(1-1)</f>
        <v>0</v>
      </c>
      <c r="AQ513" s="36" t="s">
        <v>58</v>
      </c>
      <c r="AV513" s="32">
        <f>ROUND(AW513+AX513,2)</f>
        <v>0</v>
      </c>
      <c r="AW513" s="32">
        <f>ROUND(G513*AO513,2)</f>
        <v>0</v>
      </c>
      <c r="AX513" s="32">
        <f>ROUND(G513*AP513,2)</f>
        <v>0</v>
      </c>
      <c r="AY513" s="36" t="s">
        <v>1067</v>
      </c>
      <c r="AZ513" s="36" t="s">
        <v>1048</v>
      </c>
      <c r="BA513" s="12" t="s">
        <v>65</v>
      </c>
      <c r="BC513" s="32">
        <f>AW513+AX513</f>
        <v>0</v>
      </c>
      <c r="BD513" s="32">
        <f>H513/(100-BE513)*100</f>
        <v>0</v>
      </c>
      <c r="BE513" s="32">
        <v>0</v>
      </c>
      <c r="BF513" s="32">
        <f>P513</f>
        <v>6.0199999999999997E-2</v>
      </c>
      <c r="BH513" s="32">
        <f>G513*AO513</f>
        <v>0</v>
      </c>
      <c r="BI513" s="32">
        <f>G513*AP513</f>
        <v>0</v>
      </c>
      <c r="BJ513" s="32">
        <f>G513*H513</f>
        <v>0</v>
      </c>
      <c r="BK513" s="36" t="s">
        <v>147</v>
      </c>
      <c r="BL513" s="32">
        <v>95</v>
      </c>
      <c r="BW513" s="32">
        <f>I513</f>
        <v>21</v>
      </c>
      <c r="BX513" s="4" t="s">
        <v>1112</v>
      </c>
    </row>
    <row r="514" spans="1:76" x14ac:dyDescent="0.25">
      <c r="A514" s="42"/>
      <c r="C514" s="43"/>
      <c r="D514" s="95" t="s">
        <v>1113</v>
      </c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7"/>
      <c r="BX514" s="44" t="s">
        <v>1113</v>
      </c>
    </row>
    <row r="515" spans="1:76" x14ac:dyDescent="0.25">
      <c r="A515" s="2" t="s">
        <v>1114</v>
      </c>
      <c r="B515" s="3" t="s">
        <v>55</v>
      </c>
      <c r="C515" s="3" t="s">
        <v>1115</v>
      </c>
      <c r="D515" s="89" t="s">
        <v>1116</v>
      </c>
      <c r="E515" s="90"/>
      <c r="F515" s="3" t="s">
        <v>88</v>
      </c>
      <c r="G515" s="32">
        <v>1</v>
      </c>
      <c r="H515" s="199">
        <v>0</v>
      </c>
      <c r="I515" s="33">
        <v>21</v>
      </c>
      <c r="J515" s="32">
        <f>ROUND(G515*AO515,2)</f>
        <v>0</v>
      </c>
      <c r="K515" s="32">
        <f>ROUND(G515*AP515,2)</f>
        <v>0</v>
      </c>
      <c r="L515" s="32">
        <f>ROUND(G515*H515,2)</f>
        <v>0</v>
      </c>
      <c r="M515" s="32">
        <f>L515*(1+BW515/100)</f>
        <v>0</v>
      </c>
      <c r="N515" s="34">
        <f>IF(L649=0,0,L515/L649)</f>
        <v>0</v>
      </c>
      <c r="O515" s="32">
        <v>0.15322</v>
      </c>
      <c r="P515" s="32">
        <f>G515*O515</f>
        <v>0.15322</v>
      </c>
      <c r="Q515" s="35" t="s">
        <v>77</v>
      </c>
      <c r="Z515" s="32">
        <f>ROUND(IF(AQ515="5",BJ515,0),2)</f>
        <v>0</v>
      </c>
      <c r="AB515" s="32">
        <f>ROUND(IF(AQ515="1",BH515,0),2)</f>
        <v>0</v>
      </c>
      <c r="AC515" s="32">
        <f>ROUND(IF(AQ515="1",BI515,0),2)</f>
        <v>0</v>
      </c>
      <c r="AD515" s="32">
        <f>ROUND(IF(AQ515="7",BH515,0),2)</f>
        <v>0</v>
      </c>
      <c r="AE515" s="32">
        <f>ROUND(IF(AQ515="7",BI515,0),2)</f>
        <v>0</v>
      </c>
      <c r="AF515" s="32">
        <f>ROUND(IF(AQ515="2",BH515,0),2)</f>
        <v>0</v>
      </c>
      <c r="AG515" s="32">
        <f>ROUND(IF(AQ515="2",BI515,0),2)</f>
        <v>0</v>
      </c>
      <c r="AH515" s="32">
        <f>ROUND(IF(AQ515="0",BJ515,0),2)</f>
        <v>0</v>
      </c>
      <c r="AI515" s="12" t="s">
        <v>55</v>
      </c>
      <c r="AJ515" s="32">
        <f>IF(AN515=0,L515,0)</f>
        <v>0</v>
      </c>
      <c r="AK515" s="32">
        <f>IF(AN515=12,L515,0)</f>
        <v>0</v>
      </c>
      <c r="AL515" s="32">
        <f>IF(AN515=21,L515,0)</f>
        <v>0</v>
      </c>
      <c r="AN515" s="32">
        <v>21</v>
      </c>
      <c r="AO515" s="32">
        <f>H515*0.915135836</f>
        <v>0</v>
      </c>
      <c r="AP515" s="32">
        <f>H515*(1-0.915135836)</f>
        <v>0</v>
      </c>
      <c r="AQ515" s="36" t="s">
        <v>58</v>
      </c>
      <c r="AV515" s="32">
        <f>ROUND(AW515+AX515,2)</f>
        <v>0</v>
      </c>
      <c r="AW515" s="32">
        <f>ROUND(G515*AO515,2)</f>
        <v>0</v>
      </c>
      <c r="AX515" s="32">
        <f>ROUND(G515*AP515,2)</f>
        <v>0</v>
      </c>
      <c r="AY515" s="36" t="s">
        <v>1067</v>
      </c>
      <c r="AZ515" s="36" t="s">
        <v>1048</v>
      </c>
      <c r="BA515" s="12" t="s">
        <v>65</v>
      </c>
      <c r="BC515" s="32">
        <f>AW515+AX515</f>
        <v>0</v>
      </c>
      <c r="BD515" s="32">
        <f>H515/(100-BE515)*100</f>
        <v>0</v>
      </c>
      <c r="BE515" s="32">
        <v>0</v>
      </c>
      <c r="BF515" s="32">
        <f>P515</f>
        <v>0.15322</v>
      </c>
      <c r="BH515" s="32">
        <f>G515*AO515</f>
        <v>0</v>
      </c>
      <c r="BI515" s="32">
        <f>G515*AP515</f>
        <v>0</v>
      </c>
      <c r="BJ515" s="32">
        <f>G515*H515</f>
        <v>0</v>
      </c>
      <c r="BK515" s="36" t="s">
        <v>66</v>
      </c>
      <c r="BL515" s="32">
        <v>95</v>
      </c>
      <c r="BW515" s="32">
        <f>I515</f>
        <v>21</v>
      </c>
      <c r="BX515" s="4" t="s">
        <v>1116</v>
      </c>
    </row>
    <row r="516" spans="1:76" ht="13.5" customHeight="1" x14ac:dyDescent="0.25">
      <c r="A516" s="42"/>
      <c r="C516" s="43"/>
      <c r="D516" s="101" t="s">
        <v>1471</v>
      </c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7"/>
    </row>
    <row r="517" spans="1:76" x14ac:dyDescent="0.25">
      <c r="A517" s="42"/>
      <c r="C517" s="43"/>
      <c r="D517" s="95" t="s">
        <v>1117</v>
      </c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7"/>
      <c r="BX517" s="44" t="s">
        <v>1117</v>
      </c>
    </row>
    <row r="518" spans="1:76" x14ac:dyDescent="0.25">
      <c r="A518" s="37" t="s">
        <v>55</v>
      </c>
      <c r="B518" s="38" t="s">
        <v>55</v>
      </c>
      <c r="C518" s="38" t="s">
        <v>409</v>
      </c>
      <c r="D518" s="98" t="s">
        <v>1118</v>
      </c>
      <c r="E518" s="99"/>
      <c r="F518" s="39" t="s">
        <v>3</v>
      </c>
      <c r="G518" s="39" t="s">
        <v>3</v>
      </c>
      <c r="H518" s="39" t="s">
        <v>3</v>
      </c>
      <c r="I518" s="39" t="s">
        <v>3</v>
      </c>
      <c r="J518" s="1">
        <f>SUM(J519:J538)</f>
        <v>0</v>
      </c>
      <c r="K518" s="1">
        <f>SUM(K519:K538)</f>
        <v>0</v>
      </c>
      <c r="L518" s="1">
        <f>SUM(L519:L538)</f>
        <v>0</v>
      </c>
      <c r="M518" s="1">
        <f>SUM(M519:M538)</f>
        <v>0</v>
      </c>
      <c r="N518" s="40">
        <f>IF(L649=0,0,L518/L649)</f>
        <v>0</v>
      </c>
      <c r="O518" s="12" t="s">
        <v>55</v>
      </c>
      <c r="P518" s="1">
        <f>SUM(P519:P538)</f>
        <v>27.153940500000001</v>
      </c>
      <c r="Q518" s="41" t="s">
        <v>55</v>
      </c>
      <c r="AI518" s="12" t="s">
        <v>55</v>
      </c>
      <c r="AS518" s="1">
        <f>SUM(AJ519:AJ538)</f>
        <v>0</v>
      </c>
      <c r="AT518" s="1">
        <f>SUM(AK519:AK538)</f>
        <v>0</v>
      </c>
      <c r="AU518" s="1">
        <f>SUM(AL519:AL538)</f>
        <v>0</v>
      </c>
    </row>
    <row r="519" spans="1:76" x14ac:dyDescent="0.25">
      <c r="A519" s="2" t="s">
        <v>1119</v>
      </c>
      <c r="B519" s="3" t="s">
        <v>55</v>
      </c>
      <c r="C519" s="3" t="s">
        <v>1120</v>
      </c>
      <c r="D519" s="89" t="s">
        <v>1121</v>
      </c>
      <c r="E519" s="90"/>
      <c r="F519" s="3" t="s">
        <v>76</v>
      </c>
      <c r="G519" s="32">
        <v>63.8</v>
      </c>
      <c r="H519" s="199">
        <v>0</v>
      </c>
      <c r="I519" s="33">
        <v>21</v>
      </c>
      <c r="J519" s="32">
        <f>ROUND(G519*AO519,2)</f>
        <v>0</v>
      </c>
      <c r="K519" s="32">
        <f>ROUND(G519*AP519,2)</f>
        <v>0</v>
      </c>
      <c r="L519" s="32">
        <f>ROUND(G519*H519,2)</f>
        <v>0</v>
      </c>
      <c r="M519" s="32">
        <f>L519*(1+BW519/100)</f>
        <v>0</v>
      </c>
      <c r="N519" s="34">
        <f>IF(L649=0,0,L519/L649)</f>
        <v>0</v>
      </c>
      <c r="O519" s="32">
        <v>2.4649999999999998E-2</v>
      </c>
      <c r="P519" s="32">
        <f>G519*O519</f>
        <v>1.5726699999999998</v>
      </c>
      <c r="Q519" s="35" t="s">
        <v>77</v>
      </c>
      <c r="Z519" s="32">
        <f>ROUND(IF(AQ519="5",BJ519,0),2)</f>
        <v>0</v>
      </c>
      <c r="AB519" s="32">
        <f>ROUND(IF(AQ519="1",BH519,0),2)</f>
        <v>0</v>
      </c>
      <c r="AC519" s="32">
        <f>ROUND(IF(AQ519="1",BI519,0),2)</f>
        <v>0</v>
      </c>
      <c r="AD519" s="32">
        <f>ROUND(IF(AQ519="7",BH519,0),2)</f>
        <v>0</v>
      </c>
      <c r="AE519" s="32">
        <f>ROUND(IF(AQ519="7",BI519,0),2)</f>
        <v>0</v>
      </c>
      <c r="AF519" s="32">
        <f>ROUND(IF(AQ519="2",BH519,0),2)</f>
        <v>0</v>
      </c>
      <c r="AG519" s="32">
        <f>ROUND(IF(AQ519="2",BI519,0),2)</f>
        <v>0</v>
      </c>
      <c r="AH519" s="32">
        <f>ROUND(IF(AQ519="0",BJ519,0),2)</f>
        <v>0</v>
      </c>
      <c r="AI519" s="12" t="s">
        <v>55</v>
      </c>
      <c r="AJ519" s="32">
        <f>IF(AN519=0,L519,0)</f>
        <v>0</v>
      </c>
      <c r="AK519" s="32">
        <f>IF(AN519=12,L519,0)</f>
        <v>0</v>
      </c>
      <c r="AL519" s="32">
        <f>IF(AN519=21,L519,0)</f>
        <v>0</v>
      </c>
      <c r="AN519" s="32">
        <v>21</v>
      </c>
      <c r="AO519" s="32">
        <f>H519*0</f>
        <v>0</v>
      </c>
      <c r="AP519" s="32">
        <f>H519*(1-0)</f>
        <v>0</v>
      </c>
      <c r="AQ519" s="36" t="s">
        <v>58</v>
      </c>
      <c r="AV519" s="32">
        <f>ROUND(AW519+AX519,2)</f>
        <v>0</v>
      </c>
      <c r="AW519" s="32">
        <f>ROUND(G519*AO519,2)</f>
        <v>0</v>
      </c>
      <c r="AX519" s="32">
        <f>ROUND(G519*AP519,2)</f>
        <v>0</v>
      </c>
      <c r="AY519" s="36" t="s">
        <v>1122</v>
      </c>
      <c r="AZ519" s="36" t="s">
        <v>1048</v>
      </c>
      <c r="BA519" s="12" t="s">
        <v>65</v>
      </c>
      <c r="BC519" s="32">
        <f>AW519+AX519</f>
        <v>0</v>
      </c>
      <c r="BD519" s="32">
        <f>H519/(100-BE519)*100</f>
        <v>0</v>
      </c>
      <c r="BE519" s="32">
        <v>0</v>
      </c>
      <c r="BF519" s="32">
        <f>P519</f>
        <v>1.5726699999999998</v>
      </c>
      <c r="BH519" s="32">
        <f>G519*AO519</f>
        <v>0</v>
      </c>
      <c r="BI519" s="32">
        <f>G519*AP519</f>
        <v>0</v>
      </c>
      <c r="BJ519" s="32">
        <f>G519*H519</f>
        <v>0</v>
      </c>
      <c r="BK519" s="36" t="s">
        <v>66</v>
      </c>
      <c r="BL519" s="32">
        <v>96</v>
      </c>
      <c r="BW519" s="32">
        <f>I519</f>
        <v>21</v>
      </c>
      <c r="BX519" s="4" t="s">
        <v>1121</v>
      </c>
    </row>
    <row r="520" spans="1:76" x14ac:dyDescent="0.25">
      <c r="A520" s="2" t="s">
        <v>1123</v>
      </c>
      <c r="B520" s="3" t="s">
        <v>55</v>
      </c>
      <c r="C520" s="3" t="s">
        <v>1124</v>
      </c>
      <c r="D520" s="89" t="s">
        <v>1125</v>
      </c>
      <c r="E520" s="90"/>
      <c r="F520" s="3" t="s">
        <v>76</v>
      </c>
      <c r="G520" s="32">
        <v>49.55</v>
      </c>
      <c r="H520" s="199">
        <v>0</v>
      </c>
      <c r="I520" s="33">
        <v>21</v>
      </c>
      <c r="J520" s="32">
        <f>ROUND(G520*AO520,2)</f>
        <v>0</v>
      </c>
      <c r="K520" s="32">
        <f>ROUND(G520*AP520,2)</f>
        <v>0</v>
      </c>
      <c r="L520" s="32">
        <f>ROUND(G520*H520,2)</f>
        <v>0</v>
      </c>
      <c r="M520" s="32">
        <f>L520*(1+BW520/100)</f>
        <v>0</v>
      </c>
      <c r="N520" s="34">
        <f>IF(L649=0,0,L520/L649)</f>
        <v>0</v>
      </c>
      <c r="O520" s="32">
        <v>0.10767</v>
      </c>
      <c r="P520" s="32">
        <f>G520*O520</f>
        <v>5.3350485000000001</v>
      </c>
      <c r="Q520" s="35" t="s">
        <v>77</v>
      </c>
      <c r="Z520" s="32">
        <f>ROUND(IF(AQ520="5",BJ520,0),2)</f>
        <v>0</v>
      </c>
      <c r="AB520" s="32">
        <f>ROUND(IF(AQ520="1",BH520,0),2)</f>
        <v>0</v>
      </c>
      <c r="AC520" s="32">
        <f>ROUND(IF(AQ520="1",BI520,0),2)</f>
        <v>0</v>
      </c>
      <c r="AD520" s="32">
        <f>ROUND(IF(AQ520="7",BH520,0),2)</f>
        <v>0</v>
      </c>
      <c r="AE520" s="32">
        <f>ROUND(IF(AQ520="7",BI520,0),2)</f>
        <v>0</v>
      </c>
      <c r="AF520" s="32">
        <f>ROUND(IF(AQ520="2",BH520,0),2)</f>
        <v>0</v>
      </c>
      <c r="AG520" s="32">
        <f>ROUND(IF(AQ520="2",BI520,0),2)</f>
        <v>0</v>
      </c>
      <c r="AH520" s="32">
        <f>ROUND(IF(AQ520="0",BJ520,0),2)</f>
        <v>0</v>
      </c>
      <c r="AI520" s="12" t="s">
        <v>55</v>
      </c>
      <c r="AJ520" s="32">
        <f>IF(AN520=0,L520,0)</f>
        <v>0</v>
      </c>
      <c r="AK520" s="32">
        <f>IF(AN520=12,L520,0)</f>
        <v>0</v>
      </c>
      <c r="AL520" s="32">
        <f>IF(AN520=21,L520,0)</f>
        <v>0</v>
      </c>
      <c r="AN520" s="32">
        <v>21</v>
      </c>
      <c r="AO520" s="32">
        <f>H520*0.165362161</f>
        <v>0</v>
      </c>
      <c r="AP520" s="32">
        <f>H520*(1-0.165362161)</f>
        <v>0</v>
      </c>
      <c r="AQ520" s="36" t="s">
        <v>58</v>
      </c>
      <c r="AV520" s="32">
        <f>ROUND(AW520+AX520,2)</f>
        <v>0</v>
      </c>
      <c r="AW520" s="32">
        <f>ROUND(G520*AO520,2)</f>
        <v>0</v>
      </c>
      <c r="AX520" s="32">
        <f>ROUND(G520*AP520,2)</f>
        <v>0</v>
      </c>
      <c r="AY520" s="36" t="s">
        <v>1122</v>
      </c>
      <c r="AZ520" s="36" t="s">
        <v>1048</v>
      </c>
      <c r="BA520" s="12" t="s">
        <v>65</v>
      </c>
      <c r="BC520" s="32">
        <f>AW520+AX520</f>
        <v>0</v>
      </c>
      <c r="BD520" s="32">
        <f>H520/(100-BE520)*100</f>
        <v>0</v>
      </c>
      <c r="BE520" s="32">
        <v>0</v>
      </c>
      <c r="BF520" s="32">
        <f>P520</f>
        <v>5.3350485000000001</v>
      </c>
      <c r="BH520" s="32">
        <f>G520*AO520</f>
        <v>0</v>
      </c>
      <c r="BI520" s="32">
        <f>G520*AP520</f>
        <v>0</v>
      </c>
      <c r="BJ520" s="32">
        <f>G520*H520</f>
        <v>0</v>
      </c>
      <c r="BK520" s="36" t="s">
        <v>66</v>
      </c>
      <c r="BL520" s="32">
        <v>96</v>
      </c>
      <c r="BW520" s="32">
        <f>I520</f>
        <v>21</v>
      </c>
      <c r="BX520" s="4" t="s">
        <v>1125</v>
      </c>
    </row>
    <row r="521" spans="1:76" x14ac:dyDescent="0.25">
      <c r="A521" s="2" t="s">
        <v>1126</v>
      </c>
      <c r="B521" s="3" t="s">
        <v>55</v>
      </c>
      <c r="C521" s="3" t="s">
        <v>1127</v>
      </c>
      <c r="D521" s="89" t="s">
        <v>1128</v>
      </c>
      <c r="E521" s="90"/>
      <c r="F521" s="3" t="s">
        <v>76</v>
      </c>
      <c r="G521" s="32">
        <v>8.6</v>
      </c>
      <c r="H521" s="199">
        <v>0</v>
      </c>
      <c r="I521" s="33">
        <v>21</v>
      </c>
      <c r="J521" s="32">
        <f>ROUND(G521*AO521,2)</f>
        <v>0</v>
      </c>
      <c r="K521" s="32">
        <f>ROUND(G521*AP521,2)</f>
        <v>0</v>
      </c>
      <c r="L521" s="32">
        <f>ROUND(G521*H521,2)</f>
        <v>0</v>
      </c>
      <c r="M521" s="32">
        <f>L521*(1+BW521/100)</f>
        <v>0</v>
      </c>
      <c r="N521" s="34">
        <f>IF(L649=0,0,L521/L649)</f>
        <v>0</v>
      </c>
      <c r="O521" s="32">
        <v>0.13367000000000001</v>
      </c>
      <c r="P521" s="32">
        <f>G521*O521</f>
        <v>1.149562</v>
      </c>
      <c r="Q521" s="35" t="s">
        <v>77</v>
      </c>
      <c r="Z521" s="32">
        <f>ROUND(IF(AQ521="5",BJ521,0),2)</f>
        <v>0</v>
      </c>
      <c r="AB521" s="32">
        <f>ROUND(IF(AQ521="1",BH521,0),2)</f>
        <v>0</v>
      </c>
      <c r="AC521" s="32">
        <f>ROUND(IF(AQ521="1",BI521,0),2)</f>
        <v>0</v>
      </c>
      <c r="AD521" s="32">
        <f>ROUND(IF(AQ521="7",BH521,0),2)</f>
        <v>0</v>
      </c>
      <c r="AE521" s="32">
        <f>ROUND(IF(AQ521="7",BI521,0),2)</f>
        <v>0</v>
      </c>
      <c r="AF521" s="32">
        <f>ROUND(IF(AQ521="2",BH521,0),2)</f>
        <v>0</v>
      </c>
      <c r="AG521" s="32">
        <f>ROUND(IF(AQ521="2",BI521,0),2)</f>
        <v>0</v>
      </c>
      <c r="AH521" s="32">
        <f>ROUND(IF(AQ521="0",BJ521,0),2)</f>
        <v>0</v>
      </c>
      <c r="AI521" s="12" t="s">
        <v>55</v>
      </c>
      <c r="AJ521" s="32">
        <f>IF(AN521=0,L521,0)</f>
        <v>0</v>
      </c>
      <c r="AK521" s="32">
        <f>IF(AN521=12,L521,0)</f>
        <v>0</v>
      </c>
      <c r="AL521" s="32">
        <f>IF(AN521=21,L521,0)</f>
        <v>0</v>
      </c>
      <c r="AN521" s="32">
        <v>21</v>
      </c>
      <c r="AO521" s="32">
        <f>H521*0.141300028</f>
        <v>0</v>
      </c>
      <c r="AP521" s="32">
        <f>H521*(1-0.141300028)</f>
        <v>0</v>
      </c>
      <c r="AQ521" s="36" t="s">
        <v>58</v>
      </c>
      <c r="AV521" s="32">
        <f>ROUND(AW521+AX521,2)</f>
        <v>0</v>
      </c>
      <c r="AW521" s="32">
        <f>ROUND(G521*AO521,2)</f>
        <v>0</v>
      </c>
      <c r="AX521" s="32">
        <f>ROUND(G521*AP521,2)</f>
        <v>0</v>
      </c>
      <c r="AY521" s="36" t="s">
        <v>1122</v>
      </c>
      <c r="AZ521" s="36" t="s">
        <v>1048</v>
      </c>
      <c r="BA521" s="12" t="s">
        <v>65</v>
      </c>
      <c r="BC521" s="32">
        <f>AW521+AX521</f>
        <v>0</v>
      </c>
      <c r="BD521" s="32">
        <f>H521/(100-BE521)*100</f>
        <v>0</v>
      </c>
      <c r="BE521" s="32">
        <v>0</v>
      </c>
      <c r="BF521" s="32">
        <f>P521</f>
        <v>1.149562</v>
      </c>
      <c r="BH521" s="32">
        <f>G521*AO521</f>
        <v>0</v>
      </c>
      <c r="BI521" s="32">
        <f>G521*AP521</f>
        <v>0</v>
      </c>
      <c r="BJ521" s="32">
        <f>G521*H521</f>
        <v>0</v>
      </c>
      <c r="BK521" s="36" t="s">
        <v>66</v>
      </c>
      <c r="BL521" s="32">
        <v>96</v>
      </c>
      <c r="BW521" s="32">
        <f>I521</f>
        <v>21</v>
      </c>
      <c r="BX521" s="4" t="s">
        <v>1128</v>
      </c>
    </row>
    <row r="522" spans="1:76" x14ac:dyDescent="0.25">
      <c r="A522" s="2" t="s">
        <v>1129</v>
      </c>
      <c r="B522" s="3" t="s">
        <v>55</v>
      </c>
      <c r="C522" s="3" t="s">
        <v>1130</v>
      </c>
      <c r="D522" s="89" t="s">
        <v>1131</v>
      </c>
      <c r="E522" s="90"/>
      <c r="F522" s="3" t="s">
        <v>76</v>
      </c>
      <c r="G522" s="32">
        <v>1.76</v>
      </c>
      <c r="H522" s="199">
        <v>0</v>
      </c>
      <c r="I522" s="33">
        <v>21</v>
      </c>
      <c r="J522" s="32">
        <f>ROUND(G522*AO522,2)</f>
        <v>0</v>
      </c>
      <c r="K522" s="32">
        <f>ROUND(G522*AP522,2)</f>
        <v>0</v>
      </c>
      <c r="L522" s="32">
        <f>ROUND(G522*H522,2)</f>
        <v>0</v>
      </c>
      <c r="M522" s="32">
        <f>L522*(1+BW522/100)</f>
        <v>0</v>
      </c>
      <c r="N522" s="34">
        <f>IF(L649=0,0,L522/L649)</f>
        <v>0</v>
      </c>
      <c r="O522" s="32">
        <v>0.54054999999999997</v>
      </c>
      <c r="P522" s="32">
        <f>G522*O522</f>
        <v>0.95136799999999999</v>
      </c>
      <c r="Q522" s="35" t="s">
        <v>77</v>
      </c>
      <c r="Z522" s="32">
        <f>ROUND(IF(AQ522="5",BJ522,0),2)</f>
        <v>0</v>
      </c>
      <c r="AB522" s="32">
        <f>ROUND(IF(AQ522="1",BH522,0),2)</f>
        <v>0</v>
      </c>
      <c r="AC522" s="32">
        <f>ROUND(IF(AQ522="1",BI522,0),2)</f>
        <v>0</v>
      </c>
      <c r="AD522" s="32">
        <f>ROUND(IF(AQ522="7",BH522,0),2)</f>
        <v>0</v>
      </c>
      <c r="AE522" s="32">
        <f>ROUND(IF(AQ522="7",BI522,0),2)</f>
        <v>0</v>
      </c>
      <c r="AF522" s="32">
        <f>ROUND(IF(AQ522="2",BH522,0),2)</f>
        <v>0</v>
      </c>
      <c r="AG522" s="32">
        <f>ROUND(IF(AQ522="2",BI522,0),2)</f>
        <v>0</v>
      </c>
      <c r="AH522" s="32">
        <f>ROUND(IF(AQ522="0",BJ522,0),2)</f>
        <v>0</v>
      </c>
      <c r="AI522" s="12" t="s">
        <v>55</v>
      </c>
      <c r="AJ522" s="32">
        <f>IF(AN522=0,L522,0)</f>
        <v>0</v>
      </c>
      <c r="AK522" s="32">
        <f>IF(AN522=12,L522,0)</f>
        <v>0</v>
      </c>
      <c r="AL522" s="32">
        <f>IF(AN522=21,L522,0)</f>
        <v>0</v>
      </c>
      <c r="AN522" s="32">
        <v>21</v>
      </c>
      <c r="AO522" s="32">
        <f>H522*0.008750125</f>
        <v>0</v>
      </c>
      <c r="AP522" s="32">
        <f>H522*(1-0.008750125)</f>
        <v>0</v>
      </c>
      <c r="AQ522" s="36" t="s">
        <v>58</v>
      </c>
      <c r="AV522" s="32">
        <f>ROUND(AW522+AX522,2)</f>
        <v>0</v>
      </c>
      <c r="AW522" s="32">
        <f>ROUND(G522*AO522,2)</f>
        <v>0</v>
      </c>
      <c r="AX522" s="32">
        <f>ROUND(G522*AP522,2)</f>
        <v>0</v>
      </c>
      <c r="AY522" s="36" t="s">
        <v>1122</v>
      </c>
      <c r="AZ522" s="36" t="s">
        <v>1048</v>
      </c>
      <c r="BA522" s="12" t="s">
        <v>65</v>
      </c>
      <c r="BC522" s="32">
        <f>AW522+AX522</f>
        <v>0</v>
      </c>
      <c r="BD522" s="32">
        <f>H522/(100-BE522)*100</f>
        <v>0</v>
      </c>
      <c r="BE522" s="32">
        <v>0</v>
      </c>
      <c r="BF522" s="32">
        <f>P522</f>
        <v>0.95136799999999999</v>
      </c>
      <c r="BH522" s="32">
        <f>G522*AO522</f>
        <v>0</v>
      </c>
      <c r="BI522" s="32">
        <f>G522*AP522</f>
        <v>0</v>
      </c>
      <c r="BJ522" s="32">
        <f>G522*H522</f>
        <v>0</v>
      </c>
      <c r="BK522" s="36" t="s">
        <v>66</v>
      </c>
      <c r="BL522" s="32">
        <v>96</v>
      </c>
      <c r="BW522" s="32">
        <f>I522</f>
        <v>21</v>
      </c>
      <c r="BX522" s="4" t="s">
        <v>1131</v>
      </c>
    </row>
    <row r="523" spans="1:76" ht="13.5" customHeight="1" x14ac:dyDescent="0.25">
      <c r="A523" s="42"/>
      <c r="C523" s="43"/>
      <c r="D523" s="95" t="s">
        <v>1132</v>
      </c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7"/>
    </row>
    <row r="524" spans="1:76" x14ac:dyDescent="0.25">
      <c r="A524" s="2" t="s">
        <v>1133</v>
      </c>
      <c r="B524" s="3" t="s">
        <v>55</v>
      </c>
      <c r="C524" s="3" t="s">
        <v>1134</v>
      </c>
      <c r="D524" s="89" t="s">
        <v>1135</v>
      </c>
      <c r="E524" s="90"/>
      <c r="F524" s="3" t="s">
        <v>88</v>
      </c>
      <c r="G524" s="32">
        <v>6</v>
      </c>
      <c r="H524" s="199">
        <v>0</v>
      </c>
      <c r="I524" s="33">
        <v>21</v>
      </c>
      <c r="J524" s="32">
        <f t="shared" ref="J524:J530" si="158">ROUND(G524*AO524,2)</f>
        <v>0</v>
      </c>
      <c r="K524" s="32">
        <f t="shared" ref="K524:K530" si="159">ROUND(G524*AP524,2)</f>
        <v>0</v>
      </c>
      <c r="L524" s="32">
        <f t="shared" ref="L524:L530" si="160">ROUND(G524*H524,2)</f>
        <v>0</v>
      </c>
      <c r="M524" s="32">
        <f t="shared" ref="M524:M530" si="161">L524*(1+BW524/100)</f>
        <v>0</v>
      </c>
      <c r="N524" s="34">
        <f>IF(L649=0,0,L524/L649)</f>
        <v>0</v>
      </c>
      <c r="O524" s="32">
        <v>0</v>
      </c>
      <c r="P524" s="32">
        <f t="shared" ref="P524:P530" si="162">G524*O524</f>
        <v>0</v>
      </c>
      <c r="Q524" s="35" t="s">
        <v>77</v>
      </c>
      <c r="Z524" s="32">
        <f t="shared" ref="Z524:Z530" si="163">ROUND(IF(AQ524="5",BJ524,0),2)</f>
        <v>0</v>
      </c>
      <c r="AB524" s="32">
        <f t="shared" ref="AB524:AB530" si="164">ROUND(IF(AQ524="1",BH524,0),2)</f>
        <v>0</v>
      </c>
      <c r="AC524" s="32">
        <f t="shared" ref="AC524:AC530" si="165">ROUND(IF(AQ524="1",BI524,0),2)</f>
        <v>0</v>
      </c>
      <c r="AD524" s="32">
        <f t="shared" ref="AD524:AD530" si="166">ROUND(IF(AQ524="7",BH524,0),2)</f>
        <v>0</v>
      </c>
      <c r="AE524" s="32">
        <f t="shared" ref="AE524:AE530" si="167">ROUND(IF(AQ524="7",BI524,0),2)</f>
        <v>0</v>
      </c>
      <c r="AF524" s="32">
        <f t="shared" ref="AF524:AF530" si="168">ROUND(IF(AQ524="2",BH524,0),2)</f>
        <v>0</v>
      </c>
      <c r="AG524" s="32">
        <f t="shared" ref="AG524:AG530" si="169">ROUND(IF(AQ524="2",BI524,0),2)</f>
        <v>0</v>
      </c>
      <c r="AH524" s="32">
        <f t="shared" ref="AH524:AH530" si="170">ROUND(IF(AQ524="0",BJ524,0),2)</f>
        <v>0</v>
      </c>
      <c r="AI524" s="12" t="s">
        <v>55</v>
      </c>
      <c r="AJ524" s="32">
        <f t="shared" ref="AJ524:AJ530" si="171">IF(AN524=0,L524,0)</f>
        <v>0</v>
      </c>
      <c r="AK524" s="32">
        <f t="shared" ref="AK524:AK530" si="172">IF(AN524=12,L524,0)</f>
        <v>0</v>
      </c>
      <c r="AL524" s="32">
        <f t="shared" ref="AL524:AL530" si="173">IF(AN524=21,L524,0)</f>
        <v>0</v>
      </c>
      <c r="AN524" s="32">
        <v>21</v>
      </c>
      <c r="AO524" s="32">
        <f>H524*0</f>
        <v>0</v>
      </c>
      <c r="AP524" s="32">
        <f>H524*(1-0)</f>
        <v>0</v>
      </c>
      <c r="AQ524" s="36" t="s">
        <v>58</v>
      </c>
      <c r="AV524" s="32">
        <f t="shared" ref="AV524:AV530" si="174">ROUND(AW524+AX524,2)</f>
        <v>0</v>
      </c>
      <c r="AW524" s="32">
        <f t="shared" ref="AW524:AW530" si="175">ROUND(G524*AO524,2)</f>
        <v>0</v>
      </c>
      <c r="AX524" s="32">
        <f t="shared" ref="AX524:AX530" si="176">ROUND(G524*AP524,2)</f>
        <v>0</v>
      </c>
      <c r="AY524" s="36" t="s">
        <v>1122</v>
      </c>
      <c r="AZ524" s="36" t="s">
        <v>1048</v>
      </c>
      <c r="BA524" s="12" t="s">
        <v>65</v>
      </c>
      <c r="BC524" s="32">
        <f t="shared" ref="BC524:BC530" si="177">AW524+AX524</f>
        <v>0</v>
      </c>
      <c r="BD524" s="32">
        <f t="shared" ref="BD524:BD530" si="178">H524/(100-BE524)*100</f>
        <v>0</v>
      </c>
      <c r="BE524" s="32">
        <v>0</v>
      </c>
      <c r="BF524" s="32">
        <f t="shared" ref="BF524:BF530" si="179">P524</f>
        <v>0</v>
      </c>
      <c r="BH524" s="32">
        <f t="shared" ref="BH524:BH530" si="180">G524*AO524</f>
        <v>0</v>
      </c>
      <c r="BI524" s="32">
        <f t="shared" ref="BI524:BI530" si="181">G524*AP524</f>
        <v>0</v>
      </c>
      <c r="BJ524" s="32">
        <f t="shared" ref="BJ524:BJ530" si="182">G524*H524</f>
        <v>0</v>
      </c>
      <c r="BK524" s="36" t="s">
        <v>66</v>
      </c>
      <c r="BL524" s="32">
        <v>96</v>
      </c>
      <c r="BW524" s="32">
        <f t="shared" ref="BW524:BW530" si="183">I524</f>
        <v>21</v>
      </c>
      <c r="BX524" s="4" t="s">
        <v>1135</v>
      </c>
    </row>
    <row r="525" spans="1:76" x14ac:dyDescent="0.25">
      <c r="A525" s="2" t="s">
        <v>1136</v>
      </c>
      <c r="B525" s="3" t="s">
        <v>55</v>
      </c>
      <c r="C525" s="3" t="s">
        <v>1137</v>
      </c>
      <c r="D525" s="89" t="s">
        <v>1138</v>
      </c>
      <c r="E525" s="90"/>
      <c r="F525" s="3" t="s">
        <v>88</v>
      </c>
      <c r="G525" s="32">
        <v>6</v>
      </c>
      <c r="H525" s="199">
        <v>0</v>
      </c>
      <c r="I525" s="33">
        <v>21</v>
      </c>
      <c r="J525" s="32">
        <f t="shared" si="158"/>
        <v>0</v>
      </c>
      <c r="K525" s="32">
        <f t="shared" si="159"/>
        <v>0</v>
      </c>
      <c r="L525" s="32">
        <f t="shared" si="160"/>
        <v>0</v>
      </c>
      <c r="M525" s="32">
        <f t="shared" si="161"/>
        <v>0</v>
      </c>
      <c r="N525" s="34">
        <f>IF(L649=0,0,L525/L649)</f>
        <v>0</v>
      </c>
      <c r="O525" s="32">
        <v>7.7170000000000002E-2</v>
      </c>
      <c r="P525" s="32">
        <f t="shared" si="162"/>
        <v>0.46301999999999999</v>
      </c>
      <c r="Q525" s="35" t="s">
        <v>55</v>
      </c>
      <c r="Z525" s="32">
        <f t="shared" si="163"/>
        <v>0</v>
      </c>
      <c r="AB525" s="32">
        <f t="shared" si="164"/>
        <v>0</v>
      </c>
      <c r="AC525" s="32">
        <f t="shared" si="165"/>
        <v>0</v>
      </c>
      <c r="AD525" s="32">
        <f t="shared" si="166"/>
        <v>0</v>
      </c>
      <c r="AE525" s="32">
        <f t="shared" si="167"/>
        <v>0</v>
      </c>
      <c r="AF525" s="32">
        <f t="shared" si="168"/>
        <v>0</v>
      </c>
      <c r="AG525" s="32">
        <f t="shared" si="169"/>
        <v>0</v>
      </c>
      <c r="AH525" s="32">
        <f t="shared" si="170"/>
        <v>0</v>
      </c>
      <c r="AI525" s="12" t="s">
        <v>55</v>
      </c>
      <c r="AJ525" s="32">
        <f t="shared" si="171"/>
        <v>0</v>
      </c>
      <c r="AK525" s="32">
        <f t="shared" si="172"/>
        <v>0</v>
      </c>
      <c r="AL525" s="32">
        <f t="shared" si="173"/>
        <v>0</v>
      </c>
      <c r="AN525" s="32">
        <v>21</v>
      </c>
      <c r="AO525" s="32">
        <f>H525*0.089682685</f>
        <v>0</v>
      </c>
      <c r="AP525" s="32">
        <f>H525*(1-0.089682685)</f>
        <v>0</v>
      </c>
      <c r="AQ525" s="36" t="s">
        <v>58</v>
      </c>
      <c r="AV525" s="32">
        <f t="shared" si="174"/>
        <v>0</v>
      </c>
      <c r="AW525" s="32">
        <f t="shared" si="175"/>
        <v>0</v>
      </c>
      <c r="AX525" s="32">
        <f t="shared" si="176"/>
        <v>0</v>
      </c>
      <c r="AY525" s="36" t="s">
        <v>1122</v>
      </c>
      <c r="AZ525" s="36" t="s">
        <v>1048</v>
      </c>
      <c r="BA525" s="12" t="s">
        <v>65</v>
      </c>
      <c r="BC525" s="32">
        <f t="shared" si="177"/>
        <v>0</v>
      </c>
      <c r="BD525" s="32">
        <f t="shared" si="178"/>
        <v>0</v>
      </c>
      <c r="BE525" s="32">
        <v>0</v>
      </c>
      <c r="BF525" s="32">
        <f t="shared" si="179"/>
        <v>0.46301999999999999</v>
      </c>
      <c r="BH525" s="32">
        <f t="shared" si="180"/>
        <v>0</v>
      </c>
      <c r="BI525" s="32">
        <f t="shared" si="181"/>
        <v>0</v>
      </c>
      <c r="BJ525" s="32">
        <f t="shared" si="182"/>
        <v>0</v>
      </c>
      <c r="BK525" s="36" t="s">
        <v>66</v>
      </c>
      <c r="BL525" s="32">
        <v>96</v>
      </c>
      <c r="BW525" s="32">
        <f t="shared" si="183"/>
        <v>21</v>
      </c>
      <c r="BX525" s="4" t="s">
        <v>1138</v>
      </c>
    </row>
    <row r="526" spans="1:76" x14ac:dyDescent="0.25">
      <c r="A526" s="2" t="s">
        <v>1139</v>
      </c>
      <c r="B526" s="3" t="s">
        <v>55</v>
      </c>
      <c r="C526" s="3" t="s">
        <v>1140</v>
      </c>
      <c r="D526" s="89" t="s">
        <v>1141</v>
      </c>
      <c r="E526" s="90"/>
      <c r="F526" s="3" t="s">
        <v>88</v>
      </c>
      <c r="G526" s="32">
        <v>1</v>
      </c>
      <c r="H526" s="199">
        <v>0</v>
      </c>
      <c r="I526" s="33">
        <v>21</v>
      </c>
      <c r="J526" s="32">
        <f t="shared" si="158"/>
        <v>0</v>
      </c>
      <c r="K526" s="32">
        <f t="shared" si="159"/>
        <v>0</v>
      </c>
      <c r="L526" s="32">
        <f t="shared" si="160"/>
        <v>0</v>
      </c>
      <c r="M526" s="32">
        <f t="shared" si="161"/>
        <v>0</v>
      </c>
      <c r="N526" s="34">
        <f>IF(L649=0,0,L526/L649)</f>
        <v>0</v>
      </c>
      <c r="O526" s="32">
        <v>0</v>
      </c>
      <c r="P526" s="32">
        <f t="shared" si="162"/>
        <v>0</v>
      </c>
      <c r="Q526" s="35" t="s">
        <v>77</v>
      </c>
      <c r="Z526" s="32">
        <f t="shared" si="163"/>
        <v>0</v>
      </c>
      <c r="AB526" s="32">
        <f t="shared" si="164"/>
        <v>0</v>
      </c>
      <c r="AC526" s="32">
        <f t="shared" si="165"/>
        <v>0</v>
      </c>
      <c r="AD526" s="32">
        <f t="shared" si="166"/>
        <v>0</v>
      </c>
      <c r="AE526" s="32">
        <f t="shared" si="167"/>
        <v>0</v>
      </c>
      <c r="AF526" s="32">
        <f t="shared" si="168"/>
        <v>0</v>
      </c>
      <c r="AG526" s="32">
        <f t="shared" si="169"/>
        <v>0</v>
      </c>
      <c r="AH526" s="32">
        <f t="shared" si="170"/>
        <v>0</v>
      </c>
      <c r="AI526" s="12" t="s">
        <v>55</v>
      </c>
      <c r="AJ526" s="32">
        <f t="shared" si="171"/>
        <v>0</v>
      </c>
      <c r="AK526" s="32">
        <f t="shared" si="172"/>
        <v>0</v>
      </c>
      <c r="AL526" s="32">
        <f t="shared" si="173"/>
        <v>0</v>
      </c>
      <c r="AN526" s="32">
        <v>21</v>
      </c>
      <c r="AO526" s="32">
        <f>H526*0</f>
        <v>0</v>
      </c>
      <c r="AP526" s="32">
        <f>H526*(1-0)</f>
        <v>0</v>
      </c>
      <c r="AQ526" s="36" t="s">
        <v>58</v>
      </c>
      <c r="AV526" s="32">
        <f t="shared" si="174"/>
        <v>0</v>
      </c>
      <c r="AW526" s="32">
        <f t="shared" si="175"/>
        <v>0</v>
      </c>
      <c r="AX526" s="32">
        <f t="shared" si="176"/>
        <v>0</v>
      </c>
      <c r="AY526" s="36" t="s">
        <v>1122</v>
      </c>
      <c r="AZ526" s="36" t="s">
        <v>1048</v>
      </c>
      <c r="BA526" s="12" t="s">
        <v>65</v>
      </c>
      <c r="BC526" s="32">
        <f t="shared" si="177"/>
        <v>0</v>
      </c>
      <c r="BD526" s="32">
        <f t="shared" si="178"/>
        <v>0</v>
      </c>
      <c r="BE526" s="32">
        <v>0</v>
      </c>
      <c r="BF526" s="32">
        <f t="shared" si="179"/>
        <v>0</v>
      </c>
      <c r="BH526" s="32">
        <f t="shared" si="180"/>
        <v>0</v>
      </c>
      <c r="BI526" s="32">
        <f t="shared" si="181"/>
        <v>0</v>
      </c>
      <c r="BJ526" s="32">
        <f t="shared" si="182"/>
        <v>0</v>
      </c>
      <c r="BK526" s="36" t="s">
        <v>66</v>
      </c>
      <c r="BL526" s="32">
        <v>96</v>
      </c>
      <c r="BW526" s="32">
        <f t="shared" si="183"/>
        <v>21</v>
      </c>
      <c r="BX526" s="4" t="s">
        <v>1141</v>
      </c>
    </row>
    <row r="527" spans="1:76" x14ac:dyDescent="0.25">
      <c r="A527" s="2" t="s">
        <v>1142</v>
      </c>
      <c r="B527" s="3" t="s">
        <v>55</v>
      </c>
      <c r="C527" s="3" t="s">
        <v>1143</v>
      </c>
      <c r="D527" s="89" t="s">
        <v>1144</v>
      </c>
      <c r="E527" s="90"/>
      <c r="F527" s="3" t="s">
        <v>88</v>
      </c>
      <c r="G527" s="32">
        <v>1</v>
      </c>
      <c r="H527" s="199">
        <v>0</v>
      </c>
      <c r="I527" s="33">
        <v>21</v>
      </c>
      <c r="J527" s="32">
        <f t="shared" si="158"/>
        <v>0</v>
      </c>
      <c r="K527" s="32">
        <f t="shared" si="159"/>
        <v>0</v>
      </c>
      <c r="L527" s="32">
        <f t="shared" si="160"/>
        <v>0</v>
      </c>
      <c r="M527" s="32">
        <f t="shared" si="161"/>
        <v>0</v>
      </c>
      <c r="N527" s="34">
        <f>IF(L649=0,0,L527/L649)</f>
        <v>0</v>
      </c>
      <c r="O527" s="32">
        <v>6.4000000000000001E-2</v>
      </c>
      <c r="P527" s="32">
        <f t="shared" si="162"/>
        <v>6.4000000000000001E-2</v>
      </c>
      <c r="Q527" s="35" t="s">
        <v>55</v>
      </c>
      <c r="Z527" s="32">
        <f t="shared" si="163"/>
        <v>0</v>
      </c>
      <c r="AB527" s="32">
        <f t="shared" si="164"/>
        <v>0</v>
      </c>
      <c r="AC527" s="32">
        <f t="shared" si="165"/>
        <v>0</v>
      </c>
      <c r="AD527" s="32">
        <f t="shared" si="166"/>
        <v>0</v>
      </c>
      <c r="AE527" s="32">
        <f t="shared" si="167"/>
        <v>0</v>
      </c>
      <c r="AF527" s="32">
        <f t="shared" si="168"/>
        <v>0</v>
      </c>
      <c r="AG527" s="32">
        <f t="shared" si="169"/>
        <v>0</v>
      </c>
      <c r="AH527" s="32">
        <f t="shared" si="170"/>
        <v>0</v>
      </c>
      <c r="AI527" s="12" t="s">
        <v>55</v>
      </c>
      <c r="AJ527" s="32">
        <f t="shared" si="171"/>
        <v>0</v>
      </c>
      <c r="AK527" s="32">
        <f t="shared" si="172"/>
        <v>0</v>
      </c>
      <c r="AL527" s="32">
        <f t="shared" si="173"/>
        <v>0</v>
      </c>
      <c r="AN527" s="32">
        <v>21</v>
      </c>
      <c r="AO527" s="32">
        <f>H527*0.067539134</f>
        <v>0</v>
      </c>
      <c r="AP527" s="32">
        <f>H527*(1-0.067539134)</f>
        <v>0</v>
      </c>
      <c r="AQ527" s="36" t="s">
        <v>58</v>
      </c>
      <c r="AV527" s="32">
        <f t="shared" si="174"/>
        <v>0</v>
      </c>
      <c r="AW527" s="32">
        <f t="shared" si="175"/>
        <v>0</v>
      </c>
      <c r="AX527" s="32">
        <f t="shared" si="176"/>
        <v>0</v>
      </c>
      <c r="AY527" s="36" t="s">
        <v>1122</v>
      </c>
      <c r="AZ527" s="36" t="s">
        <v>1048</v>
      </c>
      <c r="BA527" s="12" t="s">
        <v>65</v>
      </c>
      <c r="BC527" s="32">
        <f t="shared" si="177"/>
        <v>0</v>
      </c>
      <c r="BD527" s="32">
        <f t="shared" si="178"/>
        <v>0</v>
      </c>
      <c r="BE527" s="32">
        <v>0</v>
      </c>
      <c r="BF527" s="32">
        <f t="shared" si="179"/>
        <v>6.4000000000000001E-2</v>
      </c>
      <c r="BH527" s="32">
        <f t="shared" si="180"/>
        <v>0</v>
      </c>
      <c r="BI527" s="32">
        <f t="shared" si="181"/>
        <v>0</v>
      </c>
      <c r="BJ527" s="32">
        <f t="shared" si="182"/>
        <v>0</v>
      </c>
      <c r="BK527" s="36" t="s">
        <v>66</v>
      </c>
      <c r="BL527" s="32">
        <v>96</v>
      </c>
      <c r="BW527" s="32">
        <f t="shared" si="183"/>
        <v>21</v>
      </c>
      <c r="BX527" s="4" t="s">
        <v>1144</v>
      </c>
    </row>
    <row r="528" spans="1:76" x14ac:dyDescent="0.25">
      <c r="A528" s="2" t="s">
        <v>1145</v>
      </c>
      <c r="B528" s="3" t="s">
        <v>55</v>
      </c>
      <c r="C528" s="3" t="s">
        <v>1146</v>
      </c>
      <c r="D528" s="89" t="s">
        <v>1147</v>
      </c>
      <c r="E528" s="90"/>
      <c r="F528" s="3" t="s">
        <v>76</v>
      </c>
      <c r="G528" s="32">
        <v>60.95</v>
      </c>
      <c r="H528" s="199">
        <v>0</v>
      </c>
      <c r="I528" s="33">
        <v>21</v>
      </c>
      <c r="J528" s="32">
        <f t="shared" si="158"/>
        <v>0</v>
      </c>
      <c r="K528" s="32">
        <f t="shared" si="159"/>
        <v>0</v>
      </c>
      <c r="L528" s="32">
        <f t="shared" si="160"/>
        <v>0</v>
      </c>
      <c r="M528" s="32">
        <f t="shared" si="161"/>
        <v>0</v>
      </c>
      <c r="N528" s="34">
        <f>IF(L649=0,0,L528/L649)</f>
        <v>0</v>
      </c>
      <c r="O528" s="32">
        <v>0.02</v>
      </c>
      <c r="P528" s="32">
        <f t="shared" si="162"/>
        <v>1.2190000000000001</v>
      </c>
      <c r="Q528" s="35" t="s">
        <v>77</v>
      </c>
      <c r="Z528" s="32">
        <f t="shared" si="163"/>
        <v>0</v>
      </c>
      <c r="AB528" s="32">
        <f t="shared" si="164"/>
        <v>0</v>
      </c>
      <c r="AC528" s="32">
        <f t="shared" si="165"/>
        <v>0</v>
      </c>
      <c r="AD528" s="32">
        <f t="shared" si="166"/>
        <v>0</v>
      </c>
      <c r="AE528" s="32">
        <f t="shared" si="167"/>
        <v>0</v>
      </c>
      <c r="AF528" s="32">
        <f t="shared" si="168"/>
        <v>0</v>
      </c>
      <c r="AG528" s="32">
        <f t="shared" si="169"/>
        <v>0</v>
      </c>
      <c r="AH528" s="32">
        <f t="shared" si="170"/>
        <v>0</v>
      </c>
      <c r="AI528" s="12" t="s">
        <v>55</v>
      </c>
      <c r="AJ528" s="32">
        <f t="shared" si="171"/>
        <v>0</v>
      </c>
      <c r="AK528" s="32">
        <f t="shared" si="172"/>
        <v>0</v>
      </c>
      <c r="AL528" s="32">
        <f t="shared" si="173"/>
        <v>0</v>
      </c>
      <c r="AN528" s="32">
        <v>21</v>
      </c>
      <c r="AO528" s="32">
        <f>H528*0</f>
        <v>0</v>
      </c>
      <c r="AP528" s="32">
        <f>H528*(1-0)</f>
        <v>0</v>
      </c>
      <c r="AQ528" s="36" t="s">
        <v>58</v>
      </c>
      <c r="AV528" s="32">
        <f t="shared" si="174"/>
        <v>0</v>
      </c>
      <c r="AW528" s="32">
        <f t="shared" si="175"/>
        <v>0</v>
      </c>
      <c r="AX528" s="32">
        <f t="shared" si="176"/>
        <v>0</v>
      </c>
      <c r="AY528" s="36" t="s">
        <v>1122</v>
      </c>
      <c r="AZ528" s="36" t="s">
        <v>1048</v>
      </c>
      <c r="BA528" s="12" t="s">
        <v>65</v>
      </c>
      <c r="BC528" s="32">
        <f t="shared" si="177"/>
        <v>0</v>
      </c>
      <c r="BD528" s="32">
        <f t="shared" si="178"/>
        <v>0</v>
      </c>
      <c r="BE528" s="32">
        <v>0</v>
      </c>
      <c r="BF528" s="32">
        <f t="shared" si="179"/>
        <v>1.2190000000000001</v>
      </c>
      <c r="BH528" s="32">
        <f t="shared" si="180"/>
        <v>0</v>
      </c>
      <c r="BI528" s="32">
        <f t="shared" si="181"/>
        <v>0</v>
      </c>
      <c r="BJ528" s="32">
        <f t="shared" si="182"/>
        <v>0</v>
      </c>
      <c r="BK528" s="36" t="s">
        <v>66</v>
      </c>
      <c r="BL528" s="32">
        <v>96</v>
      </c>
      <c r="BW528" s="32">
        <f t="shared" si="183"/>
        <v>21</v>
      </c>
      <c r="BX528" s="4" t="s">
        <v>1147</v>
      </c>
    </row>
    <row r="529" spans="1:76" x14ac:dyDescent="0.25">
      <c r="A529" s="2" t="s">
        <v>1148</v>
      </c>
      <c r="B529" s="3" t="s">
        <v>55</v>
      </c>
      <c r="C529" s="3" t="s">
        <v>1149</v>
      </c>
      <c r="D529" s="89" t="s">
        <v>1150</v>
      </c>
      <c r="E529" s="90"/>
      <c r="F529" s="3" t="s">
        <v>76</v>
      </c>
      <c r="G529" s="32">
        <v>21.27</v>
      </c>
      <c r="H529" s="199">
        <v>0</v>
      </c>
      <c r="I529" s="33">
        <v>21</v>
      </c>
      <c r="J529" s="32">
        <f t="shared" si="158"/>
        <v>0</v>
      </c>
      <c r="K529" s="32">
        <f t="shared" si="159"/>
        <v>0</v>
      </c>
      <c r="L529" s="32">
        <f t="shared" si="160"/>
        <v>0</v>
      </c>
      <c r="M529" s="32">
        <f t="shared" si="161"/>
        <v>0</v>
      </c>
      <c r="N529" s="34">
        <f>IF(L649=0,0,L529/L649)</f>
        <v>0</v>
      </c>
      <c r="O529" s="32">
        <v>6.8000000000000005E-2</v>
      </c>
      <c r="P529" s="32">
        <f t="shared" si="162"/>
        <v>1.4463600000000001</v>
      </c>
      <c r="Q529" s="35" t="s">
        <v>77</v>
      </c>
      <c r="Z529" s="32">
        <f t="shared" si="163"/>
        <v>0</v>
      </c>
      <c r="AB529" s="32">
        <f t="shared" si="164"/>
        <v>0</v>
      </c>
      <c r="AC529" s="32">
        <f t="shared" si="165"/>
        <v>0</v>
      </c>
      <c r="AD529" s="32">
        <f t="shared" si="166"/>
        <v>0</v>
      </c>
      <c r="AE529" s="32">
        <f t="shared" si="167"/>
        <v>0</v>
      </c>
      <c r="AF529" s="32">
        <f t="shared" si="168"/>
        <v>0</v>
      </c>
      <c r="AG529" s="32">
        <f t="shared" si="169"/>
        <v>0</v>
      </c>
      <c r="AH529" s="32">
        <f t="shared" si="170"/>
        <v>0</v>
      </c>
      <c r="AI529" s="12" t="s">
        <v>55</v>
      </c>
      <c r="AJ529" s="32">
        <f t="shared" si="171"/>
        <v>0</v>
      </c>
      <c r="AK529" s="32">
        <f t="shared" si="172"/>
        <v>0</v>
      </c>
      <c r="AL529" s="32">
        <f t="shared" si="173"/>
        <v>0</v>
      </c>
      <c r="AN529" s="32">
        <v>21</v>
      </c>
      <c r="AO529" s="32">
        <f>H529*0</f>
        <v>0</v>
      </c>
      <c r="AP529" s="32">
        <f>H529*(1-0)</f>
        <v>0</v>
      </c>
      <c r="AQ529" s="36" t="s">
        <v>58</v>
      </c>
      <c r="AV529" s="32">
        <f t="shared" si="174"/>
        <v>0</v>
      </c>
      <c r="AW529" s="32">
        <f t="shared" si="175"/>
        <v>0</v>
      </c>
      <c r="AX529" s="32">
        <f t="shared" si="176"/>
        <v>0</v>
      </c>
      <c r="AY529" s="36" t="s">
        <v>1122</v>
      </c>
      <c r="AZ529" s="36" t="s">
        <v>1048</v>
      </c>
      <c r="BA529" s="12" t="s">
        <v>65</v>
      </c>
      <c r="BC529" s="32">
        <f t="shared" si="177"/>
        <v>0</v>
      </c>
      <c r="BD529" s="32">
        <f t="shared" si="178"/>
        <v>0</v>
      </c>
      <c r="BE529" s="32">
        <v>0</v>
      </c>
      <c r="BF529" s="32">
        <f t="shared" si="179"/>
        <v>1.4463600000000001</v>
      </c>
      <c r="BH529" s="32">
        <f t="shared" si="180"/>
        <v>0</v>
      </c>
      <c r="BI529" s="32">
        <f t="shared" si="181"/>
        <v>0</v>
      </c>
      <c r="BJ529" s="32">
        <f t="shared" si="182"/>
        <v>0</v>
      </c>
      <c r="BK529" s="36" t="s">
        <v>66</v>
      </c>
      <c r="BL529" s="32">
        <v>96</v>
      </c>
      <c r="BW529" s="32">
        <f t="shared" si="183"/>
        <v>21</v>
      </c>
      <c r="BX529" s="4" t="s">
        <v>1150</v>
      </c>
    </row>
    <row r="530" spans="1:76" x14ac:dyDescent="0.25">
      <c r="A530" s="2" t="s">
        <v>1151</v>
      </c>
      <c r="B530" s="3" t="s">
        <v>55</v>
      </c>
      <c r="C530" s="3" t="s">
        <v>1152</v>
      </c>
      <c r="D530" s="89" t="s">
        <v>1153</v>
      </c>
      <c r="E530" s="90"/>
      <c r="F530" s="3" t="s">
        <v>76</v>
      </c>
      <c r="G530" s="32">
        <v>63.8</v>
      </c>
      <c r="H530" s="199">
        <v>0</v>
      </c>
      <c r="I530" s="33">
        <v>21</v>
      </c>
      <c r="J530" s="32">
        <f t="shared" si="158"/>
        <v>0</v>
      </c>
      <c r="K530" s="32">
        <f t="shared" si="159"/>
        <v>0</v>
      </c>
      <c r="L530" s="32">
        <f t="shared" si="160"/>
        <v>0</v>
      </c>
      <c r="M530" s="32">
        <f t="shared" si="161"/>
        <v>0</v>
      </c>
      <c r="N530" s="34">
        <f>IF(L649=0,0,L530/L649)</f>
        <v>0</v>
      </c>
      <c r="O530" s="32">
        <v>0.11</v>
      </c>
      <c r="P530" s="32">
        <f t="shared" si="162"/>
        <v>7.0179999999999998</v>
      </c>
      <c r="Q530" s="35" t="s">
        <v>77</v>
      </c>
      <c r="Z530" s="32">
        <f t="shared" si="163"/>
        <v>0</v>
      </c>
      <c r="AB530" s="32">
        <f t="shared" si="164"/>
        <v>0</v>
      </c>
      <c r="AC530" s="32">
        <f t="shared" si="165"/>
        <v>0</v>
      </c>
      <c r="AD530" s="32">
        <f t="shared" si="166"/>
        <v>0</v>
      </c>
      <c r="AE530" s="32">
        <f t="shared" si="167"/>
        <v>0</v>
      </c>
      <c r="AF530" s="32">
        <f t="shared" si="168"/>
        <v>0</v>
      </c>
      <c r="AG530" s="32">
        <f t="shared" si="169"/>
        <v>0</v>
      </c>
      <c r="AH530" s="32">
        <f t="shared" si="170"/>
        <v>0</v>
      </c>
      <c r="AI530" s="12" t="s">
        <v>55</v>
      </c>
      <c r="AJ530" s="32">
        <f t="shared" si="171"/>
        <v>0</v>
      </c>
      <c r="AK530" s="32">
        <f t="shared" si="172"/>
        <v>0</v>
      </c>
      <c r="AL530" s="32">
        <f t="shared" si="173"/>
        <v>0</v>
      </c>
      <c r="AN530" s="32">
        <v>21</v>
      </c>
      <c r="AO530" s="32">
        <f>H530*0</f>
        <v>0</v>
      </c>
      <c r="AP530" s="32">
        <f>H530*(1-0)</f>
        <v>0</v>
      </c>
      <c r="AQ530" s="36" t="s">
        <v>58</v>
      </c>
      <c r="AV530" s="32">
        <f t="shared" si="174"/>
        <v>0</v>
      </c>
      <c r="AW530" s="32">
        <f t="shared" si="175"/>
        <v>0</v>
      </c>
      <c r="AX530" s="32">
        <f t="shared" si="176"/>
        <v>0</v>
      </c>
      <c r="AY530" s="36" t="s">
        <v>1122</v>
      </c>
      <c r="AZ530" s="36" t="s">
        <v>1048</v>
      </c>
      <c r="BA530" s="12" t="s">
        <v>65</v>
      </c>
      <c r="BC530" s="32">
        <f t="shared" si="177"/>
        <v>0</v>
      </c>
      <c r="BD530" s="32">
        <f t="shared" si="178"/>
        <v>0</v>
      </c>
      <c r="BE530" s="32">
        <v>0</v>
      </c>
      <c r="BF530" s="32">
        <f t="shared" si="179"/>
        <v>7.0179999999999998</v>
      </c>
      <c r="BH530" s="32">
        <f t="shared" si="180"/>
        <v>0</v>
      </c>
      <c r="BI530" s="32">
        <f t="shared" si="181"/>
        <v>0</v>
      </c>
      <c r="BJ530" s="32">
        <f t="shared" si="182"/>
        <v>0</v>
      </c>
      <c r="BK530" s="36" t="s">
        <v>66</v>
      </c>
      <c r="BL530" s="32">
        <v>96</v>
      </c>
      <c r="BW530" s="32">
        <f t="shared" si="183"/>
        <v>21</v>
      </c>
      <c r="BX530" s="4" t="s">
        <v>1153</v>
      </c>
    </row>
    <row r="531" spans="1:76" ht="13.5" customHeight="1" x14ac:dyDescent="0.25">
      <c r="A531" s="42"/>
      <c r="C531" s="43"/>
      <c r="D531" s="95" t="s">
        <v>1154</v>
      </c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7"/>
    </row>
    <row r="532" spans="1:76" x14ac:dyDescent="0.25">
      <c r="A532" s="2" t="s">
        <v>1155</v>
      </c>
      <c r="B532" s="3" t="s">
        <v>55</v>
      </c>
      <c r="C532" s="3" t="s">
        <v>1156</v>
      </c>
      <c r="D532" s="89" t="s">
        <v>1157</v>
      </c>
      <c r="E532" s="90"/>
      <c r="F532" s="3" t="s">
        <v>76</v>
      </c>
      <c r="G532" s="32">
        <v>63.8</v>
      </c>
      <c r="H532" s="199">
        <v>0</v>
      </c>
      <c r="I532" s="33">
        <v>21</v>
      </c>
      <c r="J532" s="32">
        <f>ROUND(G532*AO532,2)</f>
        <v>0</v>
      </c>
      <c r="K532" s="32">
        <f>ROUND(G532*AP532,2)</f>
        <v>0</v>
      </c>
      <c r="L532" s="32">
        <f>ROUND(G532*H532,2)</f>
        <v>0</v>
      </c>
      <c r="M532" s="32">
        <f>L532*(1+BW532/100)</f>
        <v>0</v>
      </c>
      <c r="N532" s="34">
        <f>IF(L649=0,0,L532/L649)</f>
        <v>0</v>
      </c>
      <c r="O532" s="32">
        <v>0</v>
      </c>
      <c r="P532" s="32">
        <f>G532*O532</f>
        <v>0</v>
      </c>
      <c r="Q532" s="35"/>
      <c r="Z532" s="32">
        <f>ROUND(IF(AQ532="5",BJ532,0),2)</f>
        <v>0</v>
      </c>
      <c r="AB532" s="32">
        <f>ROUND(IF(AQ532="1",BH532,0),2)</f>
        <v>0</v>
      </c>
      <c r="AC532" s="32">
        <f>ROUND(IF(AQ532="1",BI532,0),2)</f>
        <v>0</v>
      </c>
      <c r="AD532" s="32">
        <f>ROUND(IF(AQ532="7",BH532,0),2)</f>
        <v>0</v>
      </c>
      <c r="AE532" s="32">
        <f>ROUND(IF(AQ532="7",BI532,0),2)</f>
        <v>0</v>
      </c>
      <c r="AF532" s="32">
        <f>ROUND(IF(AQ532="2",BH532,0),2)</f>
        <v>0</v>
      </c>
      <c r="AG532" s="32">
        <f>ROUND(IF(AQ532="2",BI532,0),2)</f>
        <v>0</v>
      </c>
      <c r="AH532" s="32">
        <f>ROUND(IF(AQ532="0",BJ532,0),2)</f>
        <v>0</v>
      </c>
      <c r="AI532" s="12" t="s">
        <v>55</v>
      </c>
      <c r="AJ532" s="32">
        <f>IF(AN532=0,L532,0)</f>
        <v>0</v>
      </c>
      <c r="AK532" s="32">
        <f>IF(AN532=12,L532,0)</f>
        <v>0</v>
      </c>
      <c r="AL532" s="32">
        <f>IF(AN532=21,L532,0)</f>
        <v>0</v>
      </c>
      <c r="AN532" s="32">
        <v>21</v>
      </c>
      <c r="AO532" s="32">
        <f>H532*0</f>
        <v>0</v>
      </c>
      <c r="AP532" s="32">
        <f>H532*(1-0)</f>
        <v>0</v>
      </c>
      <c r="AQ532" s="36" t="s">
        <v>58</v>
      </c>
      <c r="AV532" s="32">
        <f>ROUND(AW532+AX532,2)</f>
        <v>0</v>
      </c>
      <c r="AW532" s="32">
        <f>ROUND(G532*AO532,2)</f>
        <v>0</v>
      </c>
      <c r="AX532" s="32">
        <f>ROUND(G532*AP532,2)</f>
        <v>0</v>
      </c>
      <c r="AY532" s="36" t="s">
        <v>1122</v>
      </c>
      <c r="AZ532" s="36" t="s">
        <v>1048</v>
      </c>
      <c r="BA532" s="12" t="s">
        <v>65</v>
      </c>
      <c r="BC532" s="32">
        <f>AW532+AX532</f>
        <v>0</v>
      </c>
      <c r="BD532" s="32">
        <f>H532/(100-BE532)*100</f>
        <v>0</v>
      </c>
      <c r="BE532" s="32">
        <v>0</v>
      </c>
      <c r="BF532" s="32">
        <f>P532</f>
        <v>0</v>
      </c>
      <c r="BH532" s="32">
        <f>G532*AO532</f>
        <v>0</v>
      </c>
      <c r="BI532" s="32">
        <f>G532*AP532</f>
        <v>0</v>
      </c>
      <c r="BJ532" s="32">
        <f>G532*H532</f>
        <v>0</v>
      </c>
      <c r="BK532" s="36" t="s">
        <v>66</v>
      </c>
      <c r="BL532" s="32">
        <v>96</v>
      </c>
      <c r="BW532" s="32">
        <f>I532</f>
        <v>21</v>
      </c>
      <c r="BX532" s="4" t="s">
        <v>1157</v>
      </c>
    </row>
    <row r="533" spans="1:76" x14ac:dyDescent="0.25">
      <c r="A533" s="2" t="s">
        <v>1158</v>
      </c>
      <c r="B533" s="3" t="s">
        <v>55</v>
      </c>
      <c r="C533" s="3" t="s">
        <v>1159</v>
      </c>
      <c r="D533" s="89" t="s">
        <v>1160</v>
      </c>
      <c r="E533" s="90"/>
      <c r="F533" s="3" t="s">
        <v>82</v>
      </c>
      <c r="G533" s="32">
        <v>0.16200000000000001</v>
      </c>
      <c r="H533" s="199">
        <v>0</v>
      </c>
      <c r="I533" s="33">
        <v>21</v>
      </c>
      <c r="J533" s="32">
        <f>ROUND(G533*AO533,2)</f>
        <v>0</v>
      </c>
      <c r="K533" s="32">
        <f>ROUND(G533*AP533,2)</f>
        <v>0</v>
      </c>
      <c r="L533" s="32">
        <f>ROUND(G533*H533,2)</f>
        <v>0</v>
      </c>
      <c r="M533" s="32">
        <f>L533*(1+BW533/100)</f>
        <v>0</v>
      </c>
      <c r="N533" s="34">
        <f>IF(L649=0,0,L533/L649)</f>
        <v>0</v>
      </c>
      <c r="O533" s="32">
        <v>0</v>
      </c>
      <c r="P533" s="32">
        <f>G533*O533</f>
        <v>0</v>
      </c>
      <c r="Q533" s="35" t="s">
        <v>77</v>
      </c>
      <c r="Z533" s="32">
        <f>ROUND(IF(AQ533="5",BJ533,0),2)</f>
        <v>0</v>
      </c>
      <c r="AB533" s="32">
        <f>ROUND(IF(AQ533="1",BH533,0),2)</f>
        <v>0</v>
      </c>
      <c r="AC533" s="32">
        <f>ROUND(IF(AQ533="1",BI533,0),2)</f>
        <v>0</v>
      </c>
      <c r="AD533" s="32">
        <f>ROUND(IF(AQ533="7",BH533,0),2)</f>
        <v>0</v>
      </c>
      <c r="AE533" s="32">
        <f>ROUND(IF(AQ533="7",BI533,0),2)</f>
        <v>0</v>
      </c>
      <c r="AF533" s="32">
        <f>ROUND(IF(AQ533="2",BH533,0),2)</f>
        <v>0</v>
      </c>
      <c r="AG533" s="32">
        <f>ROUND(IF(AQ533="2",BI533,0),2)</f>
        <v>0</v>
      </c>
      <c r="AH533" s="32">
        <f>ROUND(IF(AQ533="0",BJ533,0),2)</f>
        <v>0</v>
      </c>
      <c r="AI533" s="12" t="s">
        <v>55</v>
      </c>
      <c r="AJ533" s="32">
        <f>IF(AN533=0,L533,0)</f>
        <v>0</v>
      </c>
      <c r="AK533" s="32">
        <f>IF(AN533=12,L533,0)</f>
        <v>0</v>
      </c>
      <c r="AL533" s="32">
        <f>IF(AN533=21,L533,0)</f>
        <v>0</v>
      </c>
      <c r="AN533" s="32">
        <v>21</v>
      </c>
      <c r="AO533" s="32">
        <f>H533*0</f>
        <v>0</v>
      </c>
      <c r="AP533" s="32">
        <f>H533*(1-0)</f>
        <v>0</v>
      </c>
      <c r="AQ533" s="36" t="s">
        <v>67</v>
      </c>
      <c r="AV533" s="32">
        <f>ROUND(AW533+AX533,2)</f>
        <v>0</v>
      </c>
      <c r="AW533" s="32">
        <f>ROUND(G533*AO533,2)</f>
        <v>0</v>
      </c>
      <c r="AX533" s="32">
        <f>ROUND(G533*AP533,2)</f>
        <v>0</v>
      </c>
      <c r="AY533" s="36" t="s">
        <v>1122</v>
      </c>
      <c r="AZ533" s="36" t="s">
        <v>1048</v>
      </c>
      <c r="BA533" s="12" t="s">
        <v>65</v>
      </c>
      <c r="BC533" s="32">
        <f>AW533+AX533</f>
        <v>0</v>
      </c>
      <c r="BD533" s="32">
        <f>H533/(100-BE533)*100</f>
        <v>0</v>
      </c>
      <c r="BE533" s="32">
        <v>0</v>
      </c>
      <c r="BF533" s="32">
        <f>P533</f>
        <v>0</v>
      </c>
      <c r="BH533" s="32">
        <f>G533*AO533</f>
        <v>0</v>
      </c>
      <c r="BI533" s="32">
        <f>G533*AP533</f>
        <v>0</v>
      </c>
      <c r="BJ533" s="32">
        <f>G533*H533</f>
        <v>0</v>
      </c>
      <c r="BK533" s="36" t="s">
        <v>66</v>
      </c>
      <c r="BL533" s="32">
        <v>96</v>
      </c>
      <c r="BW533" s="32">
        <f>I533</f>
        <v>21</v>
      </c>
      <c r="BX533" s="4" t="s">
        <v>1160</v>
      </c>
    </row>
    <row r="534" spans="1:76" ht="13.5" customHeight="1" x14ac:dyDescent="0.25">
      <c r="A534" s="42"/>
      <c r="C534" s="43"/>
      <c r="D534" s="95" t="s">
        <v>1161</v>
      </c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7"/>
    </row>
    <row r="535" spans="1:76" x14ac:dyDescent="0.25">
      <c r="A535" s="2" t="s">
        <v>1162</v>
      </c>
      <c r="B535" s="3" t="s">
        <v>55</v>
      </c>
      <c r="C535" s="3" t="s">
        <v>1163</v>
      </c>
      <c r="D535" s="89" t="s">
        <v>1164</v>
      </c>
      <c r="E535" s="90"/>
      <c r="F535" s="3" t="s">
        <v>136</v>
      </c>
      <c r="G535" s="32">
        <v>7.2</v>
      </c>
      <c r="H535" s="199">
        <v>0</v>
      </c>
      <c r="I535" s="33">
        <v>21</v>
      </c>
      <c r="J535" s="32">
        <f>ROUND(G535*AO535,2)</f>
        <v>0</v>
      </c>
      <c r="K535" s="32">
        <f>ROUND(G535*AP535,2)</f>
        <v>0</v>
      </c>
      <c r="L535" s="32">
        <f>ROUND(G535*H535,2)</f>
        <v>0</v>
      </c>
      <c r="M535" s="32">
        <f>L535*(1+BW535/100)</f>
        <v>0</v>
      </c>
      <c r="N535" s="34">
        <f>IF(L649=0,0,L535/L649)</f>
        <v>0</v>
      </c>
      <c r="O535" s="32">
        <v>1.0527299999999999</v>
      </c>
      <c r="P535" s="32">
        <f>G535*O535</f>
        <v>7.5796559999999999</v>
      </c>
      <c r="Q535" s="35" t="s">
        <v>77</v>
      </c>
      <c r="Z535" s="32">
        <f>ROUND(IF(AQ535="5",BJ535,0),2)</f>
        <v>0</v>
      </c>
      <c r="AB535" s="32">
        <f>ROUND(IF(AQ535="1",BH535,0),2)</f>
        <v>0</v>
      </c>
      <c r="AC535" s="32">
        <f>ROUND(IF(AQ535="1",BI535,0),2)</f>
        <v>0</v>
      </c>
      <c r="AD535" s="32">
        <f>ROUND(IF(AQ535="7",BH535,0),2)</f>
        <v>0</v>
      </c>
      <c r="AE535" s="32">
        <f>ROUND(IF(AQ535="7",BI535,0),2)</f>
        <v>0</v>
      </c>
      <c r="AF535" s="32">
        <f>ROUND(IF(AQ535="2",BH535,0),2)</f>
        <v>0</v>
      </c>
      <c r="AG535" s="32">
        <f>ROUND(IF(AQ535="2",BI535,0),2)</f>
        <v>0</v>
      </c>
      <c r="AH535" s="32">
        <f>ROUND(IF(AQ535="0",BJ535,0),2)</f>
        <v>0</v>
      </c>
      <c r="AI535" s="12" t="s">
        <v>55</v>
      </c>
      <c r="AJ535" s="32">
        <f>IF(AN535=0,L535,0)</f>
        <v>0</v>
      </c>
      <c r="AK535" s="32">
        <f>IF(AN535=12,L535,0)</f>
        <v>0</v>
      </c>
      <c r="AL535" s="32">
        <f>IF(AN535=21,L535,0)</f>
        <v>0</v>
      </c>
      <c r="AN535" s="32">
        <v>21</v>
      </c>
      <c r="AO535" s="32">
        <f>H535*0</f>
        <v>0</v>
      </c>
      <c r="AP535" s="32">
        <f>H535*(1-0)</f>
        <v>0</v>
      </c>
      <c r="AQ535" s="36" t="s">
        <v>58</v>
      </c>
      <c r="AV535" s="32">
        <f>ROUND(AW535+AX535,2)</f>
        <v>0</v>
      </c>
      <c r="AW535" s="32">
        <f>ROUND(G535*AO535,2)</f>
        <v>0</v>
      </c>
      <c r="AX535" s="32">
        <f>ROUND(G535*AP535,2)</f>
        <v>0</v>
      </c>
      <c r="AY535" s="36" t="s">
        <v>1122</v>
      </c>
      <c r="AZ535" s="36" t="s">
        <v>1048</v>
      </c>
      <c r="BA535" s="12" t="s">
        <v>65</v>
      </c>
      <c r="BC535" s="32">
        <f>AW535+AX535</f>
        <v>0</v>
      </c>
      <c r="BD535" s="32">
        <f>H535/(100-BE535)*100</f>
        <v>0</v>
      </c>
      <c r="BE535" s="32">
        <v>0</v>
      </c>
      <c r="BF535" s="32">
        <f>P535</f>
        <v>7.5796559999999999</v>
      </c>
      <c r="BH535" s="32">
        <f>G535*AO535</f>
        <v>0</v>
      </c>
      <c r="BI535" s="32">
        <f>G535*AP535</f>
        <v>0</v>
      </c>
      <c r="BJ535" s="32">
        <f>G535*H535</f>
        <v>0</v>
      </c>
      <c r="BK535" s="36" t="s">
        <v>66</v>
      </c>
      <c r="BL535" s="32">
        <v>96</v>
      </c>
      <c r="BW535" s="32">
        <f>I535</f>
        <v>21</v>
      </c>
      <c r="BX535" s="4" t="s">
        <v>1164</v>
      </c>
    </row>
    <row r="536" spans="1:76" x14ac:dyDescent="0.25">
      <c r="A536" s="2" t="s">
        <v>1165</v>
      </c>
      <c r="B536" s="3" t="s">
        <v>55</v>
      </c>
      <c r="C536" s="3" t="s">
        <v>1166</v>
      </c>
      <c r="D536" s="89" t="s">
        <v>1167</v>
      </c>
      <c r="E536" s="90"/>
      <c r="F536" s="3" t="s">
        <v>76</v>
      </c>
      <c r="G536" s="32">
        <v>5.3</v>
      </c>
      <c r="H536" s="199">
        <v>0</v>
      </c>
      <c r="I536" s="33">
        <v>21</v>
      </c>
      <c r="J536" s="32">
        <f>ROUND(G536*AO536,2)</f>
        <v>0</v>
      </c>
      <c r="K536" s="32">
        <f>ROUND(G536*AP536,2)</f>
        <v>0</v>
      </c>
      <c r="L536" s="32">
        <f>ROUND(G536*H536,2)</f>
        <v>0</v>
      </c>
      <c r="M536" s="32">
        <f>L536*(1+BW536/100)</f>
        <v>0</v>
      </c>
      <c r="N536" s="34">
        <f>IF(L649=0,0,L536/L649)</f>
        <v>0</v>
      </c>
      <c r="O536" s="32">
        <v>4.7919999999999997E-2</v>
      </c>
      <c r="P536" s="32">
        <f>G536*O536</f>
        <v>0.25397599999999998</v>
      </c>
      <c r="Q536" s="35" t="s">
        <v>77</v>
      </c>
      <c r="Z536" s="32">
        <f>ROUND(IF(AQ536="5",BJ536,0),2)</f>
        <v>0</v>
      </c>
      <c r="AB536" s="32">
        <f>ROUND(IF(AQ536="1",BH536,0),2)</f>
        <v>0</v>
      </c>
      <c r="AC536" s="32">
        <f>ROUND(IF(AQ536="1",BI536,0),2)</f>
        <v>0</v>
      </c>
      <c r="AD536" s="32">
        <f>ROUND(IF(AQ536="7",BH536,0),2)</f>
        <v>0</v>
      </c>
      <c r="AE536" s="32">
        <f>ROUND(IF(AQ536="7",BI536,0),2)</f>
        <v>0</v>
      </c>
      <c r="AF536" s="32">
        <f>ROUND(IF(AQ536="2",BH536,0),2)</f>
        <v>0</v>
      </c>
      <c r="AG536" s="32">
        <f>ROUND(IF(AQ536="2",BI536,0),2)</f>
        <v>0</v>
      </c>
      <c r="AH536" s="32">
        <f>ROUND(IF(AQ536="0",BJ536,0),2)</f>
        <v>0</v>
      </c>
      <c r="AI536" s="12" t="s">
        <v>55</v>
      </c>
      <c r="AJ536" s="32">
        <f>IF(AN536=0,L536,0)</f>
        <v>0</v>
      </c>
      <c r="AK536" s="32">
        <f>IF(AN536=12,L536,0)</f>
        <v>0</v>
      </c>
      <c r="AL536" s="32">
        <f>IF(AN536=21,L536,0)</f>
        <v>0</v>
      </c>
      <c r="AN536" s="32">
        <v>21</v>
      </c>
      <c r="AO536" s="32">
        <f>H536*0.11884775</f>
        <v>0</v>
      </c>
      <c r="AP536" s="32">
        <f>H536*(1-0.11884775)</f>
        <v>0</v>
      </c>
      <c r="AQ536" s="36" t="s">
        <v>58</v>
      </c>
      <c r="AV536" s="32">
        <f>ROUND(AW536+AX536,2)</f>
        <v>0</v>
      </c>
      <c r="AW536" s="32">
        <f>ROUND(G536*AO536,2)</f>
        <v>0</v>
      </c>
      <c r="AX536" s="32">
        <f>ROUND(G536*AP536,2)</f>
        <v>0</v>
      </c>
      <c r="AY536" s="36" t="s">
        <v>1122</v>
      </c>
      <c r="AZ536" s="36" t="s">
        <v>1048</v>
      </c>
      <c r="BA536" s="12" t="s">
        <v>65</v>
      </c>
      <c r="BC536" s="32">
        <f>AW536+AX536</f>
        <v>0</v>
      </c>
      <c r="BD536" s="32">
        <f>H536/(100-BE536)*100</f>
        <v>0</v>
      </c>
      <c r="BE536" s="32">
        <v>0</v>
      </c>
      <c r="BF536" s="32">
        <f>P536</f>
        <v>0.25397599999999998</v>
      </c>
      <c r="BH536" s="32">
        <f>G536*AO536</f>
        <v>0</v>
      </c>
      <c r="BI536" s="32">
        <f>G536*AP536</f>
        <v>0</v>
      </c>
      <c r="BJ536" s="32">
        <f>G536*H536</f>
        <v>0</v>
      </c>
      <c r="BK536" s="36" t="s">
        <v>66</v>
      </c>
      <c r="BL536" s="32">
        <v>96</v>
      </c>
      <c r="BW536" s="32">
        <f>I536</f>
        <v>21</v>
      </c>
      <c r="BX536" s="4" t="s">
        <v>1167</v>
      </c>
    </row>
    <row r="537" spans="1:76" x14ac:dyDescent="0.25">
      <c r="A537" s="2" t="s">
        <v>1168</v>
      </c>
      <c r="B537" s="3" t="s">
        <v>55</v>
      </c>
      <c r="C537" s="3" t="s">
        <v>1169</v>
      </c>
      <c r="D537" s="89" t="s">
        <v>1170</v>
      </c>
      <c r="E537" s="90"/>
      <c r="F537" s="3" t="s">
        <v>76</v>
      </c>
      <c r="G537" s="32">
        <v>2.4</v>
      </c>
      <c r="H537" s="199">
        <v>0</v>
      </c>
      <c r="I537" s="33">
        <v>21</v>
      </c>
      <c r="J537" s="32">
        <f>ROUND(G537*AO537,2)</f>
        <v>0</v>
      </c>
      <c r="K537" s="32">
        <f>ROUND(G537*AP537,2)</f>
        <v>0</v>
      </c>
      <c r="L537" s="32">
        <f>ROUND(G537*H537,2)</f>
        <v>0</v>
      </c>
      <c r="M537" s="32">
        <f>L537*(1+BW537/100)</f>
        <v>0</v>
      </c>
      <c r="N537" s="34">
        <f>IF(L649=0,0,L537/L649)</f>
        <v>0</v>
      </c>
      <c r="O537" s="32">
        <v>4.2200000000000001E-2</v>
      </c>
      <c r="P537" s="32">
        <f>G537*O537</f>
        <v>0.10128</v>
      </c>
      <c r="Q537" s="35" t="s">
        <v>77</v>
      </c>
      <c r="Z537" s="32">
        <f>ROUND(IF(AQ537="5",BJ537,0),2)</f>
        <v>0</v>
      </c>
      <c r="AB537" s="32">
        <f>ROUND(IF(AQ537="1",BH537,0),2)</f>
        <v>0</v>
      </c>
      <c r="AC537" s="32">
        <f>ROUND(IF(AQ537="1",BI537,0),2)</f>
        <v>0</v>
      </c>
      <c r="AD537" s="32">
        <f>ROUND(IF(AQ537="7",BH537,0),2)</f>
        <v>0</v>
      </c>
      <c r="AE537" s="32">
        <f>ROUND(IF(AQ537="7",BI537,0),2)</f>
        <v>0</v>
      </c>
      <c r="AF537" s="32">
        <f>ROUND(IF(AQ537="2",BH537,0),2)</f>
        <v>0</v>
      </c>
      <c r="AG537" s="32">
        <f>ROUND(IF(AQ537="2",BI537,0),2)</f>
        <v>0</v>
      </c>
      <c r="AH537" s="32">
        <f>ROUND(IF(AQ537="0",BJ537,0),2)</f>
        <v>0</v>
      </c>
      <c r="AI537" s="12" t="s">
        <v>55</v>
      </c>
      <c r="AJ537" s="32">
        <f>IF(AN537=0,L537,0)</f>
        <v>0</v>
      </c>
      <c r="AK537" s="32">
        <f>IF(AN537=12,L537,0)</f>
        <v>0</v>
      </c>
      <c r="AL537" s="32">
        <f>IF(AN537=21,L537,0)</f>
        <v>0</v>
      </c>
      <c r="AN537" s="32">
        <v>21</v>
      </c>
      <c r="AO537" s="32">
        <f>H537*0.094071231</f>
        <v>0</v>
      </c>
      <c r="AP537" s="32">
        <f>H537*(1-0.094071231)</f>
        <v>0</v>
      </c>
      <c r="AQ537" s="36" t="s">
        <v>58</v>
      </c>
      <c r="AV537" s="32">
        <f>ROUND(AW537+AX537,2)</f>
        <v>0</v>
      </c>
      <c r="AW537" s="32">
        <f>ROUND(G537*AO537,2)</f>
        <v>0</v>
      </c>
      <c r="AX537" s="32">
        <f>ROUND(G537*AP537,2)</f>
        <v>0</v>
      </c>
      <c r="AY537" s="36" t="s">
        <v>1122</v>
      </c>
      <c r="AZ537" s="36" t="s">
        <v>1048</v>
      </c>
      <c r="BA537" s="12" t="s">
        <v>65</v>
      </c>
      <c r="BC537" s="32">
        <f>AW537+AX537</f>
        <v>0</v>
      </c>
      <c r="BD537" s="32">
        <f>H537/(100-BE537)*100</f>
        <v>0</v>
      </c>
      <c r="BE537" s="32">
        <v>0</v>
      </c>
      <c r="BF537" s="32">
        <f>P537</f>
        <v>0.10128</v>
      </c>
      <c r="BH537" s="32">
        <f>G537*AO537</f>
        <v>0</v>
      </c>
      <c r="BI537" s="32">
        <f>G537*AP537</f>
        <v>0</v>
      </c>
      <c r="BJ537" s="32">
        <f>G537*H537</f>
        <v>0</v>
      </c>
      <c r="BK537" s="36" t="s">
        <v>66</v>
      </c>
      <c r="BL537" s="32">
        <v>96</v>
      </c>
      <c r="BW537" s="32">
        <f>I537</f>
        <v>21</v>
      </c>
      <c r="BX537" s="4" t="s">
        <v>1170</v>
      </c>
    </row>
    <row r="538" spans="1:76" x14ac:dyDescent="0.25">
      <c r="A538" s="2" t="s">
        <v>1171</v>
      </c>
      <c r="B538" s="3" t="s">
        <v>55</v>
      </c>
      <c r="C538" s="3" t="s">
        <v>1044</v>
      </c>
      <c r="D538" s="89" t="s">
        <v>1172</v>
      </c>
      <c r="E538" s="90"/>
      <c r="F538" s="3" t="s">
        <v>1046</v>
      </c>
      <c r="G538" s="32">
        <v>30</v>
      </c>
      <c r="H538" s="199">
        <v>0</v>
      </c>
      <c r="I538" s="33">
        <v>21</v>
      </c>
      <c r="J538" s="32">
        <f>ROUND(G538*AO538,2)</f>
        <v>0</v>
      </c>
      <c r="K538" s="32">
        <f>ROUND(G538*AP538,2)</f>
        <v>0</v>
      </c>
      <c r="L538" s="32">
        <f>ROUND(G538*H538,2)</f>
        <v>0</v>
      </c>
      <c r="M538" s="32">
        <f>L538*(1+BW538/100)</f>
        <v>0</v>
      </c>
      <c r="N538" s="34">
        <f>IF(L649=0,0,L538/L649)</f>
        <v>0</v>
      </c>
      <c r="O538" s="32">
        <v>0</v>
      </c>
      <c r="P538" s="32">
        <f>G538*O538</f>
        <v>0</v>
      </c>
      <c r="Q538" s="35" t="s">
        <v>77</v>
      </c>
      <c r="Z538" s="32">
        <f>ROUND(IF(AQ538="5",BJ538,0),2)</f>
        <v>0</v>
      </c>
      <c r="AB538" s="32">
        <f>ROUND(IF(AQ538="1",BH538,0),2)</f>
        <v>0</v>
      </c>
      <c r="AC538" s="32">
        <f>ROUND(IF(AQ538="1",BI538,0),2)</f>
        <v>0</v>
      </c>
      <c r="AD538" s="32">
        <f>ROUND(IF(AQ538="7",BH538,0),2)</f>
        <v>0</v>
      </c>
      <c r="AE538" s="32">
        <f>ROUND(IF(AQ538="7",BI538,0),2)</f>
        <v>0</v>
      </c>
      <c r="AF538" s="32">
        <f>ROUND(IF(AQ538="2",BH538,0),2)</f>
        <v>0</v>
      </c>
      <c r="AG538" s="32">
        <f>ROUND(IF(AQ538="2",BI538,0),2)</f>
        <v>0</v>
      </c>
      <c r="AH538" s="32">
        <f>ROUND(IF(AQ538="0",BJ538,0),2)</f>
        <v>0</v>
      </c>
      <c r="AI538" s="12" t="s">
        <v>55</v>
      </c>
      <c r="AJ538" s="32">
        <f>IF(AN538=0,L538,0)</f>
        <v>0</v>
      </c>
      <c r="AK538" s="32">
        <f>IF(AN538=12,L538,0)</f>
        <v>0</v>
      </c>
      <c r="AL538" s="32">
        <f>IF(AN538=21,L538,0)</f>
        <v>0</v>
      </c>
      <c r="AN538" s="32">
        <v>21</v>
      </c>
      <c r="AO538" s="32">
        <f>H538*0</f>
        <v>0</v>
      </c>
      <c r="AP538" s="32">
        <f>H538*(1-0)</f>
        <v>0</v>
      </c>
      <c r="AQ538" s="36" t="s">
        <v>58</v>
      </c>
      <c r="AV538" s="32">
        <f>ROUND(AW538+AX538,2)</f>
        <v>0</v>
      </c>
      <c r="AW538" s="32">
        <f>ROUND(G538*AO538,2)</f>
        <v>0</v>
      </c>
      <c r="AX538" s="32">
        <f>ROUND(G538*AP538,2)</f>
        <v>0</v>
      </c>
      <c r="AY538" s="36" t="s">
        <v>1122</v>
      </c>
      <c r="AZ538" s="36" t="s">
        <v>1048</v>
      </c>
      <c r="BA538" s="12" t="s">
        <v>65</v>
      </c>
      <c r="BC538" s="32">
        <f>AW538+AX538</f>
        <v>0</v>
      </c>
      <c r="BD538" s="32">
        <f>H538/(100-BE538)*100</f>
        <v>0</v>
      </c>
      <c r="BE538" s="32">
        <v>0</v>
      </c>
      <c r="BF538" s="32">
        <f>P538</f>
        <v>0</v>
      </c>
      <c r="BH538" s="32">
        <f>G538*AO538</f>
        <v>0</v>
      </c>
      <c r="BI538" s="32">
        <f>G538*AP538</f>
        <v>0</v>
      </c>
      <c r="BJ538" s="32">
        <f>G538*H538</f>
        <v>0</v>
      </c>
      <c r="BK538" s="36" t="s">
        <v>66</v>
      </c>
      <c r="BL538" s="32">
        <v>96</v>
      </c>
      <c r="BW538" s="32">
        <f>I538</f>
        <v>21</v>
      </c>
      <c r="BX538" s="4" t="s">
        <v>1172</v>
      </c>
    </row>
    <row r="539" spans="1:76" ht="13.5" customHeight="1" x14ac:dyDescent="0.25">
      <c r="A539" s="42"/>
      <c r="C539" s="43"/>
      <c r="D539" s="95" t="s">
        <v>1049</v>
      </c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7"/>
    </row>
    <row r="540" spans="1:76" x14ac:dyDescent="0.25">
      <c r="A540" s="37" t="s">
        <v>55</v>
      </c>
      <c r="B540" s="38" t="s">
        <v>55</v>
      </c>
      <c r="C540" s="38" t="s">
        <v>1173</v>
      </c>
      <c r="D540" s="98" t="s">
        <v>1174</v>
      </c>
      <c r="E540" s="99"/>
      <c r="F540" s="39" t="s">
        <v>3</v>
      </c>
      <c r="G540" s="39" t="s">
        <v>3</v>
      </c>
      <c r="H540" s="39" t="s">
        <v>3</v>
      </c>
      <c r="I540" s="39" t="s">
        <v>3</v>
      </c>
      <c r="J540" s="1">
        <f>SUM(J541:J541)</f>
        <v>0</v>
      </c>
      <c r="K540" s="1">
        <f>SUM(K541:K541)</f>
        <v>0</v>
      </c>
      <c r="L540" s="1">
        <f>SUM(L541:L541)</f>
        <v>0</v>
      </c>
      <c r="M540" s="1">
        <f>SUM(M541:M541)</f>
        <v>0</v>
      </c>
      <c r="N540" s="40">
        <f>IF(L649=0,0,L540/L649)</f>
        <v>0</v>
      </c>
      <c r="O540" s="12" t="s">
        <v>55</v>
      </c>
      <c r="P540" s="1">
        <f>SUM(P541:P541)</f>
        <v>0</v>
      </c>
      <c r="Q540" s="41" t="s">
        <v>55</v>
      </c>
      <c r="AI540" s="12" t="s">
        <v>55</v>
      </c>
      <c r="AS540" s="1">
        <f>SUM(AJ541:AJ541)</f>
        <v>0</v>
      </c>
      <c r="AT540" s="1">
        <f>SUM(AK541:AK541)</f>
        <v>0</v>
      </c>
      <c r="AU540" s="1">
        <f>SUM(AL541:AL541)</f>
        <v>0</v>
      </c>
    </row>
    <row r="541" spans="1:76" x14ac:dyDescent="0.25">
      <c r="A541" s="2" t="s">
        <v>1175</v>
      </c>
      <c r="B541" s="3" t="s">
        <v>55</v>
      </c>
      <c r="C541" s="3" t="s">
        <v>1176</v>
      </c>
      <c r="D541" s="89" t="s">
        <v>1177</v>
      </c>
      <c r="E541" s="90"/>
      <c r="F541" s="3" t="s">
        <v>110</v>
      </c>
      <c r="G541" s="32">
        <v>80.2</v>
      </c>
      <c r="H541" s="199">
        <v>0</v>
      </c>
      <c r="I541" s="33">
        <v>21</v>
      </c>
      <c r="J541" s="32">
        <f>ROUND(G541*AO541,2)</f>
        <v>0</v>
      </c>
      <c r="K541" s="32">
        <f>ROUND(G541*AP541,2)</f>
        <v>0</v>
      </c>
      <c r="L541" s="32">
        <f>ROUND(G541*H541,2)</f>
        <v>0</v>
      </c>
      <c r="M541" s="32">
        <f>L541*(1+BW541/100)</f>
        <v>0</v>
      </c>
      <c r="N541" s="34">
        <f>IF(L649=0,0,L541/L649)</f>
        <v>0</v>
      </c>
      <c r="O541" s="32">
        <v>0</v>
      </c>
      <c r="P541" s="32">
        <f>G541*O541</f>
        <v>0</v>
      </c>
      <c r="Q541" s="35" t="s">
        <v>77</v>
      </c>
      <c r="Z541" s="32">
        <f>ROUND(IF(AQ541="5",BJ541,0),2)</f>
        <v>0</v>
      </c>
      <c r="AB541" s="32">
        <f>ROUND(IF(AQ541="1",BH541,0),2)</f>
        <v>0</v>
      </c>
      <c r="AC541" s="32">
        <f>ROUND(IF(AQ541="1",BI541,0),2)</f>
        <v>0</v>
      </c>
      <c r="AD541" s="32">
        <f>ROUND(IF(AQ541="7",BH541,0),2)</f>
        <v>0</v>
      </c>
      <c r="AE541" s="32">
        <f>ROUND(IF(AQ541="7",BI541,0),2)</f>
        <v>0</v>
      </c>
      <c r="AF541" s="32">
        <f>ROUND(IF(AQ541="2",BH541,0),2)</f>
        <v>0</v>
      </c>
      <c r="AG541" s="32">
        <f>ROUND(IF(AQ541="2",BI541,0),2)</f>
        <v>0</v>
      </c>
      <c r="AH541" s="32">
        <f>ROUND(IF(AQ541="0",BJ541,0),2)</f>
        <v>0</v>
      </c>
      <c r="AI541" s="12" t="s">
        <v>55</v>
      </c>
      <c r="AJ541" s="32">
        <f>IF(AN541=0,L541,0)</f>
        <v>0</v>
      </c>
      <c r="AK541" s="32">
        <f>IF(AN541=12,L541,0)</f>
        <v>0</v>
      </c>
      <c r="AL541" s="32">
        <f>IF(AN541=21,L541,0)</f>
        <v>0</v>
      </c>
      <c r="AN541" s="32">
        <v>21</v>
      </c>
      <c r="AO541" s="32">
        <f>H541*0</f>
        <v>0</v>
      </c>
      <c r="AP541" s="32">
        <f>H541*(1-0)</f>
        <v>0</v>
      </c>
      <c r="AQ541" s="36" t="s">
        <v>62</v>
      </c>
      <c r="AV541" s="32">
        <f>ROUND(AW541+AX541,2)</f>
        <v>0</v>
      </c>
      <c r="AW541" s="32">
        <f>ROUND(G541*AO541,2)</f>
        <v>0</v>
      </c>
      <c r="AX541" s="32">
        <f>ROUND(G541*AP541,2)</f>
        <v>0</v>
      </c>
      <c r="AY541" s="36" t="s">
        <v>1178</v>
      </c>
      <c r="AZ541" s="36" t="s">
        <v>1048</v>
      </c>
      <c r="BA541" s="12" t="s">
        <v>65</v>
      </c>
      <c r="BC541" s="32">
        <f>AW541+AX541</f>
        <v>0</v>
      </c>
      <c r="BD541" s="32">
        <f>H541/(100-BE541)*100</f>
        <v>0</v>
      </c>
      <c r="BE541" s="32">
        <v>0</v>
      </c>
      <c r="BF541" s="32">
        <f>P541</f>
        <v>0</v>
      </c>
      <c r="BH541" s="32">
        <f>G541*AO541</f>
        <v>0</v>
      </c>
      <c r="BI541" s="32">
        <f>G541*AP541</f>
        <v>0</v>
      </c>
      <c r="BJ541" s="32">
        <f>G541*H541</f>
        <v>0</v>
      </c>
      <c r="BK541" s="36" t="s">
        <v>66</v>
      </c>
      <c r="BL541" s="32"/>
      <c r="BW541" s="32">
        <f>I541</f>
        <v>21</v>
      </c>
      <c r="BX541" s="4" t="s">
        <v>1177</v>
      </c>
    </row>
    <row r="542" spans="1:76" x14ac:dyDescent="0.25">
      <c r="A542" s="37" t="s">
        <v>55</v>
      </c>
      <c r="B542" s="38" t="s">
        <v>55</v>
      </c>
      <c r="C542" s="38" t="s">
        <v>1179</v>
      </c>
      <c r="D542" s="98" t="s">
        <v>1180</v>
      </c>
      <c r="E542" s="99"/>
      <c r="F542" s="39" t="s">
        <v>3</v>
      </c>
      <c r="G542" s="39" t="s">
        <v>3</v>
      </c>
      <c r="H542" s="39" t="s">
        <v>3</v>
      </c>
      <c r="I542" s="39" t="s">
        <v>3</v>
      </c>
      <c r="J542" s="1">
        <f>SUM(J543:J568)</f>
        <v>0</v>
      </c>
      <c r="K542" s="1">
        <f>SUM(K543:K568)</f>
        <v>0</v>
      </c>
      <c r="L542" s="1">
        <f>SUM(L543:L568)</f>
        <v>0</v>
      </c>
      <c r="M542" s="1">
        <f>SUM(M543:M568)</f>
        <v>0</v>
      </c>
      <c r="N542" s="40">
        <f>IF(L649=0,0,L542/L649)</f>
        <v>0</v>
      </c>
      <c r="O542" s="12" t="s">
        <v>55</v>
      </c>
      <c r="P542" s="1">
        <f>SUM(P543:P568)</f>
        <v>3.8799999999999994E-2</v>
      </c>
      <c r="Q542" s="41" t="s">
        <v>55</v>
      </c>
      <c r="AI542" s="12" t="s">
        <v>55</v>
      </c>
      <c r="AS542" s="1">
        <f>SUM(AJ543:AJ568)</f>
        <v>0</v>
      </c>
      <c r="AT542" s="1">
        <f>SUM(AK543:AK568)</f>
        <v>0</v>
      </c>
      <c r="AU542" s="1">
        <f>SUM(AL543:AL568)</f>
        <v>0</v>
      </c>
    </row>
    <row r="543" spans="1:76" x14ac:dyDescent="0.25">
      <c r="A543" s="2" t="s">
        <v>1181</v>
      </c>
      <c r="B543" s="3" t="s">
        <v>55</v>
      </c>
      <c r="C543" s="3" t="s">
        <v>1182</v>
      </c>
      <c r="D543" s="89" t="s">
        <v>1183</v>
      </c>
      <c r="E543" s="90"/>
      <c r="F543" s="3" t="s">
        <v>316</v>
      </c>
      <c r="G543" s="32">
        <v>1</v>
      </c>
      <c r="H543" s="199">
        <v>0</v>
      </c>
      <c r="I543" s="33">
        <v>21</v>
      </c>
      <c r="J543" s="32">
        <f>ROUND(G543*AO543,2)</f>
        <v>0</v>
      </c>
      <c r="K543" s="32">
        <f>ROUND(G543*AP543,2)</f>
        <v>0</v>
      </c>
      <c r="L543" s="32">
        <f>ROUND(G543*H543,2)</f>
        <v>0</v>
      </c>
      <c r="M543" s="32">
        <f>L543*(1+BW543/100)</f>
        <v>0</v>
      </c>
      <c r="N543" s="34">
        <f>IF(L649=0,0,L543/L649)</f>
        <v>0</v>
      </c>
      <c r="O543" s="32">
        <v>0</v>
      </c>
      <c r="P543" s="32">
        <f>G543*O543</f>
        <v>0</v>
      </c>
      <c r="Q543" s="35"/>
      <c r="Z543" s="32">
        <f>ROUND(IF(AQ543="5",BJ543,0),2)</f>
        <v>0</v>
      </c>
      <c r="AB543" s="32">
        <f>ROUND(IF(AQ543="1",BH543,0),2)</f>
        <v>0</v>
      </c>
      <c r="AC543" s="32">
        <f>ROUND(IF(AQ543="1",BI543,0),2)</f>
        <v>0</v>
      </c>
      <c r="AD543" s="32">
        <f>ROUND(IF(AQ543="7",BH543,0),2)</f>
        <v>0</v>
      </c>
      <c r="AE543" s="32">
        <f>ROUND(IF(AQ543="7",BI543,0),2)</f>
        <v>0</v>
      </c>
      <c r="AF543" s="32">
        <f>ROUND(IF(AQ543="2",BH543,0),2)</f>
        <v>0</v>
      </c>
      <c r="AG543" s="32">
        <f>ROUND(IF(AQ543="2",BI543,0),2)</f>
        <v>0</v>
      </c>
      <c r="AH543" s="32">
        <f>ROUND(IF(AQ543="0",BJ543,0),2)</f>
        <v>0</v>
      </c>
      <c r="AI543" s="12" t="s">
        <v>55</v>
      </c>
      <c r="AJ543" s="32">
        <f>IF(AN543=0,L543,0)</f>
        <v>0</v>
      </c>
      <c r="AK543" s="32">
        <f>IF(AN543=12,L543,0)</f>
        <v>0</v>
      </c>
      <c r="AL543" s="32">
        <f>IF(AN543=21,L543,0)</f>
        <v>0</v>
      </c>
      <c r="AN543" s="32">
        <v>21</v>
      </c>
      <c r="AO543" s="32">
        <f>H543*0.465970065</f>
        <v>0</v>
      </c>
      <c r="AP543" s="32">
        <f>H543*(1-0.465970065)</f>
        <v>0</v>
      </c>
      <c r="AQ543" s="36" t="s">
        <v>58</v>
      </c>
      <c r="AV543" s="32">
        <f>ROUND(AW543+AX543,2)</f>
        <v>0</v>
      </c>
      <c r="AW543" s="32">
        <f>ROUND(G543*AO543,2)</f>
        <v>0</v>
      </c>
      <c r="AX543" s="32">
        <f>ROUND(G543*AP543,2)</f>
        <v>0</v>
      </c>
      <c r="AY543" s="36" t="s">
        <v>1184</v>
      </c>
      <c r="AZ543" s="36" t="s">
        <v>1048</v>
      </c>
      <c r="BA543" s="12" t="s">
        <v>65</v>
      </c>
      <c r="BC543" s="32">
        <f>AW543+AX543</f>
        <v>0</v>
      </c>
      <c r="BD543" s="32">
        <f>H543/(100-BE543)*100</f>
        <v>0</v>
      </c>
      <c r="BE543" s="32">
        <v>0</v>
      </c>
      <c r="BF543" s="32">
        <f>P543</f>
        <v>0</v>
      </c>
      <c r="BH543" s="32">
        <f>G543*AO543</f>
        <v>0</v>
      </c>
      <c r="BI543" s="32">
        <f>G543*AP543</f>
        <v>0</v>
      </c>
      <c r="BJ543" s="32">
        <f>G543*H543</f>
        <v>0</v>
      </c>
      <c r="BK543" s="36" t="s">
        <v>66</v>
      </c>
      <c r="BL543" s="32"/>
      <c r="BW543" s="32">
        <f>I543</f>
        <v>21</v>
      </c>
      <c r="BX543" s="4" t="s">
        <v>1183</v>
      </c>
    </row>
    <row r="544" spans="1:76" ht="13.5" customHeight="1" x14ac:dyDescent="0.25">
      <c r="A544" s="42"/>
      <c r="C544" s="43"/>
      <c r="D544" s="95" t="s">
        <v>1185</v>
      </c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7"/>
    </row>
    <row r="545" spans="1:76" x14ac:dyDescent="0.25">
      <c r="A545" s="2" t="s">
        <v>1186</v>
      </c>
      <c r="B545" s="3" t="s">
        <v>55</v>
      </c>
      <c r="C545" s="3" t="s">
        <v>1182</v>
      </c>
      <c r="D545" s="89" t="s">
        <v>1187</v>
      </c>
      <c r="E545" s="90"/>
      <c r="F545" s="3" t="s">
        <v>316</v>
      </c>
      <c r="G545" s="32">
        <v>1</v>
      </c>
      <c r="H545" s="199">
        <v>0</v>
      </c>
      <c r="I545" s="33">
        <v>21</v>
      </c>
      <c r="J545" s="32">
        <f>ROUND(G545*AO545,2)</f>
        <v>0</v>
      </c>
      <c r="K545" s="32">
        <f>ROUND(G545*AP545,2)</f>
        <v>0</v>
      </c>
      <c r="L545" s="32">
        <f>ROUND(G545*H545,2)</f>
        <v>0</v>
      </c>
      <c r="M545" s="32">
        <f>L545*(1+BW545/100)</f>
        <v>0</v>
      </c>
      <c r="N545" s="34">
        <f>IF(L649=0,0,L545/L649)</f>
        <v>0</v>
      </c>
      <c r="O545" s="32">
        <v>0</v>
      </c>
      <c r="P545" s="32">
        <f>G545*O545</f>
        <v>0</v>
      </c>
      <c r="Q545" s="35" t="s">
        <v>55</v>
      </c>
      <c r="Z545" s="32">
        <f>ROUND(IF(AQ545="5",BJ545,0),2)</f>
        <v>0</v>
      </c>
      <c r="AB545" s="32">
        <f>ROUND(IF(AQ545="1",BH545,0),2)</f>
        <v>0</v>
      </c>
      <c r="AC545" s="32">
        <f>ROUND(IF(AQ545="1",BI545,0),2)</f>
        <v>0</v>
      </c>
      <c r="AD545" s="32">
        <f>ROUND(IF(AQ545="7",BH545,0),2)</f>
        <v>0</v>
      </c>
      <c r="AE545" s="32">
        <f>ROUND(IF(AQ545="7",BI545,0),2)</f>
        <v>0</v>
      </c>
      <c r="AF545" s="32">
        <f>ROUND(IF(AQ545="2",BH545,0),2)</f>
        <v>0</v>
      </c>
      <c r="AG545" s="32">
        <f>ROUND(IF(AQ545="2",BI545,0),2)</f>
        <v>0</v>
      </c>
      <c r="AH545" s="32">
        <f>ROUND(IF(AQ545="0",BJ545,0),2)</f>
        <v>0</v>
      </c>
      <c r="AI545" s="12" t="s">
        <v>55</v>
      </c>
      <c r="AJ545" s="32">
        <f>IF(AN545=0,L545,0)</f>
        <v>0</v>
      </c>
      <c r="AK545" s="32">
        <f>IF(AN545=12,L545,0)</f>
        <v>0</v>
      </c>
      <c r="AL545" s="32">
        <f>IF(AN545=21,L545,0)</f>
        <v>0</v>
      </c>
      <c r="AN545" s="32">
        <v>21</v>
      </c>
      <c r="AO545" s="32">
        <f>H545*0</f>
        <v>0</v>
      </c>
      <c r="AP545" s="32">
        <f>H545*(1-0)</f>
        <v>0</v>
      </c>
      <c r="AQ545" s="36" t="s">
        <v>58</v>
      </c>
      <c r="AV545" s="32">
        <f>ROUND(AW545+AX545,2)</f>
        <v>0</v>
      </c>
      <c r="AW545" s="32">
        <f>ROUND(G545*AO545,2)</f>
        <v>0</v>
      </c>
      <c r="AX545" s="32">
        <f>ROUND(G545*AP545,2)</f>
        <v>0</v>
      </c>
      <c r="AY545" s="36" t="s">
        <v>1184</v>
      </c>
      <c r="AZ545" s="36" t="s">
        <v>1048</v>
      </c>
      <c r="BA545" s="12" t="s">
        <v>65</v>
      </c>
      <c r="BC545" s="32">
        <f>AW545+AX545</f>
        <v>0</v>
      </c>
      <c r="BD545" s="32">
        <f>H545/(100-BE545)*100</f>
        <v>0</v>
      </c>
      <c r="BE545" s="32">
        <v>0</v>
      </c>
      <c r="BF545" s="32">
        <f>P545</f>
        <v>0</v>
      </c>
      <c r="BH545" s="32">
        <f>G545*AO545</f>
        <v>0</v>
      </c>
      <c r="BI545" s="32">
        <f>G545*AP545</f>
        <v>0</v>
      </c>
      <c r="BJ545" s="32">
        <f>G545*H545</f>
        <v>0</v>
      </c>
      <c r="BK545" s="36" t="s">
        <v>66</v>
      </c>
      <c r="BL545" s="32"/>
      <c r="BW545" s="32">
        <f>I545</f>
        <v>21</v>
      </c>
      <c r="BX545" s="4" t="s">
        <v>1187</v>
      </c>
    </row>
    <row r="546" spans="1:76" ht="13.5" customHeight="1" x14ac:dyDescent="0.25">
      <c r="A546" s="42"/>
      <c r="C546" s="43"/>
      <c r="D546" s="95" t="s">
        <v>323</v>
      </c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7"/>
    </row>
    <row r="547" spans="1:76" x14ac:dyDescent="0.25">
      <c r="A547" s="2" t="s">
        <v>1188</v>
      </c>
      <c r="B547" s="3" t="s">
        <v>55</v>
      </c>
      <c r="C547" s="3" t="s">
        <v>1189</v>
      </c>
      <c r="D547" s="89" t="s">
        <v>1190</v>
      </c>
      <c r="E547" s="90"/>
      <c r="F547" s="3" t="s">
        <v>88</v>
      </c>
      <c r="G547" s="32">
        <v>1</v>
      </c>
      <c r="H547" s="199">
        <v>0</v>
      </c>
      <c r="I547" s="33">
        <v>21</v>
      </c>
      <c r="J547" s="32">
        <f>ROUND(G547*AO547,2)</f>
        <v>0</v>
      </c>
      <c r="K547" s="32">
        <f>ROUND(G547*AP547,2)</f>
        <v>0</v>
      </c>
      <c r="L547" s="32">
        <f>ROUND(G547*H547,2)</f>
        <v>0</v>
      </c>
      <c r="M547" s="32">
        <f>L547*(1+BW547/100)</f>
        <v>0</v>
      </c>
      <c r="N547" s="34">
        <f>IF(L649=0,0,L547/L649)</f>
        <v>0</v>
      </c>
      <c r="O547" s="32">
        <v>0</v>
      </c>
      <c r="P547" s="32">
        <f>G547*O547</f>
        <v>0</v>
      </c>
      <c r="Q547" s="35"/>
      <c r="Z547" s="32">
        <f>ROUND(IF(AQ547="5",BJ547,0),2)</f>
        <v>0</v>
      </c>
      <c r="AB547" s="32">
        <f>ROUND(IF(AQ547="1",BH547,0),2)</f>
        <v>0</v>
      </c>
      <c r="AC547" s="32">
        <f>ROUND(IF(AQ547="1",BI547,0),2)</f>
        <v>0</v>
      </c>
      <c r="AD547" s="32">
        <f>ROUND(IF(AQ547="7",BH547,0),2)</f>
        <v>0</v>
      </c>
      <c r="AE547" s="32">
        <f>ROUND(IF(AQ547="7",BI547,0),2)</f>
        <v>0</v>
      </c>
      <c r="AF547" s="32">
        <f>ROUND(IF(AQ547="2",BH547,0),2)</f>
        <v>0</v>
      </c>
      <c r="AG547" s="32">
        <f>ROUND(IF(AQ547="2",BI547,0),2)</f>
        <v>0</v>
      </c>
      <c r="AH547" s="32">
        <f>ROUND(IF(AQ547="0",BJ547,0),2)</f>
        <v>0</v>
      </c>
      <c r="AI547" s="12" t="s">
        <v>55</v>
      </c>
      <c r="AJ547" s="32">
        <f>IF(AN547=0,L547,0)</f>
        <v>0</v>
      </c>
      <c r="AK547" s="32">
        <f>IF(AN547=12,L547,0)</f>
        <v>0</v>
      </c>
      <c r="AL547" s="32">
        <f>IF(AN547=21,L547,0)</f>
        <v>0</v>
      </c>
      <c r="AN547" s="32">
        <v>21</v>
      </c>
      <c r="AO547" s="32">
        <f>H547*0</f>
        <v>0</v>
      </c>
      <c r="AP547" s="32">
        <f>H547*(1-0)</f>
        <v>0</v>
      </c>
      <c r="AQ547" s="36" t="s">
        <v>67</v>
      </c>
      <c r="AV547" s="32">
        <f>ROUND(AW547+AX547,2)</f>
        <v>0</v>
      </c>
      <c r="AW547" s="32">
        <f>ROUND(G547*AO547,2)</f>
        <v>0</v>
      </c>
      <c r="AX547" s="32">
        <f>ROUND(G547*AP547,2)</f>
        <v>0</v>
      </c>
      <c r="AY547" s="36" t="s">
        <v>1184</v>
      </c>
      <c r="AZ547" s="36" t="s">
        <v>1048</v>
      </c>
      <c r="BA547" s="12" t="s">
        <v>65</v>
      </c>
      <c r="BC547" s="32">
        <f>AW547+AX547</f>
        <v>0</v>
      </c>
      <c r="BD547" s="32">
        <f>H547/(100-BE547)*100</f>
        <v>0</v>
      </c>
      <c r="BE547" s="32">
        <v>0</v>
      </c>
      <c r="BF547" s="32">
        <f>P547</f>
        <v>0</v>
      </c>
      <c r="BH547" s="32">
        <f>G547*AO547</f>
        <v>0</v>
      </c>
      <c r="BI547" s="32">
        <f>G547*AP547</f>
        <v>0</v>
      </c>
      <c r="BJ547" s="32">
        <f>G547*H547</f>
        <v>0</v>
      </c>
      <c r="BK547" s="36" t="s">
        <v>66</v>
      </c>
      <c r="BL547" s="32"/>
      <c r="BW547" s="32">
        <f>I547</f>
        <v>21</v>
      </c>
      <c r="BX547" s="4" t="s">
        <v>1190</v>
      </c>
    </row>
    <row r="548" spans="1:76" ht="15" customHeight="1" x14ac:dyDescent="0.25">
      <c r="A548" s="2" t="s">
        <v>1191</v>
      </c>
      <c r="B548" s="3" t="s">
        <v>55</v>
      </c>
      <c r="C548" s="3" t="s">
        <v>1192</v>
      </c>
      <c r="D548" s="100" t="s">
        <v>1472</v>
      </c>
      <c r="E548" s="90"/>
      <c r="F548" s="3" t="s">
        <v>88</v>
      </c>
      <c r="G548" s="32">
        <v>7</v>
      </c>
      <c r="H548" s="199">
        <v>0</v>
      </c>
      <c r="I548" s="33">
        <v>21</v>
      </c>
      <c r="J548" s="32">
        <f>ROUND(G548*AO548,2)</f>
        <v>0</v>
      </c>
      <c r="K548" s="32">
        <f>ROUND(G548*AP548,2)</f>
        <v>0</v>
      </c>
      <c r="L548" s="32">
        <f>ROUND(G548*H548,2)</f>
        <v>0</v>
      </c>
      <c r="M548" s="32">
        <f>L548*(1+BW548/100)</f>
        <v>0</v>
      </c>
      <c r="N548" s="34">
        <f>IF(L649=0,0,L548/L649)</f>
        <v>0</v>
      </c>
      <c r="O548" s="32">
        <v>0</v>
      </c>
      <c r="P548" s="32">
        <f>G548*O548</f>
        <v>0</v>
      </c>
      <c r="Q548" s="35" t="s">
        <v>55</v>
      </c>
      <c r="Z548" s="32">
        <f>ROUND(IF(AQ548="5",BJ548,0),2)</f>
        <v>0</v>
      </c>
      <c r="AB548" s="32">
        <f>ROUND(IF(AQ548="1",BH548,0),2)</f>
        <v>0</v>
      </c>
      <c r="AC548" s="32">
        <f>ROUND(IF(AQ548="1",BI548,0),2)</f>
        <v>0</v>
      </c>
      <c r="AD548" s="32">
        <f>ROUND(IF(AQ548="7",BH548,0),2)</f>
        <v>0</v>
      </c>
      <c r="AE548" s="32">
        <f>ROUND(IF(AQ548="7",BI548,0),2)</f>
        <v>0</v>
      </c>
      <c r="AF548" s="32">
        <f>ROUND(IF(AQ548="2",BH548,0),2)</f>
        <v>0</v>
      </c>
      <c r="AG548" s="32">
        <f>ROUND(IF(AQ548="2",BI548,0),2)</f>
        <v>0</v>
      </c>
      <c r="AH548" s="32">
        <f>ROUND(IF(AQ548="0",BJ548,0),2)</f>
        <v>0</v>
      </c>
      <c r="AI548" s="12" t="s">
        <v>55</v>
      </c>
      <c r="AJ548" s="32">
        <f>IF(AN548=0,L548,0)</f>
        <v>0</v>
      </c>
      <c r="AK548" s="32">
        <f>IF(AN548=12,L548,0)</f>
        <v>0</v>
      </c>
      <c r="AL548" s="32">
        <f>IF(AN548=21,L548,0)</f>
        <v>0</v>
      </c>
      <c r="AN548" s="32">
        <v>21</v>
      </c>
      <c r="AO548" s="32">
        <f>H548*0.936363636</f>
        <v>0</v>
      </c>
      <c r="AP548" s="32">
        <f>H548*(1-0.936363636)</f>
        <v>0</v>
      </c>
      <c r="AQ548" s="36" t="s">
        <v>67</v>
      </c>
      <c r="AV548" s="32">
        <f>ROUND(AW548+AX548,2)</f>
        <v>0</v>
      </c>
      <c r="AW548" s="32">
        <f>ROUND(G548*AO548,2)</f>
        <v>0</v>
      </c>
      <c r="AX548" s="32">
        <f>ROUND(G548*AP548,2)</f>
        <v>0</v>
      </c>
      <c r="AY548" s="36" t="s">
        <v>1184</v>
      </c>
      <c r="AZ548" s="36" t="s">
        <v>1048</v>
      </c>
      <c r="BA548" s="12" t="s">
        <v>65</v>
      </c>
      <c r="BC548" s="32">
        <f>AW548+AX548</f>
        <v>0</v>
      </c>
      <c r="BD548" s="32">
        <f>H548/(100-BE548)*100</f>
        <v>0</v>
      </c>
      <c r="BE548" s="32">
        <v>0</v>
      </c>
      <c r="BF548" s="32">
        <f>P548</f>
        <v>0</v>
      </c>
      <c r="BH548" s="32">
        <f>G548*AO548</f>
        <v>0</v>
      </c>
      <c r="BI548" s="32">
        <f>G548*AP548</f>
        <v>0</v>
      </c>
      <c r="BJ548" s="32">
        <f>G548*H548</f>
        <v>0</v>
      </c>
      <c r="BK548" s="36" t="s">
        <v>66</v>
      </c>
      <c r="BL548" s="32"/>
      <c r="BW548" s="32">
        <f>I548</f>
        <v>21</v>
      </c>
      <c r="BX548" s="4" t="s">
        <v>1193</v>
      </c>
    </row>
    <row r="549" spans="1:76" ht="13.5" customHeight="1" x14ac:dyDescent="0.25">
      <c r="A549" s="42"/>
      <c r="C549" s="43"/>
      <c r="D549" s="95" t="s">
        <v>1194</v>
      </c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7"/>
    </row>
    <row r="550" spans="1:76" ht="25.5" x14ac:dyDescent="0.25">
      <c r="A550" s="2" t="s">
        <v>1195</v>
      </c>
      <c r="B550" s="3" t="s">
        <v>55</v>
      </c>
      <c r="C550" s="3" t="s">
        <v>1192</v>
      </c>
      <c r="D550" s="89" t="s">
        <v>1196</v>
      </c>
      <c r="E550" s="90"/>
      <c r="F550" s="3" t="s">
        <v>88</v>
      </c>
      <c r="G550" s="32">
        <v>4</v>
      </c>
      <c r="H550" s="199">
        <v>0</v>
      </c>
      <c r="I550" s="33">
        <v>21</v>
      </c>
      <c r="J550" s="32">
        <f>ROUND(G550*AO550,2)</f>
        <v>0</v>
      </c>
      <c r="K550" s="32">
        <f>ROUND(G550*AP550,2)</f>
        <v>0</v>
      </c>
      <c r="L550" s="32">
        <f>ROUND(G550*H550,2)</f>
        <v>0</v>
      </c>
      <c r="M550" s="32">
        <f>L550*(1+BW550/100)</f>
        <v>0</v>
      </c>
      <c r="N550" s="34">
        <f>IF(L649=0,0,L550/L649)</f>
        <v>0</v>
      </c>
      <c r="O550" s="32">
        <v>0</v>
      </c>
      <c r="P550" s="32">
        <f>G550*O550</f>
        <v>0</v>
      </c>
      <c r="Q550" s="35" t="s">
        <v>55</v>
      </c>
      <c r="Z550" s="32">
        <f>ROUND(IF(AQ550="5",BJ550,0),2)</f>
        <v>0</v>
      </c>
      <c r="AB550" s="32">
        <f>ROUND(IF(AQ550="1",BH550,0),2)</f>
        <v>0</v>
      </c>
      <c r="AC550" s="32">
        <f>ROUND(IF(AQ550="1",BI550,0),2)</f>
        <v>0</v>
      </c>
      <c r="AD550" s="32">
        <f>ROUND(IF(AQ550="7",BH550,0),2)</f>
        <v>0</v>
      </c>
      <c r="AE550" s="32">
        <f>ROUND(IF(AQ550="7",BI550,0),2)</f>
        <v>0</v>
      </c>
      <c r="AF550" s="32">
        <f>ROUND(IF(AQ550="2",BH550,0),2)</f>
        <v>0</v>
      </c>
      <c r="AG550" s="32">
        <f>ROUND(IF(AQ550="2",BI550,0),2)</f>
        <v>0</v>
      </c>
      <c r="AH550" s="32">
        <f>ROUND(IF(AQ550="0",BJ550,0),2)</f>
        <v>0</v>
      </c>
      <c r="AI550" s="12" t="s">
        <v>55</v>
      </c>
      <c r="AJ550" s="32">
        <f>IF(AN550=0,L550,0)</f>
        <v>0</v>
      </c>
      <c r="AK550" s="32">
        <f>IF(AN550=12,L550,0)</f>
        <v>0</v>
      </c>
      <c r="AL550" s="32">
        <f>IF(AN550=21,L550,0)</f>
        <v>0</v>
      </c>
      <c r="AN550" s="32">
        <v>21</v>
      </c>
      <c r="AO550" s="32">
        <f>H550*0.92526017</f>
        <v>0</v>
      </c>
      <c r="AP550" s="32">
        <f>H550*(1-0.92526017)</f>
        <v>0</v>
      </c>
      <c r="AQ550" s="36" t="s">
        <v>67</v>
      </c>
      <c r="AV550" s="32">
        <f>ROUND(AW550+AX550,2)</f>
        <v>0</v>
      </c>
      <c r="AW550" s="32">
        <f>ROUND(G550*AO550,2)</f>
        <v>0</v>
      </c>
      <c r="AX550" s="32">
        <f>ROUND(G550*AP550,2)</f>
        <v>0</v>
      </c>
      <c r="AY550" s="36" t="s">
        <v>1184</v>
      </c>
      <c r="AZ550" s="36" t="s">
        <v>1048</v>
      </c>
      <c r="BA550" s="12" t="s">
        <v>65</v>
      </c>
      <c r="BC550" s="32">
        <f>AW550+AX550</f>
        <v>0</v>
      </c>
      <c r="BD550" s="32">
        <f>H550/(100-BE550)*100</f>
        <v>0</v>
      </c>
      <c r="BE550" s="32">
        <v>0</v>
      </c>
      <c r="BF550" s="32">
        <f>P550</f>
        <v>0</v>
      </c>
      <c r="BH550" s="32">
        <f>G550*AO550</f>
        <v>0</v>
      </c>
      <c r="BI550" s="32">
        <f>G550*AP550</f>
        <v>0</v>
      </c>
      <c r="BJ550" s="32">
        <f>G550*H550</f>
        <v>0</v>
      </c>
      <c r="BK550" s="36" t="s">
        <v>66</v>
      </c>
      <c r="BL550" s="32"/>
      <c r="BW550" s="32">
        <f>I550</f>
        <v>21</v>
      </c>
      <c r="BX550" s="4" t="s">
        <v>1196</v>
      </c>
    </row>
    <row r="551" spans="1:76" ht="25.5" x14ac:dyDescent="0.25">
      <c r="A551" s="2" t="s">
        <v>1197</v>
      </c>
      <c r="B551" s="3" t="s">
        <v>55</v>
      </c>
      <c r="C551" s="3" t="s">
        <v>1198</v>
      </c>
      <c r="D551" s="89" t="s">
        <v>1199</v>
      </c>
      <c r="E551" s="90"/>
      <c r="F551" s="3" t="s">
        <v>88</v>
      </c>
      <c r="G551" s="32">
        <v>1</v>
      </c>
      <c r="H551" s="199">
        <v>0</v>
      </c>
      <c r="I551" s="33">
        <v>21</v>
      </c>
      <c r="J551" s="32">
        <f>ROUND(G551*AO551,2)</f>
        <v>0</v>
      </c>
      <c r="K551" s="32">
        <f>ROUND(G551*AP551,2)</f>
        <v>0</v>
      </c>
      <c r="L551" s="32">
        <f>ROUND(G551*H551,2)</f>
        <v>0</v>
      </c>
      <c r="M551" s="32">
        <f>L551*(1+BW551/100)</f>
        <v>0</v>
      </c>
      <c r="N551" s="34">
        <f>IF(L649=0,0,L551/L649)</f>
        <v>0</v>
      </c>
      <c r="O551" s="32">
        <v>0</v>
      </c>
      <c r="P551" s="32">
        <f>G551*O551</f>
        <v>0</v>
      </c>
      <c r="Q551" s="35"/>
      <c r="Z551" s="32">
        <f>ROUND(IF(AQ551="5",BJ551,0),2)</f>
        <v>0</v>
      </c>
      <c r="AB551" s="32">
        <f>ROUND(IF(AQ551="1",BH551,0),2)</f>
        <v>0</v>
      </c>
      <c r="AC551" s="32">
        <f>ROUND(IF(AQ551="1",BI551,0),2)</f>
        <v>0</v>
      </c>
      <c r="AD551" s="32">
        <f>ROUND(IF(AQ551="7",BH551,0),2)</f>
        <v>0</v>
      </c>
      <c r="AE551" s="32">
        <f>ROUND(IF(AQ551="7",BI551,0),2)</f>
        <v>0</v>
      </c>
      <c r="AF551" s="32">
        <f>ROUND(IF(AQ551="2",BH551,0),2)</f>
        <v>0</v>
      </c>
      <c r="AG551" s="32">
        <f>ROUND(IF(AQ551="2",BI551,0),2)</f>
        <v>0</v>
      </c>
      <c r="AH551" s="32">
        <f>ROUND(IF(AQ551="0",BJ551,0),2)</f>
        <v>0</v>
      </c>
      <c r="AI551" s="12" t="s">
        <v>55</v>
      </c>
      <c r="AJ551" s="32">
        <f>IF(AN551=0,L551,0)</f>
        <v>0</v>
      </c>
      <c r="AK551" s="32">
        <f>IF(AN551=12,L551,0)</f>
        <v>0</v>
      </c>
      <c r="AL551" s="32">
        <f>IF(AN551=21,L551,0)</f>
        <v>0</v>
      </c>
      <c r="AN551" s="32">
        <v>21</v>
      </c>
      <c r="AO551" s="32">
        <f>H551*0.886850153</f>
        <v>0</v>
      </c>
      <c r="AP551" s="32">
        <f>H551*(1-0.886850153)</f>
        <v>0</v>
      </c>
      <c r="AQ551" s="36" t="s">
        <v>67</v>
      </c>
      <c r="AV551" s="32">
        <f>ROUND(AW551+AX551,2)</f>
        <v>0</v>
      </c>
      <c r="AW551" s="32">
        <f>ROUND(G551*AO551,2)</f>
        <v>0</v>
      </c>
      <c r="AX551" s="32">
        <f>ROUND(G551*AP551,2)</f>
        <v>0</v>
      </c>
      <c r="AY551" s="36" t="s">
        <v>1184</v>
      </c>
      <c r="AZ551" s="36" t="s">
        <v>1048</v>
      </c>
      <c r="BA551" s="12" t="s">
        <v>65</v>
      </c>
      <c r="BC551" s="32">
        <f>AW551+AX551</f>
        <v>0</v>
      </c>
      <c r="BD551" s="32">
        <f>H551/(100-BE551)*100</f>
        <v>0</v>
      </c>
      <c r="BE551" s="32">
        <v>0</v>
      </c>
      <c r="BF551" s="32">
        <f>P551</f>
        <v>0</v>
      </c>
      <c r="BH551" s="32">
        <f>G551*AO551</f>
        <v>0</v>
      </c>
      <c r="BI551" s="32">
        <f>G551*AP551</f>
        <v>0</v>
      </c>
      <c r="BJ551" s="32">
        <f>G551*H551</f>
        <v>0</v>
      </c>
      <c r="BK551" s="36" t="s">
        <v>66</v>
      </c>
      <c r="BL551" s="32"/>
      <c r="BW551" s="32">
        <f>I551</f>
        <v>21</v>
      </c>
      <c r="BX551" s="4" t="s">
        <v>1199</v>
      </c>
    </row>
    <row r="552" spans="1:76" ht="13.5" customHeight="1" x14ac:dyDescent="0.25">
      <c r="A552" s="42"/>
      <c r="C552" s="43"/>
      <c r="D552" s="95" t="s">
        <v>1200</v>
      </c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7"/>
    </row>
    <row r="553" spans="1:76" x14ac:dyDescent="0.25">
      <c r="A553" s="2" t="s">
        <v>1201</v>
      </c>
      <c r="B553" s="3" t="s">
        <v>55</v>
      </c>
      <c r="C553" s="3" t="s">
        <v>1202</v>
      </c>
      <c r="D553" s="89" t="s">
        <v>1203</v>
      </c>
      <c r="E553" s="90"/>
      <c r="F553" s="3" t="s">
        <v>88</v>
      </c>
      <c r="G553" s="32">
        <v>11</v>
      </c>
      <c r="H553" s="199">
        <v>0</v>
      </c>
      <c r="I553" s="33">
        <v>21</v>
      </c>
      <c r="J553" s="32">
        <f>ROUND(G553*AO553,2)</f>
        <v>0</v>
      </c>
      <c r="K553" s="32">
        <f>ROUND(G553*AP553,2)</f>
        <v>0</v>
      </c>
      <c r="L553" s="32">
        <f>ROUND(G553*H553,2)</f>
        <v>0</v>
      </c>
      <c r="M553" s="32">
        <f>L553*(1+BW553/100)</f>
        <v>0</v>
      </c>
      <c r="N553" s="34">
        <f>IF(L649=0,0,L553/L649)</f>
        <v>0</v>
      </c>
      <c r="O553" s="32">
        <v>2.3E-3</v>
      </c>
      <c r="P553" s="32">
        <f>G553*O553</f>
        <v>2.53E-2</v>
      </c>
      <c r="Q553" s="35" t="s">
        <v>77</v>
      </c>
      <c r="Z553" s="32">
        <f>ROUND(IF(AQ553="5",BJ553,0),2)</f>
        <v>0</v>
      </c>
      <c r="AB553" s="32">
        <f>ROUND(IF(AQ553="1",BH553,0),2)</f>
        <v>0</v>
      </c>
      <c r="AC553" s="32">
        <f>ROUND(IF(AQ553="1",BI553,0),2)</f>
        <v>0</v>
      </c>
      <c r="AD553" s="32">
        <f>ROUND(IF(AQ553="7",BH553,0),2)</f>
        <v>0</v>
      </c>
      <c r="AE553" s="32">
        <f>ROUND(IF(AQ553="7",BI553,0),2)</f>
        <v>0</v>
      </c>
      <c r="AF553" s="32">
        <f>ROUND(IF(AQ553="2",BH553,0),2)</f>
        <v>0</v>
      </c>
      <c r="AG553" s="32">
        <f>ROUND(IF(AQ553="2",BI553,0),2)</f>
        <v>0</v>
      </c>
      <c r="AH553" s="32">
        <f>ROUND(IF(AQ553="0",BJ553,0),2)</f>
        <v>0</v>
      </c>
      <c r="AI553" s="12" t="s">
        <v>55</v>
      </c>
      <c r="AJ553" s="32">
        <f>IF(AN553=0,L553,0)</f>
        <v>0</v>
      </c>
      <c r="AK553" s="32">
        <f>IF(AN553=12,L553,0)</f>
        <v>0</v>
      </c>
      <c r="AL553" s="32">
        <f>IF(AN553=21,L553,0)</f>
        <v>0</v>
      </c>
      <c r="AN553" s="32">
        <v>21</v>
      </c>
      <c r="AO553" s="32">
        <f>H553*1</f>
        <v>0</v>
      </c>
      <c r="AP553" s="32">
        <f>H553*(1-1)</f>
        <v>0</v>
      </c>
      <c r="AQ553" s="36" t="s">
        <v>58</v>
      </c>
      <c r="AV553" s="32">
        <f>ROUND(AW553+AX553,2)</f>
        <v>0</v>
      </c>
      <c r="AW553" s="32">
        <f>ROUND(G553*AO553,2)</f>
        <v>0</v>
      </c>
      <c r="AX553" s="32">
        <f>ROUND(G553*AP553,2)</f>
        <v>0</v>
      </c>
      <c r="AY553" s="36" t="s">
        <v>1184</v>
      </c>
      <c r="AZ553" s="36" t="s">
        <v>1048</v>
      </c>
      <c r="BA553" s="12" t="s">
        <v>65</v>
      </c>
      <c r="BC553" s="32">
        <f>AW553+AX553</f>
        <v>0</v>
      </c>
      <c r="BD553" s="32">
        <f>H553/(100-BE553)*100</f>
        <v>0</v>
      </c>
      <c r="BE553" s="32">
        <v>0</v>
      </c>
      <c r="BF553" s="32">
        <f>P553</f>
        <v>2.53E-2</v>
      </c>
      <c r="BH553" s="32">
        <f>G553*AO553</f>
        <v>0</v>
      </c>
      <c r="BI553" s="32">
        <f>G553*AP553</f>
        <v>0</v>
      </c>
      <c r="BJ553" s="32">
        <f>G553*H553</f>
        <v>0</v>
      </c>
      <c r="BK553" s="36" t="s">
        <v>147</v>
      </c>
      <c r="BL553" s="32"/>
      <c r="BW553" s="32">
        <f>I553</f>
        <v>21</v>
      </c>
      <c r="BX553" s="4" t="s">
        <v>1203</v>
      </c>
    </row>
    <row r="554" spans="1:76" x14ac:dyDescent="0.25">
      <c r="A554" s="2" t="s">
        <v>1204</v>
      </c>
      <c r="B554" s="3" t="s">
        <v>55</v>
      </c>
      <c r="C554" s="3" t="s">
        <v>1205</v>
      </c>
      <c r="D554" s="89" t="s">
        <v>1206</v>
      </c>
      <c r="E554" s="90"/>
      <c r="F554" s="3" t="s">
        <v>88</v>
      </c>
      <c r="G554" s="32">
        <v>3</v>
      </c>
      <c r="H554" s="199">
        <v>0</v>
      </c>
      <c r="I554" s="33">
        <v>21</v>
      </c>
      <c r="J554" s="32">
        <f>ROUND(G554*AO554,2)</f>
        <v>0</v>
      </c>
      <c r="K554" s="32">
        <f>ROUND(G554*AP554,2)</f>
        <v>0</v>
      </c>
      <c r="L554" s="32">
        <f>ROUND(G554*H554,2)</f>
        <v>0</v>
      </c>
      <c r="M554" s="32">
        <f>L554*(1+BW554/100)</f>
        <v>0</v>
      </c>
      <c r="N554" s="34">
        <f>IF(L649=0,0,L554/L649)</f>
        <v>0</v>
      </c>
      <c r="O554" s="32">
        <v>0</v>
      </c>
      <c r="P554" s="32">
        <f>G554*O554</f>
        <v>0</v>
      </c>
      <c r="Q554" s="35"/>
      <c r="Z554" s="32">
        <f>ROUND(IF(AQ554="5",BJ554,0),2)</f>
        <v>0</v>
      </c>
      <c r="AB554" s="32">
        <f>ROUND(IF(AQ554="1",BH554,0),2)</f>
        <v>0</v>
      </c>
      <c r="AC554" s="32">
        <f>ROUND(IF(AQ554="1",BI554,0),2)</f>
        <v>0</v>
      </c>
      <c r="AD554" s="32">
        <f>ROUND(IF(AQ554="7",BH554,0),2)</f>
        <v>0</v>
      </c>
      <c r="AE554" s="32">
        <f>ROUND(IF(AQ554="7",BI554,0),2)</f>
        <v>0</v>
      </c>
      <c r="AF554" s="32">
        <f>ROUND(IF(AQ554="2",BH554,0),2)</f>
        <v>0</v>
      </c>
      <c r="AG554" s="32">
        <f>ROUND(IF(AQ554="2",BI554,0),2)</f>
        <v>0</v>
      </c>
      <c r="AH554" s="32">
        <f>ROUND(IF(AQ554="0",BJ554,0),2)</f>
        <v>0</v>
      </c>
      <c r="AI554" s="12" t="s">
        <v>55</v>
      </c>
      <c r="AJ554" s="32">
        <f>IF(AN554=0,L554,0)</f>
        <v>0</v>
      </c>
      <c r="AK554" s="32">
        <f>IF(AN554=12,L554,0)</f>
        <v>0</v>
      </c>
      <c r="AL554" s="32">
        <f>IF(AN554=21,L554,0)</f>
        <v>0</v>
      </c>
      <c r="AN554" s="32">
        <v>21</v>
      </c>
      <c r="AO554" s="32">
        <f>H554*0.914215686</f>
        <v>0</v>
      </c>
      <c r="AP554" s="32">
        <f>H554*(1-0.914215686)</f>
        <v>0</v>
      </c>
      <c r="AQ554" s="36" t="s">
        <v>67</v>
      </c>
      <c r="AV554" s="32">
        <f>ROUND(AW554+AX554,2)</f>
        <v>0</v>
      </c>
      <c r="AW554" s="32">
        <f>ROUND(G554*AO554,2)</f>
        <v>0</v>
      </c>
      <c r="AX554" s="32">
        <f>ROUND(G554*AP554,2)</f>
        <v>0</v>
      </c>
      <c r="AY554" s="36" t="s">
        <v>1184</v>
      </c>
      <c r="AZ554" s="36" t="s">
        <v>1048</v>
      </c>
      <c r="BA554" s="12" t="s">
        <v>65</v>
      </c>
      <c r="BC554" s="32">
        <f>AW554+AX554</f>
        <v>0</v>
      </c>
      <c r="BD554" s="32">
        <f>H554/(100-BE554)*100</f>
        <v>0</v>
      </c>
      <c r="BE554" s="32">
        <v>0</v>
      </c>
      <c r="BF554" s="32">
        <f>P554</f>
        <v>0</v>
      </c>
      <c r="BH554" s="32">
        <f>G554*AO554</f>
        <v>0</v>
      </c>
      <c r="BI554" s="32">
        <f>G554*AP554</f>
        <v>0</v>
      </c>
      <c r="BJ554" s="32">
        <f>G554*H554</f>
        <v>0</v>
      </c>
      <c r="BK554" s="36" t="s">
        <v>66</v>
      </c>
      <c r="BL554" s="32"/>
      <c r="BW554" s="32">
        <f>I554</f>
        <v>21</v>
      </c>
      <c r="BX554" s="4" t="s">
        <v>1206</v>
      </c>
    </row>
    <row r="555" spans="1:76" ht="13.5" customHeight="1" x14ac:dyDescent="0.25">
      <c r="A555" s="42"/>
      <c r="C555" s="43"/>
      <c r="D555" s="95" t="s">
        <v>1207</v>
      </c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7"/>
    </row>
    <row r="556" spans="1:76" x14ac:dyDescent="0.25">
      <c r="A556" s="2" t="s">
        <v>1208</v>
      </c>
      <c r="B556" s="3" t="s">
        <v>55</v>
      </c>
      <c r="C556" s="3" t="s">
        <v>1192</v>
      </c>
      <c r="D556" s="89" t="s">
        <v>1209</v>
      </c>
      <c r="E556" s="90"/>
      <c r="F556" s="3" t="s">
        <v>88</v>
      </c>
      <c r="G556" s="32">
        <v>3</v>
      </c>
      <c r="H556" s="199">
        <v>0</v>
      </c>
      <c r="I556" s="33">
        <v>21</v>
      </c>
      <c r="J556" s="32">
        <f>ROUND(G556*AO556,2)</f>
        <v>0</v>
      </c>
      <c r="K556" s="32">
        <f>ROUND(G556*AP556,2)</f>
        <v>0</v>
      </c>
      <c r="L556" s="32">
        <f>ROUND(G556*H556,2)</f>
        <v>0</v>
      </c>
      <c r="M556" s="32">
        <f>L556*(1+BW556/100)</f>
        <v>0</v>
      </c>
      <c r="N556" s="34">
        <f>IF(L649=0,0,L556/L649)</f>
        <v>0</v>
      </c>
      <c r="O556" s="32">
        <v>0</v>
      </c>
      <c r="P556" s="32">
        <f>G556*O556</f>
        <v>0</v>
      </c>
      <c r="Q556" s="35"/>
      <c r="Z556" s="32">
        <f>ROUND(IF(AQ556="5",BJ556,0),2)</f>
        <v>0</v>
      </c>
      <c r="AB556" s="32">
        <f>ROUND(IF(AQ556="1",BH556,0),2)</f>
        <v>0</v>
      </c>
      <c r="AC556" s="32">
        <f>ROUND(IF(AQ556="1",BI556,0),2)</f>
        <v>0</v>
      </c>
      <c r="AD556" s="32">
        <f>ROUND(IF(AQ556="7",BH556,0),2)</f>
        <v>0</v>
      </c>
      <c r="AE556" s="32">
        <f>ROUND(IF(AQ556="7",BI556,0),2)</f>
        <v>0</v>
      </c>
      <c r="AF556" s="32">
        <f>ROUND(IF(AQ556="2",BH556,0),2)</f>
        <v>0</v>
      </c>
      <c r="AG556" s="32">
        <f>ROUND(IF(AQ556="2",BI556,0),2)</f>
        <v>0</v>
      </c>
      <c r="AH556" s="32">
        <f>ROUND(IF(AQ556="0",BJ556,0),2)</f>
        <v>0</v>
      </c>
      <c r="AI556" s="12" t="s">
        <v>55</v>
      </c>
      <c r="AJ556" s="32">
        <f>IF(AN556=0,L556,0)</f>
        <v>0</v>
      </c>
      <c r="AK556" s="32">
        <f>IF(AN556=12,L556,0)</f>
        <v>0</v>
      </c>
      <c r="AL556" s="32">
        <f>IF(AN556=21,L556,0)</f>
        <v>0</v>
      </c>
      <c r="AN556" s="32">
        <v>21</v>
      </c>
      <c r="AO556" s="32">
        <f>H556*0.861932939</f>
        <v>0</v>
      </c>
      <c r="AP556" s="32">
        <f>H556*(1-0.861932939)</f>
        <v>0</v>
      </c>
      <c r="AQ556" s="36" t="s">
        <v>67</v>
      </c>
      <c r="AV556" s="32">
        <f>ROUND(AW556+AX556,2)</f>
        <v>0</v>
      </c>
      <c r="AW556" s="32">
        <f>ROUND(G556*AO556,2)</f>
        <v>0</v>
      </c>
      <c r="AX556" s="32">
        <f>ROUND(G556*AP556,2)</f>
        <v>0</v>
      </c>
      <c r="AY556" s="36" t="s">
        <v>1184</v>
      </c>
      <c r="AZ556" s="36" t="s">
        <v>1048</v>
      </c>
      <c r="BA556" s="12" t="s">
        <v>65</v>
      </c>
      <c r="BC556" s="32">
        <f>AW556+AX556</f>
        <v>0</v>
      </c>
      <c r="BD556" s="32">
        <f>H556/(100-BE556)*100</f>
        <v>0</v>
      </c>
      <c r="BE556" s="32">
        <v>0</v>
      </c>
      <c r="BF556" s="32">
        <f>P556</f>
        <v>0</v>
      </c>
      <c r="BH556" s="32">
        <f>G556*AO556</f>
        <v>0</v>
      </c>
      <c r="BI556" s="32">
        <f>G556*AP556</f>
        <v>0</v>
      </c>
      <c r="BJ556" s="32">
        <f>G556*H556</f>
        <v>0</v>
      </c>
      <c r="BK556" s="36" t="s">
        <v>66</v>
      </c>
      <c r="BL556" s="32"/>
      <c r="BW556" s="32">
        <f>I556</f>
        <v>21</v>
      </c>
      <c r="BX556" s="4" t="s">
        <v>1209</v>
      </c>
    </row>
    <row r="557" spans="1:76" ht="13.5" customHeight="1" x14ac:dyDescent="0.25">
      <c r="A557" s="42"/>
      <c r="C557" s="43"/>
      <c r="D557" s="95" t="s">
        <v>1210</v>
      </c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7"/>
    </row>
    <row r="558" spans="1:76" ht="15" customHeight="1" x14ac:dyDescent="0.25">
      <c r="A558" s="2" t="s">
        <v>1211</v>
      </c>
      <c r="B558" s="3" t="s">
        <v>55</v>
      </c>
      <c r="C558" s="3" t="s">
        <v>1192</v>
      </c>
      <c r="D558" s="89" t="s">
        <v>1212</v>
      </c>
      <c r="E558" s="90"/>
      <c r="F558" s="3" t="s">
        <v>88</v>
      </c>
      <c r="G558" s="32">
        <v>1</v>
      </c>
      <c r="H558" s="199">
        <v>0</v>
      </c>
      <c r="I558" s="33">
        <v>21</v>
      </c>
      <c r="J558" s="32">
        <f>ROUND(G558*AO558,2)</f>
        <v>0</v>
      </c>
      <c r="K558" s="32">
        <f>ROUND(G558*AP558,2)</f>
        <v>0</v>
      </c>
      <c r="L558" s="32">
        <f>ROUND(G558*H558,2)</f>
        <v>0</v>
      </c>
      <c r="M558" s="32">
        <f>L558*(1+BW558/100)</f>
        <v>0</v>
      </c>
      <c r="N558" s="34">
        <f>IF(L649=0,0,L558/L649)</f>
        <v>0</v>
      </c>
      <c r="O558" s="32">
        <v>0</v>
      </c>
      <c r="P558" s="32">
        <f>G558*O558</f>
        <v>0</v>
      </c>
      <c r="Q558" s="35"/>
      <c r="Z558" s="32">
        <f>ROUND(IF(AQ558="5",BJ558,0),2)</f>
        <v>0</v>
      </c>
      <c r="AB558" s="32">
        <f>ROUND(IF(AQ558="1",BH558,0),2)</f>
        <v>0</v>
      </c>
      <c r="AC558" s="32">
        <f>ROUND(IF(AQ558="1",BI558,0),2)</f>
        <v>0</v>
      </c>
      <c r="AD558" s="32">
        <f>ROUND(IF(AQ558="7",BH558,0),2)</f>
        <v>0</v>
      </c>
      <c r="AE558" s="32">
        <f>ROUND(IF(AQ558="7",BI558,0),2)</f>
        <v>0</v>
      </c>
      <c r="AF558" s="32">
        <f>ROUND(IF(AQ558="2",BH558,0),2)</f>
        <v>0</v>
      </c>
      <c r="AG558" s="32">
        <f>ROUND(IF(AQ558="2",BI558,0),2)</f>
        <v>0</v>
      </c>
      <c r="AH558" s="32">
        <f>ROUND(IF(AQ558="0",BJ558,0),2)</f>
        <v>0</v>
      </c>
      <c r="AI558" s="12" t="s">
        <v>55</v>
      </c>
      <c r="AJ558" s="32">
        <f>IF(AN558=0,L558,0)</f>
        <v>0</v>
      </c>
      <c r="AK558" s="32">
        <f>IF(AN558=12,L558,0)</f>
        <v>0</v>
      </c>
      <c r="AL558" s="32">
        <f>IF(AN558=21,L558,0)</f>
        <v>0</v>
      </c>
      <c r="AN558" s="32">
        <v>21</v>
      </c>
      <c r="AO558" s="32">
        <f>H558*0.85426787</f>
        <v>0</v>
      </c>
      <c r="AP558" s="32">
        <f>H558*(1-0.85426787)</f>
        <v>0</v>
      </c>
      <c r="AQ558" s="36" t="s">
        <v>67</v>
      </c>
      <c r="AV558" s="32">
        <f>ROUND(AW558+AX558,2)</f>
        <v>0</v>
      </c>
      <c r="AW558" s="32">
        <f>ROUND(G558*AO558,2)</f>
        <v>0</v>
      </c>
      <c r="AX558" s="32">
        <f>ROUND(G558*AP558,2)</f>
        <v>0</v>
      </c>
      <c r="AY558" s="36" t="s">
        <v>1184</v>
      </c>
      <c r="AZ558" s="36" t="s">
        <v>1048</v>
      </c>
      <c r="BA558" s="12" t="s">
        <v>65</v>
      </c>
      <c r="BC558" s="32">
        <f>AW558+AX558</f>
        <v>0</v>
      </c>
      <c r="BD558" s="32">
        <f>H558/(100-BE558)*100</f>
        <v>0</v>
      </c>
      <c r="BE558" s="32">
        <v>0</v>
      </c>
      <c r="BF558" s="32">
        <f>P558</f>
        <v>0</v>
      </c>
      <c r="BH558" s="32">
        <f>G558*AO558</f>
        <v>0</v>
      </c>
      <c r="BI558" s="32">
        <f>G558*AP558</f>
        <v>0</v>
      </c>
      <c r="BJ558" s="32">
        <f>G558*H558</f>
        <v>0</v>
      </c>
      <c r="BK558" s="36" t="s">
        <v>66</v>
      </c>
      <c r="BL558" s="32"/>
      <c r="BW558" s="32">
        <f>I558</f>
        <v>21</v>
      </c>
      <c r="BX558" s="4" t="s">
        <v>1212</v>
      </c>
    </row>
    <row r="559" spans="1:76" ht="13.5" customHeight="1" x14ac:dyDescent="0.25">
      <c r="A559" s="42"/>
      <c r="C559" s="43"/>
      <c r="D559" s="95" t="s">
        <v>1213</v>
      </c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7"/>
    </row>
    <row r="560" spans="1:76" x14ac:dyDescent="0.25">
      <c r="A560" s="2" t="s">
        <v>1214</v>
      </c>
      <c r="B560" s="3" t="s">
        <v>55</v>
      </c>
      <c r="C560" s="3" t="s">
        <v>1182</v>
      </c>
      <c r="D560" s="89" t="s">
        <v>1215</v>
      </c>
      <c r="E560" s="90"/>
      <c r="F560" s="3" t="s">
        <v>316</v>
      </c>
      <c r="G560" s="32">
        <v>1</v>
      </c>
      <c r="H560" s="199">
        <v>0</v>
      </c>
      <c r="I560" s="33">
        <v>21</v>
      </c>
      <c r="J560" s="32">
        <f>ROUND(G560*AO560,2)</f>
        <v>0</v>
      </c>
      <c r="K560" s="32">
        <f>ROUND(G560*AP560,2)</f>
        <v>0</v>
      </c>
      <c r="L560" s="32">
        <f>ROUND(G560*H560,2)</f>
        <v>0</v>
      </c>
      <c r="M560" s="32">
        <f>L560*(1+BW560/100)</f>
        <v>0</v>
      </c>
      <c r="N560" s="34">
        <f>IF(L649=0,0,L560/L649)</f>
        <v>0</v>
      </c>
      <c r="O560" s="32">
        <v>0</v>
      </c>
      <c r="P560" s="32">
        <f>G560*O560</f>
        <v>0</v>
      </c>
      <c r="Q560" s="35"/>
      <c r="Z560" s="32">
        <f>ROUND(IF(AQ560="5",BJ560,0),2)</f>
        <v>0</v>
      </c>
      <c r="AB560" s="32">
        <f>ROUND(IF(AQ560="1",BH560,0),2)</f>
        <v>0</v>
      </c>
      <c r="AC560" s="32">
        <f>ROUND(IF(AQ560="1",BI560,0),2)</f>
        <v>0</v>
      </c>
      <c r="AD560" s="32">
        <f>ROUND(IF(AQ560="7",BH560,0),2)</f>
        <v>0</v>
      </c>
      <c r="AE560" s="32">
        <f>ROUND(IF(AQ560="7",BI560,0),2)</f>
        <v>0</v>
      </c>
      <c r="AF560" s="32">
        <f>ROUND(IF(AQ560="2",BH560,0),2)</f>
        <v>0</v>
      </c>
      <c r="AG560" s="32">
        <f>ROUND(IF(AQ560="2",BI560,0),2)</f>
        <v>0</v>
      </c>
      <c r="AH560" s="32">
        <f>ROUND(IF(AQ560="0",BJ560,0),2)</f>
        <v>0</v>
      </c>
      <c r="AI560" s="12" t="s">
        <v>55</v>
      </c>
      <c r="AJ560" s="32">
        <f>IF(AN560=0,L560,0)</f>
        <v>0</v>
      </c>
      <c r="AK560" s="32">
        <f>IF(AN560=12,L560,0)</f>
        <v>0</v>
      </c>
      <c r="AL560" s="32">
        <f>IF(AN560=21,L560,0)</f>
        <v>0</v>
      </c>
      <c r="AN560" s="32">
        <v>21</v>
      </c>
      <c r="AO560" s="32">
        <f>H560*1</f>
        <v>0</v>
      </c>
      <c r="AP560" s="32">
        <f>H560*(1-1)</f>
        <v>0</v>
      </c>
      <c r="AQ560" s="36" t="s">
        <v>62</v>
      </c>
      <c r="AV560" s="32">
        <f>ROUND(AW560+AX560,2)</f>
        <v>0</v>
      </c>
      <c r="AW560" s="32">
        <f>ROUND(G560*AO560,2)</f>
        <v>0</v>
      </c>
      <c r="AX560" s="32">
        <f>ROUND(G560*AP560,2)</f>
        <v>0</v>
      </c>
      <c r="AY560" s="36" t="s">
        <v>1184</v>
      </c>
      <c r="AZ560" s="36" t="s">
        <v>1048</v>
      </c>
      <c r="BA560" s="12" t="s">
        <v>65</v>
      </c>
      <c r="BC560" s="32">
        <f>AW560+AX560</f>
        <v>0</v>
      </c>
      <c r="BD560" s="32">
        <f>H560/(100-BE560)*100</f>
        <v>0</v>
      </c>
      <c r="BE560" s="32">
        <v>0</v>
      </c>
      <c r="BF560" s="32">
        <f>P560</f>
        <v>0</v>
      </c>
      <c r="BH560" s="32">
        <f>G560*AO560</f>
        <v>0</v>
      </c>
      <c r="BI560" s="32">
        <f>G560*AP560</f>
        <v>0</v>
      </c>
      <c r="BJ560" s="32">
        <f>G560*H560</f>
        <v>0</v>
      </c>
      <c r="BK560" s="36" t="s">
        <v>66</v>
      </c>
      <c r="BL560" s="32"/>
      <c r="BW560" s="32">
        <f>I560</f>
        <v>21</v>
      </c>
      <c r="BX560" s="4" t="s">
        <v>1215</v>
      </c>
    </row>
    <row r="561" spans="1:76" x14ac:dyDescent="0.25">
      <c r="A561" s="2" t="s">
        <v>1216</v>
      </c>
      <c r="B561" s="3" t="s">
        <v>55</v>
      </c>
      <c r="C561" s="3" t="s">
        <v>1217</v>
      </c>
      <c r="D561" s="89" t="s">
        <v>1218</v>
      </c>
      <c r="E561" s="90"/>
      <c r="F561" s="3" t="s">
        <v>88</v>
      </c>
      <c r="G561" s="32">
        <v>22</v>
      </c>
      <c r="H561" s="199">
        <v>0</v>
      </c>
      <c r="I561" s="33">
        <v>21</v>
      </c>
      <c r="J561" s="32">
        <f>ROUND(G561*AO561,2)</f>
        <v>0</v>
      </c>
      <c r="K561" s="32">
        <f>ROUND(G561*AP561,2)</f>
        <v>0</v>
      </c>
      <c r="L561" s="32">
        <f>ROUND(G561*H561,2)</f>
        <v>0</v>
      </c>
      <c r="M561" s="32">
        <f>L561*(1+BW561/100)</f>
        <v>0</v>
      </c>
      <c r="N561" s="34">
        <f>IF(L649=0,0,L561/L649)</f>
        <v>0</v>
      </c>
      <c r="O561" s="32">
        <v>0</v>
      </c>
      <c r="P561" s="32">
        <f>G561*O561</f>
        <v>0</v>
      </c>
      <c r="Q561" s="35" t="s">
        <v>77</v>
      </c>
      <c r="Z561" s="32">
        <f>ROUND(IF(AQ561="5",BJ561,0),2)</f>
        <v>0</v>
      </c>
      <c r="AB561" s="32">
        <f>ROUND(IF(AQ561="1",BH561,0),2)</f>
        <v>0</v>
      </c>
      <c r="AC561" s="32">
        <f>ROUND(IF(AQ561="1",BI561,0),2)</f>
        <v>0</v>
      </c>
      <c r="AD561" s="32">
        <f>ROUND(IF(AQ561="7",BH561,0),2)</f>
        <v>0</v>
      </c>
      <c r="AE561" s="32">
        <f>ROUND(IF(AQ561="7",BI561,0),2)</f>
        <v>0</v>
      </c>
      <c r="AF561" s="32">
        <f>ROUND(IF(AQ561="2",BH561,0),2)</f>
        <v>0</v>
      </c>
      <c r="AG561" s="32">
        <f>ROUND(IF(AQ561="2",BI561,0),2)</f>
        <v>0</v>
      </c>
      <c r="AH561" s="32">
        <f>ROUND(IF(AQ561="0",BJ561,0),2)</f>
        <v>0</v>
      </c>
      <c r="AI561" s="12" t="s">
        <v>55</v>
      </c>
      <c r="AJ561" s="32">
        <f>IF(AN561=0,L561,0)</f>
        <v>0</v>
      </c>
      <c r="AK561" s="32">
        <f>IF(AN561=12,L561,0)</f>
        <v>0</v>
      </c>
      <c r="AL561" s="32">
        <f>IF(AN561=21,L561,0)</f>
        <v>0</v>
      </c>
      <c r="AN561" s="32">
        <v>21</v>
      </c>
      <c r="AO561" s="32">
        <f>H561*0</f>
        <v>0</v>
      </c>
      <c r="AP561" s="32">
        <f>H561*(1-0)</f>
        <v>0</v>
      </c>
      <c r="AQ561" s="36" t="s">
        <v>67</v>
      </c>
      <c r="AV561" s="32">
        <f>ROUND(AW561+AX561,2)</f>
        <v>0</v>
      </c>
      <c r="AW561" s="32">
        <f>ROUND(G561*AO561,2)</f>
        <v>0</v>
      </c>
      <c r="AX561" s="32">
        <f>ROUND(G561*AP561,2)</f>
        <v>0</v>
      </c>
      <c r="AY561" s="36" t="s">
        <v>1184</v>
      </c>
      <c r="AZ561" s="36" t="s">
        <v>1048</v>
      </c>
      <c r="BA561" s="12" t="s">
        <v>65</v>
      </c>
      <c r="BC561" s="32">
        <f>AW561+AX561</f>
        <v>0</v>
      </c>
      <c r="BD561" s="32">
        <f>H561/(100-BE561)*100</f>
        <v>0</v>
      </c>
      <c r="BE561" s="32">
        <v>0</v>
      </c>
      <c r="BF561" s="32">
        <f>P561</f>
        <v>0</v>
      </c>
      <c r="BH561" s="32">
        <f>G561*AO561</f>
        <v>0</v>
      </c>
      <c r="BI561" s="32">
        <f>G561*AP561</f>
        <v>0</v>
      </c>
      <c r="BJ561" s="32">
        <f>G561*H561</f>
        <v>0</v>
      </c>
      <c r="BK561" s="36" t="s">
        <v>66</v>
      </c>
      <c r="BL561" s="32"/>
      <c r="BW561" s="32">
        <f>I561</f>
        <v>21</v>
      </c>
      <c r="BX561" s="4" t="s">
        <v>1218</v>
      </c>
    </row>
    <row r="562" spans="1:76" x14ac:dyDescent="0.25">
      <c r="A562" s="2" t="s">
        <v>1219</v>
      </c>
      <c r="B562" s="3" t="s">
        <v>55</v>
      </c>
      <c r="C562" s="3" t="s">
        <v>1220</v>
      </c>
      <c r="D562" s="89" t="s">
        <v>1221</v>
      </c>
      <c r="E562" s="90"/>
      <c r="F562" s="3" t="s">
        <v>88</v>
      </c>
      <c r="G562" s="32">
        <v>7</v>
      </c>
      <c r="H562" s="199">
        <v>0</v>
      </c>
      <c r="I562" s="33">
        <v>21</v>
      </c>
      <c r="J562" s="32">
        <f>ROUND(G562*AO562,2)</f>
        <v>0</v>
      </c>
      <c r="K562" s="32">
        <f>ROUND(G562*AP562,2)</f>
        <v>0</v>
      </c>
      <c r="L562" s="32">
        <f>ROUND(G562*H562,2)</f>
        <v>0</v>
      </c>
      <c r="M562" s="32">
        <f>L562*(1+BW562/100)</f>
        <v>0</v>
      </c>
      <c r="N562" s="34">
        <f>IF(L649=0,0,L562/L649)</f>
        <v>0</v>
      </c>
      <c r="O562" s="32">
        <v>0</v>
      </c>
      <c r="P562" s="32">
        <f>G562*O562</f>
        <v>0</v>
      </c>
      <c r="Q562" s="35" t="s">
        <v>77</v>
      </c>
      <c r="Z562" s="32">
        <f>ROUND(IF(AQ562="5",BJ562,0),2)</f>
        <v>0</v>
      </c>
      <c r="AB562" s="32">
        <f>ROUND(IF(AQ562="1",BH562,0),2)</f>
        <v>0</v>
      </c>
      <c r="AC562" s="32">
        <f>ROUND(IF(AQ562="1",BI562,0),2)</f>
        <v>0</v>
      </c>
      <c r="AD562" s="32">
        <f>ROUND(IF(AQ562="7",BH562,0),2)</f>
        <v>0</v>
      </c>
      <c r="AE562" s="32">
        <f>ROUND(IF(AQ562="7",BI562,0),2)</f>
        <v>0</v>
      </c>
      <c r="AF562" s="32">
        <f>ROUND(IF(AQ562="2",BH562,0),2)</f>
        <v>0</v>
      </c>
      <c r="AG562" s="32">
        <f>ROUND(IF(AQ562="2",BI562,0),2)</f>
        <v>0</v>
      </c>
      <c r="AH562" s="32">
        <f>ROUND(IF(AQ562="0",BJ562,0),2)</f>
        <v>0</v>
      </c>
      <c r="AI562" s="12" t="s">
        <v>55</v>
      </c>
      <c r="AJ562" s="32">
        <f>IF(AN562=0,L562,0)</f>
        <v>0</v>
      </c>
      <c r="AK562" s="32">
        <f>IF(AN562=12,L562,0)</f>
        <v>0</v>
      </c>
      <c r="AL562" s="32">
        <f>IF(AN562=21,L562,0)</f>
        <v>0</v>
      </c>
      <c r="AN562" s="32">
        <v>21</v>
      </c>
      <c r="AO562" s="32">
        <f>H562*0</f>
        <v>0</v>
      </c>
      <c r="AP562" s="32">
        <f>H562*(1-0)</f>
        <v>0</v>
      </c>
      <c r="AQ562" s="36" t="s">
        <v>67</v>
      </c>
      <c r="AV562" s="32">
        <f>ROUND(AW562+AX562,2)</f>
        <v>0</v>
      </c>
      <c r="AW562" s="32">
        <f>ROUND(G562*AO562,2)</f>
        <v>0</v>
      </c>
      <c r="AX562" s="32">
        <f>ROUND(G562*AP562,2)</f>
        <v>0</v>
      </c>
      <c r="AY562" s="36" t="s">
        <v>1184</v>
      </c>
      <c r="AZ562" s="36" t="s">
        <v>1048</v>
      </c>
      <c r="BA562" s="12" t="s">
        <v>65</v>
      </c>
      <c r="BC562" s="32">
        <f>AW562+AX562</f>
        <v>0</v>
      </c>
      <c r="BD562" s="32">
        <f>H562/(100-BE562)*100</f>
        <v>0</v>
      </c>
      <c r="BE562" s="32">
        <v>0</v>
      </c>
      <c r="BF562" s="32">
        <f>P562</f>
        <v>0</v>
      </c>
      <c r="BH562" s="32">
        <f>G562*AO562</f>
        <v>0</v>
      </c>
      <c r="BI562" s="32">
        <f>G562*AP562</f>
        <v>0</v>
      </c>
      <c r="BJ562" s="32">
        <f>G562*H562</f>
        <v>0</v>
      </c>
      <c r="BK562" s="36" t="s">
        <v>66</v>
      </c>
      <c r="BL562" s="32"/>
      <c r="BW562" s="32">
        <f>I562</f>
        <v>21</v>
      </c>
      <c r="BX562" s="4" t="s">
        <v>1221</v>
      </c>
    </row>
    <row r="563" spans="1:76" x14ac:dyDescent="0.25">
      <c r="A563" s="2" t="s">
        <v>1222</v>
      </c>
      <c r="B563" s="3" t="s">
        <v>55</v>
      </c>
      <c r="C563" s="3" t="s">
        <v>1223</v>
      </c>
      <c r="D563" s="89" t="s">
        <v>1224</v>
      </c>
      <c r="E563" s="90"/>
      <c r="F563" s="3" t="s">
        <v>88</v>
      </c>
      <c r="G563" s="32">
        <v>1</v>
      </c>
      <c r="H563" s="199">
        <v>0</v>
      </c>
      <c r="I563" s="33">
        <v>21</v>
      </c>
      <c r="J563" s="32">
        <f>ROUND(G563*AO563,2)</f>
        <v>0</v>
      </c>
      <c r="K563" s="32">
        <f>ROUND(G563*AP563,2)</f>
        <v>0</v>
      </c>
      <c r="L563" s="32">
        <f>ROUND(G563*H563,2)</f>
        <v>0</v>
      </c>
      <c r="M563" s="32">
        <f>L563*(1+BW563/100)</f>
        <v>0</v>
      </c>
      <c r="N563" s="34">
        <f>IF(L649=0,0,L563/L649)</f>
        <v>0</v>
      </c>
      <c r="O563" s="32">
        <v>0</v>
      </c>
      <c r="P563" s="32">
        <f>G563*O563</f>
        <v>0</v>
      </c>
      <c r="Q563" s="35" t="s">
        <v>77</v>
      </c>
      <c r="Z563" s="32">
        <f>ROUND(IF(AQ563="5",BJ563,0),2)</f>
        <v>0</v>
      </c>
      <c r="AB563" s="32">
        <f>ROUND(IF(AQ563="1",BH563,0),2)</f>
        <v>0</v>
      </c>
      <c r="AC563" s="32">
        <f>ROUND(IF(AQ563="1",BI563,0),2)</f>
        <v>0</v>
      </c>
      <c r="AD563" s="32">
        <f>ROUND(IF(AQ563="7",BH563,0),2)</f>
        <v>0</v>
      </c>
      <c r="AE563" s="32">
        <f>ROUND(IF(AQ563="7",BI563,0),2)</f>
        <v>0</v>
      </c>
      <c r="AF563" s="32">
        <f>ROUND(IF(AQ563="2",BH563,0),2)</f>
        <v>0</v>
      </c>
      <c r="AG563" s="32">
        <f>ROUND(IF(AQ563="2",BI563,0),2)</f>
        <v>0</v>
      </c>
      <c r="AH563" s="32">
        <f>ROUND(IF(AQ563="0",BJ563,0),2)</f>
        <v>0</v>
      </c>
      <c r="AI563" s="12" t="s">
        <v>55</v>
      </c>
      <c r="AJ563" s="32">
        <f>IF(AN563=0,L563,0)</f>
        <v>0</v>
      </c>
      <c r="AK563" s="32">
        <f>IF(AN563=12,L563,0)</f>
        <v>0</v>
      </c>
      <c r="AL563" s="32">
        <f>IF(AN563=21,L563,0)</f>
        <v>0</v>
      </c>
      <c r="AN563" s="32">
        <v>21</v>
      </c>
      <c r="AO563" s="32">
        <f>H563*0</f>
        <v>0</v>
      </c>
      <c r="AP563" s="32">
        <f>H563*(1-0)</f>
        <v>0</v>
      </c>
      <c r="AQ563" s="36" t="s">
        <v>67</v>
      </c>
      <c r="AV563" s="32">
        <f>ROUND(AW563+AX563,2)</f>
        <v>0</v>
      </c>
      <c r="AW563" s="32">
        <f>ROUND(G563*AO563,2)</f>
        <v>0</v>
      </c>
      <c r="AX563" s="32">
        <f>ROUND(G563*AP563,2)</f>
        <v>0</v>
      </c>
      <c r="AY563" s="36" t="s">
        <v>1184</v>
      </c>
      <c r="AZ563" s="36" t="s">
        <v>1048</v>
      </c>
      <c r="BA563" s="12" t="s">
        <v>65</v>
      </c>
      <c r="BC563" s="32">
        <f>AW563+AX563</f>
        <v>0</v>
      </c>
      <c r="BD563" s="32">
        <f>H563/(100-BE563)*100</f>
        <v>0</v>
      </c>
      <c r="BE563" s="32">
        <v>0</v>
      </c>
      <c r="BF563" s="32">
        <f>P563</f>
        <v>0</v>
      </c>
      <c r="BH563" s="32">
        <f>G563*AO563</f>
        <v>0</v>
      </c>
      <c r="BI563" s="32">
        <f>G563*AP563</f>
        <v>0</v>
      </c>
      <c r="BJ563" s="32">
        <f>G563*H563</f>
        <v>0</v>
      </c>
      <c r="BK563" s="36" t="s">
        <v>66</v>
      </c>
      <c r="BL563" s="32"/>
      <c r="BW563" s="32">
        <f>I563</f>
        <v>21</v>
      </c>
      <c r="BX563" s="4" t="s">
        <v>1224</v>
      </c>
    </row>
    <row r="564" spans="1:76" x14ac:dyDescent="0.25">
      <c r="A564" s="2" t="s">
        <v>1225</v>
      </c>
      <c r="B564" s="3" t="s">
        <v>55</v>
      </c>
      <c r="C564" s="3" t="s">
        <v>1182</v>
      </c>
      <c r="D564" s="89" t="s">
        <v>1226</v>
      </c>
      <c r="E564" s="90"/>
      <c r="F564" s="3" t="s">
        <v>316</v>
      </c>
      <c r="G564" s="32">
        <v>1</v>
      </c>
      <c r="H564" s="199">
        <v>0</v>
      </c>
      <c r="I564" s="33">
        <v>21</v>
      </c>
      <c r="J564" s="32">
        <f>ROUND(G564*AO564,2)</f>
        <v>0</v>
      </c>
      <c r="K564" s="32">
        <f>ROUND(G564*AP564,2)</f>
        <v>0</v>
      </c>
      <c r="L564" s="32">
        <f>ROUND(G564*H564,2)</f>
        <v>0</v>
      </c>
      <c r="M564" s="32">
        <f>L564*(1+BW564/100)</f>
        <v>0</v>
      </c>
      <c r="N564" s="34">
        <f>IF(L649=0,0,L564/L649)</f>
        <v>0</v>
      </c>
      <c r="O564" s="32">
        <v>0</v>
      </c>
      <c r="P564" s="32">
        <f>G564*O564</f>
        <v>0</v>
      </c>
      <c r="Q564" s="35"/>
      <c r="Z564" s="32">
        <f>ROUND(IF(AQ564="5",BJ564,0),2)</f>
        <v>0</v>
      </c>
      <c r="AB564" s="32">
        <f>ROUND(IF(AQ564="1",BH564,0),2)</f>
        <v>0</v>
      </c>
      <c r="AC564" s="32">
        <f>ROUND(IF(AQ564="1",BI564,0),2)</f>
        <v>0</v>
      </c>
      <c r="AD564" s="32">
        <f>ROUND(IF(AQ564="7",BH564,0),2)</f>
        <v>0</v>
      </c>
      <c r="AE564" s="32">
        <f>ROUND(IF(AQ564="7",BI564,0),2)</f>
        <v>0</v>
      </c>
      <c r="AF564" s="32">
        <f>ROUND(IF(AQ564="2",BH564,0),2)</f>
        <v>0</v>
      </c>
      <c r="AG564" s="32">
        <f>ROUND(IF(AQ564="2",BI564,0),2)</f>
        <v>0</v>
      </c>
      <c r="AH564" s="32">
        <f>ROUND(IF(AQ564="0",BJ564,0),2)</f>
        <v>0</v>
      </c>
      <c r="AI564" s="12" t="s">
        <v>55</v>
      </c>
      <c r="AJ564" s="32">
        <f>IF(AN564=0,L564,0)</f>
        <v>0</v>
      </c>
      <c r="AK564" s="32">
        <f>IF(AN564=12,L564,0)</f>
        <v>0</v>
      </c>
      <c r="AL564" s="32">
        <f>IF(AN564=21,L564,0)</f>
        <v>0</v>
      </c>
      <c r="AN564" s="32">
        <v>21</v>
      </c>
      <c r="AO564" s="32">
        <f>H564*0.594535519</f>
        <v>0</v>
      </c>
      <c r="AP564" s="32">
        <f>H564*(1-0.594535519)</f>
        <v>0</v>
      </c>
      <c r="AQ564" s="36" t="s">
        <v>58</v>
      </c>
      <c r="AV564" s="32">
        <f>ROUND(AW564+AX564,2)</f>
        <v>0</v>
      </c>
      <c r="AW564" s="32">
        <f>ROUND(G564*AO564,2)</f>
        <v>0</v>
      </c>
      <c r="AX564" s="32">
        <f>ROUND(G564*AP564,2)</f>
        <v>0</v>
      </c>
      <c r="AY564" s="36" t="s">
        <v>1184</v>
      </c>
      <c r="AZ564" s="36" t="s">
        <v>1048</v>
      </c>
      <c r="BA564" s="12" t="s">
        <v>65</v>
      </c>
      <c r="BC564" s="32">
        <f>AW564+AX564</f>
        <v>0</v>
      </c>
      <c r="BD564" s="32">
        <f>H564/(100-BE564)*100</f>
        <v>0</v>
      </c>
      <c r="BE564" s="32">
        <v>0</v>
      </c>
      <c r="BF564" s="32">
        <f>P564</f>
        <v>0</v>
      </c>
      <c r="BH564" s="32">
        <f>G564*AO564</f>
        <v>0</v>
      </c>
      <c r="BI564" s="32">
        <f>G564*AP564</f>
        <v>0</v>
      </c>
      <c r="BJ564" s="32">
        <f>G564*H564</f>
        <v>0</v>
      </c>
      <c r="BK564" s="36" t="s">
        <v>66</v>
      </c>
      <c r="BL564" s="32"/>
      <c r="BW564" s="32">
        <f>I564</f>
        <v>21</v>
      </c>
      <c r="BX564" s="4" t="s">
        <v>1226</v>
      </c>
    </row>
    <row r="565" spans="1:76" ht="13.5" customHeight="1" x14ac:dyDescent="0.25">
      <c r="A565" s="42"/>
      <c r="C565" s="43"/>
      <c r="D565" s="95" t="s">
        <v>1227</v>
      </c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7"/>
    </row>
    <row r="566" spans="1:76" x14ac:dyDescent="0.25">
      <c r="A566" s="2" t="s">
        <v>1228</v>
      </c>
      <c r="B566" s="3" t="s">
        <v>55</v>
      </c>
      <c r="C566" s="3" t="s">
        <v>1229</v>
      </c>
      <c r="D566" s="89" t="s">
        <v>1230</v>
      </c>
      <c r="E566" s="90"/>
      <c r="F566" s="3" t="s">
        <v>136</v>
      </c>
      <c r="G566" s="32">
        <v>50</v>
      </c>
      <c r="H566" s="199">
        <v>0</v>
      </c>
      <c r="I566" s="33">
        <v>21</v>
      </c>
      <c r="J566" s="32">
        <f>ROUND(G566*AO566,2)</f>
        <v>0</v>
      </c>
      <c r="K566" s="32">
        <f>ROUND(G566*AP566,2)</f>
        <v>0</v>
      </c>
      <c r="L566" s="32">
        <f>ROUND(G566*H566,2)</f>
        <v>0</v>
      </c>
      <c r="M566" s="32">
        <f>L566*(1+BW566/100)</f>
        <v>0</v>
      </c>
      <c r="N566" s="34">
        <f>IF(L649=0,0,L566/L649)</f>
        <v>0</v>
      </c>
      <c r="O566" s="32">
        <v>1.6000000000000001E-4</v>
      </c>
      <c r="P566" s="32">
        <f>G566*O566</f>
        <v>8.0000000000000002E-3</v>
      </c>
      <c r="Q566" s="35" t="s">
        <v>77</v>
      </c>
      <c r="Z566" s="32">
        <f>ROUND(IF(AQ566="5",BJ566,0),2)</f>
        <v>0</v>
      </c>
      <c r="AB566" s="32">
        <f>ROUND(IF(AQ566="1",BH566,0),2)</f>
        <v>0</v>
      </c>
      <c r="AC566" s="32">
        <f>ROUND(IF(AQ566="1",BI566,0),2)</f>
        <v>0</v>
      </c>
      <c r="AD566" s="32">
        <f>ROUND(IF(AQ566="7",BH566,0),2)</f>
        <v>0</v>
      </c>
      <c r="AE566" s="32">
        <f>ROUND(IF(AQ566="7",BI566,0),2)</f>
        <v>0</v>
      </c>
      <c r="AF566" s="32">
        <f>ROUND(IF(AQ566="2",BH566,0),2)</f>
        <v>0</v>
      </c>
      <c r="AG566" s="32">
        <f>ROUND(IF(AQ566="2",BI566,0),2)</f>
        <v>0</v>
      </c>
      <c r="AH566" s="32">
        <f>ROUND(IF(AQ566="0",BJ566,0),2)</f>
        <v>0</v>
      </c>
      <c r="AI566" s="12" t="s">
        <v>55</v>
      </c>
      <c r="AJ566" s="32">
        <f>IF(AN566=0,L566,0)</f>
        <v>0</v>
      </c>
      <c r="AK566" s="32">
        <f>IF(AN566=12,L566,0)</f>
        <v>0</v>
      </c>
      <c r="AL566" s="32">
        <f>IF(AN566=21,L566,0)</f>
        <v>0</v>
      </c>
      <c r="AN566" s="32">
        <v>21</v>
      </c>
      <c r="AO566" s="32">
        <f>H566*0.293230404</f>
        <v>0</v>
      </c>
      <c r="AP566" s="32">
        <f>H566*(1-0.293230404)</f>
        <v>0</v>
      </c>
      <c r="AQ566" s="36" t="s">
        <v>67</v>
      </c>
      <c r="AV566" s="32">
        <f>ROUND(AW566+AX566,2)</f>
        <v>0</v>
      </c>
      <c r="AW566" s="32">
        <f>ROUND(G566*AO566,2)</f>
        <v>0</v>
      </c>
      <c r="AX566" s="32">
        <f>ROUND(G566*AP566,2)</f>
        <v>0</v>
      </c>
      <c r="AY566" s="36" t="s">
        <v>1184</v>
      </c>
      <c r="AZ566" s="36" t="s">
        <v>1048</v>
      </c>
      <c r="BA566" s="12" t="s">
        <v>65</v>
      </c>
      <c r="BC566" s="32">
        <f>AW566+AX566</f>
        <v>0</v>
      </c>
      <c r="BD566" s="32">
        <f>H566/(100-BE566)*100</f>
        <v>0</v>
      </c>
      <c r="BE566" s="32">
        <v>0</v>
      </c>
      <c r="BF566" s="32">
        <f>P566</f>
        <v>8.0000000000000002E-3</v>
      </c>
      <c r="BH566" s="32">
        <f>G566*AO566</f>
        <v>0</v>
      </c>
      <c r="BI566" s="32">
        <f>G566*AP566</f>
        <v>0</v>
      </c>
      <c r="BJ566" s="32">
        <f>G566*H566</f>
        <v>0</v>
      </c>
      <c r="BK566" s="36" t="s">
        <v>66</v>
      </c>
      <c r="BL566" s="32"/>
      <c r="BW566" s="32">
        <f>I566</f>
        <v>21</v>
      </c>
      <c r="BX566" s="4" t="s">
        <v>1230</v>
      </c>
    </row>
    <row r="567" spans="1:76" ht="13.5" customHeight="1" x14ac:dyDescent="0.25">
      <c r="A567" s="42"/>
      <c r="C567" s="43"/>
      <c r="D567" s="95" t="s">
        <v>1231</v>
      </c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7"/>
    </row>
    <row r="568" spans="1:76" x14ac:dyDescent="0.25">
      <c r="A568" s="2" t="s">
        <v>1232</v>
      </c>
      <c r="B568" s="3" t="s">
        <v>55</v>
      </c>
      <c r="C568" s="3" t="s">
        <v>1233</v>
      </c>
      <c r="D568" s="89" t="s">
        <v>1234</v>
      </c>
      <c r="E568" s="90"/>
      <c r="F568" s="3" t="s">
        <v>136</v>
      </c>
      <c r="G568" s="32">
        <v>50</v>
      </c>
      <c r="H568" s="199">
        <v>0</v>
      </c>
      <c r="I568" s="33">
        <v>21</v>
      </c>
      <c r="J568" s="32">
        <f>ROUND(G568*AO568,2)</f>
        <v>0</v>
      </c>
      <c r="K568" s="32">
        <f>ROUND(G568*AP568,2)</f>
        <v>0</v>
      </c>
      <c r="L568" s="32">
        <f>ROUND(G568*H568,2)</f>
        <v>0</v>
      </c>
      <c r="M568" s="32">
        <f>L568*(1+BW568/100)</f>
        <v>0</v>
      </c>
      <c r="N568" s="34">
        <f>IF(L649=0,0,L568/L649)</f>
        <v>0</v>
      </c>
      <c r="O568" s="32">
        <v>1.1E-4</v>
      </c>
      <c r="P568" s="32">
        <f>G568*O568</f>
        <v>5.5000000000000005E-3</v>
      </c>
      <c r="Q568" s="35" t="s">
        <v>77</v>
      </c>
      <c r="Z568" s="32">
        <f>ROUND(IF(AQ568="5",BJ568,0),2)</f>
        <v>0</v>
      </c>
      <c r="AB568" s="32">
        <f>ROUND(IF(AQ568="1",BH568,0),2)</f>
        <v>0</v>
      </c>
      <c r="AC568" s="32">
        <f>ROUND(IF(AQ568="1",BI568,0),2)</f>
        <v>0</v>
      </c>
      <c r="AD568" s="32">
        <f>ROUND(IF(AQ568="7",BH568,0),2)</f>
        <v>0</v>
      </c>
      <c r="AE568" s="32">
        <f>ROUND(IF(AQ568="7",BI568,0),2)</f>
        <v>0</v>
      </c>
      <c r="AF568" s="32">
        <f>ROUND(IF(AQ568="2",BH568,0),2)</f>
        <v>0</v>
      </c>
      <c r="AG568" s="32">
        <f>ROUND(IF(AQ568="2",BI568,0),2)</f>
        <v>0</v>
      </c>
      <c r="AH568" s="32">
        <f>ROUND(IF(AQ568="0",BJ568,0),2)</f>
        <v>0</v>
      </c>
      <c r="AI568" s="12" t="s">
        <v>55</v>
      </c>
      <c r="AJ568" s="32">
        <f>IF(AN568=0,L568,0)</f>
        <v>0</v>
      </c>
      <c r="AK568" s="32">
        <f>IF(AN568=12,L568,0)</f>
        <v>0</v>
      </c>
      <c r="AL568" s="32">
        <f>IF(AN568=21,L568,0)</f>
        <v>0</v>
      </c>
      <c r="AN568" s="32">
        <v>21</v>
      </c>
      <c r="AO568" s="32">
        <f>H568*0.233875339</f>
        <v>0</v>
      </c>
      <c r="AP568" s="32">
        <f>H568*(1-0.233875339)</f>
        <v>0</v>
      </c>
      <c r="AQ568" s="36" t="s">
        <v>67</v>
      </c>
      <c r="AV568" s="32">
        <f>ROUND(AW568+AX568,2)</f>
        <v>0</v>
      </c>
      <c r="AW568" s="32">
        <f>ROUND(G568*AO568,2)</f>
        <v>0</v>
      </c>
      <c r="AX568" s="32">
        <f>ROUND(G568*AP568,2)</f>
        <v>0</v>
      </c>
      <c r="AY568" s="36" t="s">
        <v>1184</v>
      </c>
      <c r="AZ568" s="36" t="s">
        <v>1048</v>
      </c>
      <c r="BA568" s="12" t="s">
        <v>65</v>
      </c>
      <c r="BC568" s="32">
        <f>AW568+AX568</f>
        <v>0</v>
      </c>
      <c r="BD568" s="32">
        <f>H568/(100-BE568)*100</f>
        <v>0</v>
      </c>
      <c r="BE568" s="32">
        <v>0</v>
      </c>
      <c r="BF568" s="32">
        <f>P568</f>
        <v>5.5000000000000005E-3</v>
      </c>
      <c r="BH568" s="32">
        <f>G568*AO568</f>
        <v>0</v>
      </c>
      <c r="BI568" s="32">
        <f>G568*AP568</f>
        <v>0</v>
      </c>
      <c r="BJ568" s="32">
        <f>G568*H568</f>
        <v>0</v>
      </c>
      <c r="BK568" s="36" t="s">
        <v>66</v>
      </c>
      <c r="BL568" s="32"/>
      <c r="BW568" s="32">
        <f>I568</f>
        <v>21</v>
      </c>
      <c r="BX568" s="4" t="s">
        <v>1234</v>
      </c>
    </row>
    <row r="569" spans="1:76" ht="13.5" customHeight="1" x14ac:dyDescent="0.25">
      <c r="A569" s="42"/>
      <c r="C569" s="43"/>
      <c r="D569" s="95" t="s">
        <v>1235</v>
      </c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7"/>
    </row>
    <row r="570" spans="1:76" x14ac:dyDescent="0.25">
      <c r="A570" s="37" t="s">
        <v>55</v>
      </c>
      <c r="B570" s="38" t="s">
        <v>55</v>
      </c>
      <c r="C570" s="38" t="s">
        <v>1236</v>
      </c>
      <c r="D570" s="98" t="s">
        <v>1237</v>
      </c>
      <c r="E570" s="99"/>
      <c r="F570" s="39" t="s">
        <v>3</v>
      </c>
      <c r="G570" s="39" t="s">
        <v>3</v>
      </c>
      <c r="H570" s="39" t="s">
        <v>3</v>
      </c>
      <c r="I570" s="39" t="s">
        <v>3</v>
      </c>
      <c r="J570" s="1">
        <f>SUM(J571:J588)</f>
        <v>0</v>
      </c>
      <c r="K570" s="1">
        <f>SUM(K571:K588)</f>
        <v>0</v>
      </c>
      <c r="L570" s="1">
        <f>SUM(L571:L588)</f>
        <v>0</v>
      </c>
      <c r="M570" s="1">
        <f>SUM(M571:M588)</f>
        <v>0</v>
      </c>
      <c r="N570" s="40">
        <f>IF(L649=0,0,L570/L649)</f>
        <v>0</v>
      </c>
      <c r="O570" s="12" t="s">
        <v>55</v>
      </c>
      <c r="P570" s="1">
        <f>SUM(P571:P588)</f>
        <v>1.3520000000000001E-2</v>
      </c>
      <c r="Q570" s="41" t="s">
        <v>55</v>
      </c>
      <c r="AI570" s="12" t="s">
        <v>55</v>
      </c>
      <c r="AS570" s="1">
        <f>SUM(AJ571:AJ588)</f>
        <v>0</v>
      </c>
      <c r="AT570" s="1">
        <f>SUM(AK571:AK588)</f>
        <v>0</v>
      </c>
      <c r="AU570" s="1">
        <f>SUM(AL571:AL588)</f>
        <v>0</v>
      </c>
    </row>
    <row r="571" spans="1:76" ht="25.5" x14ac:dyDescent="0.25">
      <c r="A571" s="2" t="s">
        <v>1238</v>
      </c>
      <c r="B571" s="3" t="s">
        <v>55</v>
      </c>
      <c r="C571" s="3" t="s">
        <v>1239</v>
      </c>
      <c r="D571" s="89" t="s">
        <v>1240</v>
      </c>
      <c r="E571" s="90"/>
      <c r="F571" s="3" t="s">
        <v>88</v>
      </c>
      <c r="G571" s="32">
        <v>1</v>
      </c>
      <c r="H571" s="199">
        <v>0</v>
      </c>
      <c r="I571" s="33">
        <v>21</v>
      </c>
      <c r="J571" s="32">
        <f>ROUND(G571*AO571,2)</f>
        <v>0</v>
      </c>
      <c r="K571" s="32">
        <f>ROUND(G571*AP571,2)</f>
        <v>0</v>
      </c>
      <c r="L571" s="32">
        <f>ROUND(G571*H571,2)</f>
        <v>0</v>
      </c>
      <c r="M571" s="32">
        <f>L571*(1+BW571/100)</f>
        <v>0</v>
      </c>
      <c r="N571" s="34">
        <f>IF(L649=0,0,L571/L649)</f>
        <v>0</v>
      </c>
      <c r="O571" s="32">
        <v>1.3520000000000001E-2</v>
      </c>
      <c r="P571" s="32">
        <f>G571*O571</f>
        <v>1.3520000000000001E-2</v>
      </c>
      <c r="Q571" s="35"/>
      <c r="Z571" s="32">
        <f>ROUND(IF(AQ571="5",BJ571,0),2)</f>
        <v>0</v>
      </c>
      <c r="AB571" s="32">
        <f>ROUND(IF(AQ571="1",BH571,0),2)</f>
        <v>0</v>
      </c>
      <c r="AC571" s="32">
        <f>ROUND(IF(AQ571="1",BI571,0),2)</f>
        <v>0</v>
      </c>
      <c r="AD571" s="32">
        <f>ROUND(IF(AQ571="7",BH571,0),2)</f>
        <v>0</v>
      </c>
      <c r="AE571" s="32">
        <f>ROUND(IF(AQ571="7",BI571,0),2)</f>
        <v>0</v>
      </c>
      <c r="AF571" s="32">
        <f>ROUND(IF(AQ571="2",BH571,0),2)</f>
        <v>0</v>
      </c>
      <c r="AG571" s="32">
        <f>ROUND(IF(AQ571="2",BI571,0),2)</f>
        <v>0</v>
      </c>
      <c r="AH571" s="32">
        <f>ROUND(IF(AQ571="0",BJ571,0),2)</f>
        <v>0</v>
      </c>
      <c r="AI571" s="12" t="s">
        <v>55</v>
      </c>
      <c r="AJ571" s="32">
        <f>IF(AN571=0,L571,0)</f>
        <v>0</v>
      </c>
      <c r="AK571" s="32">
        <f>IF(AN571=12,L571,0)</f>
        <v>0</v>
      </c>
      <c r="AL571" s="32">
        <f>IF(AN571=21,L571,0)</f>
        <v>0</v>
      </c>
      <c r="AN571" s="32">
        <v>21</v>
      </c>
      <c r="AO571" s="32">
        <f>H571*0.709776162</f>
        <v>0</v>
      </c>
      <c r="AP571" s="32">
        <f>H571*(1-0.709776162)</f>
        <v>0</v>
      </c>
      <c r="AQ571" s="36" t="s">
        <v>67</v>
      </c>
      <c r="AV571" s="32">
        <f>ROUND(AW571+AX571,2)</f>
        <v>0</v>
      </c>
      <c r="AW571" s="32">
        <f>ROUND(G571*AO571,2)</f>
        <v>0</v>
      </c>
      <c r="AX571" s="32">
        <f>ROUND(G571*AP571,2)</f>
        <v>0</v>
      </c>
      <c r="AY571" s="36" t="s">
        <v>1241</v>
      </c>
      <c r="AZ571" s="36" t="s">
        <v>1048</v>
      </c>
      <c r="BA571" s="12" t="s">
        <v>65</v>
      </c>
      <c r="BC571" s="32">
        <f>AW571+AX571</f>
        <v>0</v>
      </c>
      <c r="BD571" s="32">
        <f>H571/(100-BE571)*100</f>
        <v>0</v>
      </c>
      <c r="BE571" s="32">
        <v>0</v>
      </c>
      <c r="BF571" s="32">
        <f>P571</f>
        <v>1.3520000000000001E-2</v>
      </c>
      <c r="BH571" s="32">
        <f>G571*AO571</f>
        <v>0</v>
      </c>
      <c r="BI571" s="32">
        <f>G571*AP571</f>
        <v>0</v>
      </c>
      <c r="BJ571" s="32">
        <f>G571*H571</f>
        <v>0</v>
      </c>
      <c r="BK571" s="36" t="s">
        <v>66</v>
      </c>
      <c r="BL571" s="32"/>
      <c r="BW571" s="32">
        <f>I571</f>
        <v>21</v>
      </c>
      <c r="BX571" s="4" t="s">
        <v>1240</v>
      </c>
    </row>
    <row r="572" spans="1:76" ht="13.5" customHeight="1" x14ac:dyDescent="0.25">
      <c r="A572" s="42"/>
      <c r="C572" s="43"/>
      <c r="D572" s="95" t="s">
        <v>1242</v>
      </c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7"/>
    </row>
    <row r="573" spans="1:76" x14ac:dyDescent="0.25">
      <c r="A573" s="2" t="s">
        <v>1243</v>
      </c>
      <c r="B573" s="3" t="s">
        <v>55</v>
      </c>
      <c r="C573" s="3" t="s">
        <v>1182</v>
      </c>
      <c r="D573" s="89" t="s">
        <v>1244</v>
      </c>
      <c r="E573" s="90"/>
      <c r="F573" s="3" t="s">
        <v>475</v>
      </c>
      <c r="G573" s="32">
        <v>1</v>
      </c>
      <c r="H573" s="199">
        <v>0</v>
      </c>
      <c r="I573" s="33">
        <v>21</v>
      </c>
      <c r="J573" s="32">
        <f t="shared" ref="J573:J588" si="184">ROUND(G573*AO573,2)</f>
        <v>0</v>
      </c>
      <c r="K573" s="32">
        <f t="shared" ref="K573:K588" si="185">ROUND(G573*AP573,2)</f>
        <v>0</v>
      </c>
      <c r="L573" s="32">
        <f t="shared" ref="L573:L588" si="186">ROUND(G573*H573,2)</f>
        <v>0</v>
      </c>
      <c r="M573" s="32">
        <f t="shared" ref="M573:M588" si="187">L573*(1+BW573/100)</f>
        <v>0</v>
      </c>
      <c r="N573" s="34">
        <f>IF(L649=0,0,L573/L649)</f>
        <v>0</v>
      </c>
      <c r="O573" s="32">
        <v>0</v>
      </c>
      <c r="P573" s="32">
        <f t="shared" ref="P573:P588" si="188">G573*O573</f>
        <v>0</v>
      </c>
      <c r="Q573" s="35"/>
      <c r="Z573" s="32">
        <f t="shared" ref="Z573:Z588" si="189">ROUND(IF(AQ573="5",BJ573,0),2)</f>
        <v>0</v>
      </c>
      <c r="AB573" s="32">
        <f t="shared" ref="AB573:AB588" si="190">ROUND(IF(AQ573="1",BH573,0),2)</f>
        <v>0</v>
      </c>
      <c r="AC573" s="32">
        <f t="shared" ref="AC573:AC588" si="191">ROUND(IF(AQ573="1",BI573,0),2)</f>
        <v>0</v>
      </c>
      <c r="AD573" s="32">
        <f t="shared" ref="AD573:AD588" si="192">ROUND(IF(AQ573="7",BH573,0),2)</f>
        <v>0</v>
      </c>
      <c r="AE573" s="32">
        <f t="shared" ref="AE573:AE588" si="193">ROUND(IF(AQ573="7",BI573,0),2)</f>
        <v>0</v>
      </c>
      <c r="AF573" s="32">
        <f t="shared" ref="AF573:AF588" si="194">ROUND(IF(AQ573="2",BH573,0),2)</f>
        <v>0</v>
      </c>
      <c r="AG573" s="32">
        <f t="shared" ref="AG573:AG588" si="195">ROUND(IF(AQ573="2",BI573,0),2)</f>
        <v>0</v>
      </c>
      <c r="AH573" s="32">
        <f t="shared" ref="AH573:AH588" si="196">ROUND(IF(AQ573="0",BJ573,0),2)</f>
        <v>0</v>
      </c>
      <c r="AI573" s="12" t="s">
        <v>55</v>
      </c>
      <c r="AJ573" s="32">
        <f t="shared" ref="AJ573:AJ588" si="197">IF(AN573=0,L573,0)</f>
        <v>0</v>
      </c>
      <c r="AK573" s="32">
        <f t="shared" ref="AK573:AK588" si="198">IF(AN573=12,L573,0)</f>
        <v>0</v>
      </c>
      <c r="AL573" s="32">
        <f t="shared" ref="AL573:AL588" si="199">IF(AN573=21,L573,0)</f>
        <v>0</v>
      </c>
      <c r="AN573" s="32">
        <v>21</v>
      </c>
      <c r="AO573" s="32">
        <f>H573*0.859782609</f>
        <v>0</v>
      </c>
      <c r="AP573" s="32">
        <f>H573*(1-0.859782609)</f>
        <v>0</v>
      </c>
      <c r="AQ573" s="36" t="s">
        <v>58</v>
      </c>
      <c r="AV573" s="32">
        <f t="shared" ref="AV573:AV588" si="200">ROUND(AW573+AX573,2)</f>
        <v>0</v>
      </c>
      <c r="AW573" s="32">
        <f t="shared" ref="AW573:AW588" si="201">ROUND(G573*AO573,2)</f>
        <v>0</v>
      </c>
      <c r="AX573" s="32">
        <f t="shared" ref="AX573:AX588" si="202">ROUND(G573*AP573,2)</f>
        <v>0</v>
      </c>
      <c r="AY573" s="36" t="s">
        <v>1241</v>
      </c>
      <c r="AZ573" s="36" t="s">
        <v>1048</v>
      </c>
      <c r="BA573" s="12" t="s">
        <v>65</v>
      </c>
      <c r="BC573" s="32">
        <f t="shared" ref="BC573:BC588" si="203">AW573+AX573</f>
        <v>0</v>
      </c>
      <c r="BD573" s="32">
        <f t="shared" ref="BD573:BD588" si="204">H573/(100-BE573)*100</f>
        <v>0</v>
      </c>
      <c r="BE573" s="32">
        <v>0</v>
      </c>
      <c r="BF573" s="32">
        <f t="shared" ref="BF573:BF588" si="205">P573</f>
        <v>0</v>
      </c>
      <c r="BH573" s="32">
        <f t="shared" ref="BH573:BH588" si="206">G573*AO573</f>
        <v>0</v>
      </c>
      <c r="BI573" s="32">
        <f t="shared" ref="BI573:BI588" si="207">G573*AP573</f>
        <v>0</v>
      </c>
      <c r="BJ573" s="32">
        <f t="shared" ref="BJ573:BJ588" si="208">G573*H573</f>
        <v>0</v>
      </c>
      <c r="BK573" s="36" t="s">
        <v>66</v>
      </c>
      <c r="BL573" s="32"/>
      <c r="BW573" s="32">
        <f t="shared" ref="BW573:BW588" si="209">I573</f>
        <v>21</v>
      </c>
      <c r="BX573" s="4" t="s">
        <v>1244</v>
      </c>
    </row>
    <row r="574" spans="1:76" x14ac:dyDescent="0.25">
      <c r="A574" s="2" t="s">
        <v>1245</v>
      </c>
      <c r="B574" s="3" t="s">
        <v>55</v>
      </c>
      <c r="C574" s="3" t="s">
        <v>1246</v>
      </c>
      <c r="D574" s="89" t="s">
        <v>1247</v>
      </c>
      <c r="E574" s="90"/>
      <c r="F574" s="3" t="s">
        <v>88</v>
      </c>
      <c r="G574" s="32">
        <v>11</v>
      </c>
      <c r="H574" s="199">
        <v>0</v>
      </c>
      <c r="I574" s="33">
        <v>21</v>
      </c>
      <c r="J574" s="32">
        <f t="shared" si="184"/>
        <v>0</v>
      </c>
      <c r="K574" s="32">
        <f t="shared" si="185"/>
        <v>0</v>
      </c>
      <c r="L574" s="32">
        <f t="shared" si="186"/>
        <v>0</v>
      </c>
      <c r="M574" s="32">
        <f t="shared" si="187"/>
        <v>0</v>
      </c>
      <c r="N574" s="34">
        <f>IF(L649=0,0,L574/L649)</f>
        <v>0</v>
      </c>
      <c r="O574" s="32">
        <v>0</v>
      </c>
      <c r="P574" s="32">
        <f t="shared" si="188"/>
        <v>0</v>
      </c>
      <c r="Q574" s="35" t="s">
        <v>77</v>
      </c>
      <c r="Z574" s="32">
        <f t="shared" si="189"/>
        <v>0</v>
      </c>
      <c r="AB574" s="32">
        <f t="shared" si="190"/>
        <v>0</v>
      </c>
      <c r="AC574" s="32">
        <f t="shared" si="191"/>
        <v>0</v>
      </c>
      <c r="AD574" s="32">
        <f t="shared" si="192"/>
        <v>0</v>
      </c>
      <c r="AE574" s="32">
        <f t="shared" si="193"/>
        <v>0</v>
      </c>
      <c r="AF574" s="32">
        <f t="shared" si="194"/>
        <v>0</v>
      </c>
      <c r="AG574" s="32">
        <f t="shared" si="195"/>
        <v>0</v>
      </c>
      <c r="AH574" s="32">
        <f t="shared" si="196"/>
        <v>0</v>
      </c>
      <c r="AI574" s="12" t="s">
        <v>55</v>
      </c>
      <c r="AJ574" s="32">
        <f t="shared" si="197"/>
        <v>0</v>
      </c>
      <c r="AK574" s="32">
        <f t="shared" si="198"/>
        <v>0</v>
      </c>
      <c r="AL574" s="32">
        <f t="shared" si="199"/>
        <v>0</v>
      </c>
      <c r="AN574" s="32">
        <v>21</v>
      </c>
      <c r="AO574" s="32">
        <f>H574*0.500357398</f>
        <v>0</v>
      </c>
      <c r="AP574" s="32">
        <f>H574*(1-0.500357398)</f>
        <v>0</v>
      </c>
      <c r="AQ574" s="36" t="s">
        <v>67</v>
      </c>
      <c r="AV574" s="32">
        <f t="shared" si="200"/>
        <v>0</v>
      </c>
      <c r="AW574" s="32">
        <f t="shared" si="201"/>
        <v>0</v>
      </c>
      <c r="AX574" s="32">
        <f t="shared" si="202"/>
        <v>0</v>
      </c>
      <c r="AY574" s="36" t="s">
        <v>1241</v>
      </c>
      <c r="AZ574" s="36" t="s">
        <v>1048</v>
      </c>
      <c r="BA574" s="12" t="s">
        <v>65</v>
      </c>
      <c r="BC574" s="32">
        <f t="shared" si="203"/>
        <v>0</v>
      </c>
      <c r="BD574" s="32">
        <f t="shared" si="204"/>
        <v>0</v>
      </c>
      <c r="BE574" s="32">
        <v>0</v>
      </c>
      <c r="BF574" s="32">
        <f t="shared" si="205"/>
        <v>0</v>
      </c>
      <c r="BH574" s="32">
        <f t="shared" si="206"/>
        <v>0</v>
      </c>
      <c r="BI574" s="32">
        <f t="shared" si="207"/>
        <v>0</v>
      </c>
      <c r="BJ574" s="32">
        <f t="shared" si="208"/>
        <v>0</v>
      </c>
      <c r="BK574" s="36" t="s">
        <v>66</v>
      </c>
      <c r="BL574" s="32"/>
      <c r="BW574" s="32">
        <f t="shared" si="209"/>
        <v>21</v>
      </c>
      <c r="BX574" s="4" t="s">
        <v>1247</v>
      </c>
    </row>
    <row r="575" spans="1:76" x14ac:dyDescent="0.25">
      <c r="A575" s="2" t="s">
        <v>1248</v>
      </c>
      <c r="B575" s="3" t="s">
        <v>55</v>
      </c>
      <c r="C575" s="3" t="s">
        <v>1246</v>
      </c>
      <c r="D575" s="89" t="s">
        <v>1249</v>
      </c>
      <c r="E575" s="90"/>
      <c r="F575" s="3" t="s">
        <v>88</v>
      </c>
      <c r="G575" s="32">
        <v>11</v>
      </c>
      <c r="H575" s="199">
        <v>0</v>
      </c>
      <c r="I575" s="33">
        <v>21</v>
      </c>
      <c r="J575" s="32">
        <f t="shared" si="184"/>
        <v>0</v>
      </c>
      <c r="K575" s="32">
        <f t="shared" si="185"/>
        <v>0</v>
      </c>
      <c r="L575" s="32">
        <f t="shared" si="186"/>
        <v>0</v>
      </c>
      <c r="M575" s="32">
        <f t="shared" si="187"/>
        <v>0</v>
      </c>
      <c r="N575" s="34">
        <f>IF(L649=0,0,L575/L649)</f>
        <v>0</v>
      </c>
      <c r="O575" s="32">
        <v>0</v>
      </c>
      <c r="P575" s="32">
        <f t="shared" si="188"/>
        <v>0</v>
      </c>
      <c r="Q575" s="35" t="s">
        <v>77</v>
      </c>
      <c r="Z575" s="32">
        <f t="shared" si="189"/>
        <v>0</v>
      </c>
      <c r="AB575" s="32">
        <f t="shared" si="190"/>
        <v>0</v>
      </c>
      <c r="AC575" s="32">
        <f t="shared" si="191"/>
        <v>0</v>
      </c>
      <c r="AD575" s="32">
        <f t="shared" si="192"/>
        <v>0</v>
      </c>
      <c r="AE575" s="32">
        <f t="shared" si="193"/>
        <v>0</v>
      </c>
      <c r="AF575" s="32">
        <f t="shared" si="194"/>
        <v>0</v>
      </c>
      <c r="AG575" s="32">
        <f t="shared" si="195"/>
        <v>0</v>
      </c>
      <c r="AH575" s="32">
        <f t="shared" si="196"/>
        <v>0</v>
      </c>
      <c r="AI575" s="12" t="s">
        <v>55</v>
      </c>
      <c r="AJ575" s="32">
        <f t="shared" si="197"/>
        <v>0</v>
      </c>
      <c r="AK575" s="32">
        <f t="shared" si="198"/>
        <v>0</v>
      </c>
      <c r="AL575" s="32">
        <f t="shared" si="199"/>
        <v>0</v>
      </c>
      <c r="AN575" s="32">
        <v>21</v>
      </c>
      <c r="AO575" s="32">
        <f>H575*0.59261301</f>
        <v>0</v>
      </c>
      <c r="AP575" s="32">
        <f>H575*(1-0.59261301)</f>
        <v>0</v>
      </c>
      <c r="AQ575" s="36" t="s">
        <v>67</v>
      </c>
      <c r="AV575" s="32">
        <f t="shared" si="200"/>
        <v>0</v>
      </c>
      <c r="AW575" s="32">
        <f t="shared" si="201"/>
        <v>0</v>
      </c>
      <c r="AX575" s="32">
        <f t="shared" si="202"/>
        <v>0</v>
      </c>
      <c r="AY575" s="36" t="s">
        <v>1241</v>
      </c>
      <c r="AZ575" s="36" t="s">
        <v>1048</v>
      </c>
      <c r="BA575" s="12" t="s">
        <v>65</v>
      </c>
      <c r="BC575" s="32">
        <f t="shared" si="203"/>
        <v>0</v>
      </c>
      <c r="BD575" s="32">
        <f t="shared" si="204"/>
        <v>0</v>
      </c>
      <c r="BE575" s="32">
        <v>0</v>
      </c>
      <c r="BF575" s="32">
        <f t="shared" si="205"/>
        <v>0</v>
      </c>
      <c r="BH575" s="32">
        <f t="shared" si="206"/>
        <v>0</v>
      </c>
      <c r="BI575" s="32">
        <f t="shared" si="207"/>
        <v>0</v>
      </c>
      <c r="BJ575" s="32">
        <f t="shared" si="208"/>
        <v>0</v>
      </c>
      <c r="BK575" s="36" t="s">
        <v>66</v>
      </c>
      <c r="BL575" s="32"/>
      <c r="BW575" s="32">
        <f t="shared" si="209"/>
        <v>21</v>
      </c>
      <c r="BX575" s="4" t="s">
        <v>1249</v>
      </c>
    </row>
    <row r="576" spans="1:76" x14ac:dyDescent="0.25">
      <c r="A576" s="2" t="s">
        <v>1250</v>
      </c>
      <c r="B576" s="3" t="s">
        <v>55</v>
      </c>
      <c r="C576" s="3" t="s">
        <v>1246</v>
      </c>
      <c r="D576" s="89" t="s">
        <v>1251</v>
      </c>
      <c r="E576" s="90"/>
      <c r="F576" s="3" t="s">
        <v>88</v>
      </c>
      <c r="G576" s="32">
        <v>1</v>
      </c>
      <c r="H576" s="199">
        <v>0</v>
      </c>
      <c r="I576" s="33">
        <v>21</v>
      </c>
      <c r="J576" s="32">
        <f t="shared" si="184"/>
        <v>0</v>
      </c>
      <c r="K576" s="32">
        <f t="shared" si="185"/>
        <v>0</v>
      </c>
      <c r="L576" s="32">
        <f t="shared" si="186"/>
        <v>0</v>
      </c>
      <c r="M576" s="32">
        <f t="shared" si="187"/>
        <v>0</v>
      </c>
      <c r="N576" s="34">
        <f>IF(L649=0,0,L576/L649)</f>
        <v>0</v>
      </c>
      <c r="O576" s="32">
        <v>0</v>
      </c>
      <c r="P576" s="32">
        <f t="shared" si="188"/>
        <v>0</v>
      </c>
      <c r="Q576" s="35" t="s">
        <v>77</v>
      </c>
      <c r="Z576" s="32">
        <f t="shared" si="189"/>
        <v>0</v>
      </c>
      <c r="AB576" s="32">
        <f t="shared" si="190"/>
        <v>0</v>
      </c>
      <c r="AC576" s="32">
        <f t="shared" si="191"/>
        <v>0</v>
      </c>
      <c r="AD576" s="32">
        <f t="shared" si="192"/>
        <v>0</v>
      </c>
      <c r="AE576" s="32">
        <f t="shared" si="193"/>
        <v>0</v>
      </c>
      <c r="AF576" s="32">
        <f t="shared" si="194"/>
        <v>0</v>
      </c>
      <c r="AG576" s="32">
        <f t="shared" si="195"/>
        <v>0</v>
      </c>
      <c r="AH576" s="32">
        <f t="shared" si="196"/>
        <v>0</v>
      </c>
      <c r="AI576" s="12" t="s">
        <v>55</v>
      </c>
      <c r="AJ576" s="32">
        <f t="shared" si="197"/>
        <v>0</v>
      </c>
      <c r="AK576" s="32">
        <f t="shared" si="198"/>
        <v>0</v>
      </c>
      <c r="AL576" s="32">
        <f t="shared" si="199"/>
        <v>0</v>
      </c>
      <c r="AN576" s="32">
        <v>21</v>
      </c>
      <c r="AO576" s="32">
        <f>H576*0.439348927</f>
        <v>0</v>
      </c>
      <c r="AP576" s="32">
        <f>H576*(1-0.439348927)</f>
        <v>0</v>
      </c>
      <c r="AQ576" s="36" t="s">
        <v>67</v>
      </c>
      <c r="AV576" s="32">
        <f t="shared" si="200"/>
        <v>0</v>
      </c>
      <c r="AW576" s="32">
        <f t="shared" si="201"/>
        <v>0</v>
      </c>
      <c r="AX576" s="32">
        <f t="shared" si="202"/>
        <v>0</v>
      </c>
      <c r="AY576" s="36" t="s">
        <v>1241</v>
      </c>
      <c r="AZ576" s="36" t="s">
        <v>1048</v>
      </c>
      <c r="BA576" s="12" t="s">
        <v>65</v>
      </c>
      <c r="BC576" s="32">
        <f t="shared" si="203"/>
        <v>0</v>
      </c>
      <c r="BD576" s="32">
        <f t="shared" si="204"/>
        <v>0</v>
      </c>
      <c r="BE576" s="32">
        <v>0</v>
      </c>
      <c r="BF576" s="32">
        <f t="shared" si="205"/>
        <v>0</v>
      </c>
      <c r="BH576" s="32">
        <f t="shared" si="206"/>
        <v>0</v>
      </c>
      <c r="BI576" s="32">
        <f t="shared" si="207"/>
        <v>0</v>
      </c>
      <c r="BJ576" s="32">
        <f t="shared" si="208"/>
        <v>0</v>
      </c>
      <c r="BK576" s="36" t="s">
        <v>66</v>
      </c>
      <c r="BL576" s="32"/>
      <c r="BW576" s="32">
        <f t="shared" si="209"/>
        <v>21</v>
      </c>
      <c r="BX576" s="4" t="s">
        <v>1251</v>
      </c>
    </row>
    <row r="577" spans="1:76" x14ac:dyDescent="0.25">
      <c r="A577" s="2" t="s">
        <v>1252</v>
      </c>
      <c r="B577" s="3" t="s">
        <v>55</v>
      </c>
      <c r="C577" s="3" t="s">
        <v>1246</v>
      </c>
      <c r="D577" s="89" t="s">
        <v>1253</v>
      </c>
      <c r="E577" s="90"/>
      <c r="F577" s="3" t="s">
        <v>88</v>
      </c>
      <c r="G577" s="32">
        <v>11</v>
      </c>
      <c r="H577" s="199">
        <v>0</v>
      </c>
      <c r="I577" s="33">
        <v>21</v>
      </c>
      <c r="J577" s="32">
        <f t="shared" si="184"/>
        <v>0</v>
      </c>
      <c r="K577" s="32">
        <f t="shared" si="185"/>
        <v>0</v>
      </c>
      <c r="L577" s="32">
        <f t="shared" si="186"/>
        <v>0</v>
      </c>
      <c r="M577" s="32">
        <f t="shared" si="187"/>
        <v>0</v>
      </c>
      <c r="N577" s="34">
        <f>IF(L649=0,0,L577/L649)</f>
        <v>0</v>
      </c>
      <c r="O577" s="32">
        <v>0</v>
      </c>
      <c r="P577" s="32">
        <f t="shared" si="188"/>
        <v>0</v>
      </c>
      <c r="Q577" s="35" t="s">
        <v>77</v>
      </c>
      <c r="Z577" s="32">
        <f t="shared" si="189"/>
        <v>0</v>
      </c>
      <c r="AB577" s="32">
        <f t="shared" si="190"/>
        <v>0</v>
      </c>
      <c r="AC577" s="32">
        <f t="shared" si="191"/>
        <v>0</v>
      </c>
      <c r="AD577" s="32">
        <f t="shared" si="192"/>
        <v>0</v>
      </c>
      <c r="AE577" s="32">
        <f t="shared" si="193"/>
        <v>0</v>
      </c>
      <c r="AF577" s="32">
        <f t="shared" si="194"/>
        <v>0</v>
      </c>
      <c r="AG577" s="32">
        <f t="shared" si="195"/>
        <v>0</v>
      </c>
      <c r="AH577" s="32">
        <f t="shared" si="196"/>
        <v>0</v>
      </c>
      <c r="AI577" s="12" t="s">
        <v>55</v>
      </c>
      <c r="AJ577" s="32">
        <f t="shared" si="197"/>
        <v>0</v>
      </c>
      <c r="AK577" s="32">
        <f t="shared" si="198"/>
        <v>0</v>
      </c>
      <c r="AL577" s="32">
        <f t="shared" si="199"/>
        <v>0</v>
      </c>
      <c r="AN577" s="32">
        <v>21</v>
      </c>
      <c r="AO577" s="32">
        <f>H577*0.52315029</f>
        <v>0</v>
      </c>
      <c r="AP577" s="32">
        <f>H577*(1-0.52315029)</f>
        <v>0</v>
      </c>
      <c r="AQ577" s="36" t="s">
        <v>67</v>
      </c>
      <c r="AV577" s="32">
        <f t="shared" si="200"/>
        <v>0</v>
      </c>
      <c r="AW577" s="32">
        <f t="shared" si="201"/>
        <v>0</v>
      </c>
      <c r="AX577" s="32">
        <f t="shared" si="202"/>
        <v>0</v>
      </c>
      <c r="AY577" s="36" t="s">
        <v>1241</v>
      </c>
      <c r="AZ577" s="36" t="s">
        <v>1048</v>
      </c>
      <c r="BA577" s="12" t="s">
        <v>65</v>
      </c>
      <c r="BC577" s="32">
        <f t="shared" si="203"/>
        <v>0</v>
      </c>
      <c r="BD577" s="32">
        <f t="shared" si="204"/>
        <v>0</v>
      </c>
      <c r="BE577" s="32">
        <v>0</v>
      </c>
      <c r="BF577" s="32">
        <f t="shared" si="205"/>
        <v>0</v>
      </c>
      <c r="BH577" s="32">
        <f t="shared" si="206"/>
        <v>0</v>
      </c>
      <c r="BI577" s="32">
        <f t="shared" si="207"/>
        <v>0</v>
      </c>
      <c r="BJ577" s="32">
        <f t="shared" si="208"/>
        <v>0</v>
      </c>
      <c r="BK577" s="36" t="s">
        <v>66</v>
      </c>
      <c r="BL577" s="32"/>
      <c r="BW577" s="32">
        <f t="shared" si="209"/>
        <v>21</v>
      </c>
      <c r="BX577" s="4" t="s">
        <v>1253</v>
      </c>
    </row>
    <row r="578" spans="1:76" x14ac:dyDescent="0.25">
      <c r="A578" s="2" t="s">
        <v>1254</v>
      </c>
      <c r="B578" s="3" t="s">
        <v>55</v>
      </c>
      <c r="C578" s="3" t="s">
        <v>1255</v>
      </c>
      <c r="D578" s="89" t="s">
        <v>1256</v>
      </c>
      <c r="E578" s="90"/>
      <c r="F578" s="3" t="s">
        <v>88</v>
      </c>
      <c r="G578" s="32">
        <v>1</v>
      </c>
      <c r="H578" s="199">
        <v>0</v>
      </c>
      <c r="I578" s="33">
        <v>21</v>
      </c>
      <c r="J578" s="32">
        <f t="shared" si="184"/>
        <v>0</v>
      </c>
      <c r="K578" s="32">
        <f t="shared" si="185"/>
        <v>0</v>
      </c>
      <c r="L578" s="32">
        <f t="shared" si="186"/>
        <v>0</v>
      </c>
      <c r="M578" s="32">
        <f t="shared" si="187"/>
        <v>0</v>
      </c>
      <c r="N578" s="34">
        <f>IF(L649=0,0,L578/L649)</f>
        <v>0</v>
      </c>
      <c r="O578" s="32">
        <v>0</v>
      </c>
      <c r="P578" s="32">
        <f t="shared" si="188"/>
        <v>0</v>
      </c>
      <c r="Q578" s="35" t="s">
        <v>77</v>
      </c>
      <c r="Z578" s="32">
        <f t="shared" si="189"/>
        <v>0</v>
      </c>
      <c r="AB578" s="32">
        <f t="shared" si="190"/>
        <v>0</v>
      </c>
      <c r="AC578" s="32">
        <f t="shared" si="191"/>
        <v>0</v>
      </c>
      <c r="AD578" s="32">
        <f t="shared" si="192"/>
        <v>0</v>
      </c>
      <c r="AE578" s="32">
        <f t="shared" si="193"/>
        <v>0</v>
      </c>
      <c r="AF578" s="32">
        <f t="shared" si="194"/>
        <v>0</v>
      </c>
      <c r="AG578" s="32">
        <f t="shared" si="195"/>
        <v>0</v>
      </c>
      <c r="AH578" s="32">
        <f t="shared" si="196"/>
        <v>0</v>
      </c>
      <c r="AI578" s="12" t="s">
        <v>55</v>
      </c>
      <c r="AJ578" s="32">
        <f t="shared" si="197"/>
        <v>0</v>
      </c>
      <c r="AK578" s="32">
        <f t="shared" si="198"/>
        <v>0</v>
      </c>
      <c r="AL578" s="32">
        <f t="shared" si="199"/>
        <v>0</v>
      </c>
      <c r="AN578" s="32">
        <v>21</v>
      </c>
      <c r="AO578" s="32">
        <f>H578*0.603815937</f>
        <v>0</v>
      </c>
      <c r="AP578" s="32">
        <f>H578*(1-0.603815937)</f>
        <v>0</v>
      </c>
      <c r="AQ578" s="36" t="s">
        <v>67</v>
      </c>
      <c r="AV578" s="32">
        <f t="shared" si="200"/>
        <v>0</v>
      </c>
      <c r="AW578" s="32">
        <f t="shared" si="201"/>
        <v>0</v>
      </c>
      <c r="AX578" s="32">
        <f t="shared" si="202"/>
        <v>0</v>
      </c>
      <c r="AY578" s="36" t="s">
        <v>1241</v>
      </c>
      <c r="AZ578" s="36" t="s">
        <v>1048</v>
      </c>
      <c r="BA578" s="12" t="s">
        <v>65</v>
      </c>
      <c r="BC578" s="32">
        <f t="shared" si="203"/>
        <v>0</v>
      </c>
      <c r="BD578" s="32">
        <f t="shared" si="204"/>
        <v>0</v>
      </c>
      <c r="BE578" s="32">
        <v>0</v>
      </c>
      <c r="BF578" s="32">
        <f t="shared" si="205"/>
        <v>0</v>
      </c>
      <c r="BH578" s="32">
        <f t="shared" si="206"/>
        <v>0</v>
      </c>
      <c r="BI578" s="32">
        <f t="shared" si="207"/>
        <v>0</v>
      </c>
      <c r="BJ578" s="32">
        <f t="shared" si="208"/>
        <v>0</v>
      </c>
      <c r="BK578" s="36" t="s">
        <v>66</v>
      </c>
      <c r="BL578" s="32"/>
      <c r="BW578" s="32">
        <f t="shared" si="209"/>
        <v>21</v>
      </c>
      <c r="BX578" s="4" t="s">
        <v>1256</v>
      </c>
    </row>
    <row r="579" spans="1:76" x14ac:dyDescent="0.25">
      <c r="A579" s="2" t="s">
        <v>1257</v>
      </c>
      <c r="B579" s="3" t="s">
        <v>55</v>
      </c>
      <c r="C579" s="3" t="s">
        <v>1255</v>
      </c>
      <c r="D579" s="89" t="s">
        <v>1258</v>
      </c>
      <c r="E579" s="90"/>
      <c r="F579" s="3" t="s">
        <v>88</v>
      </c>
      <c r="G579" s="32">
        <v>1</v>
      </c>
      <c r="H579" s="199">
        <v>0</v>
      </c>
      <c r="I579" s="33">
        <v>21</v>
      </c>
      <c r="J579" s="32">
        <f t="shared" si="184"/>
        <v>0</v>
      </c>
      <c r="K579" s="32">
        <f t="shared" si="185"/>
        <v>0</v>
      </c>
      <c r="L579" s="32">
        <f t="shared" si="186"/>
        <v>0</v>
      </c>
      <c r="M579" s="32">
        <f t="shared" si="187"/>
        <v>0</v>
      </c>
      <c r="N579" s="34">
        <f>IF(L649=0,0,L579/L649)</f>
        <v>0</v>
      </c>
      <c r="O579" s="32">
        <v>0</v>
      </c>
      <c r="P579" s="32">
        <f t="shared" si="188"/>
        <v>0</v>
      </c>
      <c r="Q579" s="35" t="s">
        <v>77</v>
      </c>
      <c r="Z579" s="32">
        <f t="shared" si="189"/>
        <v>0</v>
      </c>
      <c r="AB579" s="32">
        <f t="shared" si="190"/>
        <v>0</v>
      </c>
      <c r="AC579" s="32">
        <f t="shared" si="191"/>
        <v>0</v>
      </c>
      <c r="AD579" s="32">
        <f t="shared" si="192"/>
        <v>0</v>
      </c>
      <c r="AE579" s="32">
        <f t="shared" si="193"/>
        <v>0</v>
      </c>
      <c r="AF579" s="32">
        <f t="shared" si="194"/>
        <v>0</v>
      </c>
      <c r="AG579" s="32">
        <f t="shared" si="195"/>
        <v>0</v>
      </c>
      <c r="AH579" s="32">
        <f t="shared" si="196"/>
        <v>0</v>
      </c>
      <c r="AI579" s="12" t="s">
        <v>55</v>
      </c>
      <c r="AJ579" s="32">
        <f t="shared" si="197"/>
        <v>0</v>
      </c>
      <c r="AK579" s="32">
        <f t="shared" si="198"/>
        <v>0</v>
      </c>
      <c r="AL579" s="32">
        <f t="shared" si="199"/>
        <v>0</v>
      </c>
      <c r="AN579" s="32">
        <v>21</v>
      </c>
      <c r="AO579" s="32">
        <f>H579*0.603815937</f>
        <v>0</v>
      </c>
      <c r="AP579" s="32">
        <f>H579*(1-0.603815937)</f>
        <v>0</v>
      </c>
      <c r="AQ579" s="36" t="s">
        <v>67</v>
      </c>
      <c r="AV579" s="32">
        <f t="shared" si="200"/>
        <v>0</v>
      </c>
      <c r="AW579" s="32">
        <f t="shared" si="201"/>
        <v>0</v>
      </c>
      <c r="AX579" s="32">
        <f t="shared" si="202"/>
        <v>0</v>
      </c>
      <c r="AY579" s="36" t="s">
        <v>1241</v>
      </c>
      <c r="AZ579" s="36" t="s">
        <v>1048</v>
      </c>
      <c r="BA579" s="12" t="s">
        <v>65</v>
      </c>
      <c r="BC579" s="32">
        <f t="shared" si="203"/>
        <v>0</v>
      </c>
      <c r="BD579" s="32">
        <f t="shared" si="204"/>
        <v>0</v>
      </c>
      <c r="BE579" s="32">
        <v>0</v>
      </c>
      <c r="BF579" s="32">
        <f t="shared" si="205"/>
        <v>0</v>
      </c>
      <c r="BH579" s="32">
        <f t="shared" si="206"/>
        <v>0</v>
      </c>
      <c r="BI579" s="32">
        <f t="shared" si="207"/>
        <v>0</v>
      </c>
      <c r="BJ579" s="32">
        <f t="shared" si="208"/>
        <v>0</v>
      </c>
      <c r="BK579" s="36" t="s">
        <v>66</v>
      </c>
      <c r="BL579" s="32"/>
      <c r="BW579" s="32">
        <f t="shared" si="209"/>
        <v>21</v>
      </c>
      <c r="BX579" s="4" t="s">
        <v>1258</v>
      </c>
    </row>
    <row r="580" spans="1:76" x14ac:dyDescent="0.25">
      <c r="A580" s="2" t="s">
        <v>1259</v>
      </c>
      <c r="B580" s="3" t="s">
        <v>55</v>
      </c>
      <c r="C580" s="3" t="s">
        <v>1182</v>
      </c>
      <c r="D580" s="89" t="s">
        <v>1260</v>
      </c>
      <c r="E580" s="90"/>
      <c r="F580" s="3" t="s">
        <v>88</v>
      </c>
      <c r="G580" s="32">
        <v>4</v>
      </c>
      <c r="H580" s="199">
        <v>0</v>
      </c>
      <c r="I580" s="33">
        <v>21</v>
      </c>
      <c r="J580" s="32">
        <f t="shared" si="184"/>
        <v>0</v>
      </c>
      <c r="K580" s="32">
        <f t="shared" si="185"/>
        <v>0</v>
      </c>
      <c r="L580" s="32">
        <f t="shared" si="186"/>
        <v>0</v>
      </c>
      <c r="M580" s="32">
        <f t="shared" si="187"/>
        <v>0</v>
      </c>
      <c r="N580" s="34">
        <f>IF(L649=0,0,L580/L649)</f>
        <v>0</v>
      </c>
      <c r="O580" s="32">
        <v>0</v>
      </c>
      <c r="P580" s="32">
        <f t="shared" si="188"/>
        <v>0</v>
      </c>
      <c r="Q580" s="35"/>
      <c r="Z580" s="32">
        <f t="shared" si="189"/>
        <v>0</v>
      </c>
      <c r="AB580" s="32">
        <f t="shared" si="190"/>
        <v>0</v>
      </c>
      <c r="AC580" s="32">
        <f t="shared" si="191"/>
        <v>0</v>
      </c>
      <c r="AD580" s="32">
        <f t="shared" si="192"/>
        <v>0</v>
      </c>
      <c r="AE580" s="32">
        <f t="shared" si="193"/>
        <v>0</v>
      </c>
      <c r="AF580" s="32">
        <f t="shared" si="194"/>
        <v>0</v>
      </c>
      <c r="AG580" s="32">
        <f t="shared" si="195"/>
        <v>0</v>
      </c>
      <c r="AH580" s="32">
        <f t="shared" si="196"/>
        <v>0</v>
      </c>
      <c r="AI580" s="12" t="s">
        <v>55</v>
      </c>
      <c r="AJ580" s="32">
        <f t="shared" si="197"/>
        <v>0</v>
      </c>
      <c r="AK580" s="32">
        <f t="shared" si="198"/>
        <v>0</v>
      </c>
      <c r="AL580" s="32">
        <f t="shared" si="199"/>
        <v>0</v>
      </c>
      <c r="AN580" s="32">
        <v>21</v>
      </c>
      <c r="AO580" s="32">
        <f>H580*0.824593128</f>
        <v>0</v>
      </c>
      <c r="AP580" s="32">
        <f>H580*(1-0.824593128)</f>
        <v>0</v>
      </c>
      <c r="AQ580" s="36" t="s">
        <v>58</v>
      </c>
      <c r="AV580" s="32">
        <f t="shared" si="200"/>
        <v>0</v>
      </c>
      <c r="AW580" s="32">
        <f t="shared" si="201"/>
        <v>0</v>
      </c>
      <c r="AX580" s="32">
        <f t="shared" si="202"/>
        <v>0</v>
      </c>
      <c r="AY580" s="36" t="s">
        <v>1241</v>
      </c>
      <c r="AZ580" s="36" t="s">
        <v>1048</v>
      </c>
      <c r="BA580" s="12" t="s">
        <v>65</v>
      </c>
      <c r="BC580" s="32">
        <f t="shared" si="203"/>
        <v>0</v>
      </c>
      <c r="BD580" s="32">
        <f t="shared" si="204"/>
        <v>0</v>
      </c>
      <c r="BE580" s="32">
        <v>0</v>
      </c>
      <c r="BF580" s="32">
        <f t="shared" si="205"/>
        <v>0</v>
      </c>
      <c r="BH580" s="32">
        <f t="shared" si="206"/>
        <v>0</v>
      </c>
      <c r="BI580" s="32">
        <f t="shared" si="207"/>
        <v>0</v>
      </c>
      <c r="BJ580" s="32">
        <f t="shared" si="208"/>
        <v>0</v>
      </c>
      <c r="BK580" s="36" t="s">
        <v>66</v>
      </c>
      <c r="BL580" s="32"/>
      <c r="BW580" s="32">
        <f t="shared" si="209"/>
        <v>21</v>
      </c>
      <c r="BX580" s="4" t="s">
        <v>1260</v>
      </c>
    </row>
    <row r="581" spans="1:76" x14ac:dyDescent="0.25">
      <c r="A581" s="2" t="s">
        <v>1261</v>
      </c>
      <c r="B581" s="3" t="s">
        <v>55</v>
      </c>
      <c r="C581" s="3" t="s">
        <v>1182</v>
      </c>
      <c r="D581" s="89" t="s">
        <v>1262</v>
      </c>
      <c r="E581" s="90"/>
      <c r="F581" s="3" t="s">
        <v>88</v>
      </c>
      <c r="G581" s="32">
        <v>2</v>
      </c>
      <c r="H581" s="199">
        <v>0</v>
      </c>
      <c r="I581" s="33">
        <v>21</v>
      </c>
      <c r="J581" s="32">
        <f t="shared" si="184"/>
        <v>0</v>
      </c>
      <c r="K581" s="32">
        <f t="shared" si="185"/>
        <v>0</v>
      </c>
      <c r="L581" s="32">
        <f t="shared" si="186"/>
        <v>0</v>
      </c>
      <c r="M581" s="32">
        <f t="shared" si="187"/>
        <v>0</v>
      </c>
      <c r="N581" s="34">
        <f>IF(L649=0,0,L581/L649)</f>
        <v>0</v>
      </c>
      <c r="O581" s="32">
        <v>0</v>
      </c>
      <c r="P581" s="32">
        <f t="shared" si="188"/>
        <v>0</v>
      </c>
      <c r="Q581" s="35"/>
      <c r="Z581" s="32">
        <f t="shared" si="189"/>
        <v>0</v>
      </c>
      <c r="AB581" s="32">
        <f t="shared" si="190"/>
        <v>0</v>
      </c>
      <c r="AC581" s="32">
        <f t="shared" si="191"/>
        <v>0</v>
      </c>
      <c r="AD581" s="32">
        <f t="shared" si="192"/>
        <v>0</v>
      </c>
      <c r="AE581" s="32">
        <f t="shared" si="193"/>
        <v>0</v>
      </c>
      <c r="AF581" s="32">
        <f t="shared" si="194"/>
        <v>0</v>
      </c>
      <c r="AG581" s="32">
        <f t="shared" si="195"/>
        <v>0</v>
      </c>
      <c r="AH581" s="32">
        <f t="shared" si="196"/>
        <v>0</v>
      </c>
      <c r="AI581" s="12" t="s">
        <v>55</v>
      </c>
      <c r="AJ581" s="32">
        <f t="shared" si="197"/>
        <v>0</v>
      </c>
      <c r="AK581" s="32">
        <f t="shared" si="198"/>
        <v>0</v>
      </c>
      <c r="AL581" s="32">
        <f t="shared" si="199"/>
        <v>0</v>
      </c>
      <c r="AN581" s="32">
        <v>21</v>
      </c>
      <c r="AO581" s="32">
        <f>H581*0.825695581</f>
        <v>0</v>
      </c>
      <c r="AP581" s="32">
        <f>H581*(1-0.825695581)</f>
        <v>0</v>
      </c>
      <c r="AQ581" s="36" t="s">
        <v>58</v>
      </c>
      <c r="AV581" s="32">
        <f t="shared" si="200"/>
        <v>0</v>
      </c>
      <c r="AW581" s="32">
        <f t="shared" si="201"/>
        <v>0</v>
      </c>
      <c r="AX581" s="32">
        <f t="shared" si="202"/>
        <v>0</v>
      </c>
      <c r="AY581" s="36" t="s">
        <v>1241</v>
      </c>
      <c r="AZ581" s="36" t="s">
        <v>1048</v>
      </c>
      <c r="BA581" s="12" t="s">
        <v>65</v>
      </c>
      <c r="BC581" s="32">
        <f t="shared" si="203"/>
        <v>0</v>
      </c>
      <c r="BD581" s="32">
        <f t="shared" si="204"/>
        <v>0</v>
      </c>
      <c r="BE581" s="32">
        <v>0</v>
      </c>
      <c r="BF581" s="32">
        <f t="shared" si="205"/>
        <v>0</v>
      </c>
      <c r="BH581" s="32">
        <f t="shared" si="206"/>
        <v>0</v>
      </c>
      <c r="BI581" s="32">
        <f t="shared" si="207"/>
        <v>0</v>
      </c>
      <c r="BJ581" s="32">
        <f t="shared" si="208"/>
        <v>0</v>
      </c>
      <c r="BK581" s="36" t="s">
        <v>66</v>
      </c>
      <c r="BL581" s="32"/>
      <c r="BW581" s="32">
        <f t="shared" si="209"/>
        <v>21</v>
      </c>
      <c r="BX581" s="4" t="s">
        <v>1262</v>
      </c>
    </row>
    <row r="582" spans="1:76" x14ac:dyDescent="0.25">
      <c r="A582" s="2" t="s">
        <v>1263</v>
      </c>
      <c r="B582" s="3" t="s">
        <v>55</v>
      </c>
      <c r="C582" s="3" t="s">
        <v>1182</v>
      </c>
      <c r="D582" s="89" t="s">
        <v>1264</v>
      </c>
      <c r="E582" s="90"/>
      <c r="F582" s="3" t="s">
        <v>88</v>
      </c>
      <c r="G582" s="32">
        <v>2</v>
      </c>
      <c r="H582" s="199">
        <v>0</v>
      </c>
      <c r="I582" s="33">
        <v>21</v>
      </c>
      <c r="J582" s="32">
        <f t="shared" si="184"/>
        <v>0</v>
      </c>
      <c r="K582" s="32">
        <f t="shared" si="185"/>
        <v>0</v>
      </c>
      <c r="L582" s="32">
        <f t="shared" si="186"/>
        <v>0</v>
      </c>
      <c r="M582" s="32">
        <f t="shared" si="187"/>
        <v>0</v>
      </c>
      <c r="N582" s="34">
        <f>IF(L649=0,0,L582/L649)</f>
        <v>0</v>
      </c>
      <c r="O582" s="32">
        <v>0</v>
      </c>
      <c r="P582" s="32">
        <f t="shared" si="188"/>
        <v>0</v>
      </c>
      <c r="Q582" s="35"/>
      <c r="Z582" s="32">
        <f t="shared" si="189"/>
        <v>0</v>
      </c>
      <c r="AB582" s="32">
        <f t="shared" si="190"/>
        <v>0</v>
      </c>
      <c r="AC582" s="32">
        <f t="shared" si="191"/>
        <v>0</v>
      </c>
      <c r="AD582" s="32">
        <f t="shared" si="192"/>
        <v>0</v>
      </c>
      <c r="AE582" s="32">
        <f t="shared" si="193"/>
        <v>0</v>
      </c>
      <c r="AF582" s="32">
        <f t="shared" si="194"/>
        <v>0</v>
      </c>
      <c r="AG582" s="32">
        <f t="shared" si="195"/>
        <v>0</v>
      </c>
      <c r="AH582" s="32">
        <f t="shared" si="196"/>
        <v>0</v>
      </c>
      <c r="AI582" s="12" t="s">
        <v>55</v>
      </c>
      <c r="AJ582" s="32">
        <f t="shared" si="197"/>
        <v>0</v>
      </c>
      <c r="AK582" s="32">
        <f t="shared" si="198"/>
        <v>0</v>
      </c>
      <c r="AL582" s="32">
        <f t="shared" si="199"/>
        <v>0</v>
      </c>
      <c r="AN582" s="32">
        <v>21</v>
      </c>
      <c r="AO582" s="32">
        <f>H582*0.438423645</f>
        <v>0</v>
      </c>
      <c r="AP582" s="32">
        <f>H582*(1-0.438423645)</f>
        <v>0</v>
      </c>
      <c r="AQ582" s="36" t="s">
        <v>58</v>
      </c>
      <c r="AV582" s="32">
        <f t="shared" si="200"/>
        <v>0</v>
      </c>
      <c r="AW582" s="32">
        <f t="shared" si="201"/>
        <v>0</v>
      </c>
      <c r="AX582" s="32">
        <f t="shared" si="202"/>
        <v>0</v>
      </c>
      <c r="AY582" s="36" t="s">
        <v>1241</v>
      </c>
      <c r="AZ582" s="36" t="s">
        <v>1048</v>
      </c>
      <c r="BA582" s="12" t="s">
        <v>65</v>
      </c>
      <c r="BC582" s="32">
        <f t="shared" si="203"/>
        <v>0</v>
      </c>
      <c r="BD582" s="32">
        <f t="shared" si="204"/>
        <v>0</v>
      </c>
      <c r="BE582" s="32">
        <v>0</v>
      </c>
      <c r="BF582" s="32">
        <f t="shared" si="205"/>
        <v>0</v>
      </c>
      <c r="BH582" s="32">
        <f t="shared" si="206"/>
        <v>0</v>
      </c>
      <c r="BI582" s="32">
        <f t="shared" si="207"/>
        <v>0</v>
      </c>
      <c r="BJ582" s="32">
        <f t="shared" si="208"/>
        <v>0</v>
      </c>
      <c r="BK582" s="36" t="s">
        <v>66</v>
      </c>
      <c r="BL582" s="32"/>
      <c r="BW582" s="32">
        <f t="shared" si="209"/>
        <v>21</v>
      </c>
      <c r="BX582" s="4" t="s">
        <v>1264</v>
      </c>
    </row>
    <row r="583" spans="1:76" x14ac:dyDescent="0.25">
      <c r="A583" s="2" t="s">
        <v>1265</v>
      </c>
      <c r="B583" s="3" t="s">
        <v>55</v>
      </c>
      <c r="C583" s="3" t="s">
        <v>1182</v>
      </c>
      <c r="D583" s="89" t="s">
        <v>1266</v>
      </c>
      <c r="E583" s="90"/>
      <c r="F583" s="3" t="s">
        <v>88</v>
      </c>
      <c r="G583" s="32">
        <v>2</v>
      </c>
      <c r="H583" s="199">
        <v>0</v>
      </c>
      <c r="I583" s="33">
        <v>21</v>
      </c>
      <c r="J583" s="32">
        <f t="shared" si="184"/>
        <v>0</v>
      </c>
      <c r="K583" s="32">
        <f t="shared" si="185"/>
        <v>0</v>
      </c>
      <c r="L583" s="32">
        <f t="shared" si="186"/>
        <v>0</v>
      </c>
      <c r="M583" s="32">
        <f t="shared" si="187"/>
        <v>0</v>
      </c>
      <c r="N583" s="34">
        <f>IF(L649=0,0,L583/L649)</f>
        <v>0</v>
      </c>
      <c r="O583" s="32">
        <v>0</v>
      </c>
      <c r="P583" s="32">
        <f t="shared" si="188"/>
        <v>0</v>
      </c>
      <c r="Q583" s="35"/>
      <c r="Z583" s="32">
        <f t="shared" si="189"/>
        <v>0</v>
      </c>
      <c r="AB583" s="32">
        <f t="shared" si="190"/>
        <v>0</v>
      </c>
      <c r="AC583" s="32">
        <f t="shared" si="191"/>
        <v>0</v>
      </c>
      <c r="AD583" s="32">
        <f t="shared" si="192"/>
        <v>0</v>
      </c>
      <c r="AE583" s="32">
        <f t="shared" si="193"/>
        <v>0</v>
      </c>
      <c r="AF583" s="32">
        <f t="shared" si="194"/>
        <v>0</v>
      </c>
      <c r="AG583" s="32">
        <f t="shared" si="195"/>
        <v>0</v>
      </c>
      <c r="AH583" s="32">
        <f t="shared" si="196"/>
        <v>0</v>
      </c>
      <c r="AI583" s="12" t="s">
        <v>55</v>
      </c>
      <c r="AJ583" s="32">
        <f t="shared" si="197"/>
        <v>0</v>
      </c>
      <c r="AK583" s="32">
        <f t="shared" si="198"/>
        <v>0</v>
      </c>
      <c r="AL583" s="32">
        <f t="shared" si="199"/>
        <v>0</v>
      </c>
      <c r="AN583" s="32">
        <v>21</v>
      </c>
      <c r="AO583" s="32">
        <f>H583*0.72</f>
        <v>0</v>
      </c>
      <c r="AP583" s="32">
        <f>H583*(1-0.72)</f>
        <v>0</v>
      </c>
      <c r="AQ583" s="36" t="s">
        <v>58</v>
      </c>
      <c r="AV583" s="32">
        <f t="shared" si="200"/>
        <v>0</v>
      </c>
      <c r="AW583" s="32">
        <f t="shared" si="201"/>
        <v>0</v>
      </c>
      <c r="AX583" s="32">
        <f t="shared" si="202"/>
        <v>0</v>
      </c>
      <c r="AY583" s="36" t="s">
        <v>1241</v>
      </c>
      <c r="AZ583" s="36" t="s">
        <v>1048</v>
      </c>
      <c r="BA583" s="12" t="s">
        <v>65</v>
      </c>
      <c r="BC583" s="32">
        <f t="shared" si="203"/>
        <v>0</v>
      </c>
      <c r="BD583" s="32">
        <f t="shared" si="204"/>
        <v>0</v>
      </c>
      <c r="BE583" s="32">
        <v>0</v>
      </c>
      <c r="BF583" s="32">
        <f t="shared" si="205"/>
        <v>0</v>
      </c>
      <c r="BH583" s="32">
        <f t="shared" si="206"/>
        <v>0</v>
      </c>
      <c r="BI583" s="32">
        <f t="shared" si="207"/>
        <v>0</v>
      </c>
      <c r="BJ583" s="32">
        <f t="shared" si="208"/>
        <v>0</v>
      </c>
      <c r="BK583" s="36" t="s">
        <v>66</v>
      </c>
      <c r="BL583" s="32"/>
      <c r="BW583" s="32">
        <f t="shared" si="209"/>
        <v>21</v>
      </c>
      <c r="BX583" s="4" t="s">
        <v>1266</v>
      </c>
    </row>
    <row r="584" spans="1:76" x14ac:dyDescent="0.25">
      <c r="A584" s="2" t="s">
        <v>1267</v>
      </c>
      <c r="B584" s="3" t="s">
        <v>55</v>
      </c>
      <c r="C584" s="3" t="s">
        <v>1268</v>
      </c>
      <c r="D584" s="89" t="s">
        <v>1269</v>
      </c>
      <c r="E584" s="90"/>
      <c r="F584" s="3" t="s">
        <v>88</v>
      </c>
      <c r="G584" s="32">
        <v>1</v>
      </c>
      <c r="H584" s="199">
        <v>0</v>
      </c>
      <c r="I584" s="33">
        <v>21</v>
      </c>
      <c r="J584" s="32">
        <f t="shared" si="184"/>
        <v>0</v>
      </c>
      <c r="K584" s="32">
        <f t="shared" si="185"/>
        <v>0</v>
      </c>
      <c r="L584" s="32">
        <f t="shared" si="186"/>
        <v>0</v>
      </c>
      <c r="M584" s="32">
        <f t="shared" si="187"/>
        <v>0</v>
      </c>
      <c r="N584" s="34">
        <f>IF(L649=0,0,L584/L649)</f>
        <v>0</v>
      </c>
      <c r="O584" s="32">
        <v>0</v>
      </c>
      <c r="P584" s="32">
        <f t="shared" si="188"/>
        <v>0</v>
      </c>
      <c r="Q584" s="35" t="s">
        <v>77</v>
      </c>
      <c r="Z584" s="32">
        <f t="shared" si="189"/>
        <v>0</v>
      </c>
      <c r="AB584" s="32">
        <f t="shared" si="190"/>
        <v>0</v>
      </c>
      <c r="AC584" s="32">
        <f t="shared" si="191"/>
        <v>0</v>
      </c>
      <c r="AD584" s="32">
        <f t="shared" si="192"/>
        <v>0</v>
      </c>
      <c r="AE584" s="32">
        <f t="shared" si="193"/>
        <v>0</v>
      </c>
      <c r="AF584" s="32">
        <f t="shared" si="194"/>
        <v>0</v>
      </c>
      <c r="AG584" s="32">
        <f t="shared" si="195"/>
        <v>0</v>
      </c>
      <c r="AH584" s="32">
        <f t="shared" si="196"/>
        <v>0</v>
      </c>
      <c r="AI584" s="12" t="s">
        <v>55</v>
      </c>
      <c r="AJ584" s="32">
        <f t="shared" si="197"/>
        <v>0</v>
      </c>
      <c r="AK584" s="32">
        <f t="shared" si="198"/>
        <v>0</v>
      </c>
      <c r="AL584" s="32">
        <f t="shared" si="199"/>
        <v>0</v>
      </c>
      <c r="AN584" s="32">
        <v>21</v>
      </c>
      <c r="AO584" s="32">
        <f>H584*0.958494691</f>
        <v>0</v>
      </c>
      <c r="AP584" s="32">
        <f>H584*(1-0.958494691)</f>
        <v>0</v>
      </c>
      <c r="AQ584" s="36" t="s">
        <v>67</v>
      </c>
      <c r="AV584" s="32">
        <f t="shared" si="200"/>
        <v>0</v>
      </c>
      <c r="AW584" s="32">
        <f t="shared" si="201"/>
        <v>0</v>
      </c>
      <c r="AX584" s="32">
        <f t="shared" si="202"/>
        <v>0</v>
      </c>
      <c r="AY584" s="36" t="s">
        <v>1241</v>
      </c>
      <c r="AZ584" s="36" t="s">
        <v>1048</v>
      </c>
      <c r="BA584" s="12" t="s">
        <v>65</v>
      </c>
      <c r="BC584" s="32">
        <f t="shared" si="203"/>
        <v>0</v>
      </c>
      <c r="BD584" s="32">
        <f t="shared" si="204"/>
        <v>0</v>
      </c>
      <c r="BE584" s="32">
        <v>0</v>
      </c>
      <c r="BF584" s="32">
        <f t="shared" si="205"/>
        <v>0</v>
      </c>
      <c r="BH584" s="32">
        <f t="shared" si="206"/>
        <v>0</v>
      </c>
      <c r="BI584" s="32">
        <f t="shared" si="207"/>
        <v>0</v>
      </c>
      <c r="BJ584" s="32">
        <f t="shared" si="208"/>
        <v>0</v>
      </c>
      <c r="BK584" s="36" t="s">
        <v>66</v>
      </c>
      <c r="BL584" s="32"/>
      <c r="BW584" s="32">
        <f t="shared" si="209"/>
        <v>21</v>
      </c>
      <c r="BX584" s="4" t="s">
        <v>1269</v>
      </c>
    </row>
    <row r="585" spans="1:76" x14ac:dyDescent="0.25">
      <c r="A585" s="2" t="s">
        <v>1270</v>
      </c>
      <c r="B585" s="3" t="s">
        <v>55</v>
      </c>
      <c r="C585" s="3" t="s">
        <v>1182</v>
      </c>
      <c r="D585" s="89" t="s">
        <v>1271</v>
      </c>
      <c r="E585" s="90"/>
      <c r="F585" s="3" t="s">
        <v>316</v>
      </c>
      <c r="G585" s="32">
        <v>1</v>
      </c>
      <c r="H585" s="199">
        <v>0</v>
      </c>
      <c r="I585" s="33">
        <v>21</v>
      </c>
      <c r="J585" s="32">
        <f t="shared" si="184"/>
        <v>0</v>
      </c>
      <c r="K585" s="32">
        <f t="shared" si="185"/>
        <v>0</v>
      </c>
      <c r="L585" s="32">
        <f t="shared" si="186"/>
        <v>0</v>
      </c>
      <c r="M585" s="32">
        <f t="shared" si="187"/>
        <v>0</v>
      </c>
      <c r="N585" s="34">
        <f>IF(L649=0,0,L585/L649)</f>
        <v>0</v>
      </c>
      <c r="O585" s="32">
        <v>0</v>
      </c>
      <c r="P585" s="32">
        <f t="shared" si="188"/>
        <v>0</v>
      </c>
      <c r="Q585" s="35"/>
      <c r="Z585" s="32">
        <f t="shared" si="189"/>
        <v>0</v>
      </c>
      <c r="AB585" s="32">
        <f t="shared" si="190"/>
        <v>0</v>
      </c>
      <c r="AC585" s="32">
        <f t="shared" si="191"/>
        <v>0</v>
      </c>
      <c r="AD585" s="32">
        <f t="shared" si="192"/>
        <v>0</v>
      </c>
      <c r="AE585" s="32">
        <f t="shared" si="193"/>
        <v>0</v>
      </c>
      <c r="AF585" s="32">
        <f t="shared" si="194"/>
        <v>0</v>
      </c>
      <c r="AG585" s="32">
        <f t="shared" si="195"/>
        <v>0</v>
      </c>
      <c r="AH585" s="32">
        <f t="shared" si="196"/>
        <v>0</v>
      </c>
      <c r="AI585" s="12" t="s">
        <v>55</v>
      </c>
      <c r="AJ585" s="32">
        <f t="shared" si="197"/>
        <v>0</v>
      </c>
      <c r="AK585" s="32">
        <f t="shared" si="198"/>
        <v>0</v>
      </c>
      <c r="AL585" s="32">
        <f t="shared" si="199"/>
        <v>0</v>
      </c>
      <c r="AN585" s="32">
        <v>21</v>
      </c>
      <c r="AO585" s="32">
        <f>H585*1</f>
        <v>0</v>
      </c>
      <c r="AP585" s="32">
        <f>H585*(1-1)</f>
        <v>0</v>
      </c>
      <c r="AQ585" s="36" t="s">
        <v>58</v>
      </c>
      <c r="AV585" s="32">
        <f t="shared" si="200"/>
        <v>0</v>
      </c>
      <c r="AW585" s="32">
        <f t="shared" si="201"/>
        <v>0</v>
      </c>
      <c r="AX585" s="32">
        <f t="shared" si="202"/>
        <v>0</v>
      </c>
      <c r="AY585" s="36" t="s">
        <v>1241</v>
      </c>
      <c r="AZ585" s="36" t="s">
        <v>1048</v>
      </c>
      <c r="BA585" s="12" t="s">
        <v>65</v>
      </c>
      <c r="BC585" s="32">
        <f t="shared" si="203"/>
        <v>0</v>
      </c>
      <c r="BD585" s="32">
        <f t="shared" si="204"/>
        <v>0</v>
      </c>
      <c r="BE585" s="32">
        <v>0</v>
      </c>
      <c r="BF585" s="32">
        <f t="shared" si="205"/>
        <v>0</v>
      </c>
      <c r="BH585" s="32">
        <f t="shared" si="206"/>
        <v>0</v>
      </c>
      <c r="BI585" s="32">
        <f t="shared" si="207"/>
        <v>0</v>
      </c>
      <c r="BJ585" s="32">
        <f t="shared" si="208"/>
        <v>0</v>
      </c>
      <c r="BK585" s="36" t="s">
        <v>66</v>
      </c>
      <c r="BL585" s="32"/>
      <c r="BW585" s="32">
        <f t="shared" si="209"/>
        <v>21</v>
      </c>
      <c r="BX585" s="4" t="s">
        <v>1271</v>
      </c>
    </row>
    <row r="586" spans="1:76" x14ac:dyDescent="0.25">
      <c r="A586" s="2" t="s">
        <v>1272</v>
      </c>
      <c r="B586" s="3" t="s">
        <v>55</v>
      </c>
      <c r="C586" s="3" t="s">
        <v>1182</v>
      </c>
      <c r="D586" s="89" t="s">
        <v>1226</v>
      </c>
      <c r="E586" s="90"/>
      <c r="F586" s="3" t="s">
        <v>316</v>
      </c>
      <c r="G586" s="32">
        <v>1</v>
      </c>
      <c r="H586" s="199">
        <v>0</v>
      </c>
      <c r="I586" s="33">
        <v>21</v>
      </c>
      <c r="J586" s="32">
        <f t="shared" si="184"/>
        <v>0</v>
      </c>
      <c r="K586" s="32">
        <f t="shared" si="185"/>
        <v>0</v>
      </c>
      <c r="L586" s="32">
        <f t="shared" si="186"/>
        <v>0</v>
      </c>
      <c r="M586" s="32">
        <f t="shared" si="187"/>
        <v>0</v>
      </c>
      <c r="N586" s="34">
        <f>IF(L649=0,0,L586/L649)</f>
        <v>0</v>
      </c>
      <c r="O586" s="32">
        <v>0</v>
      </c>
      <c r="P586" s="32">
        <f t="shared" si="188"/>
        <v>0</v>
      </c>
      <c r="Q586" s="35" t="s">
        <v>55</v>
      </c>
      <c r="Z586" s="32">
        <f t="shared" si="189"/>
        <v>0</v>
      </c>
      <c r="AB586" s="32">
        <f t="shared" si="190"/>
        <v>0</v>
      </c>
      <c r="AC586" s="32">
        <f t="shared" si="191"/>
        <v>0</v>
      </c>
      <c r="AD586" s="32">
        <f t="shared" si="192"/>
        <v>0</v>
      </c>
      <c r="AE586" s="32">
        <f t="shared" si="193"/>
        <v>0</v>
      </c>
      <c r="AF586" s="32">
        <f t="shared" si="194"/>
        <v>0</v>
      </c>
      <c r="AG586" s="32">
        <f t="shared" si="195"/>
        <v>0</v>
      </c>
      <c r="AH586" s="32">
        <f t="shared" si="196"/>
        <v>0</v>
      </c>
      <c r="AI586" s="12" t="s">
        <v>55</v>
      </c>
      <c r="AJ586" s="32">
        <f t="shared" si="197"/>
        <v>0</v>
      </c>
      <c r="AK586" s="32">
        <f t="shared" si="198"/>
        <v>0</v>
      </c>
      <c r="AL586" s="32">
        <f t="shared" si="199"/>
        <v>0</v>
      </c>
      <c r="AN586" s="32">
        <v>21</v>
      </c>
      <c r="AO586" s="32">
        <f>H586*0.467041791</f>
        <v>0</v>
      </c>
      <c r="AP586" s="32">
        <f>H586*(1-0.467041791)</f>
        <v>0</v>
      </c>
      <c r="AQ586" s="36" t="s">
        <v>58</v>
      </c>
      <c r="AV586" s="32">
        <f t="shared" si="200"/>
        <v>0</v>
      </c>
      <c r="AW586" s="32">
        <f t="shared" si="201"/>
        <v>0</v>
      </c>
      <c r="AX586" s="32">
        <f t="shared" si="202"/>
        <v>0</v>
      </c>
      <c r="AY586" s="36" t="s">
        <v>1241</v>
      </c>
      <c r="AZ586" s="36" t="s">
        <v>1048</v>
      </c>
      <c r="BA586" s="12" t="s">
        <v>65</v>
      </c>
      <c r="BC586" s="32">
        <f t="shared" si="203"/>
        <v>0</v>
      </c>
      <c r="BD586" s="32">
        <f t="shared" si="204"/>
        <v>0</v>
      </c>
      <c r="BE586" s="32">
        <v>0</v>
      </c>
      <c r="BF586" s="32">
        <f t="shared" si="205"/>
        <v>0</v>
      </c>
      <c r="BH586" s="32">
        <f t="shared" si="206"/>
        <v>0</v>
      </c>
      <c r="BI586" s="32">
        <f t="shared" si="207"/>
        <v>0</v>
      </c>
      <c r="BJ586" s="32">
        <f t="shared" si="208"/>
        <v>0</v>
      </c>
      <c r="BK586" s="36" t="s">
        <v>66</v>
      </c>
      <c r="BL586" s="32"/>
      <c r="BW586" s="32">
        <f t="shared" si="209"/>
        <v>21</v>
      </c>
      <c r="BX586" s="4" t="s">
        <v>1226</v>
      </c>
    </row>
    <row r="587" spans="1:76" x14ac:dyDescent="0.25">
      <c r="A587" s="2" t="s">
        <v>1273</v>
      </c>
      <c r="B587" s="3" t="s">
        <v>55</v>
      </c>
      <c r="C587" s="3" t="s">
        <v>1182</v>
      </c>
      <c r="D587" s="89" t="s">
        <v>1274</v>
      </c>
      <c r="E587" s="90"/>
      <c r="F587" s="3" t="s">
        <v>316</v>
      </c>
      <c r="G587" s="32">
        <v>1</v>
      </c>
      <c r="H587" s="199">
        <v>0</v>
      </c>
      <c r="I587" s="33">
        <v>21</v>
      </c>
      <c r="J587" s="32">
        <f t="shared" si="184"/>
        <v>0</v>
      </c>
      <c r="K587" s="32">
        <f t="shared" si="185"/>
        <v>0</v>
      </c>
      <c r="L587" s="32">
        <f t="shared" si="186"/>
        <v>0</v>
      </c>
      <c r="M587" s="32">
        <f t="shared" si="187"/>
        <v>0</v>
      </c>
      <c r="N587" s="34">
        <f>IF(L649=0,0,L587/L649)</f>
        <v>0</v>
      </c>
      <c r="O587" s="32">
        <v>0</v>
      </c>
      <c r="P587" s="32">
        <f t="shared" si="188"/>
        <v>0</v>
      </c>
      <c r="Q587" s="35"/>
      <c r="Z587" s="32">
        <f t="shared" si="189"/>
        <v>0</v>
      </c>
      <c r="AB587" s="32">
        <f t="shared" si="190"/>
        <v>0</v>
      </c>
      <c r="AC587" s="32">
        <f t="shared" si="191"/>
        <v>0</v>
      </c>
      <c r="AD587" s="32">
        <f t="shared" si="192"/>
        <v>0</v>
      </c>
      <c r="AE587" s="32">
        <f t="shared" si="193"/>
        <v>0</v>
      </c>
      <c r="AF587" s="32">
        <f t="shared" si="194"/>
        <v>0</v>
      </c>
      <c r="AG587" s="32">
        <f t="shared" si="195"/>
        <v>0</v>
      </c>
      <c r="AH587" s="32">
        <f t="shared" si="196"/>
        <v>0</v>
      </c>
      <c r="AI587" s="12" t="s">
        <v>55</v>
      </c>
      <c r="AJ587" s="32">
        <f t="shared" si="197"/>
        <v>0</v>
      </c>
      <c r="AK587" s="32">
        <f t="shared" si="198"/>
        <v>0</v>
      </c>
      <c r="AL587" s="32">
        <f t="shared" si="199"/>
        <v>0</v>
      </c>
      <c r="AN587" s="32">
        <v>21</v>
      </c>
      <c r="AO587" s="32">
        <f>H587*0.352116625</f>
        <v>0</v>
      </c>
      <c r="AP587" s="32">
        <f>H587*(1-0.352116625)</f>
        <v>0</v>
      </c>
      <c r="AQ587" s="36" t="s">
        <v>58</v>
      </c>
      <c r="AV587" s="32">
        <f t="shared" si="200"/>
        <v>0</v>
      </c>
      <c r="AW587" s="32">
        <f t="shared" si="201"/>
        <v>0</v>
      </c>
      <c r="AX587" s="32">
        <f t="shared" si="202"/>
        <v>0</v>
      </c>
      <c r="AY587" s="36" t="s">
        <v>1241</v>
      </c>
      <c r="AZ587" s="36" t="s">
        <v>1048</v>
      </c>
      <c r="BA587" s="12" t="s">
        <v>65</v>
      </c>
      <c r="BC587" s="32">
        <f t="shared" si="203"/>
        <v>0</v>
      </c>
      <c r="BD587" s="32">
        <f t="shared" si="204"/>
        <v>0</v>
      </c>
      <c r="BE587" s="32">
        <v>0</v>
      </c>
      <c r="BF587" s="32">
        <f t="shared" si="205"/>
        <v>0</v>
      </c>
      <c r="BH587" s="32">
        <f t="shared" si="206"/>
        <v>0</v>
      </c>
      <c r="BI587" s="32">
        <f t="shared" si="207"/>
        <v>0</v>
      </c>
      <c r="BJ587" s="32">
        <f t="shared" si="208"/>
        <v>0</v>
      </c>
      <c r="BK587" s="36" t="s">
        <v>66</v>
      </c>
      <c r="BL587" s="32"/>
      <c r="BW587" s="32">
        <f t="shared" si="209"/>
        <v>21</v>
      </c>
      <c r="BX587" s="4" t="s">
        <v>1274</v>
      </c>
    </row>
    <row r="588" spans="1:76" x14ac:dyDescent="0.25">
      <c r="A588" s="2" t="s">
        <v>1275</v>
      </c>
      <c r="B588" s="3" t="s">
        <v>55</v>
      </c>
      <c r="C588" s="3" t="s">
        <v>1182</v>
      </c>
      <c r="D588" s="89" t="s">
        <v>1276</v>
      </c>
      <c r="E588" s="90"/>
      <c r="F588" s="3" t="s">
        <v>316</v>
      </c>
      <c r="G588" s="32">
        <v>1</v>
      </c>
      <c r="H588" s="199">
        <v>0</v>
      </c>
      <c r="I588" s="33">
        <v>21</v>
      </c>
      <c r="J588" s="32">
        <f t="shared" si="184"/>
        <v>0</v>
      </c>
      <c r="K588" s="32">
        <f t="shared" si="185"/>
        <v>0</v>
      </c>
      <c r="L588" s="32">
        <f t="shared" si="186"/>
        <v>0</v>
      </c>
      <c r="M588" s="32">
        <f t="shared" si="187"/>
        <v>0</v>
      </c>
      <c r="N588" s="34">
        <f>IF(L649=0,0,L588/L649)</f>
        <v>0</v>
      </c>
      <c r="O588" s="32">
        <v>0</v>
      </c>
      <c r="P588" s="32">
        <f t="shared" si="188"/>
        <v>0</v>
      </c>
      <c r="Q588" s="35"/>
      <c r="Z588" s="32">
        <f t="shared" si="189"/>
        <v>0</v>
      </c>
      <c r="AB588" s="32">
        <f t="shared" si="190"/>
        <v>0</v>
      </c>
      <c r="AC588" s="32">
        <f t="shared" si="191"/>
        <v>0</v>
      </c>
      <c r="AD588" s="32">
        <f t="shared" si="192"/>
        <v>0</v>
      </c>
      <c r="AE588" s="32">
        <f t="shared" si="193"/>
        <v>0</v>
      </c>
      <c r="AF588" s="32">
        <f t="shared" si="194"/>
        <v>0</v>
      </c>
      <c r="AG588" s="32">
        <f t="shared" si="195"/>
        <v>0</v>
      </c>
      <c r="AH588" s="32">
        <f t="shared" si="196"/>
        <v>0</v>
      </c>
      <c r="AI588" s="12" t="s">
        <v>55</v>
      </c>
      <c r="AJ588" s="32">
        <f t="shared" si="197"/>
        <v>0</v>
      </c>
      <c r="AK588" s="32">
        <f t="shared" si="198"/>
        <v>0</v>
      </c>
      <c r="AL588" s="32">
        <f t="shared" si="199"/>
        <v>0</v>
      </c>
      <c r="AN588" s="32">
        <v>21</v>
      </c>
      <c r="AO588" s="32">
        <f>H588*0</f>
        <v>0</v>
      </c>
      <c r="AP588" s="32">
        <f>H588*(1-0)</f>
        <v>0</v>
      </c>
      <c r="AQ588" s="36" t="s">
        <v>58</v>
      </c>
      <c r="AV588" s="32">
        <f t="shared" si="200"/>
        <v>0</v>
      </c>
      <c r="AW588" s="32">
        <f t="shared" si="201"/>
        <v>0</v>
      </c>
      <c r="AX588" s="32">
        <f t="shared" si="202"/>
        <v>0</v>
      </c>
      <c r="AY588" s="36" t="s">
        <v>1241</v>
      </c>
      <c r="AZ588" s="36" t="s">
        <v>1048</v>
      </c>
      <c r="BA588" s="12" t="s">
        <v>65</v>
      </c>
      <c r="BC588" s="32">
        <f t="shared" si="203"/>
        <v>0</v>
      </c>
      <c r="BD588" s="32">
        <f t="shared" si="204"/>
        <v>0</v>
      </c>
      <c r="BE588" s="32">
        <v>0</v>
      </c>
      <c r="BF588" s="32">
        <f t="shared" si="205"/>
        <v>0</v>
      </c>
      <c r="BH588" s="32">
        <f t="shared" si="206"/>
        <v>0</v>
      </c>
      <c r="BI588" s="32">
        <f t="shared" si="207"/>
        <v>0</v>
      </c>
      <c r="BJ588" s="32">
        <f t="shared" si="208"/>
        <v>0</v>
      </c>
      <c r="BK588" s="36" t="s">
        <v>66</v>
      </c>
      <c r="BL588" s="32"/>
      <c r="BW588" s="32">
        <f t="shared" si="209"/>
        <v>21</v>
      </c>
      <c r="BX588" s="4" t="s">
        <v>1276</v>
      </c>
    </row>
    <row r="589" spans="1:76" x14ac:dyDescent="0.25">
      <c r="A589" s="37" t="s">
        <v>55</v>
      </c>
      <c r="B589" s="38" t="s">
        <v>55</v>
      </c>
      <c r="C589" s="38" t="s">
        <v>1277</v>
      </c>
      <c r="D589" s="98" t="s">
        <v>1278</v>
      </c>
      <c r="E589" s="99"/>
      <c r="F589" s="39" t="s">
        <v>3</v>
      </c>
      <c r="G589" s="39" t="s">
        <v>3</v>
      </c>
      <c r="H589" s="39" t="s">
        <v>3</v>
      </c>
      <c r="I589" s="39" t="s">
        <v>3</v>
      </c>
      <c r="J589" s="1">
        <f>SUM(J590:J617)</f>
        <v>0</v>
      </c>
      <c r="K589" s="1">
        <f>SUM(K590:K617)</f>
        <v>0</v>
      </c>
      <c r="L589" s="1">
        <f>SUM(L590:L617)</f>
        <v>0</v>
      </c>
      <c r="M589" s="1">
        <f>SUM(M590:M617)</f>
        <v>0</v>
      </c>
      <c r="N589" s="40">
        <f>IF(L649=0,0,L589/L649)</f>
        <v>0</v>
      </c>
      <c r="O589" s="12" t="s">
        <v>55</v>
      </c>
      <c r="P589" s="1">
        <f>SUM(P590:P617)</f>
        <v>8.8699999999999994E-3</v>
      </c>
      <c r="Q589" s="41" t="s">
        <v>55</v>
      </c>
      <c r="AI589" s="12" t="s">
        <v>55</v>
      </c>
      <c r="AS589" s="1">
        <f>SUM(AJ590:AJ617)</f>
        <v>0</v>
      </c>
      <c r="AT589" s="1">
        <f>SUM(AK590:AK617)</f>
        <v>0</v>
      </c>
      <c r="AU589" s="1">
        <f>SUM(AL590:AL617)</f>
        <v>0</v>
      </c>
    </row>
    <row r="590" spans="1:76" x14ac:dyDescent="0.25">
      <c r="A590" s="2" t="s">
        <v>1279</v>
      </c>
      <c r="B590" s="3" t="s">
        <v>55</v>
      </c>
      <c r="C590" s="3" t="s">
        <v>1280</v>
      </c>
      <c r="D590" s="89" t="s">
        <v>1281</v>
      </c>
      <c r="E590" s="90"/>
      <c r="F590" s="3" t="s">
        <v>88</v>
      </c>
      <c r="G590" s="32">
        <v>12</v>
      </c>
      <c r="H590" s="199">
        <v>0</v>
      </c>
      <c r="I590" s="33">
        <v>21</v>
      </c>
      <c r="J590" s="32">
        <f>ROUND(G590*AO590,2)</f>
        <v>0</v>
      </c>
      <c r="K590" s="32">
        <f>ROUND(G590*AP590,2)</f>
        <v>0</v>
      </c>
      <c r="L590" s="32">
        <f>ROUND(G590*H590,2)</f>
        <v>0</v>
      </c>
      <c r="M590" s="32">
        <f>L590*(1+BW590/100)</f>
        <v>0</v>
      </c>
      <c r="N590" s="34">
        <f>IF(L649=0,0,L590/L649)</f>
        <v>0</v>
      </c>
      <c r="O590" s="32">
        <v>4.0000000000000003E-5</v>
      </c>
      <c r="P590" s="32">
        <f>G590*O590</f>
        <v>4.8000000000000007E-4</v>
      </c>
      <c r="Q590" s="35" t="s">
        <v>77</v>
      </c>
      <c r="Z590" s="32">
        <f>ROUND(IF(AQ590="5",BJ590,0),2)</f>
        <v>0</v>
      </c>
      <c r="AB590" s="32">
        <f>ROUND(IF(AQ590="1",BH590,0),2)</f>
        <v>0</v>
      </c>
      <c r="AC590" s="32">
        <f>ROUND(IF(AQ590="1",BI590,0),2)</f>
        <v>0</v>
      </c>
      <c r="AD590" s="32">
        <f>ROUND(IF(AQ590="7",BH590,0),2)</f>
        <v>0</v>
      </c>
      <c r="AE590" s="32">
        <f>ROUND(IF(AQ590="7",BI590,0),2)</f>
        <v>0</v>
      </c>
      <c r="AF590" s="32">
        <f>ROUND(IF(AQ590="2",BH590,0),2)</f>
        <v>0</v>
      </c>
      <c r="AG590" s="32">
        <f>ROUND(IF(AQ590="2",BI590,0),2)</f>
        <v>0</v>
      </c>
      <c r="AH590" s="32">
        <f>ROUND(IF(AQ590="0",BJ590,0),2)</f>
        <v>0</v>
      </c>
      <c r="AI590" s="12" t="s">
        <v>55</v>
      </c>
      <c r="AJ590" s="32">
        <f>IF(AN590=0,L590,0)</f>
        <v>0</v>
      </c>
      <c r="AK590" s="32">
        <f>IF(AN590=12,L590,0)</f>
        <v>0</v>
      </c>
      <c r="AL590" s="32">
        <f>IF(AN590=21,L590,0)</f>
        <v>0</v>
      </c>
      <c r="AN590" s="32">
        <v>21</v>
      </c>
      <c r="AO590" s="32">
        <f>H590*0.384556821</f>
        <v>0</v>
      </c>
      <c r="AP590" s="32">
        <f>H590*(1-0.384556821)</f>
        <v>0</v>
      </c>
      <c r="AQ590" s="36" t="s">
        <v>67</v>
      </c>
      <c r="AV590" s="32">
        <f>ROUND(AW590+AX590,2)</f>
        <v>0</v>
      </c>
      <c r="AW590" s="32">
        <f>ROUND(G590*AO590,2)</f>
        <v>0</v>
      </c>
      <c r="AX590" s="32">
        <f>ROUND(G590*AP590,2)</f>
        <v>0</v>
      </c>
      <c r="AY590" s="36" t="s">
        <v>1282</v>
      </c>
      <c r="AZ590" s="36" t="s">
        <v>1048</v>
      </c>
      <c r="BA590" s="12" t="s">
        <v>65</v>
      </c>
      <c r="BC590" s="32">
        <f>AW590+AX590</f>
        <v>0</v>
      </c>
      <c r="BD590" s="32">
        <f>H590/(100-BE590)*100</f>
        <v>0</v>
      </c>
      <c r="BE590" s="32">
        <v>0</v>
      </c>
      <c r="BF590" s="32">
        <f>P590</f>
        <v>4.8000000000000007E-4</v>
      </c>
      <c r="BH590" s="32">
        <f>G590*AO590</f>
        <v>0</v>
      </c>
      <c r="BI590" s="32">
        <f>G590*AP590</f>
        <v>0</v>
      </c>
      <c r="BJ590" s="32">
        <f>G590*H590</f>
        <v>0</v>
      </c>
      <c r="BK590" s="36" t="s">
        <v>66</v>
      </c>
      <c r="BL590" s="32"/>
      <c r="BW590" s="32">
        <f>I590</f>
        <v>21</v>
      </c>
      <c r="BX590" s="4" t="s">
        <v>1281</v>
      </c>
    </row>
    <row r="591" spans="1:76" ht="13.5" customHeight="1" x14ac:dyDescent="0.25">
      <c r="A591" s="42"/>
      <c r="C591" s="43"/>
      <c r="D591" s="95" t="s">
        <v>1283</v>
      </c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7"/>
    </row>
    <row r="592" spans="1:76" x14ac:dyDescent="0.25">
      <c r="A592" s="2" t="s">
        <v>1284</v>
      </c>
      <c r="B592" s="3" t="s">
        <v>55</v>
      </c>
      <c r="C592" s="3" t="s">
        <v>1285</v>
      </c>
      <c r="D592" s="89" t="s">
        <v>1286</v>
      </c>
      <c r="E592" s="90"/>
      <c r="F592" s="3" t="s">
        <v>88</v>
      </c>
      <c r="G592" s="32">
        <v>2</v>
      </c>
      <c r="H592" s="199">
        <v>0</v>
      </c>
      <c r="I592" s="33">
        <v>21</v>
      </c>
      <c r="J592" s="32">
        <f>ROUND(G592*AO592,2)</f>
        <v>0</v>
      </c>
      <c r="K592" s="32">
        <f>ROUND(G592*AP592,2)</f>
        <v>0</v>
      </c>
      <c r="L592" s="32">
        <f>ROUND(G592*H592,2)</f>
        <v>0</v>
      </c>
      <c r="M592" s="32">
        <f>L592*(1+BW592/100)</f>
        <v>0</v>
      </c>
      <c r="N592" s="34">
        <f>IF(L649=0,0,L592/L649)</f>
        <v>0</v>
      </c>
      <c r="O592" s="32">
        <v>4.0000000000000003E-5</v>
      </c>
      <c r="P592" s="32">
        <f>G592*O592</f>
        <v>8.0000000000000007E-5</v>
      </c>
      <c r="Q592" s="35" t="s">
        <v>77</v>
      </c>
      <c r="Z592" s="32">
        <f>ROUND(IF(AQ592="5",BJ592,0),2)</f>
        <v>0</v>
      </c>
      <c r="AB592" s="32">
        <f>ROUND(IF(AQ592="1",BH592,0),2)</f>
        <v>0</v>
      </c>
      <c r="AC592" s="32">
        <f>ROUND(IF(AQ592="1",BI592,0),2)</f>
        <v>0</v>
      </c>
      <c r="AD592" s="32">
        <f>ROUND(IF(AQ592="7",BH592,0),2)</f>
        <v>0</v>
      </c>
      <c r="AE592" s="32">
        <f>ROUND(IF(AQ592="7",BI592,0),2)</f>
        <v>0</v>
      </c>
      <c r="AF592" s="32">
        <f>ROUND(IF(AQ592="2",BH592,0),2)</f>
        <v>0</v>
      </c>
      <c r="AG592" s="32">
        <f>ROUND(IF(AQ592="2",BI592,0),2)</f>
        <v>0</v>
      </c>
      <c r="AH592" s="32">
        <f>ROUND(IF(AQ592="0",BJ592,0),2)</f>
        <v>0</v>
      </c>
      <c r="AI592" s="12" t="s">
        <v>55</v>
      </c>
      <c r="AJ592" s="32">
        <f>IF(AN592=0,L592,0)</f>
        <v>0</v>
      </c>
      <c r="AK592" s="32">
        <f>IF(AN592=12,L592,0)</f>
        <v>0</v>
      </c>
      <c r="AL592" s="32">
        <f>IF(AN592=21,L592,0)</f>
        <v>0</v>
      </c>
      <c r="AN592" s="32">
        <v>21</v>
      </c>
      <c r="AO592" s="32">
        <f>H592*0.379502762</f>
        <v>0</v>
      </c>
      <c r="AP592" s="32">
        <f>H592*(1-0.379502762)</f>
        <v>0</v>
      </c>
      <c r="AQ592" s="36" t="s">
        <v>67</v>
      </c>
      <c r="AV592" s="32">
        <f>ROUND(AW592+AX592,2)</f>
        <v>0</v>
      </c>
      <c r="AW592" s="32">
        <f>ROUND(G592*AO592,2)</f>
        <v>0</v>
      </c>
      <c r="AX592" s="32">
        <f>ROUND(G592*AP592,2)</f>
        <v>0</v>
      </c>
      <c r="AY592" s="36" t="s">
        <v>1282</v>
      </c>
      <c r="AZ592" s="36" t="s">
        <v>1048</v>
      </c>
      <c r="BA592" s="12" t="s">
        <v>65</v>
      </c>
      <c r="BC592" s="32">
        <f>AW592+AX592</f>
        <v>0</v>
      </c>
      <c r="BD592" s="32">
        <f>H592/(100-BE592)*100</f>
        <v>0</v>
      </c>
      <c r="BE592" s="32">
        <v>0</v>
      </c>
      <c r="BF592" s="32">
        <f>P592</f>
        <v>8.0000000000000007E-5</v>
      </c>
      <c r="BH592" s="32">
        <f>G592*AO592</f>
        <v>0</v>
      </c>
      <c r="BI592" s="32">
        <f>G592*AP592</f>
        <v>0</v>
      </c>
      <c r="BJ592" s="32">
        <f>G592*H592</f>
        <v>0</v>
      </c>
      <c r="BK592" s="36" t="s">
        <v>66</v>
      </c>
      <c r="BL592" s="32"/>
      <c r="BW592" s="32">
        <f>I592</f>
        <v>21</v>
      </c>
      <c r="BX592" s="4" t="s">
        <v>1286</v>
      </c>
    </row>
    <row r="593" spans="1:76" ht="13.5" customHeight="1" x14ac:dyDescent="0.25">
      <c r="A593" s="42"/>
      <c r="C593" s="43"/>
      <c r="D593" s="95" t="s">
        <v>1283</v>
      </c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7"/>
    </row>
    <row r="594" spans="1:76" x14ac:dyDescent="0.25">
      <c r="A594" s="2" t="s">
        <v>1287</v>
      </c>
      <c r="B594" s="3" t="s">
        <v>55</v>
      </c>
      <c r="C594" s="3" t="s">
        <v>1288</v>
      </c>
      <c r="D594" s="89" t="s">
        <v>1289</v>
      </c>
      <c r="E594" s="90"/>
      <c r="F594" s="3" t="s">
        <v>88</v>
      </c>
      <c r="G594" s="32">
        <v>3</v>
      </c>
      <c r="H594" s="199">
        <v>0</v>
      </c>
      <c r="I594" s="33">
        <v>21</v>
      </c>
      <c r="J594" s="32">
        <f>ROUND(G594*AO594,2)</f>
        <v>0</v>
      </c>
      <c r="K594" s="32">
        <f>ROUND(G594*AP594,2)</f>
        <v>0</v>
      </c>
      <c r="L594" s="32">
        <f>ROUND(G594*H594,2)</f>
        <v>0</v>
      </c>
      <c r="M594" s="32">
        <f>L594*(1+BW594/100)</f>
        <v>0</v>
      </c>
      <c r="N594" s="34">
        <f>IF(L649=0,0,L594/L649)</f>
        <v>0</v>
      </c>
      <c r="O594" s="32">
        <v>0</v>
      </c>
      <c r="P594" s="32">
        <f>G594*O594</f>
        <v>0</v>
      </c>
      <c r="Q594" s="35" t="s">
        <v>77</v>
      </c>
      <c r="Z594" s="32">
        <f>ROUND(IF(AQ594="5",BJ594,0),2)</f>
        <v>0</v>
      </c>
      <c r="AB594" s="32">
        <f>ROUND(IF(AQ594="1",BH594,0),2)</f>
        <v>0</v>
      </c>
      <c r="AC594" s="32">
        <f>ROUND(IF(AQ594="1",BI594,0),2)</f>
        <v>0</v>
      </c>
      <c r="AD594" s="32">
        <f>ROUND(IF(AQ594="7",BH594,0),2)</f>
        <v>0</v>
      </c>
      <c r="AE594" s="32">
        <f>ROUND(IF(AQ594="7",BI594,0),2)</f>
        <v>0</v>
      </c>
      <c r="AF594" s="32">
        <f>ROUND(IF(AQ594="2",BH594,0),2)</f>
        <v>0</v>
      </c>
      <c r="AG594" s="32">
        <f>ROUND(IF(AQ594="2",BI594,0),2)</f>
        <v>0</v>
      </c>
      <c r="AH594" s="32">
        <f>ROUND(IF(AQ594="0",BJ594,0),2)</f>
        <v>0</v>
      </c>
      <c r="AI594" s="12" t="s">
        <v>55</v>
      </c>
      <c r="AJ594" s="32">
        <f>IF(AN594=0,L594,0)</f>
        <v>0</v>
      </c>
      <c r="AK594" s="32">
        <f>IF(AN594=12,L594,0)</f>
        <v>0</v>
      </c>
      <c r="AL594" s="32">
        <f>IF(AN594=21,L594,0)</f>
        <v>0</v>
      </c>
      <c r="AN594" s="32">
        <v>21</v>
      </c>
      <c r="AO594" s="32">
        <f>H594*1</f>
        <v>0</v>
      </c>
      <c r="AP594" s="32">
        <f>H594*(1-1)</f>
        <v>0</v>
      </c>
      <c r="AQ594" s="36" t="s">
        <v>58</v>
      </c>
      <c r="AV594" s="32">
        <f>ROUND(AW594+AX594,2)</f>
        <v>0</v>
      </c>
      <c r="AW594" s="32">
        <f>ROUND(G594*AO594,2)</f>
        <v>0</v>
      </c>
      <c r="AX594" s="32">
        <f>ROUND(G594*AP594,2)</f>
        <v>0</v>
      </c>
      <c r="AY594" s="36" t="s">
        <v>1282</v>
      </c>
      <c r="AZ594" s="36" t="s">
        <v>1048</v>
      </c>
      <c r="BA594" s="12" t="s">
        <v>65</v>
      </c>
      <c r="BC594" s="32">
        <f>AW594+AX594</f>
        <v>0</v>
      </c>
      <c r="BD594" s="32">
        <f>H594/(100-BE594)*100</f>
        <v>0</v>
      </c>
      <c r="BE594" s="32">
        <v>0</v>
      </c>
      <c r="BF594" s="32">
        <f>P594</f>
        <v>0</v>
      </c>
      <c r="BH594" s="32">
        <f>G594*AO594</f>
        <v>0</v>
      </c>
      <c r="BI594" s="32">
        <f>G594*AP594</f>
        <v>0</v>
      </c>
      <c r="BJ594" s="32">
        <f>G594*H594</f>
        <v>0</v>
      </c>
      <c r="BK594" s="36" t="s">
        <v>147</v>
      </c>
      <c r="BL594" s="32"/>
      <c r="BW594" s="32">
        <f>I594</f>
        <v>21</v>
      </c>
      <c r="BX594" s="4" t="s">
        <v>1289</v>
      </c>
    </row>
    <row r="595" spans="1:76" x14ac:dyDescent="0.25">
      <c r="A595" s="2" t="s">
        <v>1290</v>
      </c>
      <c r="B595" s="3" t="s">
        <v>55</v>
      </c>
      <c r="C595" s="3" t="s">
        <v>1291</v>
      </c>
      <c r="D595" s="89" t="s">
        <v>1292</v>
      </c>
      <c r="E595" s="90"/>
      <c r="F595" s="3" t="s">
        <v>88</v>
      </c>
      <c r="G595" s="32">
        <v>3</v>
      </c>
      <c r="H595" s="199">
        <v>0</v>
      </c>
      <c r="I595" s="33">
        <v>21</v>
      </c>
      <c r="J595" s="32">
        <f>ROUND(G595*AO595,2)</f>
        <v>0</v>
      </c>
      <c r="K595" s="32">
        <f>ROUND(G595*AP595,2)</f>
        <v>0</v>
      </c>
      <c r="L595" s="32">
        <f>ROUND(G595*H595,2)</f>
        <v>0</v>
      </c>
      <c r="M595" s="32">
        <f>L595*(1+BW595/100)</f>
        <v>0</v>
      </c>
      <c r="N595" s="34">
        <f>IF(L649=0,0,L595/L649)</f>
        <v>0</v>
      </c>
      <c r="O595" s="32">
        <v>0</v>
      </c>
      <c r="P595" s="32">
        <f>G595*O595</f>
        <v>0</v>
      </c>
      <c r="Q595" s="35" t="s">
        <v>77</v>
      </c>
      <c r="Z595" s="32">
        <f>ROUND(IF(AQ595="5",BJ595,0),2)</f>
        <v>0</v>
      </c>
      <c r="AB595" s="32">
        <f>ROUND(IF(AQ595="1",BH595,0),2)</f>
        <v>0</v>
      </c>
      <c r="AC595" s="32">
        <f>ROUND(IF(AQ595="1",BI595,0),2)</f>
        <v>0</v>
      </c>
      <c r="AD595" s="32">
        <f>ROUND(IF(AQ595="7",BH595,0),2)</f>
        <v>0</v>
      </c>
      <c r="AE595" s="32">
        <f>ROUND(IF(AQ595="7",BI595,0),2)</f>
        <v>0</v>
      </c>
      <c r="AF595" s="32">
        <f>ROUND(IF(AQ595="2",BH595,0),2)</f>
        <v>0</v>
      </c>
      <c r="AG595" s="32">
        <f>ROUND(IF(AQ595="2",BI595,0),2)</f>
        <v>0</v>
      </c>
      <c r="AH595" s="32">
        <f>ROUND(IF(AQ595="0",BJ595,0),2)</f>
        <v>0</v>
      </c>
      <c r="AI595" s="12" t="s">
        <v>55</v>
      </c>
      <c r="AJ595" s="32">
        <f>IF(AN595=0,L595,0)</f>
        <v>0</v>
      </c>
      <c r="AK595" s="32">
        <f>IF(AN595=12,L595,0)</f>
        <v>0</v>
      </c>
      <c r="AL595" s="32">
        <f>IF(AN595=21,L595,0)</f>
        <v>0</v>
      </c>
      <c r="AN595" s="32">
        <v>21</v>
      </c>
      <c r="AO595" s="32">
        <f>H595*0</f>
        <v>0</v>
      </c>
      <c r="AP595" s="32">
        <f>H595*(1-0)</f>
        <v>0</v>
      </c>
      <c r="AQ595" s="36" t="s">
        <v>67</v>
      </c>
      <c r="AV595" s="32">
        <f>ROUND(AW595+AX595,2)</f>
        <v>0</v>
      </c>
      <c r="AW595" s="32">
        <f>ROUND(G595*AO595,2)</f>
        <v>0</v>
      </c>
      <c r="AX595" s="32">
        <f>ROUND(G595*AP595,2)</f>
        <v>0</v>
      </c>
      <c r="AY595" s="36" t="s">
        <v>1282</v>
      </c>
      <c r="AZ595" s="36" t="s">
        <v>1048</v>
      </c>
      <c r="BA595" s="12" t="s">
        <v>65</v>
      </c>
      <c r="BC595" s="32">
        <f>AW595+AX595</f>
        <v>0</v>
      </c>
      <c r="BD595" s="32">
        <f>H595/(100-BE595)*100</f>
        <v>0</v>
      </c>
      <c r="BE595" s="32">
        <v>0</v>
      </c>
      <c r="BF595" s="32">
        <f>P595</f>
        <v>0</v>
      </c>
      <c r="BH595" s="32">
        <f>G595*AO595</f>
        <v>0</v>
      </c>
      <c r="BI595" s="32">
        <f>G595*AP595</f>
        <v>0</v>
      </c>
      <c r="BJ595" s="32">
        <f>G595*H595</f>
        <v>0</v>
      </c>
      <c r="BK595" s="36" t="s">
        <v>66</v>
      </c>
      <c r="BL595" s="32"/>
      <c r="BW595" s="32">
        <f>I595</f>
        <v>21</v>
      </c>
      <c r="BX595" s="4" t="s">
        <v>1292</v>
      </c>
    </row>
    <row r="596" spans="1:76" x14ac:dyDescent="0.25">
      <c r="A596" s="2" t="s">
        <v>1293</v>
      </c>
      <c r="B596" s="3" t="s">
        <v>55</v>
      </c>
      <c r="C596" s="3" t="s">
        <v>1294</v>
      </c>
      <c r="D596" s="89" t="s">
        <v>1295</v>
      </c>
      <c r="E596" s="90"/>
      <c r="F596" s="3" t="s">
        <v>88</v>
      </c>
      <c r="G596" s="32">
        <v>26</v>
      </c>
      <c r="H596" s="199">
        <v>0</v>
      </c>
      <c r="I596" s="33">
        <v>21</v>
      </c>
      <c r="J596" s="32">
        <f>ROUND(G596*AO596,2)</f>
        <v>0</v>
      </c>
      <c r="K596" s="32">
        <f>ROUND(G596*AP596,2)</f>
        <v>0</v>
      </c>
      <c r="L596" s="32">
        <f>ROUND(G596*H596,2)</f>
        <v>0</v>
      </c>
      <c r="M596" s="32">
        <f>L596*(1+BW596/100)</f>
        <v>0</v>
      </c>
      <c r="N596" s="34">
        <f>IF(L649=0,0,L596/L649)</f>
        <v>0</v>
      </c>
      <c r="O596" s="32">
        <v>1.4999999999999999E-4</v>
      </c>
      <c r="P596" s="32">
        <f>G596*O596</f>
        <v>3.8999999999999998E-3</v>
      </c>
      <c r="Q596" s="35" t="s">
        <v>77</v>
      </c>
      <c r="Z596" s="32">
        <f>ROUND(IF(AQ596="5",BJ596,0),2)</f>
        <v>0</v>
      </c>
      <c r="AB596" s="32">
        <f>ROUND(IF(AQ596="1",BH596,0),2)</f>
        <v>0</v>
      </c>
      <c r="AC596" s="32">
        <f>ROUND(IF(AQ596="1",BI596,0),2)</f>
        <v>0</v>
      </c>
      <c r="AD596" s="32">
        <f>ROUND(IF(AQ596="7",BH596,0),2)</f>
        <v>0</v>
      </c>
      <c r="AE596" s="32">
        <f>ROUND(IF(AQ596="7",BI596,0),2)</f>
        <v>0</v>
      </c>
      <c r="AF596" s="32">
        <f>ROUND(IF(AQ596="2",BH596,0),2)</f>
        <v>0</v>
      </c>
      <c r="AG596" s="32">
        <f>ROUND(IF(AQ596="2",BI596,0),2)</f>
        <v>0</v>
      </c>
      <c r="AH596" s="32">
        <f>ROUND(IF(AQ596="0",BJ596,0),2)</f>
        <v>0</v>
      </c>
      <c r="AI596" s="12" t="s">
        <v>55</v>
      </c>
      <c r="AJ596" s="32">
        <f>IF(AN596=0,L596,0)</f>
        <v>0</v>
      </c>
      <c r="AK596" s="32">
        <f>IF(AN596=12,L596,0)</f>
        <v>0</v>
      </c>
      <c r="AL596" s="32">
        <f>IF(AN596=21,L596,0)</f>
        <v>0</v>
      </c>
      <c r="AN596" s="32">
        <v>21</v>
      </c>
      <c r="AO596" s="32">
        <f>H596*0.37493007</f>
        <v>0</v>
      </c>
      <c r="AP596" s="32">
        <f>H596*(1-0.37493007)</f>
        <v>0</v>
      </c>
      <c r="AQ596" s="36" t="s">
        <v>67</v>
      </c>
      <c r="AV596" s="32">
        <f>ROUND(AW596+AX596,2)</f>
        <v>0</v>
      </c>
      <c r="AW596" s="32">
        <f>ROUND(G596*AO596,2)</f>
        <v>0</v>
      </c>
      <c r="AX596" s="32">
        <f>ROUND(G596*AP596,2)</f>
        <v>0</v>
      </c>
      <c r="AY596" s="36" t="s">
        <v>1282</v>
      </c>
      <c r="AZ596" s="36" t="s">
        <v>1048</v>
      </c>
      <c r="BA596" s="12" t="s">
        <v>65</v>
      </c>
      <c r="BC596" s="32">
        <f>AW596+AX596</f>
        <v>0</v>
      </c>
      <c r="BD596" s="32">
        <f>H596/(100-BE596)*100</f>
        <v>0</v>
      </c>
      <c r="BE596" s="32">
        <v>0</v>
      </c>
      <c r="BF596" s="32">
        <f>P596</f>
        <v>3.8999999999999998E-3</v>
      </c>
      <c r="BH596" s="32">
        <f>G596*AO596</f>
        <v>0</v>
      </c>
      <c r="BI596" s="32">
        <f>G596*AP596</f>
        <v>0</v>
      </c>
      <c r="BJ596" s="32">
        <f>G596*H596</f>
        <v>0</v>
      </c>
      <c r="BK596" s="36" t="s">
        <v>66</v>
      </c>
      <c r="BL596" s="32"/>
      <c r="BW596" s="32">
        <f>I596</f>
        <v>21</v>
      </c>
      <c r="BX596" s="4" t="s">
        <v>1295</v>
      </c>
    </row>
    <row r="597" spans="1:76" ht="13.5" customHeight="1" x14ac:dyDescent="0.25">
      <c r="A597" s="42"/>
      <c r="C597" s="43"/>
      <c r="D597" s="95" t="s">
        <v>1296</v>
      </c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7"/>
    </row>
    <row r="598" spans="1:76" x14ac:dyDescent="0.25">
      <c r="A598" s="2" t="s">
        <v>1297</v>
      </c>
      <c r="B598" s="3" t="s">
        <v>55</v>
      </c>
      <c r="C598" s="3" t="s">
        <v>1298</v>
      </c>
      <c r="D598" s="89" t="s">
        <v>1299</v>
      </c>
      <c r="E598" s="90"/>
      <c r="F598" s="3" t="s">
        <v>88</v>
      </c>
      <c r="G598" s="32">
        <v>5</v>
      </c>
      <c r="H598" s="199">
        <v>0</v>
      </c>
      <c r="I598" s="33">
        <v>21</v>
      </c>
      <c r="J598" s="32">
        <f>ROUND(G598*AO598,2)</f>
        <v>0</v>
      </c>
      <c r="K598" s="32">
        <f>ROUND(G598*AP598,2)</f>
        <v>0</v>
      </c>
      <c r="L598" s="32">
        <f>ROUND(G598*H598,2)</f>
        <v>0</v>
      </c>
      <c r="M598" s="32">
        <f>L598*(1+BW598/100)</f>
        <v>0</v>
      </c>
      <c r="N598" s="34">
        <f>IF(L649=0,0,L598/L649)</f>
        <v>0</v>
      </c>
      <c r="O598" s="32">
        <v>0</v>
      </c>
      <c r="P598" s="32">
        <f>G598*O598</f>
        <v>0</v>
      </c>
      <c r="Q598" s="35"/>
      <c r="Z598" s="32">
        <f>ROUND(IF(AQ598="5",BJ598,0),2)</f>
        <v>0</v>
      </c>
      <c r="AB598" s="32">
        <f>ROUND(IF(AQ598="1",BH598,0),2)</f>
        <v>0</v>
      </c>
      <c r="AC598" s="32">
        <f>ROUND(IF(AQ598="1",BI598,0),2)</f>
        <v>0</v>
      </c>
      <c r="AD598" s="32">
        <f>ROUND(IF(AQ598="7",BH598,0),2)</f>
        <v>0</v>
      </c>
      <c r="AE598" s="32">
        <f>ROUND(IF(AQ598="7",BI598,0),2)</f>
        <v>0</v>
      </c>
      <c r="AF598" s="32">
        <f>ROUND(IF(AQ598="2",BH598,0),2)</f>
        <v>0</v>
      </c>
      <c r="AG598" s="32">
        <f>ROUND(IF(AQ598="2",BI598,0),2)</f>
        <v>0</v>
      </c>
      <c r="AH598" s="32">
        <f>ROUND(IF(AQ598="0",BJ598,0),2)</f>
        <v>0</v>
      </c>
      <c r="AI598" s="12" t="s">
        <v>55</v>
      </c>
      <c r="AJ598" s="32">
        <f>IF(AN598=0,L598,0)</f>
        <v>0</v>
      </c>
      <c r="AK598" s="32">
        <f>IF(AN598=12,L598,0)</f>
        <v>0</v>
      </c>
      <c r="AL598" s="32">
        <f>IF(AN598=21,L598,0)</f>
        <v>0</v>
      </c>
      <c r="AN598" s="32">
        <v>21</v>
      </c>
      <c r="AO598" s="32">
        <f>H598*0.668103448</f>
        <v>0</v>
      </c>
      <c r="AP598" s="32">
        <f>H598*(1-0.668103448)</f>
        <v>0</v>
      </c>
      <c r="AQ598" s="36" t="s">
        <v>67</v>
      </c>
      <c r="AV598" s="32">
        <f>ROUND(AW598+AX598,2)</f>
        <v>0</v>
      </c>
      <c r="AW598" s="32">
        <f>ROUND(G598*AO598,2)</f>
        <v>0</v>
      </c>
      <c r="AX598" s="32">
        <f>ROUND(G598*AP598,2)</f>
        <v>0</v>
      </c>
      <c r="AY598" s="36" t="s">
        <v>1282</v>
      </c>
      <c r="AZ598" s="36" t="s">
        <v>1048</v>
      </c>
      <c r="BA598" s="12" t="s">
        <v>65</v>
      </c>
      <c r="BC598" s="32">
        <f>AW598+AX598</f>
        <v>0</v>
      </c>
      <c r="BD598" s="32">
        <f>H598/(100-BE598)*100</f>
        <v>0</v>
      </c>
      <c r="BE598" s="32">
        <v>0</v>
      </c>
      <c r="BF598" s="32">
        <f>P598</f>
        <v>0</v>
      </c>
      <c r="BH598" s="32">
        <f>G598*AO598</f>
        <v>0</v>
      </c>
      <c r="BI598" s="32">
        <f>G598*AP598</f>
        <v>0</v>
      </c>
      <c r="BJ598" s="32">
        <f>G598*H598</f>
        <v>0</v>
      </c>
      <c r="BK598" s="36" t="s">
        <v>66</v>
      </c>
      <c r="BL598" s="32"/>
      <c r="BW598" s="32">
        <f>I598</f>
        <v>21</v>
      </c>
      <c r="BX598" s="4" t="s">
        <v>1299</v>
      </c>
    </row>
    <row r="599" spans="1:76" ht="13.5" customHeight="1" x14ac:dyDescent="0.25">
      <c r="A599" s="42"/>
      <c r="C599" s="43"/>
      <c r="D599" s="95" t="s">
        <v>1296</v>
      </c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7"/>
    </row>
    <row r="600" spans="1:76" x14ac:dyDescent="0.25">
      <c r="A600" s="2" t="s">
        <v>1300</v>
      </c>
      <c r="B600" s="3" t="s">
        <v>55</v>
      </c>
      <c r="C600" s="3" t="s">
        <v>1301</v>
      </c>
      <c r="D600" s="89" t="s">
        <v>1302</v>
      </c>
      <c r="E600" s="90"/>
      <c r="F600" s="3" t="s">
        <v>88</v>
      </c>
      <c r="G600" s="32">
        <v>2</v>
      </c>
      <c r="H600" s="199">
        <v>0</v>
      </c>
      <c r="I600" s="33">
        <v>21</v>
      </c>
      <c r="J600" s="32">
        <f>ROUND(G600*AO600,2)</f>
        <v>0</v>
      </c>
      <c r="K600" s="32">
        <f>ROUND(G600*AP600,2)</f>
        <v>0</v>
      </c>
      <c r="L600" s="32">
        <f>ROUND(G600*H600,2)</f>
        <v>0</v>
      </c>
      <c r="M600" s="32">
        <f>L600*(1+BW600/100)</f>
        <v>0</v>
      </c>
      <c r="N600" s="34">
        <f>IF(L649=0,0,L600/L649)</f>
        <v>0</v>
      </c>
      <c r="O600" s="32">
        <v>4.0000000000000003E-5</v>
      </c>
      <c r="P600" s="32">
        <f>G600*O600</f>
        <v>8.0000000000000007E-5</v>
      </c>
      <c r="Q600" s="35" t="s">
        <v>77</v>
      </c>
      <c r="Z600" s="32">
        <f>ROUND(IF(AQ600="5",BJ600,0),2)</f>
        <v>0</v>
      </c>
      <c r="AB600" s="32">
        <f>ROUND(IF(AQ600="1",BH600,0),2)</f>
        <v>0</v>
      </c>
      <c r="AC600" s="32">
        <f>ROUND(IF(AQ600="1",BI600,0),2)</f>
        <v>0</v>
      </c>
      <c r="AD600" s="32">
        <f>ROUND(IF(AQ600="7",BH600,0),2)</f>
        <v>0</v>
      </c>
      <c r="AE600" s="32">
        <f>ROUND(IF(AQ600="7",BI600,0),2)</f>
        <v>0</v>
      </c>
      <c r="AF600" s="32">
        <f>ROUND(IF(AQ600="2",BH600,0),2)</f>
        <v>0</v>
      </c>
      <c r="AG600" s="32">
        <f>ROUND(IF(AQ600="2",BI600,0),2)</f>
        <v>0</v>
      </c>
      <c r="AH600" s="32">
        <f>ROUND(IF(AQ600="0",BJ600,0),2)</f>
        <v>0</v>
      </c>
      <c r="AI600" s="12" t="s">
        <v>55</v>
      </c>
      <c r="AJ600" s="32">
        <f>IF(AN600=0,L600,0)</f>
        <v>0</v>
      </c>
      <c r="AK600" s="32">
        <f>IF(AN600=12,L600,0)</f>
        <v>0</v>
      </c>
      <c r="AL600" s="32">
        <f>IF(AN600=21,L600,0)</f>
        <v>0</v>
      </c>
      <c r="AN600" s="32">
        <v>21</v>
      </c>
      <c r="AO600" s="32">
        <f>H600*0.521980955</f>
        <v>0</v>
      </c>
      <c r="AP600" s="32">
        <f>H600*(1-0.521980955)</f>
        <v>0</v>
      </c>
      <c r="AQ600" s="36" t="s">
        <v>67</v>
      </c>
      <c r="AV600" s="32">
        <f>ROUND(AW600+AX600,2)</f>
        <v>0</v>
      </c>
      <c r="AW600" s="32">
        <f>ROUND(G600*AO600,2)</f>
        <v>0</v>
      </c>
      <c r="AX600" s="32">
        <f>ROUND(G600*AP600,2)</f>
        <v>0</v>
      </c>
      <c r="AY600" s="36" t="s">
        <v>1282</v>
      </c>
      <c r="AZ600" s="36" t="s">
        <v>1048</v>
      </c>
      <c r="BA600" s="12" t="s">
        <v>65</v>
      </c>
      <c r="BC600" s="32">
        <f>AW600+AX600</f>
        <v>0</v>
      </c>
      <c r="BD600" s="32">
        <f>H600/(100-BE600)*100</f>
        <v>0</v>
      </c>
      <c r="BE600" s="32">
        <v>0</v>
      </c>
      <c r="BF600" s="32">
        <f>P600</f>
        <v>8.0000000000000007E-5</v>
      </c>
      <c r="BH600" s="32">
        <f>G600*AO600</f>
        <v>0</v>
      </c>
      <c r="BI600" s="32">
        <f>G600*AP600</f>
        <v>0</v>
      </c>
      <c r="BJ600" s="32">
        <f>G600*H600</f>
        <v>0</v>
      </c>
      <c r="BK600" s="36" t="s">
        <v>66</v>
      </c>
      <c r="BL600" s="32"/>
      <c r="BW600" s="32">
        <f>I600</f>
        <v>21</v>
      </c>
      <c r="BX600" s="4" t="s">
        <v>1302</v>
      </c>
    </row>
    <row r="601" spans="1:76" ht="13.5" customHeight="1" x14ac:dyDescent="0.25">
      <c r="A601" s="42"/>
      <c r="C601" s="43"/>
      <c r="D601" s="95" t="s">
        <v>1296</v>
      </c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7"/>
    </row>
    <row r="602" spans="1:76" x14ac:dyDescent="0.25">
      <c r="A602" s="2" t="s">
        <v>1303</v>
      </c>
      <c r="B602" s="3" t="s">
        <v>55</v>
      </c>
      <c r="C602" s="3" t="s">
        <v>1304</v>
      </c>
      <c r="D602" s="89" t="s">
        <v>1305</v>
      </c>
      <c r="E602" s="90"/>
      <c r="F602" s="3" t="s">
        <v>88</v>
      </c>
      <c r="G602" s="32">
        <v>12</v>
      </c>
      <c r="H602" s="199">
        <v>0</v>
      </c>
      <c r="I602" s="33">
        <v>21</v>
      </c>
      <c r="J602" s="32">
        <f>ROUND(G602*AO602,2)</f>
        <v>0</v>
      </c>
      <c r="K602" s="32">
        <f>ROUND(G602*AP602,2)</f>
        <v>0</v>
      </c>
      <c r="L602" s="32">
        <f>ROUND(G602*H602,2)</f>
        <v>0</v>
      </c>
      <c r="M602" s="32">
        <f>L602*(1+BW602/100)</f>
        <v>0</v>
      </c>
      <c r="N602" s="34">
        <f>IF(L649=0,0,L602/L649)</f>
        <v>0</v>
      </c>
      <c r="O602" s="32">
        <v>0</v>
      </c>
      <c r="P602" s="32">
        <f>G602*O602</f>
        <v>0</v>
      </c>
      <c r="Q602" s="35" t="s">
        <v>77</v>
      </c>
      <c r="Z602" s="32">
        <f>ROUND(IF(AQ602="5",BJ602,0),2)</f>
        <v>0</v>
      </c>
      <c r="AB602" s="32">
        <f>ROUND(IF(AQ602="1",BH602,0),2)</f>
        <v>0</v>
      </c>
      <c r="AC602" s="32">
        <f>ROUND(IF(AQ602="1",BI602,0),2)</f>
        <v>0</v>
      </c>
      <c r="AD602" s="32">
        <f>ROUND(IF(AQ602="7",BH602,0),2)</f>
        <v>0</v>
      </c>
      <c r="AE602" s="32">
        <f>ROUND(IF(AQ602="7",BI602,0),2)</f>
        <v>0</v>
      </c>
      <c r="AF602" s="32">
        <f>ROUND(IF(AQ602="2",BH602,0),2)</f>
        <v>0</v>
      </c>
      <c r="AG602" s="32">
        <f>ROUND(IF(AQ602="2",BI602,0),2)</f>
        <v>0</v>
      </c>
      <c r="AH602" s="32">
        <f>ROUND(IF(AQ602="0",BJ602,0),2)</f>
        <v>0</v>
      </c>
      <c r="AI602" s="12" t="s">
        <v>55</v>
      </c>
      <c r="AJ602" s="32">
        <f>IF(AN602=0,L602,0)</f>
        <v>0</v>
      </c>
      <c r="AK602" s="32">
        <f>IF(AN602=12,L602,0)</f>
        <v>0</v>
      </c>
      <c r="AL602" s="32">
        <f>IF(AN602=21,L602,0)</f>
        <v>0</v>
      </c>
      <c r="AN602" s="32">
        <v>21</v>
      </c>
      <c r="AO602" s="32">
        <f>H602*0.168796456</f>
        <v>0</v>
      </c>
      <c r="AP602" s="32">
        <f>H602*(1-0.168796456)</f>
        <v>0</v>
      </c>
      <c r="AQ602" s="36" t="s">
        <v>67</v>
      </c>
      <c r="AV602" s="32">
        <f>ROUND(AW602+AX602,2)</f>
        <v>0</v>
      </c>
      <c r="AW602" s="32">
        <f>ROUND(G602*AO602,2)</f>
        <v>0</v>
      </c>
      <c r="AX602" s="32">
        <f>ROUND(G602*AP602,2)</f>
        <v>0</v>
      </c>
      <c r="AY602" s="36" t="s">
        <v>1282</v>
      </c>
      <c r="AZ602" s="36" t="s">
        <v>1048</v>
      </c>
      <c r="BA602" s="12" t="s">
        <v>65</v>
      </c>
      <c r="BC602" s="32">
        <f>AW602+AX602</f>
        <v>0</v>
      </c>
      <c r="BD602" s="32">
        <f>H602/(100-BE602)*100</f>
        <v>0</v>
      </c>
      <c r="BE602" s="32">
        <v>0</v>
      </c>
      <c r="BF602" s="32">
        <f>P602</f>
        <v>0</v>
      </c>
      <c r="BH602" s="32">
        <f>G602*AO602</f>
        <v>0</v>
      </c>
      <c r="BI602" s="32">
        <f>G602*AP602</f>
        <v>0</v>
      </c>
      <c r="BJ602" s="32">
        <f>G602*H602</f>
        <v>0</v>
      </c>
      <c r="BK602" s="36" t="s">
        <v>66</v>
      </c>
      <c r="BL602" s="32"/>
      <c r="BW602" s="32">
        <f>I602</f>
        <v>21</v>
      </c>
      <c r="BX602" s="4" t="s">
        <v>1305</v>
      </c>
    </row>
    <row r="603" spans="1:76" ht="13.5" customHeight="1" x14ac:dyDescent="0.25">
      <c r="A603" s="42"/>
      <c r="C603" s="43"/>
      <c r="D603" s="95" t="s">
        <v>1306</v>
      </c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7"/>
    </row>
    <row r="604" spans="1:76" x14ac:dyDescent="0.25">
      <c r="A604" s="2" t="s">
        <v>1307</v>
      </c>
      <c r="B604" s="3" t="s">
        <v>55</v>
      </c>
      <c r="C604" s="3" t="s">
        <v>1308</v>
      </c>
      <c r="D604" s="89" t="s">
        <v>1309</v>
      </c>
      <c r="E604" s="90"/>
      <c r="F604" s="3" t="s">
        <v>88</v>
      </c>
      <c r="G604" s="32">
        <v>5</v>
      </c>
      <c r="H604" s="199">
        <v>0</v>
      </c>
      <c r="I604" s="33">
        <v>21</v>
      </c>
      <c r="J604" s="32">
        <f>ROUND(G604*AO604,2)</f>
        <v>0</v>
      </c>
      <c r="K604" s="32">
        <f>ROUND(G604*AP604,2)</f>
        <v>0</v>
      </c>
      <c r="L604" s="32">
        <f>ROUND(G604*H604,2)</f>
        <v>0</v>
      </c>
      <c r="M604" s="32">
        <f>L604*(1+BW604/100)</f>
        <v>0</v>
      </c>
      <c r="N604" s="34">
        <f>IF(L649=0,0,L604/L649)</f>
        <v>0</v>
      </c>
      <c r="O604" s="32">
        <v>4.0000000000000003E-5</v>
      </c>
      <c r="P604" s="32">
        <f>G604*O604</f>
        <v>2.0000000000000001E-4</v>
      </c>
      <c r="Q604" s="35" t="s">
        <v>77</v>
      </c>
      <c r="Z604" s="32">
        <f>ROUND(IF(AQ604="5",BJ604,0),2)</f>
        <v>0</v>
      </c>
      <c r="AB604" s="32">
        <f>ROUND(IF(AQ604="1",BH604,0),2)</f>
        <v>0</v>
      </c>
      <c r="AC604" s="32">
        <f>ROUND(IF(AQ604="1",BI604,0),2)</f>
        <v>0</v>
      </c>
      <c r="AD604" s="32">
        <f>ROUND(IF(AQ604="7",BH604,0),2)</f>
        <v>0</v>
      </c>
      <c r="AE604" s="32">
        <f>ROUND(IF(AQ604="7",BI604,0),2)</f>
        <v>0</v>
      </c>
      <c r="AF604" s="32">
        <f>ROUND(IF(AQ604="2",BH604,0),2)</f>
        <v>0</v>
      </c>
      <c r="AG604" s="32">
        <f>ROUND(IF(AQ604="2",BI604,0),2)</f>
        <v>0</v>
      </c>
      <c r="AH604" s="32">
        <f>ROUND(IF(AQ604="0",BJ604,0),2)</f>
        <v>0</v>
      </c>
      <c r="AI604" s="12" t="s">
        <v>55</v>
      </c>
      <c r="AJ604" s="32">
        <f>IF(AN604=0,L604,0)</f>
        <v>0</v>
      </c>
      <c r="AK604" s="32">
        <f>IF(AN604=12,L604,0)</f>
        <v>0</v>
      </c>
      <c r="AL604" s="32">
        <f>IF(AN604=21,L604,0)</f>
        <v>0</v>
      </c>
      <c r="AN604" s="32">
        <v>21</v>
      </c>
      <c r="AO604" s="32">
        <f>H604*0.453351184</f>
        <v>0</v>
      </c>
      <c r="AP604" s="32">
        <f>H604*(1-0.453351184)</f>
        <v>0</v>
      </c>
      <c r="AQ604" s="36" t="s">
        <v>67</v>
      </c>
      <c r="AV604" s="32">
        <f>ROUND(AW604+AX604,2)</f>
        <v>0</v>
      </c>
      <c r="AW604" s="32">
        <f>ROUND(G604*AO604,2)</f>
        <v>0</v>
      </c>
      <c r="AX604" s="32">
        <f>ROUND(G604*AP604,2)</f>
        <v>0</v>
      </c>
      <c r="AY604" s="36" t="s">
        <v>1282</v>
      </c>
      <c r="AZ604" s="36" t="s">
        <v>1048</v>
      </c>
      <c r="BA604" s="12" t="s">
        <v>65</v>
      </c>
      <c r="BC604" s="32">
        <f>AW604+AX604</f>
        <v>0</v>
      </c>
      <c r="BD604" s="32">
        <f>H604/(100-BE604)*100</f>
        <v>0</v>
      </c>
      <c r="BE604" s="32">
        <v>0</v>
      </c>
      <c r="BF604" s="32">
        <f>P604</f>
        <v>2.0000000000000001E-4</v>
      </c>
      <c r="BH604" s="32">
        <f>G604*AO604</f>
        <v>0</v>
      </c>
      <c r="BI604" s="32">
        <f>G604*AP604</f>
        <v>0</v>
      </c>
      <c r="BJ604" s="32">
        <f>G604*H604</f>
        <v>0</v>
      </c>
      <c r="BK604" s="36" t="s">
        <v>66</v>
      </c>
      <c r="BL604" s="32"/>
      <c r="BW604" s="32">
        <f>I604</f>
        <v>21</v>
      </c>
      <c r="BX604" s="4" t="s">
        <v>1309</v>
      </c>
    </row>
    <row r="605" spans="1:76" ht="13.5" customHeight="1" x14ac:dyDescent="0.25">
      <c r="A605" s="42"/>
      <c r="C605" s="43"/>
      <c r="D605" s="95" t="s">
        <v>1306</v>
      </c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7"/>
    </row>
    <row r="606" spans="1:76" x14ac:dyDescent="0.25">
      <c r="A606" s="2" t="s">
        <v>1310</v>
      </c>
      <c r="B606" s="3" t="s">
        <v>55</v>
      </c>
      <c r="C606" s="3" t="s">
        <v>1311</v>
      </c>
      <c r="D606" s="89" t="s">
        <v>1312</v>
      </c>
      <c r="E606" s="90"/>
      <c r="F606" s="3" t="s">
        <v>88</v>
      </c>
      <c r="G606" s="32">
        <v>50</v>
      </c>
      <c r="H606" s="199">
        <v>0</v>
      </c>
      <c r="I606" s="33">
        <v>21</v>
      </c>
      <c r="J606" s="32">
        <f>ROUND(G606*AO606,2)</f>
        <v>0</v>
      </c>
      <c r="K606" s="32">
        <f>ROUND(G606*AP606,2)</f>
        <v>0</v>
      </c>
      <c r="L606" s="32">
        <f>ROUND(G606*H606,2)</f>
        <v>0</v>
      </c>
      <c r="M606" s="32">
        <f>L606*(1+BW606/100)</f>
        <v>0</v>
      </c>
      <c r="N606" s="34">
        <f>IF(L649=0,0,L606/L649)</f>
        <v>0</v>
      </c>
      <c r="O606" s="32">
        <v>3.0000000000000001E-5</v>
      </c>
      <c r="P606" s="32">
        <f>G606*O606</f>
        <v>1.5E-3</v>
      </c>
      <c r="Q606" s="35" t="s">
        <v>77</v>
      </c>
      <c r="Z606" s="32">
        <f>ROUND(IF(AQ606="5",BJ606,0),2)</f>
        <v>0</v>
      </c>
      <c r="AB606" s="32">
        <f>ROUND(IF(AQ606="1",BH606,0),2)</f>
        <v>0</v>
      </c>
      <c r="AC606" s="32">
        <f>ROUND(IF(AQ606="1",BI606,0),2)</f>
        <v>0</v>
      </c>
      <c r="AD606" s="32">
        <f>ROUND(IF(AQ606="7",BH606,0),2)</f>
        <v>0</v>
      </c>
      <c r="AE606" s="32">
        <f>ROUND(IF(AQ606="7",BI606,0),2)</f>
        <v>0</v>
      </c>
      <c r="AF606" s="32">
        <f>ROUND(IF(AQ606="2",BH606,0),2)</f>
        <v>0</v>
      </c>
      <c r="AG606" s="32">
        <f>ROUND(IF(AQ606="2",BI606,0),2)</f>
        <v>0</v>
      </c>
      <c r="AH606" s="32">
        <f>ROUND(IF(AQ606="0",BJ606,0),2)</f>
        <v>0</v>
      </c>
      <c r="AI606" s="12" t="s">
        <v>55</v>
      </c>
      <c r="AJ606" s="32">
        <f>IF(AN606=0,L606,0)</f>
        <v>0</v>
      </c>
      <c r="AK606" s="32">
        <f>IF(AN606=12,L606,0)</f>
        <v>0</v>
      </c>
      <c r="AL606" s="32">
        <f>IF(AN606=21,L606,0)</f>
        <v>0</v>
      </c>
      <c r="AN606" s="32">
        <v>21</v>
      </c>
      <c r="AO606" s="32">
        <f>H606*0.339920949</f>
        <v>0</v>
      </c>
      <c r="AP606" s="32">
        <f>H606*(1-0.339920949)</f>
        <v>0</v>
      </c>
      <c r="AQ606" s="36" t="s">
        <v>67</v>
      </c>
      <c r="AV606" s="32">
        <f>ROUND(AW606+AX606,2)</f>
        <v>0</v>
      </c>
      <c r="AW606" s="32">
        <f>ROUND(G606*AO606,2)</f>
        <v>0</v>
      </c>
      <c r="AX606" s="32">
        <f>ROUND(G606*AP606,2)</f>
        <v>0</v>
      </c>
      <c r="AY606" s="36" t="s">
        <v>1282</v>
      </c>
      <c r="AZ606" s="36" t="s">
        <v>1048</v>
      </c>
      <c r="BA606" s="12" t="s">
        <v>65</v>
      </c>
      <c r="BC606" s="32">
        <f>AW606+AX606</f>
        <v>0</v>
      </c>
      <c r="BD606" s="32">
        <f>H606/(100-BE606)*100</f>
        <v>0</v>
      </c>
      <c r="BE606" s="32">
        <v>0</v>
      </c>
      <c r="BF606" s="32">
        <f>P606</f>
        <v>1.5E-3</v>
      </c>
      <c r="BH606" s="32">
        <f>G606*AO606</f>
        <v>0</v>
      </c>
      <c r="BI606" s="32">
        <f>G606*AP606</f>
        <v>0</v>
      </c>
      <c r="BJ606" s="32">
        <f>G606*H606</f>
        <v>0</v>
      </c>
      <c r="BK606" s="36" t="s">
        <v>66</v>
      </c>
      <c r="BL606" s="32"/>
      <c r="BW606" s="32">
        <f>I606</f>
        <v>21</v>
      </c>
      <c r="BX606" s="4" t="s">
        <v>1312</v>
      </c>
    </row>
    <row r="607" spans="1:76" ht="13.5" customHeight="1" x14ac:dyDescent="0.25">
      <c r="A607" s="42"/>
      <c r="C607" s="43"/>
      <c r="D607" s="95" t="s">
        <v>1306</v>
      </c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7"/>
    </row>
    <row r="608" spans="1:76" x14ac:dyDescent="0.25">
      <c r="A608" s="2" t="s">
        <v>1313</v>
      </c>
      <c r="B608" s="3" t="s">
        <v>55</v>
      </c>
      <c r="C608" s="3" t="s">
        <v>1314</v>
      </c>
      <c r="D608" s="89" t="s">
        <v>1315</v>
      </c>
      <c r="E608" s="90"/>
      <c r="F608" s="3" t="s">
        <v>88</v>
      </c>
      <c r="G608" s="32">
        <v>1</v>
      </c>
      <c r="H608" s="199">
        <v>0</v>
      </c>
      <c r="I608" s="33">
        <v>21</v>
      </c>
      <c r="J608" s="32">
        <f>ROUND(G608*AO608,2)</f>
        <v>0</v>
      </c>
      <c r="K608" s="32">
        <f>ROUND(G608*AP608,2)</f>
        <v>0</v>
      </c>
      <c r="L608" s="32">
        <f>ROUND(G608*H608,2)</f>
        <v>0</v>
      </c>
      <c r="M608" s="32">
        <f>L608*(1+BW608/100)</f>
        <v>0</v>
      </c>
      <c r="N608" s="34">
        <f>IF(L649=0,0,L608/L649)</f>
        <v>0</v>
      </c>
      <c r="O608" s="32">
        <v>0</v>
      </c>
      <c r="P608" s="32">
        <f>G608*O608</f>
        <v>0</v>
      </c>
      <c r="Q608" s="35" t="s">
        <v>77</v>
      </c>
      <c r="Z608" s="32">
        <f>ROUND(IF(AQ608="5",BJ608,0),2)</f>
        <v>0</v>
      </c>
      <c r="AB608" s="32">
        <f>ROUND(IF(AQ608="1",BH608,0),2)</f>
        <v>0</v>
      </c>
      <c r="AC608" s="32">
        <f>ROUND(IF(AQ608="1",BI608,0),2)</f>
        <v>0</v>
      </c>
      <c r="AD608" s="32">
        <f>ROUND(IF(AQ608="7",BH608,0),2)</f>
        <v>0</v>
      </c>
      <c r="AE608" s="32">
        <f>ROUND(IF(AQ608="7",BI608,0),2)</f>
        <v>0</v>
      </c>
      <c r="AF608" s="32">
        <f>ROUND(IF(AQ608="2",BH608,0),2)</f>
        <v>0</v>
      </c>
      <c r="AG608" s="32">
        <f>ROUND(IF(AQ608="2",BI608,0),2)</f>
        <v>0</v>
      </c>
      <c r="AH608" s="32">
        <f>ROUND(IF(AQ608="0",BJ608,0),2)</f>
        <v>0</v>
      </c>
      <c r="AI608" s="12" t="s">
        <v>55</v>
      </c>
      <c r="AJ608" s="32">
        <f>IF(AN608=0,L608,0)</f>
        <v>0</v>
      </c>
      <c r="AK608" s="32">
        <f>IF(AN608=12,L608,0)</f>
        <v>0</v>
      </c>
      <c r="AL608" s="32">
        <f>IF(AN608=21,L608,0)</f>
        <v>0</v>
      </c>
      <c r="AN608" s="32">
        <v>21</v>
      </c>
      <c r="AO608" s="32">
        <f>H608*0.517053206</f>
        <v>0</v>
      </c>
      <c r="AP608" s="32">
        <f>H608*(1-0.517053206)</f>
        <v>0</v>
      </c>
      <c r="AQ608" s="36" t="s">
        <v>67</v>
      </c>
      <c r="AV608" s="32">
        <f>ROUND(AW608+AX608,2)</f>
        <v>0</v>
      </c>
      <c r="AW608" s="32">
        <f>ROUND(G608*AO608,2)</f>
        <v>0</v>
      </c>
      <c r="AX608" s="32">
        <f>ROUND(G608*AP608,2)</f>
        <v>0</v>
      </c>
      <c r="AY608" s="36" t="s">
        <v>1282</v>
      </c>
      <c r="AZ608" s="36" t="s">
        <v>1048</v>
      </c>
      <c r="BA608" s="12" t="s">
        <v>65</v>
      </c>
      <c r="BC608" s="32">
        <f>AW608+AX608</f>
        <v>0</v>
      </c>
      <c r="BD608" s="32">
        <f>H608/(100-BE608)*100</f>
        <v>0</v>
      </c>
      <c r="BE608" s="32">
        <v>0</v>
      </c>
      <c r="BF608" s="32">
        <f>P608</f>
        <v>0</v>
      </c>
      <c r="BH608" s="32">
        <f>G608*AO608</f>
        <v>0</v>
      </c>
      <c r="BI608" s="32">
        <f>G608*AP608</f>
        <v>0</v>
      </c>
      <c r="BJ608" s="32">
        <f>G608*H608</f>
        <v>0</v>
      </c>
      <c r="BK608" s="36" t="s">
        <v>66</v>
      </c>
      <c r="BL608" s="32"/>
      <c r="BW608" s="32">
        <f>I608</f>
        <v>21</v>
      </c>
      <c r="BX608" s="4" t="s">
        <v>1315</v>
      </c>
    </row>
    <row r="609" spans="1:76" x14ac:dyDescent="0.25">
      <c r="A609" s="2" t="s">
        <v>1316</v>
      </c>
      <c r="B609" s="3" t="s">
        <v>55</v>
      </c>
      <c r="C609" s="3" t="s">
        <v>1317</v>
      </c>
      <c r="D609" s="89" t="s">
        <v>1318</v>
      </c>
      <c r="E609" s="90"/>
      <c r="F609" s="3" t="s">
        <v>88</v>
      </c>
      <c r="G609" s="32">
        <v>1</v>
      </c>
      <c r="H609" s="199">
        <v>0</v>
      </c>
      <c r="I609" s="33">
        <v>21</v>
      </c>
      <c r="J609" s="32">
        <f>ROUND(G609*AO609,2)</f>
        <v>0</v>
      </c>
      <c r="K609" s="32">
        <f>ROUND(G609*AP609,2)</f>
        <v>0</v>
      </c>
      <c r="L609" s="32">
        <f>ROUND(G609*H609,2)</f>
        <v>0</v>
      </c>
      <c r="M609" s="32">
        <f>L609*(1+BW609/100)</f>
        <v>0</v>
      </c>
      <c r="N609" s="34">
        <f>IF(L649=0,0,L609/L649)</f>
        <v>0</v>
      </c>
      <c r="O609" s="32">
        <v>6.3000000000000003E-4</v>
      </c>
      <c r="P609" s="32">
        <f>G609*O609</f>
        <v>6.3000000000000003E-4</v>
      </c>
      <c r="Q609" s="35" t="s">
        <v>77</v>
      </c>
      <c r="Z609" s="32">
        <f>ROUND(IF(AQ609="5",BJ609,0),2)</f>
        <v>0</v>
      </c>
      <c r="AB609" s="32">
        <f>ROUND(IF(AQ609="1",BH609,0),2)</f>
        <v>0</v>
      </c>
      <c r="AC609" s="32">
        <f>ROUND(IF(AQ609="1",BI609,0),2)</f>
        <v>0</v>
      </c>
      <c r="AD609" s="32">
        <f>ROUND(IF(AQ609="7",BH609,0),2)</f>
        <v>0</v>
      </c>
      <c r="AE609" s="32">
        <f>ROUND(IF(AQ609="7",BI609,0),2)</f>
        <v>0</v>
      </c>
      <c r="AF609" s="32">
        <f>ROUND(IF(AQ609="2",BH609,0),2)</f>
        <v>0</v>
      </c>
      <c r="AG609" s="32">
        <f>ROUND(IF(AQ609="2",BI609,0),2)</f>
        <v>0</v>
      </c>
      <c r="AH609" s="32">
        <f>ROUND(IF(AQ609="0",BJ609,0),2)</f>
        <v>0</v>
      </c>
      <c r="AI609" s="12" t="s">
        <v>55</v>
      </c>
      <c r="AJ609" s="32">
        <f>IF(AN609=0,L609,0)</f>
        <v>0</v>
      </c>
      <c r="AK609" s="32">
        <f>IF(AN609=12,L609,0)</f>
        <v>0</v>
      </c>
      <c r="AL609" s="32">
        <f>IF(AN609=21,L609,0)</f>
        <v>0</v>
      </c>
      <c r="AN609" s="32">
        <v>21</v>
      </c>
      <c r="AO609" s="32">
        <f>H609*0.512432451</f>
        <v>0</v>
      </c>
      <c r="AP609" s="32">
        <f>H609*(1-0.512432451)</f>
        <v>0</v>
      </c>
      <c r="AQ609" s="36" t="s">
        <v>67</v>
      </c>
      <c r="AV609" s="32">
        <f>ROUND(AW609+AX609,2)</f>
        <v>0</v>
      </c>
      <c r="AW609" s="32">
        <f>ROUND(G609*AO609,2)</f>
        <v>0</v>
      </c>
      <c r="AX609" s="32">
        <f>ROUND(G609*AP609,2)</f>
        <v>0</v>
      </c>
      <c r="AY609" s="36" t="s">
        <v>1282</v>
      </c>
      <c r="AZ609" s="36" t="s">
        <v>1048</v>
      </c>
      <c r="BA609" s="12" t="s">
        <v>65</v>
      </c>
      <c r="BC609" s="32">
        <f>AW609+AX609</f>
        <v>0</v>
      </c>
      <c r="BD609" s="32">
        <f>H609/(100-BE609)*100</f>
        <v>0</v>
      </c>
      <c r="BE609" s="32">
        <v>0</v>
      </c>
      <c r="BF609" s="32">
        <f>P609</f>
        <v>6.3000000000000003E-4</v>
      </c>
      <c r="BH609" s="32">
        <f>G609*AO609</f>
        <v>0</v>
      </c>
      <c r="BI609" s="32">
        <f>G609*AP609</f>
        <v>0</v>
      </c>
      <c r="BJ609" s="32">
        <f>G609*H609</f>
        <v>0</v>
      </c>
      <c r="BK609" s="36" t="s">
        <v>66</v>
      </c>
      <c r="BL609" s="32"/>
      <c r="BW609" s="32">
        <f>I609</f>
        <v>21</v>
      </c>
      <c r="BX609" s="4" t="s">
        <v>1318</v>
      </c>
    </row>
    <row r="610" spans="1:76" ht="13.5" customHeight="1" x14ac:dyDescent="0.25">
      <c r="A610" s="42"/>
      <c r="C610" s="43"/>
      <c r="D610" s="95" t="s">
        <v>1306</v>
      </c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7"/>
    </row>
    <row r="611" spans="1:76" x14ac:dyDescent="0.25">
      <c r="A611" s="2" t="s">
        <v>1319</v>
      </c>
      <c r="B611" s="3" t="s">
        <v>55</v>
      </c>
      <c r="C611" s="3" t="s">
        <v>1320</v>
      </c>
      <c r="D611" s="89" t="s">
        <v>1321</v>
      </c>
      <c r="E611" s="90"/>
      <c r="F611" s="3" t="s">
        <v>136</v>
      </c>
      <c r="G611" s="32">
        <v>14</v>
      </c>
      <c r="H611" s="199">
        <v>0</v>
      </c>
      <c r="I611" s="33">
        <v>21</v>
      </c>
      <c r="J611" s="32">
        <f>ROUND(G611*AO611,2)</f>
        <v>0</v>
      </c>
      <c r="K611" s="32">
        <f>ROUND(G611*AP611,2)</f>
        <v>0</v>
      </c>
      <c r="L611" s="32">
        <f>ROUND(G611*H611,2)</f>
        <v>0</v>
      </c>
      <c r="M611" s="32">
        <f>L611*(1+BW611/100)</f>
        <v>0</v>
      </c>
      <c r="N611" s="34">
        <f>IF(L649=0,0,L611/L649)</f>
        <v>0</v>
      </c>
      <c r="O611" s="32">
        <v>0</v>
      </c>
      <c r="P611" s="32">
        <f>G611*O611</f>
        <v>0</v>
      </c>
      <c r="Q611" s="35" t="s">
        <v>77</v>
      </c>
      <c r="Z611" s="32">
        <f>ROUND(IF(AQ611="5",BJ611,0),2)</f>
        <v>0</v>
      </c>
      <c r="AB611" s="32">
        <f>ROUND(IF(AQ611="1",BH611,0),2)</f>
        <v>0</v>
      </c>
      <c r="AC611" s="32">
        <f>ROUND(IF(AQ611="1",BI611,0),2)</f>
        <v>0</v>
      </c>
      <c r="AD611" s="32">
        <f>ROUND(IF(AQ611="7",BH611,0),2)</f>
        <v>0</v>
      </c>
      <c r="AE611" s="32">
        <f>ROUND(IF(AQ611="7",BI611,0),2)</f>
        <v>0</v>
      </c>
      <c r="AF611" s="32">
        <f>ROUND(IF(AQ611="2",BH611,0),2)</f>
        <v>0</v>
      </c>
      <c r="AG611" s="32">
        <f>ROUND(IF(AQ611="2",BI611,0),2)</f>
        <v>0</v>
      </c>
      <c r="AH611" s="32">
        <f>ROUND(IF(AQ611="0",BJ611,0),2)</f>
        <v>0</v>
      </c>
      <c r="AI611" s="12" t="s">
        <v>55</v>
      </c>
      <c r="AJ611" s="32">
        <f>IF(AN611=0,L611,0)</f>
        <v>0</v>
      </c>
      <c r="AK611" s="32">
        <f>IF(AN611=12,L611,0)</f>
        <v>0</v>
      </c>
      <c r="AL611" s="32">
        <f>IF(AN611=21,L611,0)</f>
        <v>0</v>
      </c>
      <c r="AN611" s="32">
        <v>21</v>
      </c>
      <c r="AO611" s="32">
        <f>H611*0.599735799</f>
        <v>0</v>
      </c>
      <c r="AP611" s="32">
        <f>H611*(1-0.599735799)</f>
        <v>0</v>
      </c>
      <c r="AQ611" s="36" t="s">
        <v>67</v>
      </c>
      <c r="AV611" s="32">
        <f>ROUND(AW611+AX611,2)</f>
        <v>0</v>
      </c>
      <c r="AW611" s="32">
        <f>ROUND(G611*AO611,2)</f>
        <v>0</v>
      </c>
      <c r="AX611" s="32">
        <f>ROUND(G611*AP611,2)</f>
        <v>0</v>
      </c>
      <c r="AY611" s="36" t="s">
        <v>1282</v>
      </c>
      <c r="AZ611" s="36" t="s">
        <v>1048</v>
      </c>
      <c r="BA611" s="12" t="s">
        <v>65</v>
      </c>
      <c r="BC611" s="32">
        <f>AW611+AX611</f>
        <v>0</v>
      </c>
      <c r="BD611" s="32">
        <f>H611/(100-BE611)*100</f>
        <v>0</v>
      </c>
      <c r="BE611" s="32">
        <v>0</v>
      </c>
      <c r="BF611" s="32">
        <f>P611</f>
        <v>0</v>
      </c>
      <c r="BH611" s="32">
        <f>G611*AO611</f>
        <v>0</v>
      </c>
      <c r="BI611" s="32">
        <f>G611*AP611</f>
        <v>0</v>
      </c>
      <c r="BJ611" s="32">
        <f>G611*H611</f>
        <v>0</v>
      </c>
      <c r="BK611" s="36" t="s">
        <v>66</v>
      </c>
      <c r="BL611" s="32"/>
      <c r="BW611" s="32">
        <f>I611</f>
        <v>21</v>
      </c>
      <c r="BX611" s="4" t="s">
        <v>1321</v>
      </c>
    </row>
    <row r="612" spans="1:76" ht="13.5" customHeight="1" x14ac:dyDescent="0.25">
      <c r="A612" s="42"/>
      <c r="C612" s="43"/>
      <c r="D612" s="95" t="s">
        <v>1322</v>
      </c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7"/>
    </row>
    <row r="613" spans="1:76" x14ac:dyDescent="0.25">
      <c r="A613" s="2" t="s">
        <v>1323</v>
      </c>
      <c r="B613" s="3" t="s">
        <v>55</v>
      </c>
      <c r="C613" s="3" t="s">
        <v>1324</v>
      </c>
      <c r="D613" s="89" t="s">
        <v>1325</v>
      </c>
      <c r="E613" s="90"/>
      <c r="F613" s="3" t="s">
        <v>88</v>
      </c>
      <c r="G613" s="32">
        <v>9</v>
      </c>
      <c r="H613" s="199">
        <v>0</v>
      </c>
      <c r="I613" s="33">
        <v>21</v>
      </c>
      <c r="J613" s="32">
        <f>ROUND(G613*AO613,2)</f>
        <v>0</v>
      </c>
      <c r="K613" s="32">
        <f>ROUND(G613*AP613,2)</f>
        <v>0</v>
      </c>
      <c r="L613" s="32">
        <f>ROUND(G613*H613,2)</f>
        <v>0</v>
      </c>
      <c r="M613" s="32">
        <f>L613*(1+BW613/100)</f>
        <v>0</v>
      </c>
      <c r="N613" s="34">
        <f>IF(L649=0,0,L613/L649)</f>
        <v>0</v>
      </c>
      <c r="O613" s="32">
        <v>0</v>
      </c>
      <c r="P613" s="32">
        <f>G613*O613</f>
        <v>0</v>
      </c>
      <c r="Q613" s="35" t="s">
        <v>55</v>
      </c>
      <c r="Z613" s="32">
        <f>ROUND(IF(AQ613="5",BJ613,0),2)</f>
        <v>0</v>
      </c>
      <c r="AB613" s="32">
        <f>ROUND(IF(AQ613="1",BH613,0),2)</f>
        <v>0</v>
      </c>
      <c r="AC613" s="32">
        <f>ROUND(IF(AQ613="1",BI613,0),2)</f>
        <v>0</v>
      </c>
      <c r="AD613" s="32">
        <f>ROUND(IF(AQ613="7",BH613,0),2)</f>
        <v>0</v>
      </c>
      <c r="AE613" s="32">
        <f>ROUND(IF(AQ613="7",BI613,0),2)</f>
        <v>0</v>
      </c>
      <c r="AF613" s="32">
        <f>ROUND(IF(AQ613="2",BH613,0),2)</f>
        <v>0</v>
      </c>
      <c r="AG613" s="32">
        <f>ROUND(IF(AQ613="2",BI613,0),2)</f>
        <v>0</v>
      </c>
      <c r="AH613" s="32">
        <f>ROUND(IF(AQ613="0",BJ613,0),2)</f>
        <v>0</v>
      </c>
      <c r="AI613" s="12" t="s">
        <v>55</v>
      </c>
      <c r="AJ613" s="32">
        <f>IF(AN613=0,L613,0)</f>
        <v>0</v>
      </c>
      <c r="AK613" s="32">
        <f>IF(AN613=12,L613,0)</f>
        <v>0</v>
      </c>
      <c r="AL613" s="32">
        <f>IF(AN613=21,L613,0)</f>
        <v>0</v>
      </c>
      <c r="AN613" s="32">
        <v>21</v>
      </c>
      <c r="AO613" s="32">
        <f>H613*0.543820225</f>
        <v>0</v>
      </c>
      <c r="AP613" s="32">
        <f>H613*(1-0.543820225)</f>
        <v>0</v>
      </c>
      <c r="AQ613" s="36" t="s">
        <v>67</v>
      </c>
      <c r="AV613" s="32">
        <f>ROUND(AW613+AX613,2)</f>
        <v>0</v>
      </c>
      <c r="AW613" s="32">
        <f>ROUND(G613*AO613,2)</f>
        <v>0</v>
      </c>
      <c r="AX613" s="32">
        <f>ROUND(G613*AP613,2)</f>
        <v>0</v>
      </c>
      <c r="AY613" s="36" t="s">
        <v>1282</v>
      </c>
      <c r="AZ613" s="36" t="s">
        <v>1048</v>
      </c>
      <c r="BA613" s="12" t="s">
        <v>65</v>
      </c>
      <c r="BC613" s="32">
        <f>AW613+AX613</f>
        <v>0</v>
      </c>
      <c r="BD613" s="32">
        <f>H613/(100-BE613)*100</f>
        <v>0</v>
      </c>
      <c r="BE613" s="32">
        <v>0</v>
      </c>
      <c r="BF613" s="32">
        <f>P613</f>
        <v>0</v>
      </c>
      <c r="BH613" s="32">
        <f>G613*AO613</f>
        <v>0</v>
      </c>
      <c r="BI613" s="32">
        <f>G613*AP613</f>
        <v>0</v>
      </c>
      <c r="BJ613" s="32">
        <f>G613*H613</f>
        <v>0</v>
      </c>
      <c r="BK613" s="36" t="s">
        <v>66</v>
      </c>
      <c r="BL613" s="32"/>
      <c r="BW613" s="32">
        <f>I613</f>
        <v>21</v>
      </c>
      <c r="BX613" s="4" t="s">
        <v>1325</v>
      </c>
    </row>
    <row r="614" spans="1:76" ht="13.5" customHeight="1" x14ac:dyDescent="0.25">
      <c r="A614" s="42"/>
      <c r="C614" s="43"/>
      <c r="D614" s="95" t="s">
        <v>1326</v>
      </c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7"/>
    </row>
    <row r="615" spans="1:76" x14ac:dyDescent="0.25">
      <c r="A615" s="2" t="s">
        <v>1327</v>
      </c>
      <c r="B615" s="3" t="s">
        <v>55</v>
      </c>
      <c r="C615" s="3" t="s">
        <v>1328</v>
      </c>
      <c r="D615" s="89" t="s">
        <v>1329</v>
      </c>
      <c r="E615" s="90"/>
      <c r="F615" s="3" t="s">
        <v>88</v>
      </c>
      <c r="G615" s="32">
        <v>8</v>
      </c>
      <c r="H615" s="199">
        <v>0</v>
      </c>
      <c r="I615" s="33">
        <v>21</v>
      </c>
      <c r="J615" s="32">
        <f>ROUND(G615*AO615,2)</f>
        <v>0</v>
      </c>
      <c r="K615" s="32">
        <f>ROUND(G615*AP615,2)</f>
        <v>0</v>
      </c>
      <c r="L615" s="32">
        <f>ROUND(G615*H615,2)</f>
        <v>0</v>
      </c>
      <c r="M615" s="32">
        <f>L615*(1+BW615/100)</f>
        <v>0</v>
      </c>
      <c r="N615" s="34">
        <f>IF(L649=0,0,L615/L649)</f>
        <v>0</v>
      </c>
      <c r="O615" s="32">
        <v>2.5000000000000001E-4</v>
      </c>
      <c r="P615" s="32">
        <f>G615*O615</f>
        <v>2E-3</v>
      </c>
      <c r="Q615" s="35" t="s">
        <v>77</v>
      </c>
      <c r="Z615" s="32">
        <f>ROUND(IF(AQ615="5",BJ615,0),2)</f>
        <v>0</v>
      </c>
      <c r="AB615" s="32">
        <f>ROUND(IF(AQ615="1",BH615,0),2)</f>
        <v>0</v>
      </c>
      <c r="AC615" s="32">
        <f>ROUND(IF(AQ615="1",BI615,0),2)</f>
        <v>0</v>
      </c>
      <c r="AD615" s="32">
        <f>ROUND(IF(AQ615="7",BH615,0),2)</f>
        <v>0</v>
      </c>
      <c r="AE615" s="32">
        <f>ROUND(IF(AQ615="7",BI615,0),2)</f>
        <v>0</v>
      </c>
      <c r="AF615" s="32">
        <f>ROUND(IF(AQ615="2",BH615,0),2)</f>
        <v>0</v>
      </c>
      <c r="AG615" s="32">
        <f>ROUND(IF(AQ615="2",BI615,0),2)</f>
        <v>0</v>
      </c>
      <c r="AH615" s="32">
        <f>ROUND(IF(AQ615="0",BJ615,0),2)</f>
        <v>0</v>
      </c>
      <c r="AI615" s="12" t="s">
        <v>55</v>
      </c>
      <c r="AJ615" s="32">
        <f>IF(AN615=0,L615,0)</f>
        <v>0</v>
      </c>
      <c r="AK615" s="32">
        <f>IF(AN615=12,L615,0)</f>
        <v>0</v>
      </c>
      <c r="AL615" s="32">
        <f>IF(AN615=21,L615,0)</f>
        <v>0</v>
      </c>
      <c r="AN615" s="32">
        <v>21</v>
      </c>
      <c r="AO615" s="32">
        <f>H615*0.075732196</f>
        <v>0</v>
      </c>
      <c r="AP615" s="32">
        <f>H615*(1-0.075732196)</f>
        <v>0</v>
      </c>
      <c r="AQ615" s="36" t="s">
        <v>67</v>
      </c>
      <c r="AV615" s="32">
        <f>ROUND(AW615+AX615,2)</f>
        <v>0</v>
      </c>
      <c r="AW615" s="32">
        <f>ROUND(G615*AO615,2)</f>
        <v>0</v>
      </c>
      <c r="AX615" s="32">
        <f>ROUND(G615*AP615,2)</f>
        <v>0</v>
      </c>
      <c r="AY615" s="36" t="s">
        <v>1282</v>
      </c>
      <c r="AZ615" s="36" t="s">
        <v>1048</v>
      </c>
      <c r="BA615" s="12" t="s">
        <v>65</v>
      </c>
      <c r="BC615" s="32">
        <f>AW615+AX615</f>
        <v>0</v>
      </c>
      <c r="BD615" s="32">
        <f>H615/(100-BE615)*100</f>
        <v>0</v>
      </c>
      <c r="BE615" s="32">
        <v>0</v>
      </c>
      <c r="BF615" s="32">
        <f>P615</f>
        <v>2E-3</v>
      </c>
      <c r="BH615" s="32">
        <f>G615*AO615</f>
        <v>0</v>
      </c>
      <c r="BI615" s="32">
        <f>G615*AP615</f>
        <v>0</v>
      </c>
      <c r="BJ615" s="32">
        <f>G615*H615</f>
        <v>0</v>
      </c>
      <c r="BK615" s="36" t="s">
        <v>66</v>
      </c>
      <c r="BL615" s="32"/>
      <c r="BW615" s="32">
        <f>I615</f>
        <v>21</v>
      </c>
      <c r="BX615" s="4" t="s">
        <v>1329</v>
      </c>
    </row>
    <row r="616" spans="1:76" ht="13.5" customHeight="1" x14ac:dyDescent="0.25">
      <c r="A616" s="42"/>
      <c r="C616" s="43"/>
      <c r="D616" s="95" t="s">
        <v>1330</v>
      </c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7"/>
    </row>
    <row r="617" spans="1:76" x14ac:dyDescent="0.25">
      <c r="A617" s="2" t="s">
        <v>1331</v>
      </c>
      <c r="B617" s="3" t="s">
        <v>55</v>
      </c>
      <c r="C617" s="3" t="s">
        <v>1182</v>
      </c>
      <c r="D617" s="89" t="s">
        <v>1226</v>
      </c>
      <c r="E617" s="90"/>
      <c r="F617" s="3" t="s">
        <v>316</v>
      </c>
      <c r="G617" s="32">
        <v>1</v>
      </c>
      <c r="H617" s="199">
        <v>0</v>
      </c>
      <c r="I617" s="33">
        <v>21</v>
      </c>
      <c r="J617" s="32">
        <f>ROUND(G617*AO617,2)</f>
        <v>0</v>
      </c>
      <c r="K617" s="32">
        <f>ROUND(G617*AP617,2)</f>
        <v>0</v>
      </c>
      <c r="L617" s="32">
        <f>ROUND(G617*H617,2)</f>
        <v>0</v>
      </c>
      <c r="M617" s="32">
        <f>L617*(1+BW617/100)</f>
        <v>0</v>
      </c>
      <c r="N617" s="34">
        <f>IF(L649=0,0,L617/L649)</f>
        <v>0</v>
      </c>
      <c r="O617" s="32">
        <v>0</v>
      </c>
      <c r="P617" s="32">
        <f>G617*O617</f>
        <v>0</v>
      </c>
      <c r="Q617" s="35"/>
      <c r="Z617" s="32">
        <f>ROUND(IF(AQ617="5",BJ617,0),2)</f>
        <v>0</v>
      </c>
      <c r="AB617" s="32">
        <f>ROUND(IF(AQ617="1",BH617,0),2)</f>
        <v>0</v>
      </c>
      <c r="AC617" s="32">
        <f>ROUND(IF(AQ617="1",BI617,0),2)</f>
        <v>0</v>
      </c>
      <c r="AD617" s="32">
        <f>ROUND(IF(AQ617="7",BH617,0),2)</f>
        <v>0</v>
      </c>
      <c r="AE617" s="32">
        <f>ROUND(IF(AQ617="7",BI617,0),2)</f>
        <v>0</v>
      </c>
      <c r="AF617" s="32">
        <f>ROUND(IF(AQ617="2",BH617,0),2)</f>
        <v>0</v>
      </c>
      <c r="AG617" s="32">
        <f>ROUND(IF(AQ617="2",BI617,0),2)</f>
        <v>0</v>
      </c>
      <c r="AH617" s="32">
        <f>ROUND(IF(AQ617="0",BJ617,0),2)</f>
        <v>0</v>
      </c>
      <c r="AI617" s="12" t="s">
        <v>55</v>
      </c>
      <c r="AJ617" s="32">
        <f>IF(AN617=0,L617,0)</f>
        <v>0</v>
      </c>
      <c r="AK617" s="32">
        <f>IF(AN617=12,L617,0)</f>
        <v>0</v>
      </c>
      <c r="AL617" s="32">
        <f>IF(AN617=21,L617,0)</f>
        <v>0</v>
      </c>
      <c r="AN617" s="32">
        <v>21</v>
      </c>
      <c r="AO617" s="32">
        <f>H617*0.532315978</f>
        <v>0</v>
      </c>
      <c r="AP617" s="32">
        <f>H617*(1-0.532315978)</f>
        <v>0</v>
      </c>
      <c r="AQ617" s="36" t="s">
        <v>58</v>
      </c>
      <c r="AV617" s="32">
        <f>ROUND(AW617+AX617,2)</f>
        <v>0</v>
      </c>
      <c r="AW617" s="32">
        <f>ROUND(G617*AO617,2)</f>
        <v>0</v>
      </c>
      <c r="AX617" s="32">
        <f>ROUND(G617*AP617,2)</f>
        <v>0</v>
      </c>
      <c r="AY617" s="36" t="s">
        <v>1282</v>
      </c>
      <c r="AZ617" s="36" t="s">
        <v>1048</v>
      </c>
      <c r="BA617" s="12" t="s">
        <v>65</v>
      </c>
      <c r="BC617" s="32">
        <f>AW617+AX617</f>
        <v>0</v>
      </c>
      <c r="BD617" s="32">
        <f>H617/(100-BE617)*100</f>
        <v>0</v>
      </c>
      <c r="BE617" s="32">
        <v>0</v>
      </c>
      <c r="BF617" s="32">
        <f>P617</f>
        <v>0</v>
      </c>
      <c r="BH617" s="32">
        <f>G617*AO617</f>
        <v>0</v>
      </c>
      <c r="BI617" s="32">
        <f>G617*AP617</f>
        <v>0</v>
      </c>
      <c r="BJ617" s="32">
        <f>G617*H617</f>
        <v>0</v>
      </c>
      <c r="BK617" s="36" t="s">
        <v>66</v>
      </c>
      <c r="BL617" s="32"/>
      <c r="BW617" s="32">
        <f>I617</f>
        <v>21</v>
      </c>
      <c r="BX617" s="4" t="s">
        <v>1226</v>
      </c>
    </row>
    <row r="618" spans="1:76" ht="13.5" customHeight="1" x14ac:dyDescent="0.25">
      <c r="A618" s="42"/>
      <c r="C618" s="43"/>
      <c r="D618" s="95" t="s">
        <v>1332</v>
      </c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7"/>
    </row>
    <row r="619" spans="1:76" x14ac:dyDescent="0.25">
      <c r="A619" s="37" t="s">
        <v>55</v>
      </c>
      <c r="B619" s="38" t="s">
        <v>55</v>
      </c>
      <c r="C619" s="38" t="s">
        <v>1333</v>
      </c>
      <c r="D619" s="98" t="s">
        <v>1334</v>
      </c>
      <c r="E619" s="99"/>
      <c r="F619" s="39" t="s">
        <v>3</v>
      </c>
      <c r="G619" s="39" t="s">
        <v>3</v>
      </c>
      <c r="H619" s="39" t="s">
        <v>3</v>
      </c>
      <c r="I619" s="39" t="s">
        <v>3</v>
      </c>
      <c r="J619" s="1">
        <f>SUM(J620:J637)</f>
        <v>0</v>
      </c>
      <c r="K619" s="1">
        <f>SUM(K620:K637)</f>
        <v>0</v>
      </c>
      <c r="L619" s="1">
        <f>SUM(L620:L637)</f>
        <v>0</v>
      </c>
      <c r="M619" s="1">
        <f>SUM(M620:M637)</f>
        <v>0</v>
      </c>
      <c r="N619" s="40">
        <f>IF(L649=0,0,L619/L649)</f>
        <v>0</v>
      </c>
      <c r="O619" s="12" t="s">
        <v>55</v>
      </c>
      <c r="P619" s="1">
        <f>SUM(P620:P637)</f>
        <v>0.14130000000000001</v>
      </c>
      <c r="Q619" s="41" t="s">
        <v>55</v>
      </c>
      <c r="AI619" s="12" t="s">
        <v>55</v>
      </c>
      <c r="AS619" s="1">
        <f>SUM(AJ620:AJ637)</f>
        <v>0</v>
      </c>
      <c r="AT619" s="1">
        <f>SUM(AK620:AK637)</f>
        <v>0</v>
      </c>
      <c r="AU619" s="1">
        <f>SUM(AL620:AL637)</f>
        <v>0</v>
      </c>
    </row>
    <row r="620" spans="1:76" x14ac:dyDescent="0.25">
      <c r="A620" s="2" t="s">
        <v>1335</v>
      </c>
      <c r="B620" s="3" t="s">
        <v>55</v>
      </c>
      <c r="C620" s="3" t="s">
        <v>1336</v>
      </c>
      <c r="D620" s="89" t="s">
        <v>1337</v>
      </c>
      <c r="E620" s="90"/>
      <c r="F620" s="3" t="s">
        <v>136</v>
      </c>
      <c r="G620" s="32">
        <v>60</v>
      </c>
      <c r="H620" s="199">
        <v>0</v>
      </c>
      <c r="I620" s="33">
        <v>21</v>
      </c>
      <c r="J620" s="32">
        <f>ROUND(G620*AO620,2)</f>
        <v>0</v>
      </c>
      <c r="K620" s="32">
        <f>ROUND(G620*AP620,2)</f>
        <v>0</v>
      </c>
      <c r="L620" s="32">
        <f>ROUND(G620*H620,2)</f>
        <v>0</v>
      </c>
      <c r="M620" s="32">
        <f>L620*(1+BW620/100)</f>
        <v>0</v>
      </c>
      <c r="N620" s="34">
        <f>IF(L649=0,0,L620/L649)</f>
        <v>0</v>
      </c>
      <c r="O620" s="32">
        <v>1.3999999999999999E-4</v>
      </c>
      <c r="P620" s="32">
        <f>G620*O620</f>
        <v>8.3999999999999995E-3</v>
      </c>
      <c r="Q620" s="35" t="s">
        <v>77</v>
      </c>
      <c r="Z620" s="32">
        <f>ROUND(IF(AQ620="5",BJ620,0),2)</f>
        <v>0</v>
      </c>
      <c r="AB620" s="32">
        <f>ROUND(IF(AQ620="1",BH620,0),2)</f>
        <v>0</v>
      </c>
      <c r="AC620" s="32">
        <f>ROUND(IF(AQ620="1",BI620,0),2)</f>
        <v>0</v>
      </c>
      <c r="AD620" s="32">
        <f>ROUND(IF(AQ620="7",BH620,0),2)</f>
        <v>0</v>
      </c>
      <c r="AE620" s="32">
        <f>ROUND(IF(AQ620="7",BI620,0),2)</f>
        <v>0</v>
      </c>
      <c r="AF620" s="32">
        <f>ROUND(IF(AQ620="2",BH620,0),2)</f>
        <v>0</v>
      </c>
      <c r="AG620" s="32">
        <f>ROUND(IF(AQ620="2",BI620,0),2)</f>
        <v>0</v>
      </c>
      <c r="AH620" s="32">
        <f>ROUND(IF(AQ620="0",BJ620,0),2)</f>
        <v>0</v>
      </c>
      <c r="AI620" s="12" t="s">
        <v>55</v>
      </c>
      <c r="AJ620" s="32">
        <f>IF(AN620=0,L620,0)</f>
        <v>0</v>
      </c>
      <c r="AK620" s="32">
        <f>IF(AN620=12,L620,0)</f>
        <v>0</v>
      </c>
      <c r="AL620" s="32">
        <f>IF(AN620=21,L620,0)</f>
        <v>0</v>
      </c>
      <c r="AN620" s="32">
        <v>21</v>
      </c>
      <c r="AO620" s="32">
        <f>H620*0.196461359</f>
        <v>0</v>
      </c>
      <c r="AP620" s="32">
        <f>H620*(1-0.196461359)</f>
        <v>0</v>
      </c>
      <c r="AQ620" s="36" t="s">
        <v>67</v>
      </c>
      <c r="AV620" s="32">
        <f>ROUND(AW620+AX620,2)</f>
        <v>0</v>
      </c>
      <c r="AW620" s="32">
        <f>ROUND(G620*AO620,2)</f>
        <v>0</v>
      </c>
      <c r="AX620" s="32">
        <f>ROUND(G620*AP620,2)</f>
        <v>0</v>
      </c>
      <c r="AY620" s="36" t="s">
        <v>1338</v>
      </c>
      <c r="AZ620" s="36" t="s">
        <v>1048</v>
      </c>
      <c r="BA620" s="12" t="s">
        <v>65</v>
      </c>
      <c r="BC620" s="32">
        <f>AW620+AX620</f>
        <v>0</v>
      </c>
      <c r="BD620" s="32">
        <f>H620/(100-BE620)*100</f>
        <v>0</v>
      </c>
      <c r="BE620" s="32">
        <v>0</v>
      </c>
      <c r="BF620" s="32">
        <f>P620</f>
        <v>8.3999999999999995E-3</v>
      </c>
      <c r="BH620" s="32">
        <f>G620*AO620</f>
        <v>0</v>
      </c>
      <c r="BI620" s="32">
        <f>G620*AP620</f>
        <v>0</v>
      </c>
      <c r="BJ620" s="32">
        <f>G620*H620</f>
        <v>0</v>
      </c>
      <c r="BK620" s="36" t="s">
        <v>66</v>
      </c>
      <c r="BL620" s="32"/>
      <c r="BW620" s="32">
        <f>I620</f>
        <v>21</v>
      </c>
      <c r="BX620" s="4" t="s">
        <v>1337</v>
      </c>
    </row>
    <row r="621" spans="1:76" ht="13.5" customHeight="1" x14ac:dyDescent="0.25">
      <c r="A621" s="42"/>
      <c r="C621" s="43"/>
      <c r="D621" s="95" t="s">
        <v>1339</v>
      </c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7"/>
    </row>
    <row r="622" spans="1:76" x14ac:dyDescent="0.25">
      <c r="A622" s="2" t="s">
        <v>1340</v>
      </c>
      <c r="B622" s="3" t="s">
        <v>55</v>
      </c>
      <c r="C622" s="3" t="s">
        <v>1341</v>
      </c>
      <c r="D622" s="89" t="s">
        <v>1342</v>
      </c>
      <c r="E622" s="90"/>
      <c r="F622" s="3" t="s">
        <v>136</v>
      </c>
      <c r="G622" s="32">
        <v>225</v>
      </c>
      <c r="H622" s="199">
        <v>0</v>
      </c>
      <c r="I622" s="33">
        <v>21</v>
      </c>
      <c r="J622" s="32">
        <f>ROUND(G622*AO622,2)</f>
        <v>0</v>
      </c>
      <c r="K622" s="32">
        <f>ROUND(G622*AP622,2)</f>
        <v>0</v>
      </c>
      <c r="L622" s="32">
        <f>ROUND(G622*H622,2)</f>
        <v>0</v>
      </c>
      <c r="M622" s="32">
        <f>L622*(1+BW622/100)</f>
        <v>0</v>
      </c>
      <c r="N622" s="34">
        <f>IF(L649=0,0,L622/L649)</f>
        <v>0</v>
      </c>
      <c r="O622" s="32">
        <v>1.6000000000000001E-4</v>
      </c>
      <c r="P622" s="32">
        <f>G622*O622</f>
        <v>3.6000000000000004E-2</v>
      </c>
      <c r="Q622" s="35" t="s">
        <v>77</v>
      </c>
      <c r="Z622" s="32">
        <f>ROUND(IF(AQ622="5",BJ622,0),2)</f>
        <v>0</v>
      </c>
      <c r="AB622" s="32">
        <f>ROUND(IF(AQ622="1",BH622,0),2)</f>
        <v>0</v>
      </c>
      <c r="AC622" s="32">
        <f>ROUND(IF(AQ622="1",BI622,0),2)</f>
        <v>0</v>
      </c>
      <c r="AD622" s="32">
        <f>ROUND(IF(AQ622="7",BH622,0),2)</f>
        <v>0</v>
      </c>
      <c r="AE622" s="32">
        <f>ROUND(IF(AQ622="7",BI622,0),2)</f>
        <v>0</v>
      </c>
      <c r="AF622" s="32">
        <f>ROUND(IF(AQ622="2",BH622,0),2)</f>
        <v>0</v>
      </c>
      <c r="AG622" s="32">
        <f>ROUND(IF(AQ622="2",BI622,0),2)</f>
        <v>0</v>
      </c>
      <c r="AH622" s="32">
        <f>ROUND(IF(AQ622="0",BJ622,0),2)</f>
        <v>0</v>
      </c>
      <c r="AI622" s="12" t="s">
        <v>55</v>
      </c>
      <c r="AJ622" s="32">
        <f>IF(AN622=0,L622,0)</f>
        <v>0</v>
      </c>
      <c r="AK622" s="32">
        <f>IF(AN622=12,L622,0)</f>
        <v>0</v>
      </c>
      <c r="AL622" s="32">
        <f>IF(AN622=21,L622,0)</f>
        <v>0</v>
      </c>
      <c r="AN622" s="32">
        <v>21</v>
      </c>
      <c r="AO622" s="32">
        <f>H622*0.262593783</f>
        <v>0</v>
      </c>
      <c r="AP622" s="32">
        <f>H622*(1-0.262593783)</f>
        <v>0</v>
      </c>
      <c r="AQ622" s="36" t="s">
        <v>67</v>
      </c>
      <c r="AV622" s="32">
        <f>ROUND(AW622+AX622,2)</f>
        <v>0</v>
      </c>
      <c r="AW622" s="32">
        <f>ROUND(G622*AO622,2)</f>
        <v>0</v>
      </c>
      <c r="AX622" s="32">
        <f>ROUND(G622*AP622,2)</f>
        <v>0</v>
      </c>
      <c r="AY622" s="36" t="s">
        <v>1338</v>
      </c>
      <c r="AZ622" s="36" t="s">
        <v>1048</v>
      </c>
      <c r="BA622" s="12" t="s">
        <v>65</v>
      </c>
      <c r="BC622" s="32">
        <f>AW622+AX622</f>
        <v>0</v>
      </c>
      <c r="BD622" s="32">
        <f>H622/(100-BE622)*100</f>
        <v>0</v>
      </c>
      <c r="BE622" s="32">
        <v>0</v>
      </c>
      <c r="BF622" s="32">
        <f>P622</f>
        <v>3.6000000000000004E-2</v>
      </c>
      <c r="BH622" s="32">
        <f>G622*AO622</f>
        <v>0</v>
      </c>
      <c r="BI622" s="32">
        <f>G622*AP622</f>
        <v>0</v>
      </c>
      <c r="BJ622" s="32">
        <f>G622*H622</f>
        <v>0</v>
      </c>
      <c r="BK622" s="36" t="s">
        <v>66</v>
      </c>
      <c r="BL622" s="32"/>
      <c r="BW622" s="32">
        <f>I622</f>
        <v>21</v>
      </c>
      <c r="BX622" s="4" t="s">
        <v>1342</v>
      </c>
    </row>
    <row r="623" spans="1:76" ht="13.5" customHeight="1" x14ac:dyDescent="0.25">
      <c r="A623" s="42"/>
      <c r="C623" s="43"/>
      <c r="D623" s="95" t="s">
        <v>1339</v>
      </c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7"/>
    </row>
    <row r="624" spans="1:76" x14ac:dyDescent="0.25">
      <c r="A624" s="2" t="s">
        <v>1343</v>
      </c>
      <c r="B624" s="3" t="s">
        <v>55</v>
      </c>
      <c r="C624" s="3" t="s">
        <v>1344</v>
      </c>
      <c r="D624" s="89" t="s">
        <v>1345</v>
      </c>
      <c r="E624" s="90"/>
      <c r="F624" s="3" t="s">
        <v>136</v>
      </c>
      <c r="G624" s="32">
        <v>25</v>
      </c>
      <c r="H624" s="199">
        <v>0</v>
      </c>
      <c r="I624" s="33">
        <v>21</v>
      </c>
      <c r="J624" s="32">
        <f>ROUND(G624*AO624,2)</f>
        <v>0</v>
      </c>
      <c r="K624" s="32">
        <f>ROUND(G624*AP624,2)</f>
        <v>0</v>
      </c>
      <c r="L624" s="32">
        <f>ROUND(G624*H624,2)</f>
        <v>0</v>
      </c>
      <c r="M624" s="32">
        <f>L624*(1+BW624/100)</f>
        <v>0</v>
      </c>
      <c r="N624" s="34">
        <f>IF(L649=0,0,L624/L649)</f>
        <v>0</v>
      </c>
      <c r="O624" s="32">
        <v>1.6000000000000001E-4</v>
      </c>
      <c r="P624" s="32">
        <f>G624*O624</f>
        <v>4.0000000000000001E-3</v>
      </c>
      <c r="Q624" s="35" t="s">
        <v>77</v>
      </c>
      <c r="Z624" s="32">
        <f>ROUND(IF(AQ624="5",BJ624,0),2)</f>
        <v>0</v>
      </c>
      <c r="AB624" s="32">
        <f>ROUND(IF(AQ624="1",BH624,0),2)</f>
        <v>0</v>
      </c>
      <c r="AC624" s="32">
        <f>ROUND(IF(AQ624="1",BI624,0),2)</f>
        <v>0</v>
      </c>
      <c r="AD624" s="32">
        <f>ROUND(IF(AQ624="7",BH624,0),2)</f>
        <v>0</v>
      </c>
      <c r="AE624" s="32">
        <f>ROUND(IF(AQ624="7",BI624,0),2)</f>
        <v>0</v>
      </c>
      <c r="AF624" s="32">
        <f>ROUND(IF(AQ624="2",BH624,0),2)</f>
        <v>0</v>
      </c>
      <c r="AG624" s="32">
        <f>ROUND(IF(AQ624="2",BI624,0),2)</f>
        <v>0</v>
      </c>
      <c r="AH624" s="32">
        <f>ROUND(IF(AQ624="0",BJ624,0),2)</f>
        <v>0</v>
      </c>
      <c r="AI624" s="12" t="s">
        <v>55</v>
      </c>
      <c r="AJ624" s="32">
        <f>IF(AN624=0,L624,0)</f>
        <v>0</v>
      </c>
      <c r="AK624" s="32">
        <f>IF(AN624=12,L624,0)</f>
        <v>0</v>
      </c>
      <c r="AL624" s="32">
        <f>IF(AN624=21,L624,0)</f>
        <v>0</v>
      </c>
      <c r="AN624" s="32">
        <v>21</v>
      </c>
      <c r="AO624" s="32">
        <f>H624*0.262593783</f>
        <v>0</v>
      </c>
      <c r="AP624" s="32">
        <f>H624*(1-0.262593783)</f>
        <v>0</v>
      </c>
      <c r="AQ624" s="36" t="s">
        <v>67</v>
      </c>
      <c r="AV624" s="32">
        <f>ROUND(AW624+AX624,2)</f>
        <v>0</v>
      </c>
      <c r="AW624" s="32">
        <f>ROUND(G624*AO624,2)</f>
        <v>0</v>
      </c>
      <c r="AX624" s="32">
        <f>ROUND(G624*AP624,2)</f>
        <v>0</v>
      </c>
      <c r="AY624" s="36" t="s">
        <v>1338</v>
      </c>
      <c r="AZ624" s="36" t="s">
        <v>1048</v>
      </c>
      <c r="BA624" s="12" t="s">
        <v>65</v>
      </c>
      <c r="BC624" s="32">
        <f>AW624+AX624</f>
        <v>0</v>
      </c>
      <c r="BD624" s="32">
        <f>H624/(100-BE624)*100</f>
        <v>0</v>
      </c>
      <c r="BE624" s="32">
        <v>0</v>
      </c>
      <c r="BF624" s="32">
        <f>P624</f>
        <v>4.0000000000000001E-3</v>
      </c>
      <c r="BH624" s="32">
        <f>G624*AO624</f>
        <v>0</v>
      </c>
      <c r="BI624" s="32">
        <f>G624*AP624</f>
        <v>0</v>
      </c>
      <c r="BJ624" s="32">
        <f>G624*H624</f>
        <v>0</v>
      </c>
      <c r="BK624" s="36" t="s">
        <v>66</v>
      </c>
      <c r="BL624" s="32"/>
      <c r="BW624" s="32">
        <f>I624</f>
        <v>21</v>
      </c>
      <c r="BX624" s="4" t="s">
        <v>1345</v>
      </c>
    </row>
    <row r="625" spans="1:76" ht="13.5" customHeight="1" x14ac:dyDescent="0.25">
      <c r="A625" s="42"/>
      <c r="C625" s="43"/>
      <c r="D625" s="95" t="s">
        <v>1339</v>
      </c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7"/>
    </row>
    <row r="626" spans="1:76" x14ac:dyDescent="0.25">
      <c r="A626" s="2" t="s">
        <v>1346</v>
      </c>
      <c r="B626" s="3" t="s">
        <v>55</v>
      </c>
      <c r="C626" s="3" t="s">
        <v>1347</v>
      </c>
      <c r="D626" s="89" t="s">
        <v>1348</v>
      </c>
      <c r="E626" s="90"/>
      <c r="F626" s="3" t="s">
        <v>136</v>
      </c>
      <c r="G626" s="32">
        <v>290</v>
      </c>
      <c r="H626" s="199">
        <v>0</v>
      </c>
      <c r="I626" s="33">
        <v>21</v>
      </c>
      <c r="J626" s="32">
        <f>ROUND(G626*AO626,2)</f>
        <v>0</v>
      </c>
      <c r="K626" s="32">
        <f>ROUND(G626*AP626,2)</f>
        <v>0</v>
      </c>
      <c r="L626" s="32">
        <f>ROUND(G626*H626,2)</f>
        <v>0</v>
      </c>
      <c r="M626" s="32">
        <f>L626*(1+BW626/100)</f>
        <v>0</v>
      </c>
      <c r="N626" s="34">
        <f>IF(L649=0,0,L626/L649)</f>
        <v>0</v>
      </c>
      <c r="O626" s="32">
        <v>2.1000000000000001E-4</v>
      </c>
      <c r="P626" s="32">
        <f>G626*O626</f>
        <v>6.0900000000000003E-2</v>
      </c>
      <c r="Q626" s="35" t="s">
        <v>77</v>
      </c>
      <c r="Z626" s="32">
        <f>ROUND(IF(AQ626="5",BJ626,0),2)</f>
        <v>0</v>
      </c>
      <c r="AB626" s="32">
        <f>ROUND(IF(AQ626="1",BH626,0),2)</f>
        <v>0</v>
      </c>
      <c r="AC626" s="32">
        <f>ROUND(IF(AQ626="1",BI626,0),2)</f>
        <v>0</v>
      </c>
      <c r="AD626" s="32">
        <f>ROUND(IF(AQ626="7",BH626,0),2)</f>
        <v>0</v>
      </c>
      <c r="AE626" s="32">
        <f>ROUND(IF(AQ626="7",BI626,0),2)</f>
        <v>0</v>
      </c>
      <c r="AF626" s="32">
        <f>ROUND(IF(AQ626="2",BH626,0),2)</f>
        <v>0</v>
      </c>
      <c r="AG626" s="32">
        <f>ROUND(IF(AQ626="2",BI626,0),2)</f>
        <v>0</v>
      </c>
      <c r="AH626" s="32">
        <f>ROUND(IF(AQ626="0",BJ626,0),2)</f>
        <v>0</v>
      </c>
      <c r="AI626" s="12" t="s">
        <v>55</v>
      </c>
      <c r="AJ626" s="32">
        <f>IF(AN626=0,L626,0)</f>
        <v>0</v>
      </c>
      <c r="AK626" s="32">
        <f>IF(AN626=12,L626,0)</f>
        <v>0</v>
      </c>
      <c r="AL626" s="32">
        <f>IF(AN626=21,L626,0)</f>
        <v>0</v>
      </c>
      <c r="AN626" s="32">
        <v>21</v>
      </c>
      <c r="AO626" s="32">
        <f>H626*0.368324367</f>
        <v>0</v>
      </c>
      <c r="AP626" s="32">
        <f>H626*(1-0.368324367)</f>
        <v>0</v>
      </c>
      <c r="AQ626" s="36" t="s">
        <v>67</v>
      </c>
      <c r="AV626" s="32">
        <f>ROUND(AW626+AX626,2)</f>
        <v>0</v>
      </c>
      <c r="AW626" s="32">
        <f>ROUND(G626*AO626,2)</f>
        <v>0</v>
      </c>
      <c r="AX626" s="32">
        <f>ROUND(G626*AP626,2)</f>
        <v>0</v>
      </c>
      <c r="AY626" s="36" t="s">
        <v>1338</v>
      </c>
      <c r="AZ626" s="36" t="s">
        <v>1048</v>
      </c>
      <c r="BA626" s="12" t="s">
        <v>65</v>
      </c>
      <c r="BC626" s="32">
        <f>AW626+AX626</f>
        <v>0</v>
      </c>
      <c r="BD626" s="32">
        <f>H626/(100-BE626)*100</f>
        <v>0</v>
      </c>
      <c r="BE626" s="32">
        <v>0</v>
      </c>
      <c r="BF626" s="32">
        <f>P626</f>
        <v>6.0900000000000003E-2</v>
      </c>
      <c r="BH626" s="32">
        <f>G626*AO626</f>
        <v>0</v>
      </c>
      <c r="BI626" s="32">
        <f>G626*AP626</f>
        <v>0</v>
      </c>
      <c r="BJ626" s="32">
        <f>G626*H626</f>
        <v>0</v>
      </c>
      <c r="BK626" s="36" t="s">
        <v>66</v>
      </c>
      <c r="BL626" s="32"/>
      <c r="BW626" s="32">
        <f>I626</f>
        <v>21</v>
      </c>
      <c r="BX626" s="4" t="s">
        <v>1348</v>
      </c>
    </row>
    <row r="627" spans="1:76" ht="13.5" customHeight="1" x14ac:dyDescent="0.25">
      <c r="A627" s="42"/>
      <c r="C627" s="43"/>
      <c r="D627" s="95" t="s">
        <v>1339</v>
      </c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7"/>
    </row>
    <row r="628" spans="1:76" x14ac:dyDescent="0.25">
      <c r="A628" s="2" t="s">
        <v>1349</v>
      </c>
      <c r="B628" s="3" t="s">
        <v>55</v>
      </c>
      <c r="C628" s="3" t="s">
        <v>1350</v>
      </c>
      <c r="D628" s="89" t="s">
        <v>1351</v>
      </c>
      <c r="E628" s="90"/>
      <c r="F628" s="3" t="s">
        <v>136</v>
      </c>
      <c r="G628" s="32">
        <v>20</v>
      </c>
      <c r="H628" s="199">
        <v>0</v>
      </c>
      <c r="I628" s="33">
        <v>21</v>
      </c>
      <c r="J628" s="32">
        <f>ROUND(G628*AO628,2)</f>
        <v>0</v>
      </c>
      <c r="K628" s="32">
        <f>ROUND(G628*AP628,2)</f>
        <v>0</v>
      </c>
      <c r="L628" s="32">
        <f>ROUND(G628*H628,2)</f>
        <v>0</v>
      </c>
      <c r="M628" s="32">
        <f>L628*(1+BW628/100)</f>
        <v>0</v>
      </c>
      <c r="N628" s="34">
        <f>IF(L649=0,0,L628/L649)</f>
        <v>0</v>
      </c>
      <c r="O628" s="32">
        <v>6.4000000000000005E-4</v>
      </c>
      <c r="P628" s="32">
        <f>G628*O628</f>
        <v>1.2800000000000001E-2</v>
      </c>
      <c r="Q628" s="35" t="s">
        <v>77</v>
      </c>
      <c r="Z628" s="32">
        <f>ROUND(IF(AQ628="5",BJ628,0),2)</f>
        <v>0</v>
      </c>
      <c r="AB628" s="32">
        <f>ROUND(IF(AQ628="1",BH628,0),2)</f>
        <v>0</v>
      </c>
      <c r="AC628" s="32">
        <f>ROUND(IF(AQ628="1",BI628,0),2)</f>
        <v>0</v>
      </c>
      <c r="AD628" s="32">
        <f>ROUND(IF(AQ628="7",BH628,0),2)</f>
        <v>0</v>
      </c>
      <c r="AE628" s="32">
        <f>ROUND(IF(AQ628="7",BI628,0),2)</f>
        <v>0</v>
      </c>
      <c r="AF628" s="32">
        <f>ROUND(IF(AQ628="2",BH628,0),2)</f>
        <v>0</v>
      </c>
      <c r="AG628" s="32">
        <f>ROUND(IF(AQ628="2",BI628,0),2)</f>
        <v>0</v>
      </c>
      <c r="AH628" s="32">
        <f>ROUND(IF(AQ628="0",BJ628,0),2)</f>
        <v>0</v>
      </c>
      <c r="AI628" s="12" t="s">
        <v>55</v>
      </c>
      <c r="AJ628" s="32">
        <f>IF(AN628=0,L628,0)</f>
        <v>0</v>
      </c>
      <c r="AK628" s="32">
        <f>IF(AN628=12,L628,0)</f>
        <v>0</v>
      </c>
      <c r="AL628" s="32">
        <f>IF(AN628=21,L628,0)</f>
        <v>0</v>
      </c>
      <c r="AN628" s="32">
        <v>21</v>
      </c>
      <c r="AO628" s="32">
        <f>H628*0.71361596</f>
        <v>0</v>
      </c>
      <c r="AP628" s="32">
        <f>H628*(1-0.71361596)</f>
        <v>0</v>
      </c>
      <c r="AQ628" s="36" t="s">
        <v>67</v>
      </c>
      <c r="AV628" s="32">
        <f>ROUND(AW628+AX628,2)</f>
        <v>0</v>
      </c>
      <c r="AW628" s="32">
        <f>ROUND(G628*AO628,2)</f>
        <v>0</v>
      </c>
      <c r="AX628" s="32">
        <f>ROUND(G628*AP628,2)</f>
        <v>0</v>
      </c>
      <c r="AY628" s="36" t="s">
        <v>1338</v>
      </c>
      <c r="AZ628" s="36" t="s">
        <v>1048</v>
      </c>
      <c r="BA628" s="12" t="s">
        <v>65</v>
      </c>
      <c r="BC628" s="32">
        <f>AW628+AX628</f>
        <v>0</v>
      </c>
      <c r="BD628" s="32">
        <f>H628/(100-BE628)*100</f>
        <v>0</v>
      </c>
      <c r="BE628" s="32">
        <v>0</v>
      </c>
      <c r="BF628" s="32">
        <f>P628</f>
        <v>1.2800000000000001E-2</v>
      </c>
      <c r="BH628" s="32">
        <f>G628*AO628</f>
        <v>0</v>
      </c>
      <c r="BI628" s="32">
        <f>G628*AP628</f>
        <v>0</v>
      </c>
      <c r="BJ628" s="32">
        <f>G628*H628</f>
        <v>0</v>
      </c>
      <c r="BK628" s="36" t="s">
        <v>66</v>
      </c>
      <c r="BL628" s="32"/>
      <c r="BW628" s="32">
        <f>I628</f>
        <v>21</v>
      </c>
      <c r="BX628" s="4" t="s">
        <v>1351</v>
      </c>
    </row>
    <row r="629" spans="1:76" ht="13.5" customHeight="1" x14ac:dyDescent="0.25">
      <c r="A629" s="42"/>
      <c r="C629" s="43"/>
      <c r="D629" s="95" t="s">
        <v>1339</v>
      </c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7"/>
    </row>
    <row r="630" spans="1:76" x14ac:dyDescent="0.25">
      <c r="A630" s="2" t="s">
        <v>1352</v>
      </c>
      <c r="B630" s="3" t="s">
        <v>55</v>
      </c>
      <c r="C630" s="3" t="s">
        <v>1353</v>
      </c>
      <c r="D630" s="89" t="s">
        <v>1354</v>
      </c>
      <c r="E630" s="90"/>
      <c r="F630" s="3" t="s">
        <v>136</v>
      </c>
      <c r="G630" s="32">
        <v>25</v>
      </c>
      <c r="H630" s="199">
        <v>0</v>
      </c>
      <c r="I630" s="33">
        <v>21</v>
      </c>
      <c r="J630" s="32">
        <f>ROUND(G630*AO630,2)</f>
        <v>0</v>
      </c>
      <c r="K630" s="32">
        <f>ROUND(G630*AP630,2)</f>
        <v>0</v>
      </c>
      <c r="L630" s="32">
        <f>ROUND(G630*H630,2)</f>
        <v>0</v>
      </c>
      <c r="M630" s="32">
        <f>L630*(1+BW630/100)</f>
        <v>0</v>
      </c>
      <c r="N630" s="34">
        <f>IF(L649=0,0,L630/L649)</f>
        <v>0</v>
      </c>
      <c r="O630" s="32">
        <v>5.5999999999999995E-4</v>
      </c>
      <c r="P630" s="32">
        <f>G630*O630</f>
        <v>1.3999999999999999E-2</v>
      </c>
      <c r="Q630" s="35" t="s">
        <v>77</v>
      </c>
      <c r="Z630" s="32">
        <f>ROUND(IF(AQ630="5",BJ630,0),2)</f>
        <v>0</v>
      </c>
      <c r="AB630" s="32">
        <f>ROUND(IF(AQ630="1",BH630,0),2)</f>
        <v>0</v>
      </c>
      <c r="AC630" s="32">
        <f>ROUND(IF(AQ630="1",BI630,0),2)</f>
        <v>0</v>
      </c>
      <c r="AD630" s="32">
        <f>ROUND(IF(AQ630="7",BH630,0),2)</f>
        <v>0</v>
      </c>
      <c r="AE630" s="32">
        <f>ROUND(IF(AQ630="7",BI630,0),2)</f>
        <v>0</v>
      </c>
      <c r="AF630" s="32">
        <f>ROUND(IF(AQ630="2",BH630,0),2)</f>
        <v>0</v>
      </c>
      <c r="AG630" s="32">
        <f>ROUND(IF(AQ630="2",BI630,0),2)</f>
        <v>0</v>
      </c>
      <c r="AH630" s="32">
        <f>ROUND(IF(AQ630="0",BJ630,0),2)</f>
        <v>0</v>
      </c>
      <c r="AI630" s="12" t="s">
        <v>55</v>
      </c>
      <c r="AJ630" s="32">
        <f>IF(AN630=0,L630,0)</f>
        <v>0</v>
      </c>
      <c r="AK630" s="32">
        <f>IF(AN630=12,L630,0)</f>
        <v>0</v>
      </c>
      <c r="AL630" s="32">
        <f>IF(AN630=21,L630,0)</f>
        <v>0</v>
      </c>
      <c r="AN630" s="32">
        <v>21</v>
      </c>
      <c r="AO630" s="32">
        <f>H630*0.684361371</f>
        <v>0</v>
      </c>
      <c r="AP630" s="32">
        <f>H630*(1-0.684361371)</f>
        <v>0</v>
      </c>
      <c r="AQ630" s="36" t="s">
        <v>67</v>
      </c>
      <c r="AV630" s="32">
        <f>ROUND(AW630+AX630,2)</f>
        <v>0</v>
      </c>
      <c r="AW630" s="32">
        <f>ROUND(G630*AO630,2)</f>
        <v>0</v>
      </c>
      <c r="AX630" s="32">
        <f>ROUND(G630*AP630,2)</f>
        <v>0</v>
      </c>
      <c r="AY630" s="36" t="s">
        <v>1338</v>
      </c>
      <c r="AZ630" s="36" t="s">
        <v>1048</v>
      </c>
      <c r="BA630" s="12" t="s">
        <v>65</v>
      </c>
      <c r="BC630" s="32">
        <f>AW630+AX630</f>
        <v>0</v>
      </c>
      <c r="BD630" s="32">
        <f>H630/(100-BE630)*100</f>
        <v>0</v>
      </c>
      <c r="BE630" s="32">
        <v>0</v>
      </c>
      <c r="BF630" s="32">
        <f>P630</f>
        <v>1.3999999999999999E-2</v>
      </c>
      <c r="BH630" s="32">
        <f>G630*AO630</f>
        <v>0</v>
      </c>
      <c r="BI630" s="32">
        <f>G630*AP630</f>
        <v>0</v>
      </c>
      <c r="BJ630" s="32">
        <f>G630*H630</f>
        <v>0</v>
      </c>
      <c r="BK630" s="36" t="s">
        <v>66</v>
      </c>
      <c r="BL630" s="32"/>
      <c r="BW630" s="32">
        <f>I630</f>
        <v>21</v>
      </c>
      <c r="BX630" s="4" t="s">
        <v>1354</v>
      </c>
    </row>
    <row r="631" spans="1:76" ht="13.5" customHeight="1" x14ac:dyDescent="0.25">
      <c r="A631" s="42"/>
      <c r="C631" s="43"/>
      <c r="D631" s="95" t="s">
        <v>1339</v>
      </c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7"/>
    </row>
    <row r="632" spans="1:76" x14ac:dyDescent="0.25">
      <c r="A632" s="2" t="s">
        <v>1355</v>
      </c>
      <c r="B632" s="3" t="s">
        <v>55</v>
      </c>
      <c r="C632" s="3" t="s">
        <v>1356</v>
      </c>
      <c r="D632" s="89" t="s">
        <v>1357</v>
      </c>
      <c r="E632" s="90"/>
      <c r="F632" s="3" t="s">
        <v>136</v>
      </c>
      <c r="G632" s="32">
        <v>20</v>
      </c>
      <c r="H632" s="199">
        <v>0</v>
      </c>
      <c r="I632" s="33">
        <v>21</v>
      </c>
      <c r="J632" s="32">
        <f>ROUND(G632*AO632,2)</f>
        <v>0</v>
      </c>
      <c r="K632" s="32">
        <f>ROUND(G632*AP632,2)</f>
        <v>0</v>
      </c>
      <c r="L632" s="32">
        <f>ROUND(G632*H632,2)</f>
        <v>0</v>
      </c>
      <c r="M632" s="32">
        <f>L632*(1+BW632/100)</f>
        <v>0</v>
      </c>
      <c r="N632" s="34">
        <f>IF(L649=0,0,L632/L649)</f>
        <v>0</v>
      </c>
      <c r="O632" s="32">
        <v>1.7000000000000001E-4</v>
      </c>
      <c r="P632" s="32">
        <f>G632*O632</f>
        <v>3.4000000000000002E-3</v>
      </c>
      <c r="Q632" s="35" t="s">
        <v>77</v>
      </c>
      <c r="Z632" s="32">
        <f>ROUND(IF(AQ632="5",BJ632,0),2)</f>
        <v>0</v>
      </c>
      <c r="AB632" s="32">
        <f>ROUND(IF(AQ632="1",BH632,0),2)</f>
        <v>0</v>
      </c>
      <c r="AC632" s="32">
        <f>ROUND(IF(AQ632="1",BI632,0),2)</f>
        <v>0</v>
      </c>
      <c r="AD632" s="32">
        <f>ROUND(IF(AQ632="7",BH632,0),2)</f>
        <v>0</v>
      </c>
      <c r="AE632" s="32">
        <f>ROUND(IF(AQ632="7",BI632,0),2)</f>
        <v>0</v>
      </c>
      <c r="AF632" s="32">
        <f>ROUND(IF(AQ632="2",BH632,0),2)</f>
        <v>0</v>
      </c>
      <c r="AG632" s="32">
        <f>ROUND(IF(AQ632="2",BI632,0),2)</f>
        <v>0</v>
      </c>
      <c r="AH632" s="32">
        <f>ROUND(IF(AQ632="0",BJ632,0),2)</f>
        <v>0</v>
      </c>
      <c r="AI632" s="12" t="s">
        <v>55</v>
      </c>
      <c r="AJ632" s="32">
        <f>IF(AN632=0,L632,0)</f>
        <v>0</v>
      </c>
      <c r="AK632" s="32">
        <f>IF(AN632=12,L632,0)</f>
        <v>0</v>
      </c>
      <c r="AL632" s="32">
        <f>IF(AN632=21,L632,0)</f>
        <v>0</v>
      </c>
      <c r="AN632" s="32">
        <v>21</v>
      </c>
      <c r="AO632" s="32">
        <f>H632*0.494024876</f>
        <v>0</v>
      </c>
      <c r="AP632" s="32">
        <f>H632*(1-0.494024876)</f>
        <v>0</v>
      </c>
      <c r="AQ632" s="36" t="s">
        <v>67</v>
      </c>
      <c r="AV632" s="32">
        <f>ROUND(AW632+AX632,2)</f>
        <v>0</v>
      </c>
      <c r="AW632" s="32">
        <f>ROUND(G632*AO632,2)</f>
        <v>0</v>
      </c>
      <c r="AX632" s="32">
        <f>ROUND(G632*AP632,2)</f>
        <v>0</v>
      </c>
      <c r="AY632" s="36" t="s">
        <v>1338</v>
      </c>
      <c r="AZ632" s="36" t="s">
        <v>1048</v>
      </c>
      <c r="BA632" s="12" t="s">
        <v>65</v>
      </c>
      <c r="BC632" s="32">
        <f>AW632+AX632</f>
        <v>0</v>
      </c>
      <c r="BD632" s="32">
        <f>H632/(100-BE632)*100</f>
        <v>0</v>
      </c>
      <c r="BE632" s="32">
        <v>0</v>
      </c>
      <c r="BF632" s="32">
        <f>P632</f>
        <v>3.4000000000000002E-3</v>
      </c>
      <c r="BH632" s="32">
        <f>G632*AO632</f>
        <v>0</v>
      </c>
      <c r="BI632" s="32">
        <f>G632*AP632</f>
        <v>0</v>
      </c>
      <c r="BJ632" s="32">
        <f>G632*H632</f>
        <v>0</v>
      </c>
      <c r="BK632" s="36" t="s">
        <v>66</v>
      </c>
      <c r="BL632" s="32"/>
      <c r="BW632" s="32">
        <f>I632</f>
        <v>21</v>
      </c>
      <c r="BX632" s="4" t="s">
        <v>1357</v>
      </c>
    </row>
    <row r="633" spans="1:76" ht="13.5" customHeight="1" x14ac:dyDescent="0.25">
      <c r="A633" s="42"/>
      <c r="C633" s="43"/>
      <c r="D633" s="95" t="s">
        <v>1358</v>
      </c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7"/>
    </row>
    <row r="634" spans="1:76" x14ac:dyDescent="0.25">
      <c r="A634" s="2" t="s">
        <v>1359</v>
      </c>
      <c r="B634" s="3" t="s">
        <v>55</v>
      </c>
      <c r="C634" s="3" t="s">
        <v>1360</v>
      </c>
      <c r="D634" s="89" t="s">
        <v>1361</v>
      </c>
      <c r="E634" s="90"/>
      <c r="F634" s="3" t="s">
        <v>136</v>
      </c>
      <c r="G634" s="32">
        <v>30</v>
      </c>
      <c r="H634" s="199">
        <v>0</v>
      </c>
      <c r="I634" s="33">
        <v>21</v>
      </c>
      <c r="J634" s="32">
        <f>ROUND(G634*AO634,2)</f>
        <v>0</v>
      </c>
      <c r="K634" s="32">
        <f>ROUND(G634*AP634,2)</f>
        <v>0</v>
      </c>
      <c r="L634" s="32">
        <f>ROUND(G634*H634,2)</f>
        <v>0</v>
      </c>
      <c r="M634" s="32">
        <f>L634*(1+BW634/100)</f>
        <v>0</v>
      </c>
      <c r="N634" s="34">
        <f>IF(L649=0,0,L634/L649)</f>
        <v>0</v>
      </c>
      <c r="O634" s="32">
        <v>6.0000000000000002E-5</v>
      </c>
      <c r="P634" s="32">
        <f>G634*O634</f>
        <v>1.8E-3</v>
      </c>
      <c r="Q634" s="35" t="s">
        <v>77</v>
      </c>
      <c r="Z634" s="32">
        <f>ROUND(IF(AQ634="5",BJ634,0),2)</f>
        <v>0</v>
      </c>
      <c r="AB634" s="32">
        <f>ROUND(IF(AQ634="1",BH634,0),2)</f>
        <v>0</v>
      </c>
      <c r="AC634" s="32">
        <f>ROUND(IF(AQ634="1",BI634,0),2)</f>
        <v>0</v>
      </c>
      <c r="AD634" s="32">
        <f>ROUND(IF(AQ634="7",BH634,0),2)</f>
        <v>0</v>
      </c>
      <c r="AE634" s="32">
        <f>ROUND(IF(AQ634="7",BI634,0),2)</f>
        <v>0</v>
      </c>
      <c r="AF634" s="32">
        <f>ROUND(IF(AQ634="2",BH634,0),2)</f>
        <v>0</v>
      </c>
      <c r="AG634" s="32">
        <f>ROUND(IF(AQ634="2",BI634,0),2)</f>
        <v>0</v>
      </c>
      <c r="AH634" s="32">
        <f>ROUND(IF(AQ634="0",BJ634,0),2)</f>
        <v>0</v>
      </c>
      <c r="AI634" s="12" t="s">
        <v>55</v>
      </c>
      <c r="AJ634" s="32">
        <f>IF(AN634=0,L634,0)</f>
        <v>0</v>
      </c>
      <c r="AK634" s="32">
        <f>IF(AN634=12,L634,0)</f>
        <v>0</v>
      </c>
      <c r="AL634" s="32">
        <f>IF(AN634=21,L634,0)</f>
        <v>0</v>
      </c>
      <c r="AN634" s="32">
        <v>21</v>
      </c>
      <c r="AO634" s="32">
        <f>H634*0.276014417</f>
        <v>0</v>
      </c>
      <c r="AP634" s="32">
        <f>H634*(1-0.276014417)</f>
        <v>0</v>
      </c>
      <c r="AQ634" s="36" t="s">
        <v>67</v>
      </c>
      <c r="AV634" s="32">
        <f>ROUND(AW634+AX634,2)</f>
        <v>0</v>
      </c>
      <c r="AW634" s="32">
        <f>ROUND(G634*AO634,2)</f>
        <v>0</v>
      </c>
      <c r="AX634" s="32">
        <f>ROUND(G634*AP634,2)</f>
        <v>0</v>
      </c>
      <c r="AY634" s="36" t="s">
        <v>1338</v>
      </c>
      <c r="AZ634" s="36" t="s">
        <v>1048</v>
      </c>
      <c r="BA634" s="12" t="s">
        <v>65</v>
      </c>
      <c r="BC634" s="32">
        <f>AW634+AX634</f>
        <v>0</v>
      </c>
      <c r="BD634" s="32">
        <f>H634/(100-BE634)*100</f>
        <v>0</v>
      </c>
      <c r="BE634" s="32">
        <v>0</v>
      </c>
      <c r="BF634" s="32">
        <f>P634</f>
        <v>1.8E-3</v>
      </c>
      <c r="BH634" s="32">
        <f>G634*AO634</f>
        <v>0</v>
      </c>
      <c r="BI634" s="32">
        <f>G634*AP634</f>
        <v>0</v>
      </c>
      <c r="BJ634" s="32">
        <f>G634*H634</f>
        <v>0</v>
      </c>
      <c r="BK634" s="36" t="s">
        <v>66</v>
      </c>
      <c r="BL634" s="32"/>
      <c r="BW634" s="32">
        <f>I634</f>
        <v>21</v>
      </c>
      <c r="BX634" s="4" t="s">
        <v>1361</v>
      </c>
    </row>
    <row r="635" spans="1:76" ht="13.5" customHeight="1" x14ac:dyDescent="0.25">
      <c r="A635" s="42"/>
      <c r="C635" s="43"/>
      <c r="D635" s="95" t="s">
        <v>1362</v>
      </c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7"/>
    </row>
    <row r="636" spans="1:76" x14ac:dyDescent="0.25">
      <c r="A636" s="2" t="s">
        <v>1363</v>
      </c>
      <c r="B636" s="3" t="s">
        <v>55</v>
      </c>
      <c r="C636" s="3" t="s">
        <v>1182</v>
      </c>
      <c r="D636" s="89" t="s">
        <v>1364</v>
      </c>
      <c r="E636" s="90"/>
      <c r="F636" s="3" t="s">
        <v>316</v>
      </c>
      <c r="G636" s="32">
        <v>1</v>
      </c>
      <c r="H636" s="199">
        <v>0</v>
      </c>
      <c r="I636" s="33">
        <v>21</v>
      </c>
      <c r="J636" s="32">
        <f>ROUND(G636*AO636,2)</f>
        <v>0</v>
      </c>
      <c r="K636" s="32">
        <f>ROUND(G636*AP636,2)</f>
        <v>0</v>
      </c>
      <c r="L636" s="32">
        <f>ROUND(G636*H636,2)</f>
        <v>0</v>
      </c>
      <c r="M636" s="32">
        <f>L636*(1+BW636/100)</f>
        <v>0</v>
      </c>
      <c r="N636" s="34">
        <f>IF(L649=0,0,L636/L649)</f>
        <v>0</v>
      </c>
      <c r="O636" s="32">
        <v>0</v>
      </c>
      <c r="P636" s="32">
        <f>G636*O636</f>
        <v>0</v>
      </c>
      <c r="Q636" s="35" t="s">
        <v>55</v>
      </c>
      <c r="Z636" s="32">
        <f>ROUND(IF(AQ636="5",BJ636,0),2)</f>
        <v>0</v>
      </c>
      <c r="AB636" s="32">
        <f>ROUND(IF(AQ636="1",BH636,0),2)</f>
        <v>0</v>
      </c>
      <c r="AC636" s="32">
        <f>ROUND(IF(AQ636="1",BI636,0),2)</f>
        <v>0</v>
      </c>
      <c r="AD636" s="32">
        <f>ROUND(IF(AQ636="7",BH636,0),2)</f>
        <v>0</v>
      </c>
      <c r="AE636" s="32">
        <f>ROUND(IF(AQ636="7",BI636,0),2)</f>
        <v>0</v>
      </c>
      <c r="AF636" s="32">
        <f>ROUND(IF(AQ636="2",BH636,0),2)</f>
        <v>0</v>
      </c>
      <c r="AG636" s="32">
        <f>ROUND(IF(AQ636="2",BI636,0),2)</f>
        <v>0</v>
      </c>
      <c r="AH636" s="32">
        <f>ROUND(IF(AQ636="0",BJ636,0),2)</f>
        <v>0</v>
      </c>
      <c r="AI636" s="12" t="s">
        <v>55</v>
      </c>
      <c r="AJ636" s="32">
        <f>IF(AN636=0,L636,0)</f>
        <v>0</v>
      </c>
      <c r="AK636" s="32">
        <f>IF(AN636=12,L636,0)</f>
        <v>0</v>
      </c>
      <c r="AL636" s="32">
        <f>IF(AN636=21,L636,0)</f>
        <v>0</v>
      </c>
      <c r="AN636" s="32">
        <v>21</v>
      </c>
      <c r="AO636" s="32">
        <f>H636*1</f>
        <v>0</v>
      </c>
      <c r="AP636" s="32">
        <f>H636*(1-1)</f>
        <v>0</v>
      </c>
      <c r="AQ636" s="36" t="s">
        <v>62</v>
      </c>
      <c r="AV636" s="32">
        <f>ROUND(AW636+AX636,2)</f>
        <v>0</v>
      </c>
      <c r="AW636" s="32">
        <f>ROUND(G636*AO636,2)</f>
        <v>0</v>
      </c>
      <c r="AX636" s="32">
        <f>ROUND(G636*AP636,2)</f>
        <v>0</v>
      </c>
      <c r="AY636" s="36" t="s">
        <v>1338</v>
      </c>
      <c r="AZ636" s="36" t="s">
        <v>1048</v>
      </c>
      <c r="BA636" s="12" t="s">
        <v>65</v>
      </c>
      <c r="BC636" s="32">
        <f>AW636+AX636</f>
        <v>0</v>
      </c>
      <c r="BD636" s="32">
        <f>H636/(100-BE636)*100</f>
        <v>0</v>
      </c>
      <c r="BE636" s="32">
        <v>0</v>
      </c>
      <c r="BF636" s="32">
        <f>P636</f>
        <v>0</v>
      </c>
      <c r="BH636" s="32">
        <f>G636*AO636</f>
        <v>0</v>
      </c>
      <c r="BI636" s="32">
        <f>G636*AP636</f>
        <v>0</v>
      </c>
      <c r="BJ636" s="32">
        <f>G636*H636</f>
        <v>0</v>
      </c>
      <c r="BK636" s="36" t="s">
        <v>66</v>
      </c>
      <c r="BL636" s="32"/>
      <c r="BW636" s="32">
        <f>I636</f>
        <v>21</v>
      </c>
      <c r="BX636" s="4" t="s">
        <v>1364</v>
      </c>
    </row>
    <row r="637" spans="1:76" x14ac:dyDescent="0.25">
      <c r="A637" s="2" t="s">
        <v>1365</v>
      </c>
      <c r="B637" s="3" t="s">
        <v>55</v>
      </c>
      <c r="C637" s="3" t="s">
        <v>1182</v>
      </c>
      <c r="D637" s="89" t="s">
        <v>1226</v>
      </c>
      <c r="E637" s="90"/>
      <c r="F637" s="3" t="s">
        <v>316</v>
      </c>
      <c r="G637" s="32">
        <v>1</v>
      </c>
      <c r="H637" s="199">
        <v>0</v>
      </c>
      <c r="I637" s="33">
        <v>21</v>
      </c>
      <c r="J637" s="32">
        <f>ROUND(G637*AO637,2)</f>
        <v>0</v>
      </c>
      <c r="K637" s="32">
        <f>ROUND(G637*AP637,2)</f>
        <v>0</v>
      </c>
      <c r="L637" s="32">
        <f>ROUND(G637*H637,2)</f>
        <v>0</v>
      </c>
      <c r="M637" s="32">
        <f>L637*(1+BW637/100)</f>
        <v>0</v>
      </c>
      <c r="N637" s="34">
        <f>IF(L649=0,0,L637/L649)</f>
        <v>0</v>
      </c>
      <c r="O637" s="32">
        <v>0</v>
      </c>
      <c r="P637" s="32">
        <f>G637*O637</f>
        <v>0</v>
      </c>
      <c r="Q637" s="35"/>
      <c r="Z637" s="32">
        <f>ROUND(IF(AQ637="5",BJ637,0),2)</f>
        <v>0</v>
      </c>
      <c r="AB637" s="32">
        <f>ROUND(IF(AQ637="1",BH637,0),2)</f>
        <v>0</v>
      </c>
      <c r="AC637" s="32">
        <f>ROUND(IF(AQ637="1",BI637,0),2)</f>
        <v>0</v>
      </c>
      <c r="AD637" s="32">
        <f>ROUND(IF(AQ637="7",BH637,0),2)</f>
        <v>0</v>
      </c>
      <c r="AE637" s="32">
        <f>ROUND(IF(AQ637="7",BI637,0),2)</f>
        <v>0</v>
      </c>
      <c r="AF637" s="32">
        <f>ROUND(IF(AQ637="2",BH637,0),2)</f>
        <v>0</v>
      </c>
      <c r="AG637" s="32">
        <f>ROUND(IF(AQ637="2",BI637,0),2)</f>
        <v>0</v>
      </c>
      <c r="AH637" s="32">
        <f>ROUND(IF(AQ637="0",BJ637,0),2)</f>
        <v>0</v>
      </c>
      <c r="AI637" s="12" t="s">
        <v>55</v>
      </c>
      <c r="AJ637" s="32">
        <f>IF(AN637=0,L637,0)</f>
        <v>0</v>
      </c>
      <c r="AK637" s="32">
        <f>IF(AN637=12,L637,0)</f>
        <v>0</v>
      </c>
      <c r="AL637" s="32">
        <f>IF(AN637=21,L637,0)</f>
        <v>0</v>
      </c>
      <c r="AN637" s="32">
        <v>21</v>
      </c>
      <c r="AO637" s="32">
        <f>H637*0.750261972</f>
        <v>0</v>
      </c>
      <c r="AP637" s="32">
        <f>H637*(1-0.750261972)</f>
        <v>0</v>
      </c>
      <c r="AQ637" s="36" t="s">
        <v>62</v>
      </c>
      <c r="AV637" s="32">
        <f>ROUND(AW637+AX637,2)</f>
        <v>0</v>
      </c>
      <c r="AW637" s="32">
        <f>ROUND(G637*AO637,2)</f>
        <v>0</v>
      </c>
      <c r="AX637" s="32">
        <f>ROUND(G637*AP637,2)</f>
        <v>0</v>
      </c>
      <c r="AY637" s="36" t="s">
        <v>1338</v>
      </c>
      <c r="AZ637" s="36" t="s">
        <v>1048</v>
      </c>
      <c r="BA637" s="12" t="s">
        <v>65</v>
      </c>
      <c r="BC637" s="32">
        <f>AW637+AX637</f>
        <v>0</v>
      </c>
      <c r="BD637" s="32">
        <f>H637/(100-BE637)*100</f>
        <v>0</v>
      </c>
      <c r="BE637" s="32">
        <v>0</v>
      </c>
      <c r="BF637" s="32">
        <f>P637</f>
        <v>0</v>
      </c>
      <c r="BH637" s="32">
        <f>G637*AO637</f>
        <v>0</v>
      </c>
      <c r="BI637" s="32">
        <f>G637*AP637</f>
        <v>0</v>
      </c>
      <c r="BJ637" s="32">
        <f>G637*H637</f>
        <v>0</v>
      </c>
      <c r="BK637" s="36" t="s">
        <v>66</v>
      </c>
      <c r="BL637" s="32"/>
      <c r="BW637" s="32">
        <f>I637</f>
        <v>21</v>
      </c>
      <c r="BX637" s="4" t="s">
        <v>1226</v>
      </c>
    </row>
    <row r="638" spans="1:76" ht="13.5" customHeight="1" x14ac:dyDescent="0.25">
      <c r="A638" s="42"/>
      <c r="C638" s="43"/>
      <c r="D638" s="95" t="s">
        <v>1332</v>
      </c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7"/>
    </row>
    <row r="639" spans="1:76" x14ac:dyDescent="0.25">
      <c r="A639" s="37" t="s">
        <v>55</v>
      </c>
      <c r="B639" s="38" t="s">
        <v>55</v>
      </c>
      <c r="C639" s="38" t="s">
        <v>1366</v>
      </c>
      <c r="D639" s="98" t="s">
        <v>1367</v>
      </c>
      <c r="E639" s="99"/>
      <c r="F639" s="39" t="s">
        <v>3</v>
      </c>
      <c r="G639" s="39" t="s">
        <v>3</v>
      </c>
      <c r="H639" s="39" t="s">
        <v>3</v>
      </c>
      <c r="I639" s="39" t="s">
        <v>3</v>
      </c>
      <c r="J639" s="1">
        <f>SUM(J640:J647)</f>
        <v>0</v>
      </c>
      <c r="K639" s="1">
        <f>SUM(K640:K647)</f>
        <v>0</v>
      </c>
      <c r="L639" s="1">
        <f>SUM(L640:L647)</f>
        <v>0</v>
      </c>
      <c r="M639" s="1">
        <f>SUM(M640:M647)</f>
        <v>0</v>
      </c>
      <c r="N639" s="40">
        <f>IF(L649=0,0,L639/L649)</f>
        <v>0</v>
      </c>
      <c r="O639" s="12" t="s">
        <v>55</v>
      </c>
      <c r="P639" s="1">
        <f>SUM(P640:P647)</f>
        <v>0</v>
      </c>
      <c r="Q639" s="41" t="s">
        <v>55</v>
      </c>
      <c r="AI639" s="12" t="s">
        <v>55</v>
      </c>
      <c r="AS639" s="1">
        <f>SUM(AJ640:AJ647)</f>
        <v>0</v>
      </c>
      <c r="AT639" s="1">
        <f>SUM(AK640:AK647)</f>
        <v>0</v>
      </c>
      <c r="AU639" s="1">
        <f>SUM(AL640:AL647)</f>
        <v>0</v>
      </c>
    </row>
    <row r="640" spans="1:76" x14ac:dyDescent="0.25">
      <c r="A640" s="2" t="s">
        <v>1368</v>
      </c>
      <c r="B640" s="3" t="s">
        <v>55</v>
      </c>
      <c r="C640" s="3" t="s">
        <v>1369</v>
      </c>
      <c r="D640" s="89" t="s">
        <v>1370</v>
      </c>
      <c r="E640" s="90"/>
      <c r="F640" s="3" t="s">
        <v>110</v>
      </c>
      <c r="G640" s="32">
        <v>27.154</v>
      </c>
      <c r="H640" s="199">
        <v>0</v>
      </c>
      <c r="I640" s="33">
        <v>21</v>
      </c>
      <c r="J640" s="32">
        <f>ROUND(G640*AO640,2)</f>
        <v>0</v>
      </c>
      <c r="K640" s="32">
        <f>ROUND(G640*AP640,2)</f>
        <v>0</v>
      </c>
      <c r="L640" s="32">
        <f>ROUND(G640*H640,2)</f>
        <v>0</v>
      </c>
      <c r="M640" s="32">
        <f>L640*(1+BW640/100)</f>
        <v>0</v>
      </c>
      <c r="N640" s="34">
        <f>IF(L649=0,0,L640/L649)</f>
        <v>0</v>
      </c>
      <c r="O640" s="32">
        <v>0</v>
      </c>
      <c r="P640" s="32">
        <f>G640*O640</f>
        <v>0</v>
      </c>
      <c r="Q640" s="35" t="s">
        <v>77</v>
      </c>
      <c r="Z640" s="32">
        <f>ROUND(IF(AQ640="5",BJ640,0),2)</f>
        <v>0</v>
      </c>
      <c r="AB640" s="32">
        <f>ROUND(IF(AQ640="1",BH640,0),2)</f>
        <v>0</v>
      </c>
      <c r="AC640" s="32">
        <f>ROUND(IF(AQ640="1",BI640,0),2)</f>
        <v>0</v>
      </c>
      <c r="AD640" s="32">
        <f>ROUND(IF(AQ640="7",BH640,0),2)</f>
        <v>0</v>
      </c>
      <c r="AE640" s="32">
        <f>ROUND(IF(AQ640="7",BI640,0),2)</f>
        <v>0</v>
      </c>
      <c r="AF640" s="32">
        <f>ROUND(IF(AQ640="2",BH640,0),2)</f>
        <v>0</v>
      </c>
      <c r="AG640" s="32">
        <f>ROUND(IF(AQ640="2",BI640,0),2)</f>
        <v>0</v>
      </c>
      <c r="AH640" s="32">
        <f>ROUND(IF(AQ640="0",BJ640,0),2)</f>
        <v>0</v>
      </c>
      <c r="AI640" s="12" t="s">
        <v>55</v>
      </c>
      <c r="AJ640" s="32">
        <f>IF(AN640=0,L640,0)</f>
        <v>0</v>
      </c>
      <c r="AK640" s="32">
        <f>IF(AN640=12,L640,0)</f>
        <v>0</v>
      </c>
      <c r="AL640" s="32">
        <f>IF(AN640=21,L640,0)</f>
        <v>0</v>
      </c>
      <c r="AN640" s="32">
        <v>21</v>
      </c>
      <c r="AO640" s="32">
        <f>H640*0</f>
        <v>0</v>
      </c>
      <c r="AP640" s="32">
        <f>H640*(1-0)</f>
        <v>0</v>
      </c>
      <c r="AQ640" s="36" t="s">
        <v>62</v>
      </c>
      <c r="AV640" s="32">
        <f>ROUND(AW640+AX640,2)</f>
        <v>0</v>
      </c>
      <c r="AW640" s="32">
        <f>ROUND(G640*AO640,2)</f>
        <v>0</v>
      </c>
      <c r="AX640" s="32">
        <f>ROUND(G640*AP640,2)</f>
        <v>0</v>
      </c>
      <c r="AY640" s="36" t="s">
        <v>1371</v>
      </c>
      <c r="AZ640" s="36" t="s">
        <v>1048</v>
      </c>
      <c r="BA640" s="12" t="s">
        <v>65</v>
      </c>
      <c r="BC640" s="32">
        <f>AW640+AX640</f>
        <v>0</v>
      </c>
      <c r="BD640" s="32">
        <f>H640/(100-BE640)*100</f>
        <v>0</v>
      </c>
      <c r="BE640" s="32">
        <v>0</v>
      </c>
      <c r="BF640" s="32">
        <f>P640</f>
        <v>0</v>
      </c>
      <c r="BH640" s="32">
        <f>G640*AO640</f>
        <v>0</v>
      </c>
      <c r="BI640" s="32">
        <f>G640*AP640</f>
        <v>0</v>
      </c>
      <c r="BJ640" s="32">
        <f>G640*H640</f>
        <v>0</v>
      </c>
      <c r="BK640" s="36" t="s">
        <v>66</v>
      </c>
      <c r="BL640" s="32"/>
      <c r="BW640" s="32">
        <f>I640</f>
        <v>21</v>
      </c>
      <c r="BX640" s="4" t="s">
        <v>1370</v>
      </c>
    </row>
    <row r="641" spans="1:76" x14ac:dyDescent="0.25">
      <c r="A641" s="2" t="s">
        <v>1372</v>
      </c>
      <c r="B641" s="3" t="s">
        <v>55</v>
      </c>
      <c r="C641" s="3" t="s">
        <v>1373</v>
      </c>
      <c r="D641" s="89" t="s">
        <v>1374</v>
      </c>
      <c r="E641" s="90"/>
      <c r="F641" s="3" t="s">
        <v>110</v>
      </c>
      <c r="G641" s="32">
        <v>162.92400000000001</v>
      </c>
      <c r="H641" s="199">
        <v>0</v>
      </c>
      <c r="I641" s="33">
        <v>21</v>
      </c>
      <c r="J641" s="32">
        <f>ROUND(G641*AO641,2)</f>
        <v>0</v>
      </c>
      <c r="K641" s="32">
        <f>ROUND(G641*AP641,2)</f>
        <v>0</v>
      </c>
      <c r="L641" s="32">
        <f>ROUND(G641*H641,2)</f>
        <v>0</v>
      </c>
      <c r="M641" s="32">
        <f>L641*(1+BW641/100)</f>
        <v>0</v>
      </c>
      <c r="N641" s="34">
        <f>IF(L649=0,0,L641/L649)</f>
        <v>0</v>
      </c>
      <c r="O641" s="32">
        <v>0</v>
      </c>
      <c r="P641" s="32">
        <f>G641*O641</f>
        <v>0</v>
      </c>
      <c r="Q641" s="35" t="s">
        <v>77</v>
      </c>
      <c r="Z641" s="32">
        <f>ROUND(IF(AQ641="5",BJ641,0),2)</f>
        <v>0</v>
      </c>
      <c r="AB641" s="32">
        <f>ROUND(IF(AQ641="1",BH641,0),2)</f>
        <v>0</v>
      </c>
      <c r="AC641" s="32">
        <f>ROUND(IF(AQ641="1",BI641,0),2)</f>
        <v>0</v>
      </c>
      <c r="AD641" s="32">
        <f>ROUND(IF(AQ641="7",BH641,0),2)</f>
        <v>0</v>
      </c>
      <c r="AE641" s="32">
        <f>ROUND(IF(AQ641="7",BI641,0),2)</f>
        <v>0</v>
      </c>
      <c r="AF641" s="32">
        <f>ROUND(IF(AQ641="2",BH641,0),2)</f>
        <v>0</v>
      </c>
      <c r="AG641" s="32">
        <f>ROUND(IF(AQ641="2",BI641,0),2)</f>
        <v>0</v>
      </c>
      <c r="AH641" s="32">
        <f>ROUND(IF(AQ641="0",BJ641,0),2)</f>
        <v>0</v>
      </c>
      <c r="AI641" s="12" t="s">
        <v>55</v>
      </c>
      <c r="AJ641" s="32">
        <f>IF(AN641=0,L641,0)</f>
        <v>0</v>
      </c>
      <c r="AK641" s="32">
        <f>IF(AN641=12,L641,0)</f>
        <v>0</v>
      </c>
      <c r="AL641" s="32">
        <f>IF(AN641=21,L641,0)</f>
        <v>0</v>
      </c>
      <c r="AN641" s="32">
        <v>21</v>
      </c>
      <c r="AO641" s="32">
        <f>H641*0</f>
        <v>0</v>
      </c>
      <c r="AP641" s="32">
        <f>H641*(1-0)</f>
        <v>0</v>
      </c>
      <c r="AQ641" s="36" t="s">
        <v>62</v>
      </c>
      <c r="AV641" s="32">
        <f>ROUND(AW641+AX641,2)</f>
        <v>0</v>
      </c>
      <c r="AW641" s="32">
        <f>ROUND(G641*AO641,2)</f>
        <v>0</v>
      </c>
      <c r="AX641" s="32">
        <f>ROUND(G641*AP641,2)</f>
        <v>0</v>
      </c>
      <c r="AY641" s="36" t="s">
        <v>1371</v>
      </c>
      <c r="AZ641" s="36" t="s">
        <v>1048</v>
      </c>
      <c r="BA641" s="12" t="s">
        <v>65</v>
      </c>
      <c r="BC641" s="32">
        <f>AW641+AX641</f>
        <v>0</v>
      </c>
      <c r="BD641" s="32">
        <f>H641/(100-BE641)*100</f>
        <v>0</v>
      </c>
      <c r="BE641" s="32">
        <v>0</v>
      </c>
      <c r="BF641" s="32">
        <f>P641</f>
        <v>0</v>
      </c>
      <c r="BH641" s="32">
        <f>G641*AO641</f>
        <v>0</v>
      </c>
      <c r="BI641" s="32">
        <f>G641*AP641</f>
        <v>0</v>
      </c>
      <c r="BJ641" s="32">
        <f>G641*H641</f>
        <v>0</v>
      </c>
      <c r="BK641" s="36" t="s">
        <v>66</v>
      </c>
      <c r="BL641" s="32"/>
      <c r="BW641" s="32">
        <f>I641</f>
        <v>21</v>
      </c>
      <c r="BX641" s="4" t="s">
        <v>1374</v>
      </c>
    </row>
    <row r="642" spans="1:76" x14ac:dyDescent="0.25">
      <c r="A642" s="2" t="s">
        <v>1375</v>
      </c>
      <c r="B642" s="3" t="s">
        <v>55</v>
      </c>
      <c r="C642" s="3" t="s">
        <v>1376</v>
      </c>
      <c r="D642" s="89" t="s">
        <v>1377</v>
      </c>
      <c r="E642" s="90"/>
      <c r="F642" s="3" t="s">
        <v>110</v>
      </c>
      <c r="G642" s="32">
        <v>27.154</v>
      </c>
      <c r="H642" s="199">
        <v>0</v>
      </c>
      <c r="I642" s="33">
        <v>21</v>
      </c>
      <c r="J642" s="32">
        <f>ROUND(G642*AO642,2)</f>
        <v>0</v>
      </c>
      <c r="K642" s="32">
        <f>ROUND(G642*AP642,2)</f>
        <v>0</v>
      </c>
      <c r="L642" s="32">
        <f>ROUND(G642*H642,2)</f>
        <v>0</v>
      </c>
      <c r="M642" s="32">
        <f>L642*(1+BW642/100)</f>
        <v>0</v>
      </c>
      <c r="N642" s="34">
        <f>IF(L649=0,0,L642/L649)</f>
        <v>0</v>
      </c>
      <c r="O642" s="32">
        <v>0</v>
      </c>
      <c r="P642" s="32">
        <f>G642*O642</f>
        <v>0</v>
      </c>
      <c r="Q642" s="35" t="s">
        <v>77</v>
      </c>
      <c r="Z642" s="32">
        <f>ROUND(IF(AQ642="5",BJ642,0),2)</f>
        <v>0</v>
      </c>
      <c r="AB642" s="32">
        <f>ROUND(IF(AQ642="1",BH642,0),2)</f>
        <v>0</v>
      </c>
      <c r="AC642" s="32">
        <f>ROUND(IF(AQ642="1",BI642,0),2)</f>
        <v>0</v>
      </c>
      <c r="AD642" s="32">
        <f>ROUND(IF(AQ642="7",BH642,0),2)</f>
        <v>0</v>
      </c>
      <c r="AE642" s="32">
        <f>ROUND(IF(AQ642="7",BI642,0),2)</f>
        <v>0</v>
      </c>
      <c r="AF642" s="32">
        <f>ROUND(IF(AQ642="2",BH642,0),2)</f>
        <v>0</v>
      </c>
      <c r="AG642" s="32">
        <f>ROUND(IF(AQ642="2",BI642,0),2)</f>
        <v>0</v>
      </c>
      <c r="AH642" s="32">
        <f>ROUND(IF(AQ642="0",BJ642,0),2)</f>
        <v>0</v>
      </c>
      <c r="AI642" s="12" t="s">
        <v>55</v>
      </c>
      <c r="AJ642" s="32">
        <f>IF(AN642=0,L642,0)</f>
        <v>0</v>
      </c>
      <c r="AK642" s="32">
        <f>IF(AN642=12,L642,0)</f>
        <v>0</v>
      </c>
      <c r="AL642" s="32">
        <f>IF(AN642=21,L642,0)</f>
        <v>0</v>
      </c>
      <c r="AN642" s="32">
        <v>21</v>
      </c>
      <c r="AO642" s="32">
        <f>H642*0</f>
        <v>0</v>
      </c>
      <c r="AP642" s="32">
        <f>H642*(1-0)</f>
        <v>0</v>
      </c>
      <c r="AQ642" s="36" t="s">
        <v>62</v>
      </c>
      <c r="AV642" s="32">
        <f>ROUND(AW642+AX642,2)</f>
        <v>0</v>
      </c>
      <c r="AW642" s="32">
        <f>ROUND(G642*AO642,2)</f>
        <v>0</v>
      </c>
      <c r="AX642" s="32">
        <f>ROUND(G642*AP642,2)</f>
        <v>0</v>
      </c>
      <c r="AY642" s="36" t="s">
        <v>1371</v>
      </c>
      <c r="AZ642" s="36" t="s">
        <v>1048</v>
      </c>
      <c r="BA642" s="12" t="s">
        <v>65</v>
      </c>
      <c r="BC642" s="32">
        <f>AW642+AX642</f>
        <v>0</v>
      </c>
      <c r="BD642" s="32">
        <f>H642/(100-BE642)*100</f>
        <v>0</v>
      </c>
      <c r="BE642" s="32">
        <v>0</v>
      </c>
      <c r="BF642" s="32">
        <f>P642</f>
        <v>0</v>
      </c>
      <c r="BH642" s="32">
        <f>G642*AO642</f>
        <v>0</v>
      </c>
      <c r="BI642" s="32">
        <f>G642*AP642</f>
        <v>0</v>
      </c>
      <c r="BJ642" s="32">
        <f>G642*H642</f>
        <v>0</v>
      </c>
      <c r="BK642" s="36" t="s">
        <v>66</v>
      </c>
      <c r="BL642" s="32"/>
      <c r="BW642" s="32">
        <f>I642</f>
        <v>21</v>
      </c>
      <c r="BX642" s="4" t="s">
        <v>1377</v>
      </c>
    </row>
    <row r="643" spans="1:76" x14ac:dyDescent="0.25">
      <c r="A643" s="2" t="s">
        <v>1378</v>
      </c>
      <c r="B643" s="3" t="s">
        <v>55</v>
      </c>
      <c r="C643" s="3" t="s">
        <v>1379</v>
      </c>
      <c r="D643" s="89" t="s">
        <v>1380</v>
      </c>
      <c r="E643" s="90"/>
      <c r="F643" s="3" t="s">
        <v>110</v>
      </c>
      <c r="G643" s="32">
        <v>27.154</v>
      </c>
      <c r="H643" s="199">
        <v>0</v>
      </c>
      <c r="I643" s="33">
        <v>21</v>
      </c>
      <c r="J643" s="32">
        <f>ROUND(G643*AO643,2)</f>
        <v>0</v>
      </c>
      <c r="K643" s="32">
        <f>ROUND(G643*AP643,2)</f>
        <v>0</v>
      </c>
      <c r="L643" s="32">
        <f>ROUND(G643*H643,2)</f>
        <v>0</v>
      </c>
      <c r="M643" s="32">
        <f>L643*(1+BW643/100)</f>
        <v>0</v>
      </c>
      <c r="N643" s="34">
        <f>IF(L649=0,0,L643/L649)</f>
        <v>0</v>
      </c>
      <c r="O643" s="32">
        <v>0</v>
      </c>
      <c r="P643" s="32">
        <f>G643*O643</f>
        <v>0</v>
      </c>
      <c r="Q643" s="35" t="s">
        <v>77</v>
      </c>
      <c r="Z643" s="32">
        <f>ROUND(IF(AQ643="5",BJ643,0),2)</f>
        <v>0</v>
      </c>
      <c r="AB643" s="32">
        <f>ROUND(IF(AQ643="1",BH643,0),2)</f>
        <v>0</v>
      </c>
      <c r="AC643" s="32">
        <f>ROUND(IF(AQ643="1",BI643,0),2)</f>
        <v>0</v>
      </c>
      <c r="AD643" s="32">
        <f>ROUND(IF(AQ643="7",BH643,0),2)</f>
        <v>0</v>
      </c>
      <c r="AE643" s="32">
        <f>ROUND(IF(AQ643="7",BI643,0),2)</f>
        <v>0</v>
      </c>
      <c r="AF643" s="32">
        <f>ROUND(IF(AQ643="2",BH643,0),2)</f>
        <v>0</v>
      </c>
      <c r="AG643" s="32">
        <f>ROUND(IF(AQ643="2",BI643,0),2)</f>
        <v>0</v>
      </c>
      <c r="AH643" s="32">
        <f>ROUND(IF(AQ643="0",BJ643,0),2)</f>
        <v>0</v>
      </c>
      <c r="AI643" s="12" t="s">
        <v>55</v>
      </c>
      <c r="AJ643" s="32">
        <f>IF(AN643=0,L643,0)</f>
        <v>0</v>
      </c>
      <c r="AK643" s="32">
        <f>IF(AN643=12,L643,0)</f>
        <v>0</v>
      </c>
      <c r="AL643" s="32">
        <f>IF(AN643=21,L643,0)</f>
        <v>0</v>
      </c>
      <c r="AN643" s="32">
        <v>21</v>
      </c>
      <c r="AO643" s="32">
        <f>H643*0.01062168</f>
        <v>0</v>
      </c>
      <c r="AP643" s="32">
        <f>H643*(1-0.01062168)</f>
        <v>0</v>
      </c>
      <c r="AQ643" s="36" t="s">
        <v>62</v>
      </c>
      <c r="AV643" s="32">
        <f>ROUND(AW643+AX643,2)</f>
        <v>0</v>
      </c>
      <c r="AW643" s="32">
        <f>ROUND(G643*AO643,2)</f>
        <v>0</v>
      </c>
      <c r="AX643" s="32">
        <f>ROUND(G643*AP643,2)</f>
        <v>0</v>
      </c>
      <c r="AY643" s="36" t="s">
        <v>1371</v>
      </c>
      <c r="AZ643" s="36" t="s">
        <v>1048</v>
      </c>
      <c r="BA643" s="12" t="s">
        <v>65</v>
      </c>
      <c r="BC643" s="32">
        <f>AW643+AX643</f>
        <v>0</v>
      </c>
      <c r="BD643" s="32">
        <f>H643/(100-BE643)*100</f>
        <v>0</v>
      </c>
      <c r="BE643" s="32">
        <v>0</v>
      </c>
      <c r="BF643" s="32">
        <f>P643</f>
        <v>0</v>
      </c>
      <c r="BH643" s="32">
        <f>G643*AO643</f>
        <v>0</v>
      </c>
      <c r="BI643" s="32">
        <f>G643*AP643</f>
        <v>0</v>
      </c>
      <c r="BJ643" s="32">
        <f>G643*H643</f>
        <v>0</v>
      </c>
      <c r="BK643" s="36" t="s">
        <v>66</v>
      </c>
      <c r="BL643" s="32"/>
      <c r="BW643" s="32">
        <f>I643</f>
        <v>21</v>
      </c>
      <c r="BX643" s="4" t="s">
        <v>1380</v>
      </c>
    </row>
    <row r="644" spans="1:76" x14ac:dyDescent="0.25">
      <c r="A644" s="2" t="s">
        <v>1381</v>
      </c>
      <c r="B644" s="3" t="s">
        <v>55</v>
      </c>
      <c r="C644" s="3" t="s">
        <v>1382</v>
      </c>
      <c r="D644" s="89" t="s">
        <v>1383</v>
      </c>
      <c r="E644" s="90"/>
      <c r="F644" s="3" t="s">
        <v>110</v>
      </c>
      <c r="G644" s="32">
        <v>135.77000000000001</v>
      </c>
      <c r="H644" s="199">
        <v>0</v>
      </c>
      <c r="I644" s="33">
        <v>21</v>
      </c>
      <c r="J644" s="32">
        <f>ROUND(G644*AO644,2)</f>
        <v>0</v>
      </c>
      <c r="K644" s="32">
        <f>ROUND(G644*AP644,2)</f>
        <v>0</v>
      </c>
      <c r="L644" s="32">
        <f>ROUND(G644*H644,2)</f>
        <v>0</v>
      </c>
      <c r="M644" s="32">
        <f>L644*(1+BW644/100)</f>
        <v>0</v>
      </c>
      <c r="N644" s="34">
        <f>IF(L649=0,0,L644/L649)</f>
        <v>0</v>
      </c>
      <c r="O644" s="32">
        <v>0</v>
      </c>
      <c r="P644" s="32">
        <f>G644*O644</f>
        <v>0</v>
      </c>
      <c r="Q644" s="35" t="s">
        <v>77</v>
      </c>
      <c r="Z644" s="32">
        <f>ROUND(IF(AQ644="5",BJ644,0),2)</f>
        <v>0</v>
      </c>
      <c r="AB644" s="32">
        <f>ROUND(IF(AQ644="1",BH644,0),2)</f>
        <v>0</v>
      </c>
      <c r="AC644" s="32">
        <f>ROUND(IF(AQ644="1",BI644,0),2)</f>
        <v>0</v>
      </c>
      <c r="AD644" s="32">
        <f>ROUND(IF(AQ644="7",BH644,0),2)</f>
        <v>0</v>
      </c>
      <c r="AE644" s="32">
        <f>ROUND(IF(AQ644="7",BI644,0),2)</f>
        <v>0</v>
      </c>
      <c r="AF644" s="32">
        <f>ROUND(IF(AQ644="2",BH644,0),2)</f>
        <v>0</v>
      </c>
      <c r="AG644" s="32">
        <f>ROUND(IF(AQ644="2",BI644,0),2)</f>
        <v>0</v>
      </c>
      <c r="AH644" s="32">
        <f>ROUND(IF(AQ644="0",BJ644,0),2)</f>
        <v>0</v>
      </c>
      <c r="AI644" s="12" t="s">
        <v>55</v>
      </c>
      <c r="AJ644" s="32">
        <f>IF(AN644=0,L644,0)</f>
        <v>0</v>
      </c>
      <c r="AK644" s="32">
        <f>IF(AN644=12,L644,0)</f>
        <v>0</v>
      </c>
      <c r="AL644" s="32">
        <f>IF(AN644=21,L644,0)</f>
        <v>0</v>
      </c>
      <c r="AN644" s="32">
        <v>21</v>
      </c>
      <c r="AO644" s="32">
        <f>H644*0</f>
        <v>0</v>
      </c>
      <c r="AP644" s="32">
        <f>H644*(1-0)</f>
        <v>0</v>
      </c>
      <c r="AQ644" s="36" t="s">
        <v>62</v>
      </c>
      <c r="AV644" s="32">
        <f>ROUND(AW644+AX644,2)</f>
        <v>0</v>
      </c>
      <c r="AW644" s="32">
        <f>ROUND(G644*AO644,2)</f>
        <v>0</v>
      </c>
      <c r="AX644" s="32">
        <f>ROUND(G644*AP644,2)</f>
        <v>0</v>
      </c>
      <c r="AY644" s="36" t="s">
        <v>1371</v>
      </c>
      <c r="AZ644" s="36" t="s">
        <v>1048</v>
      </c>
      <c r="BA644" s="12" t="s">
        <v>65</v>
      </c>
      <c r="BC644" s="32">
        <f>AW644+AX644</f>
        <v>0</v>
      </c>
      <c r="BD644" s="32">
        <f>H644/(100-BE644)*100</f>
        <v>0</v>
      </c>
      <c r="BE644" s="32">
        <v>0</v>
      </c>
      <c r="BF644" s="32">
        <f>P644</f>
        <v>0</v>
      </c>
      <c r="BH644" s="32">
        <f>G644*AO644</f>
        <v>0</v>
      </c>
      <c r="BI644" s="32">
        <f>G644*AP644</f>
        <v>0</v>
      </c>
      <c r="BJ644" s="32">
        <f>G644*H644</f>
        <v>0</v>
      </c>
      <c r="BK644" s="36" t="s">
        <v>66</v>
      </c>
      <c r="BL644" s="32"/>
      <c r="BW644" s="32">
        <f>I644</f>
        <v>21</v>
      </c>
      <c r="BX644" s="4" t="s">
        <v>1383</v>
      </c>
    </row>
    <row r="645" spans="1:76" ht="13.5" customHeight="1" x14ac:dyDescent="0.25">
      <c r="A645" s="42"/>
      <c r="C645" s="43"/>
      <c r="D645" s="95" t="s">
        <v>1384</v>
      </c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7"/>
    </row>
    <row r="646" spans="1:76" x14ac:dyDescent="0.25">
      <c r="A646" s="2" t="s">
        <v>1385</v>
      </c>
      <c r="B646" s="3" t="s">
        <v>55</v>
      </c>
      <c r="C646" s="3" t="s">
        <v>1386</v>
      </c>
      <c r="D646" s="89" t="s">
        <v>1387</v>
      </c>
      <c r="E646" s="90"/>
      <c r="F646" s="3" t="s">
        <v>110</v>
      </c>
      <c r="G646" s="32">
        <v>27.154</v>
      </c>
      <c r="H646" s="199">
        <v>0</v>
      </c>
      <c r="I646" s="33">
        <v>21</v>
      </c>
      <c r="J646" s="32">
        <f>ROUND(G646*AO646,2)</f>
        <v>0</v>
      </c>
      <c r="K646" s="32">
        <f>ROUND(G646*AP646,2)</f>
        <v>0</v>
      </c>
      <c r="L646" s="32">
        <f>ROUND(G646*H646,2)</f>
        <v>0</v>
      </c>
      <c r="M646" s="32">
        <f>L646*(1+BW646/100)</f>
        <v>0</v>
      </c>
      <c r="N646" s="34">
        <f>IF(L649=0,0,L646/L649)</f>
        <v>0</v>
      </c>
      <c r="O646" s="32">
        <v>0</v>
      </c>
      <c r="P646" s="32">
        <f>G646*O646</f>
        <v>0</v>
      </c>
      <c r="Q646" s="35" t="s">
        <v>77</v>
      </c>
      <c r="Z646" s="32">
        <f>ROUND(IF(AQ646="5",BJ646,0),2)</f>
        <v>0</v>
      </c>
      <c r="AB646" s="32">
        <f>ROUND(IF(AQ646="1",BH646,0),2)</f>
        <v>0</v>
      </c>
      <c r="AC646" s="32">
        <f>ROUND(IF(AQ646="1",BI646,0),2)</f>
        <v>0</v>
      </c>
      <c r="AD646" s="32">
        <f>ROUND(IF(AQ646="7",BH646,0),2)</f>
        <v>0</v>
      </c>
      <c r="AE646" s="32">
        <f>ROUND(IF(AQ646="7",BI646,0),2)</f>
        <v>0</v>
      </c>
      <c r="AF646" s="32">
        <f>ROUND(IF(AQ646="2",BH646,0),2)</f>
        <v>0</v>
      </c>
      <c r="AG646" s="32">
        <f>ROUND(IF(AQ646="2",BI646,0),2)</f>
        <v>0</v>
      </c>
      <c r="AH646" s="32">
        <f>ROUND(IF(AQ646="0",BJ646,0),2)</f>
        <v>0</v>
      </c>
      <c r="AI646" s="12" t="s">
        <v>55</v>
      </c>
      <c r="AJ646" s="32">
        <f>IF(AN646=0,L646,0)</f>
        <v>0</v>
      </c>
      <c r="AK646" s="32">
        <f>IF(AN646=12,L646,0)</f>
        <v>0</v>
      </c>
      <c r="AL646" s="32">
        <f>IF(AN646=21,L646,0)</f>
        <v>0</v>
      </c>
      <c r="AN646" s="32">
        <v>21</v>
      </c>
      <c r="AO646" s="32">
        <f>H646*0</f>
        <v>0</v>
      </c>
      <c r="AP646" s="32">
        <f>H646*(1-0)</f>
        <v>0</v>
      </c>
      <c r="AQ646" s="36" t="s">
        <v>62</v>
      </c>
      <c r="AV646" s="32">
        <f>ROUND(AW646+AX646,2)</f>
        <v>0</v>
      </c>
      <c r="AW646" s="32">
        <f>ROUND(G646*AO646,2)</f>
        <v>0</v>
      </c>
      <c r="AX646" s="32">
        <f>ROUND(G646*AP646,2)</f>
        <v>0</v>
      </c>
      <c r="AY646" s="36" t="s">
        <v>1371</v>
      </c>
      <c r="AZ646" s="36" t="s">
        <v>1048</v>
      </c>
      <c r="BA646" s="12" t="s">
        <v>65</v>
      </c>
      <c r="BC646" s="32">
        <f>AW646+AX646</f>
        <v>0</v>
      </c>
      <c r="BD646" s="32">
        <f>H646/(100-BE646)*100</f>
        <v>0</v>
      </c>
      <c r="BE646" s="32">
        <v>0</v>
      </c>
      <c r="BF646" s="32">
        <f>P646</f>
        <v>0</v>
      </c>
      <c r="BH646" s="32">
        <f>G646*AO646</f>
        <v>0</v>
      </c>
      <c r="BI646" s="32">
        <f>G646*AP646</f>
        <v>0</v>
      </c>
      <c r="BJ646" s="32">
        <f>G646*H646</f>
        <v>0</v>
      </c>
      <c r="BK646" s="36" t="s">
        <v>66</v>
      </c>
      <c r="BL646" s="32"/>
      <c r="BW646" s="32">
        <f>I646</f>
        <v>21</v>
      </c>
      <c r="BX646" s="4" t="s">
        <v>1387</v>
      </c>
    </row>
    <row r="647" spans="1:76" x14ac:dyDescent="0.25">
      <c r="A647" s="2" t="s">
        <v>1388</v>
      </c>
      <c r="B647" s="3" t="s">
        <v>55</v>
      </c>
      <c r="C647" s="3" t="s">
        <v>1389</v>
      </c>
      <c r="D647" s="89" t="s">
        <v>1390</v>
      </c>
      <c r="E647" s="90"/>
      <c r="F647" s="3" t="s">
        <v>475</v>
      </c>
      <c r="G647" s="32">
        <v>3</v>
      </c>
      <c r="H647" s="199">
        <v>0</v>
      </c>
      <c r="I647" s="33">
        <v>21</v>
      </c>
      <c r="J647" s="32">
        <f>ROUND(G647*AO647,2)</f>
        <v>0</v>
      </c>
      <c r="K647" s="32">
        <f>ROUND(G647*AP647,2)</f>
        <v>0</v>
      </c>
      <c r="L647" s="32">
        <f>ROUND(G647*H647,2)</f>
        <v>0</v>
      </c>
      <c r="M647" s="32">
        <f>L647*(1+BW647/100)</f>
        <v>0</v>
      </c>
      <c r="N647" s="34">
        <f>IF(L649=0,0,L647/L649)</f>
        <v>0</v>
      </c>
      <c r="O647" s="32">
        <v>0</v>
      </c>
      <c r="P647" s="32">
        <f>G647*O647</f>
        <v>0</v>
      </c>
      <c r="Q647" s="35"/>
      <c r="Z647" s="32">
        <f>ROUND(IF(AQ647="5",BJ647,0),2)</f>
        <v>0</v>
      </c>
      <c r="AB647" s="32">
        <f>ROUND(IF(AQ647="1",BH647,0),2)</f>
        <v>0</v>
      </c>
      <c r="AC647" s="32">
        <f>ROUND(IF(AQ647="1",BI647,0),2)</f>
        <v>0</v>
      </c>
      <c r="AD647" s="32">
        <f>ROUND(IF(AQ647="7",BH647,0),2)</f>
        <v>0</v>
      </c>
      <c r="AE647" s="32">
        <f>ROUND(IF(AQ647="7",BI647,0),2)</f>
        <v>0</v>
      </c>
      <c r="AF647" s="32">
        <f>ROUND(IF(AQ647="2",BH647,0),2)</f>
        <v>0</v>
      </c>
      <c r="AG647" s="32">
        <f>ROUND(IF(AQ647="2",BI647,0),2)</f>
        <v>0</v>
      </c>
      <c r="AH647" s="32">
        <f>ROUND(IF(AQ647="0",BJ647,0),2)</f>
        <v>0</v>
      </c>
      <c r="AI647" s="12" t="s">
        <v>55</v>
      </c>
      <c r="AJ647" s="32">
        <f>IF(AN647=0,L647,0)</f>
        <v>0</v>
      </c>
      <c r="AK647" s="32">
        <f>IF(AN647=12,L647,0)</f>
        <v>0</v>
      </c>
      <c r="AL647" s="32">
        <f>IF(AN647=21,L647,0)</f>
        <v>0</v>
      </c>
      <c r="AN647" s="32">
        <v>21</v>
      </c>
      <c r="AO647" s="32">
        <f>H647*0</f>
        <v>0</v>
      </c>
      <c r="AP647" s="32">
        <f>H647*(1-0)</f>
        <v>0</v>
      </c>
      <c r="AQ647" s="36" t="s">
        <v>62</v>
      </c>
      <c r="AV647" s="32">
        <f>ROUND(AW647+AX647,2)</f>
        <v>0</v>
      </c>
      <c r="AW647" s="32">
        <f>ROUND(G647*AO647,2)</f>
        <v>0</v>
      </c>
      <c r="AX647" s="32">
        <f>ROUND(G647*AP647,2)</f>
        <v>0</v>
      </c>
      <c r="AY647" s="36" t="s">
        <v>1371</v>
      </c>
      <c r="AZ647" s="36" t="s">
        <v>1048</v>
      </c>
      <c r="BA647" s="12" t="s">
        <v>65</v>
      </c>
      <c r="BC647" s="32">
        <f>AW647+AX647</f>
        <v>0</v>
      </c>
      <c r="BD647" s="32">
        <f>H647/(100-BE647)*100</f>
        <v>0</v>
      </c>
      <c r="BE647" s="32">
        <v>0</v>
      </c>
      <c r="BF647" s="32">
        <f>P647</f>
        <v>0</v>
      </c>
      <c r="BH647" s="32">
        <f>G647*AO647</f>
        <v>0</v>
      </c>
      <c r="BI647" s="32">
        <f>G647*AP647</f>
        <v>0</v>
      </c>
      <c r="BJ647" s="32">
        <f>G647*H647</f>
        <v>0</v>
      </c>
      <c r="BK647" s="36" t="s">
        <v>66</v>
      </c>
      <c r="BL647" s="32"/>
      <c r="BW647" s="32">
        <f>I647</f>
        <v>21</v>
      </c>
      <c r="BX647" s="4" t="s">
        <v>1390</v>
      </c>
    </row>
    <row r="648" spans="1:76" ht="13.5" customHeight="1" x14ac:dyDescent="0.25">
      <c r="A648" s="45"/>
      <c r="B648" s="46"/>
      <c r="C648" s="47"/>
      <c r="D648" s="91" t="s">
        <v>1391</v>
      </c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3"/>
    </row>
    <row r="649" spans="1:76" x14ac:dyDescent="0.25">
      <c r="J649" s="94" t="s">
        <v>1392</v>
      </c>
      <c r="K649" s="94"/>
      <c r="L649" s="49">
        <f>ROUND(L12+L16+L26+L39+L49+L59+L68+L81+L84+L129+L212+L228+L273+L298+L319+L361+L377+L396+L448+L461+L466+L475+L479+L482+L488+L518+L540+L542+L570+L589+L619+L639,2)</f>
        <v>0</v>
      </c>
      <c r="M649" s="49">
        <f>ROUND(M12+M16+M26+M39+M49+M59+M68+M81+M84+M129+M212+M228+M273+M298+M319+M361+M377+M396+M448+M461+M466+M475+M479+M482+M488+M518+M540+M542+M570+M589+M619+M639,2)</f>
        <v>0</v>
      </c>
    </row>
    <row r="650" spans="1:76" x14ac:dyDescent="0.25">
      <c r="A650" s="50" t="s">
        <v>1393</v>
      </c>
    </row>
    <row r="651" spans="1:76" ht="27" customHeight="1" x14ac:dyDescent="0.25">
      <c r="A651" s="89" t="s">
        <v>1394</v>
      </c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</row>
  </sheetData>
  <mergeCells count="668">
    <mergeCell ref="A1:Q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Q3"/>
    <mergeCell ref="J4:Q5"/>
    <mergeCell ref="J6:Q7"/>
    <mergeCell ref="J8:Q9"/>
    <mergeCell ref="D10:E10"/>
    <mergeCell ref="D8:E9"/>
    <mergeCell ref="H2:H3"/>
    <mergeCell ref="H4:H5"/>
    <mergeCell ref="H6:H7"/>
    <mergeCell ref="H8:H9"/>
    <mergeCell ref="D14:E14"/>
    <mergeCell ref="D15:E15"/>
    <mergeCell ref="D16:E16"/>
    <mergeCell ref="D17:E17"/>
    <mergeCell ref="D18:E18"/>
    <mergeCell ref="D11:E11"/>
    <mergeCell ref="J10:L10"/>
    <mergeCell ref="O10:P10"/>
    <mergeCell ref="D12:E12"/>
    <mergeCell ref="D13:E13"/>
    <mergeCell ref="D24:E24"/>
    <mergeCell ref="D25:Q25"/>
    <mergeCell ref="D26:E26"/>
    <mergeCell ref="D27:E27"/>
    <mergeCell ref="D28:Q28"/>
    <mergeCell ref="D19:Q19"/>
    <mergeCell ref="D20:E20"/>
    <mergeCell ref="D21:Q21"/>
    <mergeCell ref="D22:E22"/>
    <mergeCell ref="D23:Q23"/>
    <mergeCell ref="D34:Q34"/>
    <mergeCell ref="D35:E35"/>
    <mergeCell ref="D36:E36"/>
    <mergeCell ref="D37:E37"/>
    <mergeCell ref="D38:Q38"/>
    <mergeCell ref="D29:E29"/>
    <mergeCell ref="D30:E30"/>
    <mergeCell ref="D31:Q31"/>
    <mergeCell ref="D32:E32"/>
    <mergeCell ref="D33:E33"/>
    <mergeCell ref="D44:E44"/>
    <mergeCell ref="D45:E45"/>
    <mergeCell ref="D46:E46"/>
    <mergeCell ref="D47:E47"/>
    <mergeCell ref="D48:Q48"/>
    <mergeCell ref="D39:E39"/>
    <mergeCell ref="D40:E40"/>
    <mergeCell ref="D41:Q41"/>
    <mergeCell ref="D42:E42"/>
    <mergeCell ref="D43:Q43"/>
    <mergeCell ref="D54:E54"/>
    <mergeCell ref="D55:Q55"/>
    <mergeCell ref="D56:E56"/>
    <mergeCell ref="D57:E57"/>
    <mergeCell ref="D58:E58"/>
    <mergeCell ref="D49:E49"/>
    <mergeCell ref="D50:E50"/>
    <mergeCell ref="D51:Q51"/>
    <mergeCell ref="D52:E52"/>
    <mergeCell ref="D53:Q53"/>
    <mergeCell ref="D64:E64"/>
    <mergeCell ref="D65:Q65"/>
    <mergeCell ref="D66:E66"/>
    <mergeCell ref="D67:Q67"/>
    <mergeCell ref="D68:E68"/>
    <mergeCell ref="D59:E59"/>
    <mergeCell ref="D60:E60"/>
    <mergeCell ref="D61:Q61"/>
    <mergeCell ref="D62:E62"/>
    <mergeCell ref="D63:Q63"/>
    <mergeCell ref="D74:E74"/>
    <mergeCell ref="D75:E75"/>
    <mergeCell ref="D76:E76"/>
    <mergeCell ref="D77:E77"/>
    <mergeCell ref="D78:Q78"/>
    <mergeCell ref="D69:E69"/>
    <mergeCell ref="D70:Q70"/>
    <mergeCell ref="D71:E71"/>
    <mergeCell ref="D72:E72"/>
    <mergeCell ref="D73:Q73"/>
    <mergeCell ref="D84:E84"/>
    <mergeCell ref="D85:E85"/>
    <mergeCell ref="D86:Q86"/>
    <mergeCell ref="D87:E87"/>
    <mergeCell ref="D88:Q88"/>
    <mergeCell ref="D79:E79"/>
    <mergeCell ref="D80:Q80"/>
    <mergeCell ref="D81:E81"/>
    <mergeCell ref="D82:E82"/>
    <mergeCell ref="D83:Q83"/>
    <mergeCell ref="D94:Q94"/>
    <mergeCell ref="D95:E95"/>
    <mergeCell ref="D96:Q96"/>
    <mergeCell ref="D97:E97"/>
    <mergeCell ref="D98:Q98"/>
    <mergeCell ref="D89:E89"/>
    <mergeCell ref="D90:Q90"/>
    <mergeCell ref="D91:E91"/>
    <mergeCell ref="D92:Q92"/>
    <mergeCell ref="D93:E93"/>
    <mergeCell ref="D104:Q104"/>
    <mergeCell ref="D105:E105"/>
    <mergeCell ref="D106:Q106"/>
    <mergeCell ref="D107:E107"/>
    <mergeCell ref="D108:Q108"/>
    <mergeCell ref="D99:E99"/>
    <mergeCell ref="D100:Q100"/>
    <mergeCell ref="D101:E101"/>
    <mergeCell ref="D102:Q102"/>
    <mergeCell ref="D103:E103"/>
    <mergeCell ref="D114:E114"/>
    <mergeCell ref="D115:E115"/>
    <mergeCell ref="D116:E116"/>
    <mergeCell ref="D117:E117"/>
    <mergeCell ref="D118:E118"/>
    <mergeCell ref="D109:E109"/>
    <mergeCell ref="D110:Q110"/>
    <mergeCell ref="D111:E111"/>
    <mergeCell ref="D112:Q112"/>
    <mergeCell ref="D113:E113"/>
    <mergeCell ref="D124:E124"/>
    <mergeCell ref="D125:Q125"/>
    <mergeCell ref="D126:E126"/>
    <mergeCell ref="D127:Q127"/>
    <mergeCell ref="D128:E128"/>
    <mergeCell ref="D119:E119"/>
    <mergeCell ref="D120:E120"/>
    <mergeCell ref="D121:E121"/>
    <mergeCell ref="D122:Q122"/>
    <mergeCell ref="D123:E123"/>
    <mergeCell ref="D134:E134"/>
    <mergeCell ref="D135:E135"/>
    <mergeCell ref="D136:E136"/>
    <mergeCell ref="D137:Q137"/>
    <mergeCell ref="D138:E138"/>
    <mergeCell ref="D129:E129"/>
    <mergeCell ref="D130:E130"/>
    <mergeCell ref="D131:E131"/>
    <mergeCell ref="D132:E132"/>
    <mergeCell ref="D133:Q133"/>
    <mergeCell ref="D144:E144"/>
    <mergeCell ref="D145:Q145"/>
    <mergeCell ref="D146:E146"/>
    <mergeCell ref="D147:Q147"/>
    <mergeCell ref="D148:E148"/>
    <mergeCell ref="D139:Q139"/>
    <mergeCell ref="D140:E140"/>
    <mergeCell ref="D141:Q141"/>
    <mergeCell ref="D142:E142"/>
    <mergeCell ref="D143:Q143"/>
    <mergeCell ref="D154:E154"/>
    <mergeCell ref="D155:Q155"/>
    <mergeCell ref="D156:E156"/>
    <mergeCell ref="D157:Q157"/>
    <mergeCell ref="D158:E158"/>
    <mergeCell ref="D149:Q149"/>
    <mergeCell ref="D150:E150"/>
    <mergeCell ref="D151:Q151"/>
    <mergeCell ref="D152:E152"/>
    <mergeCell ref="D153:Q153"/>
    <mergeCell ref="D164:Q164"/>
    <mergeCell ref="D165:E165"/>
    <mergeCell ref="D166:Q166"/>
    <mergeCell ref="D167:E167"/>
    <mergeCell ref="D168:Q168"/>
    <mergeCell ref="D159:Q159"/>
    <mergeCell ref="D160:E160"/>
    <mergeCell ref="D161:E161"/>
    <mergeCell ref="D162:E162"/>
    <mergeCell ref="D163:E163"/>
    <mergeCell ref="D174:Q174"/>
    <mergeCell ref="D175:E175"/>
    <mergeCell ref="D176:Q176"/>
    <mergeCell ref="D177:E177"/>
    <mergeCell ref="D178:Q178"/>
    <mergeCell ref="D169:E169"/>
    <mergeCell ref="D170:Q170"/>
    <mergeCell ref="D171:E171"/>
    <mergeCell ref="D172:Q172"/>
    <mergeCell ref="D173:E173"/>
    <mergeCell ref="D184:Q184"/>
    <mergeCell ref="D185:E185"/>
    <mergeCell ref="D186:Q186"/>
    <mergeCell ref="D187:E187"/>
    <mergeCell ref="D188:Q188"/>
    <mergeCell ref="D179:E179"/>
    <mergeCell ref="D180:Q180"/>
    <mergeCell ref="D181:E181"/>
    <mergeCell ref="D182:Q182"/>
    <mergeCell ref="D183:E183"/>
    <mergeCell ref="D194:Q194"/>
    <mergeCell ref="D195:E195"/>
    <mergeCell ref="D196:Q196"/>
    <mergeCell ref="D197:E197"/>
    <mergeCell ref="D198:Q198"/>
    <mergeCell ref="D189:E189"/>
    <mergeCell ref="D190:Q190"/>
    <mergeCell ref="D191:E191"/>
    <mergeCell ref="D192:Q192"/>
    <mergeCell ref="D193:E193"/>
    <mergeCell ref="D204:E204"/>
    <mergeCell ref="D205:E205"/>
    <mergeCell ref="D206:Q206"/>
    <mergeCell ref="D207:E207"/>
    <mergeCell ref="D208:E208"/>
    <mergeCell ref="D199:E199"/>
    <mergeCell ref="D200:Q200"/>
    <mergeCell ref="D201:E201"/>
    <mergeCell ref="D202:E202"/>
    <mergeCell ref="D203:E203"/>
    <mergeCell ref="D214:Q214"/>
    <mergeCell ref="D215:E215"/>
    <mergeCell ref="D216:E216"/>
    <mergeCell ref="D217:E217"/>
    <mergeCell ref="D218:E218"/>
    <mergeCell ref="D209:Q209"/>
    <mergeCell ref="D210:E210"/>
    <mergeCell ref="D211:Q211"/>
    <mergeCell ref="D212:E212"/>
    <mergeCell ref="D213:E213"/>
    <mergeCell ref="D224:E224"/>
    <mergeCell ref="D225:Q225"/>
    <mergeCell ref="D226:E226"/>
    <mergeCell ref="D227:E227"/>
    <mergeCell ref="D228:E228"/>
    <mergeCell ref="D219:E219"/>
    <mergeCell ref="D220:E220"/>
    <mergeCell ref="D221:E221"/>
    <mergeCell ref="D222:E222"/>
    <mergeCell ref="D223:Q223"/>
    <mergeCell ref="D234:E234"/>
    <mergeCell ref="D235:E235"/>
    <mergeCell ref="D236:E236"/>
    <mergeCell ref="D237:E237"/>
    <mergeCell ref="D238:E238"/>
    <mergeCell ref="D229:E229"/>
    <mergeCell ref="D230:E230"/>
    <mergeCell ref="D231:Q231"/>
    <mergeCell ref="D232:E232"/>
    <mergeCell ref="D233:Q233"/>
    <mergeCell ref="D243:E243"/>
    <mergeCell ref="D244:E244"/>
    <mergeCell ref="D245:Q245"/>
    <mergeCell ref="D246:E246"/>
    <mergeCell ref="D247:E247"/>
    <mergeCell ref="D239:E239"/>
    <mergeCell ref="D240:E240"/>
    <mergeCell ref="D241:E241"/>
    <mergeCell ref="D242:E242"/>
    <mergeCell ref="D253:E253"/>
    <mergeCell ref="D254:Q254"/>
    <mergeCell ref="D255:E255"/>
    <mergeCell ref="D256:Q256"/>
    <mergeCell ref="D257:E257"/>
    <mergeCell ref="D248:Q248"/>
    <mergeCell ref="D249:E249"/>
    <mergeCell ref="D250:Q250"/>
    <mergeCell ref="D251:E251"/>
    <mergeCell ref="D252:Q252"/>
    <mergeCell ref="D263:E263"/>
    <mergeCell ref="D264:E264"/>
    <mergeCell ref="D265:E265"/>
    <mergeCell ref="D266:Q266"/>
    <mergeCell ref="D267:E267"/>
    <mergeCell ref="D258:Q258"/>
    <mergeCell ref="D259:E259"/>
    <mergeCell ref="D260:E260"/>
    <mergeCell ref="D261:E261"/>
    <mergeCell ref="D262:E262"/>
    <mergeCell ref="D273:E273"/>
    <mergeCell ref="D274:E274"/>
    <mergeCell ref="D275:Q275"/>
    <mergeCell ref="D276:E276"/>
    <mergeCell ref="D277:Q277"/>
    <mergeCell ref="D268:E268"/>
    <mergeCell ref="D269:E269"/>
    <mergeCell ref="D270:E270"/>
    <mergeCell ref="D271:E271"/>
    <mergeCell ref="D272:Q272"/>
    <mergeCell ref="D286:E286"/>
    <mergeCell ref="D287:Q287"/>
    <mergeCell ref="D288:E288"/>
    <mergeCell ref="D289:Q289"/>
    <mergeCell ref="D290:E290"/>
    <mergeCell ref="D283:Q283"/>
    <mergeCell ref="D284:E284"/>
    <mergeCell ref="D285:Q285"/>
    <mergeCell ref="D278:E278"/>
    <mergeCell ref="D279:E279"/>
    <mergeCell ref="D280:Q280"/>
    <mergeCell ref="D281:E281"/>
    <mergeCell ref="D282:E282"/>
    <mergeCell ref="D296:E296"/>
    <mergeCell ref="D297:Q297"/>
    <mergeCell ref="D298:E298"/>
    <mergeCell ref="D299:E299"/>
    <mergeCell ref="D300:E300"/>
    <mergeCell ref="D291:Q291"/>
    <mergeCell ref="D292:E292"/>
    <mergeCell ref="D293:Q293"/>
    <mergeCell ref="D294:E294"/>
    <mergeCell ref="D295:Q295"/>
    <mergeCell ref="D306:Q306"/>
    <mergeCell ref="D307:E307"/>
    <mergeCell ref="D308:Q308"/>
    <mergeCell ref="D309:E309"/>
    <mergeCell ref="D310:Q310"/>
    <mergeCell ref="D301:E301"/>
    <mergeCell ref="D302:E302"/>
    <mergeCell ref="D303:E303"/>
    <mergeCell ref="D304:E304"/>
    <mergeCell ref="D305:E305"/>
    <mergeCell ref="D316:E316"/>
    <mergeCell ref="D317:E317"/>
    <mergeCell ref="D318:E318"/>
    <mergeCell ref="D319:E319"/>
    <mergeCell ref="D320:E320"/>
    <mergeCell ref="D311:E311"/>
    <mergeCell ref="D312:E312"/>
    <mergeCell ref="D313:E313"/>
    <mergeCell ref="D314:Q314"/>
    <mergeCell ref="D315:E315"/>
    <mergeCell ref="D326:E326"/>
    <mergeCell ref="D327:Q327"/>
    <mergeCell ref="D328:E328"/>
    <mergeCell ref="D329:Q329"/>
    <mergeCell ref="D330:E330"/>
    <mergeCell ref="D321:Q321"/>
    <mergeCell ref="D322:E322"/>
    <mergeCell ref="D323:Q323"/>
    <mergeCell ref="D324:E324"/>
    <mergeCell ref="D325:Q325"/>
    <mergeCell ref="D336:E336"/>
    <mergeCell ref="D337:E337"/>
    <mergeCell ref="D338:E338"/>
    <mergeCell ref="D339:E339"/>
    <mergeCell ref="D340:Q340"/>
    <mergeCell ref="D331:Q331"/>
    <mergeCell ref="D332:E332"/>
    <mergeCell ref="D333:Q333"/>
    <mergeCell ref="D334:E334"/>
    <mergeCell ref="D335:Q335"/>
    <mergeCell ref="D346:Q346"/>
    <mergeCell ref="D347:E347"/>
    <mergeCell ref="D348:E348"/>
    <mergeCell ref="D349:E349"/>
    <mergeCell ref="D350:Q350"/>
    <mergeCell ref="D341:E341"/>
    <mergeCell ref="D342:Q342"/>
    <mergeCell ref="D343:E343"/>
    <mergeCell ref="D344:Q344"/>
    <mergeCell ref="D345:E345"/>
    <mergeCell ref="D356:E356"/>
    <mergeCell ref="D357:E357"/>
    <mergeCell ref="D358:Q358"/>
    <mergeCell ref="D359:E359"/>
    <mergeCell ref="D360:Q360"/>
    <mergeCell ref="D351:E351"/>
    <mergeCell ref="D352:Q352"/>
    <mergeCell ref="D353:E353"/>
    <mergeCell ref="D354:Q354"/>
    <mergeCell ref="D355:E355"/>
    <mergeCell ref="D366:E366"/>
    <mergeCell ref="D367:E367"/>
    <mergeCell ref="D368:E368"/>
    <mergeCell ref="D369:E369"/>
    <mergeCell ref="D370:E370"/>
    <mergeCell ref="D361:E361"/>
    <mergeCell ref="D362:E362"/>
    <mergeCell ref="D363:E363"/>
    <mergeCell ref="D364:E364"/>
    <mergeCell ref="D365:E365"/>
    <mergeCell ref="D376:Q376"/>
    <mergeCell ref="D377:E377"/>
    <mergeCell ref="D378:E378"/>
    <mergeCell ref="D379:Q379"/>
    <mergeCell ref="D380:E380"/>
    <mergeCell ref="D371:E371"/>
    <mergeCell ref="D372:E372"/>
    <mergeCell ref="D373:E373"/>
    <mergeCell ref="D374:E374"/>
    <mergeCell ref="D375:E375"/>
    <mergeCell ref="D386:Q386"/>
    <mergeCell ref="D387:E387"/>
    <mergeCell ref="D388:Q388"/>
    <mergeCell ref="D389:E389"/>
    <mergeCell ref="D390:Q390"/>
    <mergeCell ref="D381:Q381"/>
    <mergeCell ref="D382:E382"/>
    <mergeCell ref="D383:E383"/>
    <mergeCell ref="D384:E384"/>
    <mergeCell ref="D385:E385"/>
    <mergeCell ref="D396:E396"/>
    <mergeCell ref="D397:E397"/>
    <mergeCell ref="D398:Q398"/>
    <mergeCell ref="D399:E399"/>
    <mergeCell ref="D400:Q400"/>
    <mergeCell ref="D391:E391"/>
    <mergeCell ref="D392:E392"/>
    <mergeCell ref="D393:Q393"/>
    <mergeCell ref="D394:E394"/>
    <mergeCell ref="D395:Q395"/>
    <mergeCell ref="D406:Q406"/>
    <mergeCell ref="D407:E407"/>
    <mergeCell ref="D408:Q408"/>
    <mergeCell ref="D409:E409"/>
    <mergeCell ref="D410:Q410"/>
    <mergeCell ref="D401:E401"/>
    <mergeCell ref="D402:E402"/>
    <mergeCell ref="D403:E403"/>
    <mergeCell ref="D404:E404"/>
    <mergeCell ref="D405:E405"/>
    <mergeCell ref="D416:E416"/>
    <mergeCell ref="D417:Q417"/>
    <mergeCell ref="D418:E418"/>
    <mergeCell ref="D419:E419"/>
    <mergeCell ref="D420:E420"/>
    <mergeCell ref="D411:E411"/>
    <mergeCell ref="D412:E412"/>
    <mergeCell ref="D413:Q413"/>
    <mergeCell ref="D414:E414"/>
    <mergeCell ref="D415:E415"/>
    <mergeCell ref="D426:E426"/>
    <mergeCell ref="D427:Q427"/>
    <mergeCell ref="D428:E428"/>
    <mergeCell ref="D429:Q429"/>
    <mergeCell ref="D430:E430"/>
    <mergeCell ref="D421:Q421"/>
    <mergeCell ref="D422:E422"/>
    <mergeCell ref="D423:E423"/>
    <mergeCell ref="D424:E424"/>
    <mergeCell ref="D425:Q425"/>
    <mergeCell ref="D436:E436"/>
    <mergeCell ref="D437:Q437"/>
    <mergeCell ref="D438:E438"/>
    <mergeCell ref="D439:Q439"/>
    <mergeCell ref="D440:E440"/>
    <mergeCell ref="D431:Q431"/>
    <mergeCell ref="D432:E432"/>
    <mergeCell ref="D433:Q433"/>
    <mergeCell ref="D434:E434"/>
    <mergeCell ref="D435:E435"/>
    <mergeCell ref="D446:E446"/>
    <mergeCell ref="D447:Q447"/>
    <mergeCell ref="D448:E448"/>
    <mergeCell ref="D449:E449"/>
    <mergeCell ref="D450:Q450"/>
    <mergeCell ref="D441:Q441"/>
    <mergeCell ref="D442:E442"/>
    <mergeCell ref="D443:Q443"/>
    <mergeCell ref="D444:E444"/>
    <mergeCell ref="D445:Q445"/>
    <mergeCell ref="D456:Q456"/>
    <mergeCell ref="D457:E457"/>
    <mergeCell ref="D458:E458"/>
    <mergeCell ref="D459:E459"/>
    <mergeCell ref="D460:Q460"/>
    <mergeCell ref="D451:E451"/>
    <mergeCell ref="D452:Q452"/>
    <mergeCell ref="D453:E453"/>
    <mergeCell ref="D454:Q454"/>
    <mergeCell ref="D455:E455"/>
    <mergeCell ref="D466:E466"/>
    <mergeCell ref="D467:E467"/>
    <mergeCell ref="D468:E468"/>
    <mergeCell ref="D469:Q469"/>
    <mergeCell ref="D470:E470"/>
    <mergeCell ref="D461:E461"/>
    <mergeCell ref="D462:E462"/>
    <mergeCell ref="D463:Q463"/>
    <mergeCell ref="D464:E464"/>
    <mergeCell ref="D465:Q465"/>
    <mergeCell ref="D476:E476"/>
    <mergeCell ref="D477:E477"/>
    <mergeCell ref="D478:Q478"/>
    <mergeCell ref="D479:E479"/>
    <mergeCell ref="D480:E480"/>
    <mergeCell ref="D471:Q471"/>
    <mergeCell ref="D472:E472"/>
    <mergeCell ref="D473:E473"/>
    <mergeCell ref="D474:Q474"/>
    <mergeCell ref="D475:E475"/>
    <mergeCell ref="D486:E486"/>
    <mergeCell ref="D487:Q487"/>
    <mergeCell ref="D488:E488"/>
    <mergeCell ref="D489:E489"/>
    <mergeCell ref="D490:Q490"/>
    <mergeCell ref="D481:Q481"/>
    <mergeCell ref="D482:E482"/>
    <mergeCell ref="D483:E483"/>
    <mergeCell ref="D484:E484"/>
    <mergeCell ref="D485:Q485"/>
    <mergeCell ref="D496:E496"/>
    <mergeCell ref="D497:Q497"/>
    <mergeCell ref="D498:E498"/>
    <mergeCell ref="D499:Q499"/>
    <mergeCell ref="D500:E500"/>
    <mergeCell ref="D491:E491"/>
    <mergeCell ref="D492:Q492"/>
    <mergeCell ref="D493:E493"/>
    <mergeCell ref="D494:Q494"/>
    <mergeCell ref="D495:E495"/>
    <mergeCell ref="D506:E506"/>
    <mergeCell ref="D507:Q507"/>
    <mergeCell ref="D508:E508"/>
    <mergeCell ref="D509:Q509"/>
    <mergeCell ref="D510:E510"/>
    <mergeCell ref="D501:Q501"/>
    <mergeCell ref="D502:E502"/>
    <mergeCell ref="D503:Q503"/>
    <mergeCell ref="D504:E504"/>
    <mergeCell ref="D505:Q505"/>
    <mergeCell ref="D516:Q516"/>
    <mergeCell ref="D517:Q517"/>
    <mergeCell ref="D518:E518"/>
    <mergeCell ref="D519:E519"/>
    <mergeCell ref="D520:E520"/>
    <mergeCell ref="D511:Q511"/>
    <mergeCell ref="D512:E512"/>
    <mergeCell ref="D513:E513"/>
    <mergeCell ref="D514:Q514"/>
    <mergeCell ref="D515:E515"/>
    <mergeCell ref="D526:E526"/>
    <mergeCell ref="D527:E527"/>
    <mergeCell ref="D528:E528"/>
    <mergeCell ref="D529:E529"/>
    <mergeCell ref="D530:E530"/>
    <mergeCell ref="D521:E521"/>
    <mergeCell ref="D522:E522"/>
    <mergeCell ref="D523:Q523"/>
    <mergeCell ref="D524:E524"/>
    <mergeCell ref="D525:E525"/>
    <mergeCell ref="D536:E536"/>
    <mergeCell ref="D537:E537"/>
    <mergeCell ref="D538:E538"/>
    <mergeCell ref="D539:Q539"/>
    <mergeCell ref="D540:E540"/>
    <mergeCell ref="D531:Q531"/>
    <mergeCell ref="D532:E532"/>
    <mergeCell ref="D533:E533"/>
    <mergeCell ref="D534:Q534"/>
    <mergeCell ref="D535:E535"/>
    <mergeCell ref="D546:Q546"/>
    <mergeCell ref="D547:E547"/>
    <mergeCell ref="D548:E548"/>
    <mergeCell ref="D549:Q549"/>
    <mergeCell ref="D550:E550"/>
    <mergeCell ref="D541:E541"/>
    <mergeCell ref="D542:E542"/>
    <mergeCell ref="D543:E543"/>
    <mergeCell ref="D544:Q544"/>
    <mergeCell ref="D545:E545"/>
    <mergeCell ref="D556:E556"/>
    <mergeCell ref="D557:Q557"/>
    <mergeCell ref="D558:E558"/>
    <mergeCell ref="D559:Q559"/>
    <mergeCell ref="D560:E560"/>
    <mergeCell ref="D551:E551"/>
    <mergeCell ref="D552:Q552"/>
    <mergeCell ref="D553:E553"/>
    <mergeCell ref="D554:E554"/>
    <mergeCell ref="D555:Q555"/>
    <mergeCell ref="D566:E566"/>
    <mergeCell ref="D567:Q567"/>
    <mergeCell ref="D568:E568"/>
    <mergeCell ref="D569:Q569"/>
    <mergeCell ref="D570:E570"/>
    <mergeCell ref="D561:E561"/>
    <mergeCell ref="D562:E562"/>
    <mergeCell ref="D563:E563"/>
    <mergeCell ref="D564:E564"/>
    <mergeCell ref="D565:Q565"/>
    <mergeCell ref="D576:E576"/>
    <mergeCell ref="D577:E577"/>
    <mergeCell ref="D578:E578"/>
    <mergeCell ref="D579:E579"/>
    <mergeCell ref="D580:E580"/>
    <mergeCell ref="D571:E571"/>
    <mergeCell ref="D572:Q572"/>
    <mergeCell ref="D573:E573"/>
    <mergeCell ref="D574:E574"/>
    <mergeCell ref="D575:E575"/>
    <mergeCell ref="D586:E586"/>
    <mergeCell ref="D587:E587"/>
    <mergeCell ref="D588:E588"/>
    <mergeCell ref="D589:E589"/>
    <mergeCell ref="D590:E590"/>
    <mergeCell ref="D581:E581"/>
    <mergeCell ref="D582:E582"/>
    <mergeCell ref="D583:E583"/>
    <mergeCell ref="D584:E584"/>
    <mergeCell ref="D585:E585"/>
    <mergeCell ref="D596:E596"/>
    <mergeCell ref="D597:Q597"/>
    <mergeCell ref="D598:E598"/>
    <mergeCell ref="D599:Q599"/>
    <mergeCell ref="D600:E600"/>
    <mergeCell ref="D591:Q591"/>
    <mergeCell ref="D592:E592"/>
    <mergeCell ref="D593:Q593"/>
    <mergeCell ref="D594:E594"/>
    <mergeCell ref="D595:E595"/>
    <mergeCell ref="D606:E606"/>
    <mergeCell ref="D607:Q607"/>
    <mergeCell ref="D608:E608"/>
    <mergeCell ref="D609:E609"/>
    <mergeCell ref="D610:Q610"/>
    <mergeCell ref="D601:Q601"/>
    <mergeCell ref="D602:E602"/>
    <mergeCell ref="D603:Q603"/>
    <mergeCell ref="D604:E604"/>
    <mergeCell ref="D605:Q605"/>
    <mergeCell ref="D616:Q616"/>
    <mergeCell ref="D617:E617"/>
    <mergeCell ref="D618:Q618"/>
    <mergeCell ref="D619:E619"/>
    <mergeCell ref="D620:E620"/>
    <mergeCell ref="D611:E611"/>
    <mergeCell ref="D612:Q612"/>
    <mergeCell ref="D613:E613"/>
    <mergeCell ref="D614:Q614"/>
    <mergeCell ref="D615:E615"/>
    <mergeCell ref="D626:E626"/>
    <mergeCell ref="D627:Q627"/>
    <mergeCell ref="D628:E628"/>
    <mergeCell ref="D629:Q629"/>
    <mergeCell ref="D630:E630"/>
    <mergeCell ref="D621:Q621"/>
    <mergeCell ref="D622:E622"/>
    <mergeCell ref="D623:Q623"/>
    <mergeCell ref="D624:E624"/>
    <mergeCell ref="D625:Q625"/>
    <mergeCell ref="D636:E636"/>
    <mergeCell ref="D637:E637"/>
    <mergeCell ref="D638:Q638"/>
    <mergeCell ref="D639:E639"/>
    <mergeCell ref="D640:E640"/>
    <mergeCell ref="D631:Q631"/>
    <mergeCell ref="D632:E632"/>
    <mergeCell ref="D633:Q633"/>
    <mergeCell ref="D634:E634"/>
    <mergeCell ref="D635:Q635"/>
    <mergeCell ref="D646:E646"/>
    <mergeCell ref="D647:E647"/>
    <mergeCell ref="D648:Q648"/>
    <mergeCell ref="J649:K649"/>
    <mergeCell ref="A651:Q651"/>
    <mergeCell ref="D641:E641"/>
    <mergeCell ref="D642:E642"/>
    <mergeCell ref="D643:E643"/>
    <mergeCell ref="D644:E644"/>
    <mergeCell ref="D645:Q645"/>
  </mergeCells>
  <printOptions horizontalCentered="1" verticalCentered="1"/>
  <pageMargins left="0.19685039370078741" right="0.19685039370078741" top="0.39370078740157483" bottom="0.39370078740157483" header="0" footer="0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workbookViewId="0">
      <pane ySplit="11" topLeftCell="A12" activePane="bottomLeft" state="frozen"/>
      <selection pane="bottomLeft" activeCell="F8" sqref="F8:F9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27.85546875" customWidth="1"/>
    <col min="7" max="7" width="37.140625" customWidth="1"/>
    <col min="8" max="9" width="0" hidden="1" customWidth="1"/>
  </cols>
  <sheetData>
    <row r="1" spans="1:9" ht="54.75" customHeight="1" x14ac:dyDescent="0.25">
      <c r="A1" s="118" t="s">
        <v>1395</v>
      </c>
      <c r="B1" s="118"/>
      <c r="C1" s="118"/>
      <c r="D1" s="118"/>
      <c r="E1" s="118"/>
      <c r="F1" s="118"/>
      <c r="G1" s="118"/>
    </row>
    <row r="2" spans="1:9" x14ac:dyDescent="0.25">
      <c r="A2" s="119" t="s">
        <v>1</v>
      </c>
      <c r="B2" s="111"/>
      <c r="C2" s="123" t="str">
        <f>'Stavební rozpočet'!D2</f>
        <v>Stavební úpravy areálu TS Stochov</v>
      </c>
      <c r="D2" s="111" t="s">
        <v>1473</v>
      </c>
      <c r="E2" s="192" t="s">
        <v>3</v>
      </c>
      <c r="F2" s="110" t="s">
        <v>4</v>
      </c>
      <c r="G2" s="126" t="str">
        <f>'Stavební rozpočet'!J2</f>
        <v>Město Stochov</v>
      </c>
    </row>
    <row r="3" spans="1:9" ht="15" customHeight="1" x14ac:dyDescent="0.25">
      <c r="A3" s="120"/>
      <c r="B3" s="90"/>
      <c r="C3" s="125"/>
      <c r="D3" s="90"/>
      <c r="E3" s="187"/>
      <c r="F3" s="90"/>
      <c r="G3" s="113"/>
    </row>
    <row r="4" spans="1:9" x14ac:dyDescent="0.25">
      <c r="A4" s="121" t="s">
        <v>6</v>
      </c>
      <c r="B4" s="90"/>
      <c r="C4" s="89" t="str">
        <f>'Stavební rozpočet'!D4</f>
        <v>Stavební úpravy šatnového a sociálního zázemí areálu TS Stochov</v>
      </c>
      <c r="D4" s="90" t="s">
        <v>8</v>
      </c>
      <c r="E4" s="90" t="s">
        <v>3</v>
      </c>
      <c r="F4" s="89" t="s">
        <v>9</v>
      </c>
      <c r="G4" s="127" t="str">
        <f>'Stavební rozpočet'!J4</f>
        <v>ARIPROS s.r.o.</v>
      </c>
    </row>
    <row r="5" spans="1:9" ht="15" customHeight="1" x14ac:dyDescent="0.25">
      <c r="A5" s="120"/>
      <c r="B5" s="90"/>
      <c r="C5" s="90"/>
      <c r="D5" s="90"/>
      <c r="E5" s="90"/>
      <c r="F5" s="90"/>
      <c r="G5" s="113"/>
    </row>
    <row r="6" spans="1:9" x14ac:dyDescent="0.25">
      <c r="A6" s="121" t="s">
        <v>11</v>
      </c>
      <c r="B6" s="90"/>
      <c r="C6" s="89" t="str">
        <f>'Stavební rozpočet'!D6</f>
        <v>Honické náměstí 163, 272 03 Stochov</v>
      </c>
      <c r="D6" s="90" t="s">
        <v>13</v>
      </c>
      <c r="E6" s="90" t="s">
        <v>3</v>
      </c>
      <c r="F6" s="89" t="s">
        <v>1476</v>
      </c>
      <c r="G6" s="194" t="str">
        <f>'Stavební rozpočet'!J6</f>
        <v>Dle výběrového řízení</v>
      </c>
    </row>
    <row r="7" spans="1:9" ht="15" customHeight="1" x14ac:dyDescent="0.25">
      <c r="A7" s="120"/>
      <c r="B7" s="90"/>
      <c r="C7" s="90"/>
      <c r="D7" s="90"/>
      <c r="E7" s="90"/>
      <c r="F7" s="90"/>
      <c r="G7" s="190"/>
    </row>
    <row r="8" spans="1:9" x14ac:dyDescent="0.25">
      <c r="A8" s="121" t="s">
        <v>19</v>
      </c>
      <c r="B8" s="90"/>
      <c r="C8" s="189"/>
      <c r="D8" s="90" t="s">
        <v>18</v>
      </c>
      <c r="E8" s="187"/>
      <c r="F8" s="90"/>
      <c r="G8" s="127"/>
    </row>
    <row r="9" spans="1:9" x14ac:dyDescent="0.25">
      <c r="A9" s="122"/>
      <c r="B9" s="114"/>
      <c r="C9" s="188"/>
      <c r="D9" s="114"/>
      <c r="E9" s="188"/>
      <c r="F9" s="114"/>
      <c r="G9" s="115"/>
    </row>
    <row r="10" spans="1:9" x14ac:dyDescent="0.25">
      <c r="A10" s="51" t="s">
        <v>21</v>
      </c>
      <c r="B10" s="52" t="s">
        <v>22</v>
      </c>
      <c r="C10" s="53" t="s">
        <v>1396</v>
      </c>
      <c r="D10" s="54" t="s">
        <v>1397</v>
      </c>
      <c r="E10" s="54" t="s">
        <v>1398</v>
      </c>
      <c r="F10" s="54" t="s">
        <v>1399</v>
      </c>
      <c r="G10" s="55" t="s">
        <v>1400</v>
      </c>
    </row>
    <row r="11" spans="1:9" x14ac:dyDescent="0.25">
      <c r="A11" s="56" t="s">
        <v>55</v>
      </c>
      <c r="B11" s="57" t="s">
        <v>56</v>
      </c>
      <c r="C11" s="57" t="s">
        <v>57</v>
      </c>
      <c r="D11" s="58">
        <f>ROUND('Stavební rozpočet'!J12,2)</f>
        <v>0</v>
      </c>
      <c r="E11" s="58">
        <f>ROUND('Stavební rozpočet'!K12,2)</f>
        <v>0</v>
      </c>
      <c r="F11" s="58">
        <f>ROUND('Stavební rozpočet'!L12,2)</f>
        <v>0</v>
      </c>
      <c r="G11" s="59">
        <f>'Stavební rozpočet'!P12</f>
        <v>0</v>
      </c>
      <c r="H11" s="60" t="s">
        <v>1401</v>
      </c>
      <c r="I11" s="32">
        <f t="shared" ref="I11:I42" si="0">IF(H11="F",0,F11)</f>
        <v>0</v>
      </c>
    </row>
    <row r="12" spans="1:9" x14ac:dyDescent="0.25">
      <c r="A12" s="2" t="s">
        <v>55</v>
      </c>
      <c r="B12" s="3" t="s">
        <v>71</v>
      </c>
      <c r="C12" s="3" t="s">
        <v>72</v>
      </c>
      <c r="D12" s="32">
        <f>ROUND('Stavební rozpočet'!J16,2)</f>
        <v>0</v>
      </c>
      <c r="E12" s="32">
        <f>ROUND('Stavební rozpočet'!K16,2)</f>
        <v>0</v>
      </c>
      <c r="F12" s="32">
        <f>ROUND('Stavební rozpočet'!L16,2)</f>
        <v>0</v>
      </c>
      <c r="G12" s="61">
        <f>'Stavební rozpočet'!P16</f>
        <v>9.7745789999999992</v>
      </c>
      <c r="H12" s="60" t="s">
        <v>1401</v>
      </c>
      <c r="I12" s="32">
        <f t="shared" si="0"/>
        <v>0</v>
      </c>
    </row>
    <row r="13" spans="1:9" x14ac:dyDescent="0.25">
      <c r="A13" s="2" t="s">
        <v>55</v>
      </c>
      <c r="B13" s="3" t="s">
        <v>99</v>
      </c>
      <c r="C13" s="3" t="s">
        <v>100</v>
      </c>
      <c r="D13" s="32">
        <f>ROUND('Stavební rozpočet'!J26,2)</f>
        <v>0</v>
      </c>
      <c r="E13" s="32">
        <f>ROUND('Stavební rozpočet'!K26,2)</f>
        <v>0</v>
      </c>
      <c r="F13" s="32">
        <f>ROUND('Stavební rozpočet'!L26,2)</f>
        <v>0</v>
      </c>
      <c r="G13" s="61">
        <f>'Stavební rozpočet'!P26</f>
        <v>1.7498508200000003</v>
      </c>
      <c r="H13" s="60" t="s">
        <v>1401</v>
      </c>
      <c r="I13" s="32">
        <f t="shared" si="0"/>
        <v>0</v>
      </c>
    </row>
    <row r="14" spans="1:9" x14ac:dyDescent="0.25">
      <c r="A14" s="2" t="s">
        <v>55</v>
      </c>
      <c r="B14" s="3" t="s">
        <v>131</v>
      </c>
      <c r="C14" s="3" t="s">
        <v>132</v>
      </c>
      <c r="D14" s="32">
        <f>ROUND('Stavební rozpočet'!J39,2)</f>
        <v>0</v>
      </c>
      <c r="E14" s="32">
        <f>ROUND('Stavební rozpočet'!K39,2)</f>
        <v>0</v>
      </c>
      <c r="F14" s="32">
        <f>ROUND('Stavební rozpočet'!L39,2)</f>
        <v>0</v>
      </c>
      <c r="G14" s="61">
        <f>'Stavební rozpočet'!P39</f>
        <v>13.147407600000001</v>
      </c>
      <c r="H14" s="60" t="s">
        <v>1401</v>
      </c>
      <c r="I14" s="32">
        <f t="shared" si="0"/>
        <v>0</v>
      </c>
    </row>
    <row r="15" spans="1:9" x14ac:dyDescent="0.25">
      <c r="A15" s="2" t="s">
        <v>55</v>
      </c>
      <c r="B15" s="3" t="s">
        <v>158</v>
      </c>
      <c r="C15" s="3" t="s">
        <v>159</v>
      </c>
      <c r="D15" s="32">
        <f>ROUND('Stavební rozpočet'!J49,2)</f>
        <v>0</v>
      </c>
      <c r="E15" s="32">
        <f>ROUND('Stavební rozpočet'!K49,2)</f>
        <v>0</v>
      </c>
      <c r="F15" s="32">
        <f>ROUND('Stavební rozpočet'!L49,2)</f>
        <v>0</v>
      </c>
      <c r="G15" s="61">
        <f>'Stavební rozpočet'!P49</f>
        <v>3.4813478</v>
      </c>
      <c r="H15" s="60" t="s">
        <v>1401</v>
      </c>
      <c r="I15" s="32">
        <f t="shared" si="0"/>
        <v>0</v>
      </c>
    </row>
    <row r="16" spans="1:9" x14ac:dyDescent="0.25">
      <c r="A16" s="2" t="s">
        <v>55</v>
      </c>
      <c r="B16" s="3" t="s">
        <v>183</v>
      </c>
      <c r="C16" s="3" t="s">
        <v>184</v>
      </c>
      <c r="D16" s="32">
        <f>ROUND('Stavební rozpočet'!J59,2)</f>
        <v>0</v>
      </c>
      <c r="E16" s="32">
        <f>ROUND('Stavební rozpočet'!K59,2)</f>
        <v>0</v>
      </c>
      <c r="F16" s="32">
        <f>ROUND('Stavební rozpočet'!L59,2)</f>
        <v>0</v>
      </c>
      <c r="G16" s="61">
        <f>'Stavební rozpočet'!P59</f>
        <v>2.5300707999999998</v>
      </c>
      <c r="H16" s="60" t="s">
        <v>1401</v>
      </c>
      <c r="I16" s="32">
        <f t="shared" si="0"/>
        <v>0</v>
      </c>
    </row>
    <row r="17" spans="1:9" x14ac:dyDescent="0.25">
      <c r="A17" s="2" t="s">
        <v>55</v>
      </c>
      <c r="B17" s="3" t="s">
        <v>202</v>
      </c>
      <c r="C17" s="3" t="s">
        <v>203</v>
      </c>
      <c r="D17" s="32">
        <f>ROUND('Stavební rozpočet'!J68,2)</f>
        <v>0</v>
      </c>
      <c r="E17" s="32">
        <f>ROUND('Stavební rozpočet'!K68,2)</f>
        <v>0</v>
      </c>
      <c r="F17" s="32">
        <f>ROUND('Stavební rozpočet'!L68,2)</f>
        <v>0</v>
      </c>
      <c r="G17" s="61">
        <f>'Stavební rozpočet'!P68</f>
        <v>38.104202839999999</v>
      </c>
      <c r="H17" s="60" t="s">
        <v>1401</v>
      </c>
      <c r="I17" s="32">
        <f t="shared" si="0"/>
        <v>0</v>
      </c>
    </row>
    <row r="18" spans="1:9" x14ac:dyDescent="0.25">
      <c r="A18" s="2" t="s">
        <v>55</v>
      </c>
      <c r="B18" s="3" t="s">
        <v>232</v>
      </c>
      <c r="C18" s="3" t="s">
        <v>233</v>
      </c>
      <c r="D18" s="32">
        <f>ROUND('Stavební rozpočet'!J81,2)</f>
        <v>0</v>
      </c>
      <c r="E18" s="32">
        <f>ROUND('Stavební rozpočet'!K81,2)</f>
        <v>0</v>
      </c>
      <c r="F18" s="32">
        <f>ROUND('Stavební rozpočet'!L81,2)</f>
        <v>0</v>
      </c>
      <c r="G18" s="61">
        <f>'Stavební rozpočet'!P81</f>
        <v>0.92201200000000005</v>
      </c>
      <c r="H18" s="60" t="s">
        <v>1401</v>
      </c>
      <c r="I18" s="32">
        <f t="shared" si="0"/>
        <v>0</v>
      </c>
    </row>
    <row r="19" spans="1:9" x14ac:dyDescent="0.25">
      <c r="A19" s="2" t="s">
        <v>55</v>
      </c>
      <c r="B19" s="3" t="s">
        <v>239</v>
      </c>
      <c r="C19" s="3" t="s">
        <v>240</v>
      </c>
      <c r="D19" s="32">
        <f>ROUND('Stavební rozpočet'!J84,2)</f>
        <v>0</v>
      </c>
      <c r="E19" s="32">
        <f>ROUND('Stavební rozpočet'!K84,2)</f>
        <v>0</v>
      </c>
      <c r="F19" s="32">
        <f>ROUND('Stavební rozpočet'!L84,2)</f>
        <v>0</v>
      </c>
      <c r="G19" s="61">
        <f>'Stavební rozpočet'!P84</f>
        <v>0.11118000000000001</v>
      </c>
      <c r="H19" s="60" t="s">
        <v>1401</v>
      </c>
      <c r="I19" s="32">
        <f t="shared" si="0"/>
        <v>0</v>
      </c>
    </row>
    <row r="20" spans="1:9" x14ac:dyDescent="0.25">
      <c r="A20" s="2" t="s">
        <v>55</v>
      </c>
      <c r="B20" s="3" t="s">
        <v>327</v>
      </c>
      <c r="C20" s="3" t="s">
        <v>328</v>
      </c>
      <c r="D20" s="32">
        <f>ROUND('Stavební rozpočet'!J129,2)</f>
        <v>0</v>
      </c>
      <c r="E20" s="32">
        <f>ROUND('Stavební rozpočet'!K129,2)</f>
        <v>0</v>
      </c>
      <c r="F20" s="32">
        <f>ROUND('Stavební rozpočet'!L129,2)</f>
        <v>0</v>
      </c>
      <c r="G20" s="61">
        <f>'Stavební rozpočet'!P129</f>
        <v>0.16852999999999993</v>
      </c>
      <c r="H20" s="60" t="s">
        <v>1401</v>
      </c>
      <c r="I20" s="32">
        <f t="shared" si="0"/>
        <v>0</v>
      </c>
    </row>
    <row r="21" spans="1:9" x14ac:dyDescent="0.25">
      <c r="A21" s="2" t="s">
        <v>55</v>
      </c>
      <c r="B21" s="3" t="s">
        <v>462</v>
      </c>
      <c r="C21" s="3" t="s">
        <v>463</v>
      </c>
      <c r="D21" s="32">
        <f>ROUND('Stavební rozpočet'!J212,2)</f>
        <v>0</v>
      </c>
      <c r="E21" s="32">
        <f>ROUND('Stavební rozpočet'!K212,2)</f>
        <v>0</v>
      </c>
      <c r="F21" s="32">
        <f>ROUND('Stavební rozpočet'!L212,2)</f>
        <v>0</v>
      </c>
      <c r="G21" s="61">
        <f>'Stavební rozpočet'!P212</f>
        <v>1.814E-2</v>
      </c>
      <c r="H21" s="60" t="s">
        <v>1401</v>
      </c>
      <c r="I21" s="32">
        <f t="shared" si="0"/>
        <v>0</v>
      </c>
    </row>
    <row r="22" spans="1:9" x14ac:dyDescent="0.25">
      <c r="A22" s="2" t="s">
        <v>55</v>
      </c>
      <c r="B22" s="3" t="s">
        <v>502</v>
      </c>
      <c r="C22" s="3" t="s">
        <v>503</v>
      </c>
      <c r="D22" s="32">
        <f>ROUND('Stavební rozpočet'!J228,2)</f>
        <v>0</v>
      </c>
      <c r="E22" s="32">
        <f>ROUND('Stavební rozpočet'!K228,2)</f>
        <v>0</v>
      </c>
      <c r="F22" s="32">
        <f>ROUND('Stavební rozpočet'!L228,2)</f>
        <v>0</v>
      </c>
      <c r="G22" s="61">
        <f>'Stavební rozpočet'!P228</f>
        <v>0.89314000000000016</v>
      </c>
      <c r="H22" s="60" t="s">
        <v>1401</v>
      </c>
      <c r="I22" s="32">
        <f t="shared" si="0"/>
        <v>0</v>
      </c>
    </row>
    <row r="23" spans="1:9" x14ac:dyDescent="0.25">
      <c r="A23" s="2" t="s">
        <v>55</v>
      </c>
      <c r="B23" s="3" t="s">
        <v>608</v>
      </c>
      <c r="C23" s="3" t="s">
        <v>609</v>
      </c>
      <c r="D23" s="32">
        <f>ROUND('Stavební rozpočet'!J273,2)</f>
        <v>0</v>
      </c>
      <c r="E23" s="32">
        <f>ROUND('Stavební rozpočet'!K273,2)</f>
        <v>0</v>
      </c>
      <c r="F23" s="32">
        <f>ROUND('Stavební rozpočet'!L273,2)</f>
        <v>0</v>
      </c>
      <c r="G23" s="61">
        <f>'Stavební rozpočet'!P273</f>
        <v>5.4219999999999997E-2</v>
      </c>
      <c r="H23" s="60" t="s">
        <v>1401</v>
      </c>
      <c r="I23" s="32">
        <f t="shared" si="0"/>
        <v>0</v>
      </c>
    </row>
    <row r="24" spans="1:9" x14ac:dyDescent="0.25">
      <c r="A24" s="2" t="s">
        <v>55</v>
      </c>
      <c r="B24" s="3" t="s">
        <v>658</v>
      </c>
      <c r="C24" s="3" t="s">
        <v>659</v>
      </c>
      <c r="D24" s="32">
        <f>ROUND('Stavební rozpočet'!J298,2)</f>
        <v>0</v>
      </c>
      <c r="E24" s="32">
        <f>ROUND('Stavební rozpočet'!K298,2)</f>
        <v>0</v>
      </c>
      <c r="F24" s="32">
        <f>ROUND('Stavební rozpočet'!L298,2)</f>
        <v>0</v>
      </c>
      <c r="G24" s="61">
        <f>'Stavební rozpočet'!P298</f>
        <v>1.2913399999999997</v>
      </c>
      <c r="H24" s="60" t="s">
        <v>1401</v>
      </c>
      <c r="I24" s="32">
        <f t="shared" si="0"/>
        <v>0</v>
      </c>
    </row>
    <row r="25" spans="1:9" x14ac:dyDescent="0.25">
      <c r="A25" s="2" t="s">
        <v>55</v>
      </c>
      <c r="B25" s="3" t="s">
        <v>707</v>
      </c>
      <c r="C25" s="3" t="s">
        <v>708</v>
      </c>
      <c r="D25" s="32">
        <f>ROUND('Stavební rozpočet'!J319,2)</f>
        <v>0</v>
      </c>
      <c r="E25" s="32">
        <f>ROUND('Stavební rozpočet'!K319,2)</f>
        <v>0</v>
      </c>
      <c r="F25" s="32">
        <f>ROUND('Stavební rozpočet'!L319,2)</f>
        <v>0</v>
      </c>
      <c r="G25" s="61">
        <f>'Stavební rozpočet'!P319</f>
        <v>8.8709999999999997E-2</v>
      </c>
      <c r="H25" s="60" t="s">
        <v>1401</v>
      </c>
      <c r="I25" s="32">
        <f t="shared" si="0"/>
        <v>0</v>
      </c>
    </row>
    <row r="26" spans="1:9" x14ac:dyDescent="0.25">
      <c r="A26" s="2" t="s">
        <v>55</v>
      </c>
      <c r="B26" s="3" t="s">
        <v>776</v>
      </c>
      <c r="C26" s="3" t="s">
        <v>777</v>
      </c>
      <c r="D26" s="32">
        <f>ROUND('Stavební rozpočet'!J361,2)</f>
        <v>0</v>
      </c>
      <c r="E26" s="32">
        <f>ROUND('Stavební rozpočet'!K361,2)</f>
        <v>0</v>
      </c>
      <c r="F26" s="32">
        <f>ROUND('Stavební rozpočet'!L361,2)</f>
        <v>0</v>
      </c>
      <c r="G26" s="61">
        <f>'Stavební rozpočet'!P361</f>
        <v>0.55181000000000002</v>
      </c>
      <c r="H26" s="60" t="s">
        <v>1401</v>
      </c>
      <c r="I26" s="32">
        <f t="shared" si="0"/>
        <v>0</v>
      </c>
    </row>
    <row r="27" spans="1:9" x14ac:dyDescent="0.25">
      <c r="A27" s="2" t="s">
        <v>55</v>
      </c>
      <c r="B27" s="3" t="s">
        <v>818</v>
      </c>
      <c r="C27" s="3" t="s">
        <v>819</v>
      </c>
      <c r="D27" s="32">
        <f>ROUND('Stavební rozpočet'!J377,2)</f>
        <v>0</v>
      </c>
      <c r="E27" s="32">
        <f>ROUND('Stavební rozpočet'!K377,2)</f>
        <v>0</v>
      </c>
      <c r="F27" s="32">
        <f>ROUND('Stavební rozpočet'!L377,2)</f>
        <v>0</v>
      </c>
      <c r="G27" s="61">
        <f>'Stavební rozpočet'!P377</f>
        <v>0.22467999999999999</v>
      </c>
      <c r="H27" s="60" t="s">
        <v>1401</v>
      </c>
      <c r="I27" s="32">
        <f t="shared" si="0"/>
        <v>0</v>
      </c>
    </row>
    <row r="28" spans="1:9" x14ac:dyDescent="0.25">
      <c r="A28" s="2" t="s">
        <v>55</v>
      </c>
      <c r="B28" s="3" t="s">
        <v>857</v>
      </c>
      <c r="C28" s="3" t="s">
        <v>858</v>
      </c>
      <c r="D28" s="32">
        <f>ROUND('Stavební rozpočet'!J396,2)</f>
        <v>0</v>
      </c>
      <c r="E28" s="32">
        <f>ROUND('Stavební rozpočet'!K396,2)</f>
        <v>0</v>
      </c>
      <c r="F28" s="32">
        <f>ROUND('Stavební rozpočet'!L396,2)</f>
        <v>0</v>
      </c>
      <c r="G28" s="61">
        <f>'Stavební rozpočet'!P396</f>
        <v>3.9367254599999999</v>
      </c>
      <c r="H28" s="60" t="s">
        <v>1401</v>
      </c>
      <c r="I28" s="32">
        <f t="shared" si="0"/>
        <v>0</v>
      </c>
    </row>
    <row r="29" spans="1:9" x14ac:dyDescent="0.25">
      <c r="A29" s="2" t="s">
        <v>55</v>
      </c>
      <c r="B29" s="3" t="s">
        <v>971</v>
      </c>
      <c r="C29" s="3" t="s">
        <v>972</v>
      </c>
      <c r="D29" s="32">
        <f>ROUND('Stavební rozpočet'!J448,2)</f>
        <v>0</v>
      </c>
      <c r="E29" s="32">
        <f>ROUND('Stavební rozpočet'!K448,2)</f>
        <v>0</v>
      </c>
      <c r="F29" s="32">
        <f>ROUND('Stavební rozpočet'!L448,2)</f>
        <v>0</v>
      </c>
      <c r="G29" s="61">
        <f>'Stavební rozpočet'!P448</f>
        <v>1.026942</v>
      </c>
      <c r="H29" s="60" t="s">
        <v>1401</v>
      </c>
      <c r="I29" s="32">
        <f t="shared" si="0"/>
        <v>0</v>
      </c>
    </row>
    <row r="30" spans="1:9" x14ac:dyDescent="0.25">
      <c r="A30" s="2" t="s">
        <v>55</v>
      </c>
      <c r="B30" s="3" t="s">
        <v>999</v>
      </c>
      <c r="C30" s="3" t="s">
        <v>1000</v>
      </c>
      <c r="D30" s="32">
        <f>ROUND('Stavební rozpočet'!J461,2)</f>
        <v>0</v>
      </c>
      <c r="E30" s="32">
        <f>ROUND('Stavební rozpočet'!K461,2)</f>
        <v>0</v>
      </c>
      <c r="F30" s="32">
        <f>ROUND('Stavební rozpočet'!L461,2)</f>
        <v>0</v>
      </c>
      <c r="G30" s="61">
        <f>'Stavební rozpočet'!P461</f>
        <v>8.6407499999999998E-2</v>
      </c>
      <c r="H30" s="60" t="s">
        <v>1401</v>
      </c>
      <c r="I30" s="32">
        <f t="shared" si="0"/>
        <v>0</v>
      </c>
    </row>
    <row r="31" spans="1:9" x14ac:dyDescent="0.25">
      <c r="A31" s="2" t="s">
        <v>55</v>
      </c>
      <c r="B31" s="3" t="s">
        <v>1010</v>
      </c>
      <c r="C31" s="3" t="s">
        <v>1011</v>
      </c>
      <c r="D31" s="32">
        <f>ROUND('Stavební rozpočet'!J466,2)</f>
        <v>0</v>
      </c>
      <c r="E31" s="32">
        <f>ROUND('Stavební rozpočet'!K466,2)</f>
        <v>0</v>
      </c>
      <c r="F31" s="32">
        <f>ROUND('Stavební rozpočet'!L466,2)</f>
        <v>0</v>
      </c>
      <c r="G31" s="61">
        <f>'Stavební rozpočet'!P466</f>
        <v>2.0117354999999999</v>
      </c>
      <c r="H31" s="60" t="s">
        <v>1401</v>
      </c>
      <c r="I31" s="32">
        <f t="shared" si="0"/>
        <v>0</v>
      </c>
    </row>
    <row r="32" spans="1:9" x14ac:dyDescent="0.25">
      <c r="A32" s="2" t="s">
        <v>55</v>
      </c>
      <c r="B32" s="3" t="s">
        <v>1032</v>
      </c>
      <c r="C32" s="3" t="s">
        <v>1033</v>
      </c>
      <c r="D32" s="32">
        <f>ROUND('Stavební rozpočet'!J475,2)</f>
        <v>0</v>
      </c>
      <c r="E32" s="32">
        <f>ROUND('Stavební rozpočet'!K475,2)</f>
        <v>0</v>
      </c>
      <c r="F32" s="32">
        <f>ROUND('Stavební rozpočet'!L475,2)</f>
        <v>0</v>
      </c>
      <c r="G32" s="61">
        <f>'Stavební rozpočet'!P475</f>
        <v>3.9509799999999998E-2</v>
      </c>
      <c r="H32" s="60" t="s">
        <v>1401</v>
      </c>
      <c r="I32" s="32">
        <f t="shared" si="0"/>
        <v>0</v>
      </c>
    </row>
    <row r="33" spans="1:9" x14ac:dyDescent="0.25">
      <c r="A33" s="2" t="s">
        <v>55</v>
      </c>
      <c r="B33" s="3" t="s">
        <v>394</v>
      </c>
      <c r="C33" s="3" t="s">
        <v>1042</v>
      </c>
      <c r="D33" s="32">
        <f>ROUND('Stavební rozpočet'!J479,2)</f>
        <v>0</v>
      </c>
      <c r="E33" s="32">
        <f>ROUND('Stavební rozpočet'!K479,2)</f>
        <v>0</v>
      </c>
      <c r="F33" s="32">
        <f>ROUND('Stavební rozpočet'!L479,2)</f>
        <v>0</v>
      </c>
      <c r="G33" s="61">
        <f>'Stavební rozpočet'!P479</f>
        <v>0</v>
      </c>
      <c r="H33" s="60" t="s">
        <v>1401</v>
      </c>
      <c r="I33" s="32">
        <f t="shared" si="0"/>
        <v>0</v>
      </c>
    </row>
    <row r="34" spans="1:9" x14ac:dyDescent="0.25">
      <c r="A34" s="2" t="s">
        <v>55</v>
      </c>
      <c r="B34" s="3" t="s">
        <v>405</v>
      </c>
      <c r="C34" s="3" t="s">
        <v>1050</v>
      </c>
      <c r="D34" s="32">
        <f>ROUND('Stavební rozpočet'!J482,2)</f>
        <v>0</v>
      </c>
      <c r="E34" s="32">
        <f>ROUND('Stavební rozpočet'!K482,2)</f>
        <v>0</v>
      </c>
      <c r="F34" s="32">
        <f>ROUND('Stavební rozpočet'!L482,2)</f>
        <v>0</v>
      </c>
      <c r="G34" s="61">
        <f>'Stavební rozpočet'!P482</f>
        <v>2.9321000000000002</v>
      </c>
      <c r="H34" s="60" t="s">
        <v>1401</v>
      </c>
      <c r="I34" s="32">
        <f t="shared" si="0"/>
        <v>0</v>
      </c>
    </row>
    <row r="35" spans="1:9" x14ac:dyDescent="0.25">
      <c r="A35" s="2" t="s">
        <v>55</v>
      </c>
      <c r="B35" s="3" t="s">
        <v>406</v>
      </c>
      <c r="C35" s="3" t="s">
        <v>1063</v>
      </c>
      <c r="D35" s="32">
        <f>ROUND('Stavební rozpočet'!J488,2)</f>
        <v>0</v>
      </c>
      <c r="E35" s="32">
        <f>ROUND('Stavební rozpočet'!K488,2)</f>
        <v>0</v>
      </c>
      <c r="F35" s="32">
        <f>ROUND('Stavební rozpočet'!L488,2)</f>
        <v>0</v>
      </c>
      <c r="G35" s="61">
        <f>'Stavební rozpočet'!P488</f>
        <v>2.6699767600000004</v>
      </c>
      <c r="H35" s="60" t="s">
        <v>1401</v>
      </c>
      <c r="I35" s="32">
        <f t="shared" si="0"/>
        <v>0</v>
      </c>
    </row>
    <row r="36" spans="1:9" x14ac:dyDescent="0.25">
      <c r="A36" s="2" t="s">
        <v>55</v>
      </c>
      <c r="B36" s="3" t="s">
        <v>409</v>
      </c>
      <c r="C36" s="3" t="s">
        <v>1118</v>
      </c>
      <c r="D36" s="32">
        <f>ROUND('Stavební rozpočet'!J518,2)</f>
        <v>0</v>
      </c>
      <c r="E36" s="32">
        <f>ROUND('Stavební rozpočet'!K518,2)</f>
        <v>0</v>
      </c>
      <c r="F36" s="32">
        <f>ROUND('Stavební rozpočet'!L518,2)</f>
        <v>0</v>
      </c>
      <c r="G36" s="61">
        <f>'Stavební rozpočet'!P518</f>
        <v>27.153940500000001</v>
      </c>
      <c r="H36" s="60" t="s">
        <v>1401</v>
      </c>
      <c r="I36" s="32">
        <f t="shared" si="0"/>
        <v>0</v>
      </c>
    </row>
    <row r="37" spans="1:9" x14ac:dyDescent="0.25">
      <c r="A37" s="2" t="s">
        <v>55</v>
      </c>
      <c r="B37" s="3" t="s">
        <v>1173</v>
      </c>
      <c r="C37" s="3" t="s">
        <v>1174</v>
      </c>
      <c r="D37" s="32">
        <f>ROUND('Stavební rozpočet'!J540,2)</f>
        <v>0</v>
      </c>
      <c r="E37" s="32">
        <f>ROUND('Stavební rozpočet'!K540,2)</f>
        <v>0</v>
      </c>
      <c r="F37" s="32">
        <f>ROUND('Stavební rozpočet'!L540,2)</f>
        <v>0</v>
      </c>
      <c r="G37" s="61">
        <f>'Stavební rozpočet'!P540</f>
        <v>0</v>
      </c>
      <c r="H37" s="60" t="s">
        <v>1401</v>
      </c>
      <c r="I37" s="32">
        <f t="shared" si="0"/>
        <v>0</v>
      </c>
    </row>
    <row r="38" spans="1:9" x14ac:dyDescent="0.25">
      <c r="A38" s="2" t="s">
        <v>55</v>
      </c>
      <c r="B38" s="3" t="s">
        <v>1179</v>
      </c>
      <c r="C38" s="3" t="s">
        <v>1180</v>
      </c>
      <c r="D38" s="32">
        <f>ROUND('Stavební rozpočet'!J542,2)</f>
        <v>0</v>
      </c>
      <c r="E38" s="32">
        <f>ROUND('Stavební rozpočet'!K542,2)</f>
        <v>0</v>
      </c>
      <c r="F38" s="32">
        <f>ROUND('Stavební rozpočet'!L542,2)</f>
        <v>0</v>
      </c>
      <c r="G38" s="61">
        <f>'Stavební rozpočet'!P542</f>
        <v>3.8799999999999994E-2</v>
      </c>
      <c r="H38" s="60" t="s">
        <v>1401</v>
      </c>
      <c r="I38" s="32">
        <f t="shared" si="0"/>
        <v>0</v>
      </c>
    </row>
    <row r="39" spans="1:9" x14ac:dyDescent="0.25">
      <c r="A39" s="2" t="s">
        <v>55</v>
      </c>
      <c r="B39" s="3" t="s">
        <v>1236</v>
      </c>
      <c r="C39" s="3" t="s">
        <v>1237</v>
      </c>
      <c r="D39" s="32">
        <f>ROUND('Stavební rozpočet'!J570,2)</f>
        <v>0</v>
      </c>
      <c r="E39" s="32">
        <f>ROUND('Stavební rozpočet'!K570,2)</f>
        <v>0</v>
      </c>
      <c r="F39" s="32">
        <f>ROUND('Stavební rozpočet'!L570,2)</f>
        <v>0</v>
      </c>
      <c r="G39" s="61">
        <f>'Stavební rozpočet'!P570</f>
        <v>1.3520000000000001E-2</v>
      </c>
      <c r="H39" s="60" t="s">
        <v>1401</v>
      </c>
      <c r="I39" s="32">
        <f t="shared" si="0"/>
        <v>0</v>
      </c>
    </row>
    <row r="40" spans="1:9" x14ac:dyDescent="0.25">
      <c r="A40" s="2" t="s">
        <v>55</v>
      </c>
      <c r="B40" s="3" t="s">
        <v>1277</v>
      </c>
      <c r="C40" s="3" t="s">
        <v>1278</v>
      </c>
      <c r="D40" s="32">
        <f>ROUND('Stavební rozpočet'!J589,2)</f>
        <v>0</v>
      </c>
      <c r="E40" s="32">
        <f>ROUND('Stavební rozpočet'!K589,2)</f>
        <v>0</v>
      </c>
      <c r="F40" s="32">
        <f>ROUND('Stavební rozpočet'!L589,2)</f>
        <v>0</v>
      </c>
      <c r="G40" s="61">
        <f>'Stavební rozpočet'!P589</f>
        <v>8.8699999999999994E-3</v>
      </c>
      <c r="H40" s="60" t="s">
        <v>1401</v>
      </c>
      <c r="I40" s="32">
        <f t="shared" si="0"/>
        <v>0</v>
      </c>
    </row>
    <row r="41" spans="1:9" x14ac:dyDescent="0.25">
      <c r="A41" s="2" t="s">
        <v>55</v>
      </c>
      <c r="B41" s="3" t="s">
        <v>1333</v>
      </c>
      <c r="C41" s="3" t="s">
        <v>1334</v>
      </c>
      <c r="D41" s="32">
        <f>ROUND('Stavební rozpočet'!J619,2)</f>
        <v>0</v>
      </c>
      <c r="E41" s="32">
        <f>ROUND('Stavební rozpočet'!K619,2)</f>
        <v>0</v>
      </c>
      <c r="F41" s="32">
        <f>ROUND('Stavební rozpočet'!L619,2)</f>
        <v>0</v>
      </c>
      <c r="G41" s="61">
        <f>'Stavební rozpočet'!P619</f>
        <v>0.14130000000000001</v>
      </c>
      <c r="H41" s="60" t="s">
        <v>1401</v>
      </c>
      <c r="I41" s="32">
        <f t="shared" si="0"/>
        <v>0</v>
      </c>
    </row>
    <row r="42" spans="1:9" x14ac:dyDescent="0.25">
      <c r="A42" s="62" t="s">
        <v>55</v>
      </c>
      <c r="B42" s="63" t="s">
        <v>1366</v>
      </c>
      <c r="C42" s="63" t="s">
        <v>1367</v>
      </c>
      <c r="D42" s="64">
        <f>ROUND('Stavební rozpočet'!J639,2)</f>
        <v>0</v>
      </c>
      <c r="E42" s="64">
        <f>ROUND('Stavební rozpočet'!K639,2)</f>
        <v>0</v>
      </c>
      <c r="F42" s="64">
        <f>ROUND('Stavební rozpočet'!L639,2)</f>
        <v>0</v>
      </c>
      <c r="G42" s="65">
        <f>'Stavební rozpočet'!P639</f>
        <v>0</v>
      </c>
      <c r="H42" s="60" t="s">
        <v>1401</v>
      </c>
      <c r="I42" s="32">
        <f t="shared" si="0"/>
        <v>0</v>
      </c>
    </row>
    <row r="43" spans="1:9" x14ac:dyDescent="0.25">
      <c r="E43" s="48" t="s">
        <v>1392</v>
      </c>
      <c r="F43" s="49">
        <f>ROUND(SUM(I11:I42),2)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rintOptions horizontalCentered="1" verticalCentered="1"/>
  <pageMargins left="0.39370078740157483" right="0.39370078740157483" top="0.59055118110236227" bottom="0.59055118110236227" header="0" footer="0"/>
  <pageSetup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E8" sqref="E8:E9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64" t="s">
        <v>1402</v>
      </c>
      <c r="B1" s="118"/>
      <c r="C1" s="118"/>
      <c r="D1" s="118"/>
      <c r="E1" s="118"/>
      <c r="F1" s="118"/>
      <c r="G1" s="118"/>
      <c r="H1" s="118"/>
      <c r="I1" s="118"/>
    </row>
    <row r="2" spans="1:9" x14ac:dyDescent="0.25">
      <c r="A2" s="119" t="s">
        <v>1</v>
      </c>
      <c r="B2" s="111"/>
      <c r="C2" s="123" t="str">
        <f>'Stavební rozpočet'!D2</f>
        <v>Stavební úpravy areálu TS Stochov</v>
      </c>
      <c r="D2" s="124"/>
      <c r="E2" s="110" t="s">
        <v>4</v>
      </c>
      <c r="F2" s="110" t="str">
        <f>'Stavební rozpočet'!J2</f>
        <v>Město Stochov</v>
      </c>
      <c r="G2" s="111"/>
      <c r="H2" s="110" t="s">
        <v>1403</v>
      </c>
      <c r="I2" s="112" t="s">
        <v>1404</v>
      </c>
    </row>
    <row r="3" spans="1:9" ht="15" customHeight="1" x14ac:dyDescent="0.25">
      <c r="A3" s="120"/>
      <c r="B3" s="90"/>
      <c r="C3" s="125"/>
      <c r="D3" s="125"/>
      <c r="E3" s="90"/>
      <c r="F3" s="90"/>
      <c r="G3" s="90"/>
      <c r="H3" s="90"/>
      <c r="I3" s="113"/>
    </row>
    <row r="4" spans="1:9" x14ac:dyDescent="0.25">
      <c r="A4" s="121" t="s">
        <v>6</v>
      </c>
      <c r="B4" s="90"/>
      <c r="C4" s="89" t="str">
        <f>'Stavební rozpočet'!D4</f>
        <v>Stavební úpravy šatnového a sociálního zázemí areálu TS Stochov</v>
      </c>
      <c r="D4" s="90"/>
      <c r="E4" s="89" t="s">
        <v>9</v>
      </c>
      <c r="F4" s="89" t="str">
        <f>'Stavební rozpočet'!J4</f>
        <v>ARIPROS s.r.o.</v>
      </c>
      <c r="G4" s="90"/>
      <c r="H4" s="89" t="s">
        <v>1403</v>
      </c>
      <c r="I4" s="113" t="s">
        <v>1405</v>
      </c>
    </row>
    <row r="5" spans="1:9" ht="15" customHeight="1" x14ac:dyDescent="0.25">
      <c r="A5" s="120"/>
      <c r="B5" s="90"/>
      <c r="C5" s="90"/>
      <c r="D5" s="90"/>
      <c r="E5" s="90"/>
      <c r="F5" s="90"/>
      <c r="G5" s="90"/>
      <c r="H5" s="90"/>
      <c r="I5" s="113"/>
    </row>
    <row r="6" spans="1:9" x14ac:dyDescent="0.25">
      <c r="A6" s="121" t="s">
        <v>11</v>
      </c>
      <c r="B6" s="90"/>
      <c r="C6" s="89" t="str">
        <f>'Stavební rozpočet'!D6</f>
        <v>Honické náměstí 163, 272 03 Stochov</v>
      </c>
      <c r="D6" s="90"/>
      <c r="E6" s="89" t="s">
        <v>1476</v>
      </c>
      <c r="F6" s="189" t="str">
        <f>'Stavební rozpočet'!J6</f>
        <v>Dle výběrového řízení</v>
      </c>
      <c r="G6" s="187"/>
      <c r="H6" s="89" t="s">
        <v>1403</v>
      </c>
      <c r="I6" s="190" t="s">
        <v>55</v>
      </c>
    </row>
    <row r="7" spans="1:9" ht="15" customHeight="1" x14ac:dyDescent="0.25">
      <c r="A7" s="120"/>
      <c r="B7" s="90"/>
      <c r="C7" s="90"/>
      <c r="D7" s="90"/>
      <c r="E7" s="90"/>
      <c r="F7" s="187"/>
      <c r="G7" s="187"/>
      <c r="H7" s="90"/>
      <c r="I7" s="190"/>
    </row>
    <row r="8" spans="1:9" x14ac:dyDescent="0.25">
      <c r="A8" s="121" t="s">
        <v>1473</v>
      </c>
      <c r="B8" s="90"/>
      <c r="C8" s="189"/>
      <c r="D8" s="187"/>
      <c r="E8" s="89" t="s">
        <v>18</v>
      </c>
      <c r="F8" s="195"/>
      <c r="G8" s="187"/>
      <c r="H8" s="90" t="s">
        <v>1406</v>
      </c>
      <c r="I8" s="165">
        <v>390</v>
      </c>
    </row>
    <row r="9" spans="1:9" x14ac:dyDescent="0.25">
      <c r="A9" s="120"/>
      <c r="B9" s="90"/>
      <c r="C9" s="187"/>
      <c r="D9" s="187"/>
      <c r="E9" s="90"/>
      <c r="F9" s="187"/>
      <c r="G9" s="187"/>
      <c r="H9" s="90"/>
      <c r="I9" s="113"/>
    </row>
    <row r="10" spans="1:9" x14ac:dyDescent="0.25">
      <c r="A10" s="121" t="s">
        <v>16</v>
      </c>
      <c r="B10" s="90"/>
      <c r="C10" s="89" t="str">
        <f>'Stavební rozpočet'!D8</f>
        <v>80129</v>
      </c>
      <c r="D10" s="90"/>
      <c r="E10" s="89" t="s">
        <v>19</v>
      </c>
      <c r="F10" s="189"/>
      <c r="G10" s="187"/>
      <c r="H10" s="90"/>
      <c r="I10" s="196"/>
    </row>
    <row r="11" spans="1:9" x14ac:dyDescent="0.25">
      <c r="A11" s="163"/>
      <c r="B11" s="162"/>
      <c r="C11" s="162"/>
      <c r="D11" s="162"/>
      <c r="E11" s="162"/>
      <c r="F11" s="193"/>
      <c r="G11" s="193"/>
      <c r="H11" s="162"/>
      <c r="I11" s="197"/>
    </row>
    <row r="12" spans="1:9" ht="25.5" customHeight="1" x14ac:dyDescent="0.25">
      <c r="A12" s="159" t="s">
        <v>1408</v>
      </c>
      <c r="B12" s="159"/>
      <c r="C12" s="159"/>
      <c r="D12" s="159"/>
      <c r="E12" s="159"/>
      <c r="F12" s="159"/>
      <c r="G12" s="159"/>
      <c r="H12" s="159"/>
      <c r="I12" s="159"/>
    </row>
    <row r="13" spans="1:9" ht="26.25" customHeight="1" x14ac:dyDescent="0.25">
      <c r="A13" s="86" t="s">
        <v>1409</v>
      </c>
      <c r="B13" s="160" t="s">
        <v>1410</v>
      </c>
      <c r="C13" s="161"/>
      <c r="D13" s="87" t="s">
        <v>1411</v>
      </c>
      <c r="E13" s="160" t="s">
        <v>1412</v>
      </c>
      <c r="F13" s="161"/>
      <c r="G13" s="87" t="s">
        <v>1413</v>
      </c>
      <c r="H13" s="160" t="s">
        <v>1414</v>
      </c>
      <c r="I13" s="161"/>
    </row>
    <row r="14" spans="1:9" x14ac:dyDescent="0.25">
      <c r="A14" s="74" t="s">
        <v>1415</v>
      </c>
      <c r="B14" s="75" t="s">
        <v>1416</v>
      </c>
      <c r="C14" s="76">
        <f>SUM('Stavební rozpočet'!AB12:AB1299)</f>
        <v>0</v>
      </c>
      <c r="D14" s="148" t="s">
        <v>1417</v>
      </c>
      <c r="E14" s="149"/>
      <c r="F14" s="76">
        <f>VORN!I15</f>
        <v>0</v>
      </c>
      <c r="G14" s="148" t="s">
        <v>1418</v>
      </c>
      <c r="H14" s="149"/>
      <c r="I14" s="198">
        <v>0</v>
      </c>
    </row>
    <row r="15" spans="1:9" x14ac:dyDescent="0.25">
      <c r="A15" s="77" t="s">
        <v>55</v>
      </c>
      <c r="B15" s="75" t="s">
        <v>38</v>
      </c>
      <c r="C15" s="76">
        <f>SUM('Stavební rozpočet'!AC12:AC1299)</f>
        <v>0</v>
      </c>
      <c r="D15" s="148" t="s">
        <v>1419</v>
      </c>
      <c r="E15" s="149"/>
      <c r="F15" s="76">
        <f>VORN!I16</f>
        <v>0</v>
      </c>
      <c r="G15" s="148" t="s">
        <v>1420</v>
      </c>
      <c r="H15" s="149"/>
      <c r="I15" s="198">
        <v>0</v>
      </c>
    </row>
    <row r="16" spans="1:9" x14ac:dyDescent="0.25">
      <c r="A16" s="74" t="s">
        <v>1421</v>
      </c>
      <c r="B16" s="75" t="s">
        <v>1416</v>
      </c>
      <c r="C16" s="76">
        <f>SUM('Stavební rozpočet'!AD12:AD1299)</f>
        <v>0</v>
      </c>
      <c r="D16" s="148" t="s">
        <v>1422</v>
      </c>
      <c r="E16" s="149"/>
      <c r="F16" s="76">
        <f>VORN!I17</f>
        <v>0</v>
      </c>
      <c r="G16" s="148" t="s">
        <v>1423</v>
      </c>
      <c r="H16" s="149"/>
      <c r="I16" s="198">
        <f>VORN!I23</f>
        <v>0</v>
      </c>
    </row>
    <row r="17" spans="1:9" x14ac:dyDescent="0.25">
      <c r="A17" s="77" t="s">
        <v>55</v>
      </c>
      <c r="B17" s="75" t="s">
        <v>38</v>
      </c>
      <c r="C17" s="76">
        <f>SUM('Stavební rozpočet'!AE12:AE1299)</f>
        <v>0</v>
      </c>
      <c r="D17" s="148" t="s">
        <v>55</v>
      </c>
      <c r="E17" s="149"/>
      <c r="F17" s="78" t="s">
        <v>55</v>
      </c>
      <c r="G17" s="148" t="s">
        <v>1424</v>
      </c>
      <c r="H17" s="149"/>
      <c r="I17" s="198">
        <f>VORN!I24</f>
        <v>0</v>
      </c>
    </row>
    <row r="18" spans="1:9" x14ac:dyDescent="0.25">
      <c r="A18" s="74" t="s">
        <v>1425</v>
      </c>
      <c r="B18" s="75" t="s">
        <v>1416</v>
      </c>
      <c r="C18" s="76">
        <f>SUM('Stavební rozpočet'!AF12:AF1299)</f>
        <v>0</v>
      </c>
      <c r="D18" s="148" t="s">
        <v>55</v>
      </c>
      <c r="E18" s="149"/>
      <c r="F18" s="78" t="s">
        <v>55</v>
      </c>
      <c r="G18" s="148" t="s">
        <v>1426</v>
      </c>
      <c r="H18" s="149"/>
      <c r="I18" s="198">
        <v>0</v>
      </c>
    </row>
    <row r="19" spans="1:9" x14ac:dyDescent="0.25">
      <c r="A19" s="77" t="s">
        <v>55</v>
      </c>
      <c r="B19" s="75" t="s">
        <v>38</v>
      </c>
      <c r="C19" s="76">
        <f>SUM('Stavební rozpočet'!AG12:AG1299)</f>
        <v>0</v>
      </c>
      <c r="D19" s="148" t="s">
        <v>55</v>
      </c>
      <c r="E19" s="149"/>
      <c r="F19" s="78" t="s">
        <v>55</v>
      </c>
      <c r="G19" s="148" t="s">
        <v>1427</v>
      </c>
      <c r="H19" s="149"/>
      <c r="I19" s="198">
        <f>VORN!I26</f>
        <v>0</v>
      </c>
    </row>
    <row r="20" spans="1:9" x14ac:dyDescent="0.25">
      <c r="A20" s="140" t="s">
        <v>1428</v>
      </c>
      <c r="B20" s="141"/>
      <c r="C20" s="76">
        <f>SUM('Stavební rozpočet'!AH12:AH1299)</f>
        <v>0</v>
      </c>
      <c r="D20" s="148" t="s">
        <v>55</v>
      </c>
      <c r="E20" s="149"/>
      <c r="F20" s="78" t="s">
        <v>55</v>
      </c>
      <c r="G20" s="148" t="s">
        <v>55</v>
      </c>
      <c r="H20" s="149"/>
      <c r="I20" s="78" t="s">
        <v>55</v>
      </c>
    </row>
    <row r="21" spans="1:9" x14ac:dyDescent="0.25">
      <c r="A21" s="155" t="s">
        <v>1429</v>
      </c>
      <c r="B21" s="156"/>
      <c r="C21" s="79">
        <f>SUM('Stavební rozpočet'!Z12:Z1299)</f>
        <v>0</v>
      </c>
      <c r="D21" s="150" t="s">
        <v>55</v>
      </c>
      <c r="E21" s="151"/>
      <c r="F21" s="80" t="s">
        <v>55</v>
      </c>
      <c r="G21" s="150" t="s">
        <v>55</v>
      </c>
      <c r="H21" s="151"/>
      <c r="I21" s="80" t="s">
        <v>55</v>
      </c>
    </row>
    <row r="22" spans="1:9" ht="16.5" customHeight="1" x14ac:dyDescent="0.25">
      <c r="A22" s="157" t="s">
        <v>1430</v>
      </c>
      <c r="B22" s="153"/>
      <c r="C22" s="81">
        <f>ROUND(SUM(C14:C21),2)</f>
        <v>0</v>
      </c>
      <c r="D22" s="152" t="s">
        <v>1431</v>
      </c>
      <c r="E22" s="153"/>
      <c r="F22" s="81">
        <f>SUM(F14:F21)</f>
        <v>0</v>
      </c>
      <c r="G22" s="152" t="s">
        <v>1432</v>
      </c>
      <c r="H22" s="153"/>
      <c r="I22" s="81">
        <f>SUM(I14:I21)</f>
        <v>0</v>
      </c>
    </row>
    <row r="23" spans="1:9" x14ac:dyDescent="0.25">
      <c r="A23" s="82"/>
      <c r="B23" s="82"/>
      <c r="C23" s="82"/>
      <c r="D23" s="140" t="s">
        <v>1433</v>
      </c>
      <c r="E23" s="141"/>
      <c r="F23" s="88">
        <v>0</v>
      </c>
      <c r="G23" s="154" t="s">
        <v>1434</v>
      </c>
      <c r="H23" s="141"/>
      <c r="I23" s="76">
        <v>0</v>
      </c>
    </row>
    <row r="24" spans="1:9" x14ac:dyDescent="0.25">
      <c r="A24" s="82"/>
      <c r="B24" s="82"/>
      <c r="C24" s="82"/>
      <c r="D24" s="82"/>
      <c r="E24" s="82"/>
      <c r="F24" s="82"/>
      <c r="G24" s="140" t="s">
        <v>1435</v>
      </c>
      <c r="H24" s="141"/>
      <c r="I24" s="76">
        <f>vorn_sum</f>
        <v>0</v>
      </c>
    </row>
    <row r="25" spans="1:9" x14ac:dyDescent="0.25">
      <c r="A25" s="82"/>
      <c r="B25" s="82"/>
      <c r="C25" s="82"/>
      <c r="D25" s="82"/>
      <c r="E25" s="82"/>
      <c r="F25" s="82"/>
      <c r="G25" s="140" t="s">
        <v>1436</v>
      </c>
      <c r="H25" s="141"/>
      <c r="I25" s="76">
        <v>0</v>
      </c>
    </row>
    <row r="26" spans="1:9" ht="15" customHeight="1" x14ac:dyDescent="0.25">
      <c r="A26" s="82"/>
      <c r="B26" s="82"/>
      <c r="C26" s="82"/>
      <c r="D26" s="82"/>
      <c r="E26" s="82"/>
      <c r="F26" s="82"/>
      <c r="G26" s="82"/>
      <c r="H26" s="82"/>
      <c r="I26" s="82"/>
    </row>
    <row r="27" spans="1:9" x14ac:dyDescent="0.25">
      <c r="A27" s="142" t="s">
        <v>1437</v>
      </c>
      <c r="B27" s="143"/>
      <c r="C27" s="83">
        <f>ROUND(SUM('Stavební rozpočet'!AJ12:AJ1299),2)</f>
        <v>0</v>
      </c>
      <c r="D27" s="82"/>
      <c r="E27" s="82"/>
      <c r="F27" s="82"/>
      <c r="G27" s="82"/>
      <c r="H27" s="82"/>
      <c r="I27" s="82"/>
    </row>
    <row r="28" spans="1:9" x14ac:dyDescent="0.25">
      <c r="A28" s="144" t="s">
        <v>1438</v>
      </c>
      <c r="B28" s="145"/>
      <c r="C28" s="84">
        <f>ROUND(SUM('Stavební rozpočet'!AK12:AK1299),2)</f>
        <v>0</v>
      </c>
      <c r="D28" s="146" t="s">
        <v>1439</v>
      </c>
      <c r="E28" s="143"/>
      <c r="F28" s="83">
        <f>ROUND(C28*(12/100),2)</f>
        <v>0</v>
      </c>
      <c r="G28" s="146" t="s">
        <v>1440</v>
      </c>
      <c r="H28" s="143"/>
      <c r="I28" s="83">
        <f>ROUND(SUM(C27:C29),2)</f>
        <v>0</v>
      </c>
    </row>
    <row r="29" spans="1:9" x14ac:dyDescent="0.25">
      <c r="A29" s="144" t="s">
        <v>1441</v>
      </c>
      <c r="B29" s="145"/>
      <c r="C29" s="84">
        <f>ROUND(SUM('Stavební rozpočet'!AL12:AL1299)+(F22+I22+F23+I23+I24+I25),2)</f>
        <v>0</v>
      </c>
      <c r="D29" s="147" t="s">
        <v>1442</v>
      </c>
      <c r="E29" s="145"/>
      <c r="F29" s="84">
        <f>ROUND(C29*(21/100),2)</f>
        <v>0</v>
      </c>
      <c r="G29" s="147" t="s">
        <v>1443</v>
      </c>
      <c r="H29" s="145"/>
      <c r="I29" s="84">
        <f>ROUND(SUM(F28:F29)+I28,2)</f>
        <v>0</v>
      </c>
    </row>
    <row r="30" spans="1:9" ht="15" customHeight="1" x14ac:dyDescent="0.25">
      <c r="A30" s="82"/>
      <c r="B30" s="82"/>
      <c r="C30" s="82"/>
      <c r="D30" s="82"/>
      <c r="E30" s="82"/>
      <c r="F30" s="82"/>
      <c r="G30" s="82"/>
      <c r="H30" s="82"/>
      <c r="I30" s="82"/>
    </row>
    <row r="31" spans="1:9" x14ac:dyDescent="0.25">
      <c r="A31" s="137" t="s">
        <v>1444</v>
      </c>
      <c r="B31" s="130"/>
      <c r="C31" s="131"/>
      <c r="D31" s="129" t="s">
        <v>1445</v>
      </c>
      <c r="E31" s="130"/>
      <c r="F31" s="131"/>
      <c r="G31" s="129" t="s">
        <v>1446</v>
      </c>
      <c r="H31" s="130"/>
      <c r="I31" s="131"/>
    </row>
    <row r="32" spans="1:9" x14ac:dyDescent="0.25">
      <c r="A32" s="138" t="s">
        <v>55</v>
      </c>
      <c r="B32" s="128"/>
      <c r="C32" s="133"/>
      <c r="D32" s="132" t="s">
        <v>55</v>
      </c>
      <c r="E32" s="128"/>
      <c r="F32" s="133"/>
      <c r="G32" s="132" t="s">
        <v>55</v>
      </c>
      <c r="H32" s="128"/>
      <c r="I32" s="133"/>
    </row>
    <row r="33" spans="1:9" x14ac:dyDescent="0.25">
      <c r="A33" s="138" t="s">
        <v>55</v>
      </c>
      <c r="B33" s="128"/>
      <c r="C33" s="133"/>
      <c r="D33" s="132" t="s">
        <v>55</v>
      </c>
      <c r="E33" s="128"/>
      <c r="F33" s="133"/>
      <c r="G33" s="132" t="s">
        <v>55</v>
      </c>
      <c r="H33" s="128"/>
      <c r="I33" s="133"/>
    </row>
    <row r="34" spans="1:9" x14ac:dyDescent="0.25">
      <c r="A34" s="138" t="s">
        <v>55</v>
      </c>
      <c r="B34" s="128"/>
      <c r="C34" s="133"/>
      <c r="D34" s="132" t="s">
        <v>55</v>
      </c>
      <c r="E34" s="128"/>
      <c r="F34" s="133"/>
      <c r="G34" s="132" t="s">
        <v>55</v>
      </c>
      <c r="H34" s="128"/>
      <c r="I34" s="133"/>
    </row>
    <row r="35" spans="1:9" x14ac:dyDescent="0.25">
      <c r="A35" s="139" t="s">
        <v>1447</v>
      </c>
      <c r="B35" s="135"/>
      <c r="C35" s="136"/>
      <c r="D35" s="134" t="s">
        <v>1447</v>
      </c>
      <c r="E35" s="135"/>
      <c r="F35" s="136"/>
      <c r="G35" s="134" t="s">
        <v>1447</v>
      </c>
      <c r="H35" s="135"/>
      <c r="I35" s="136"/>
    </row>
    <row r="36" spans="1:9" x14ac:dyDescent="0.25">
      <c r="A36" s="85" t="s">
        <v>1393</v>
      </c>
      <c r="B36" s="82"/>
      <c r="C36" s="82"/>
      <c r="D36" s="82"/>
      <c r="E36" s="82"/>
      <c r="F36" s="82"/>
      <c r="G36" s="82"/>
      <c r="H36" s="82"/>
      <c r="I36" s="82"/>
    </row>
    <row r="37" spans="1:9" ht="40.5" customHeight="1" x14ac:dyDescent="0.25">
      <c r="A37" s="100" t="s">
        <v>1394</v>
      </c>
      <c r="B37" s="128"/>
      <c r="C37" s="128"/>
      <c r="D37" s="128"/>
      <c r="E37" s="128"/>
      <c r="F37" s="128"/>
      <c r="G37" s="128"/>
      <c r="H37" s="128"/>
      <c r="I37" s="128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rintOptions horizontalCentered="1" verticalCentered="1"/>
  <pageMargins left="0.39370078740157483" right="0.39370078740157483" top="0.59055118110236227" bottom="0.59055118110236227" header="0" footer="0"/>
  <pageSetup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85" t="s">
        <v>1448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119" t="s">
        <v>1</v>
      </c>
      <c r="B2" s="111"/>
      <c r="C2" s="123" t="str">
        <f>'Stavební rozpočet'!D2</f>
        <v>Stavební úpravy areálu TS Stochov</v>
      </c>
      <c r="D2" s="124"/>
      <c r="E2" s="110" t="s">
        <v>4</v>
      </c>
      <c r="F2" s="110" t="str">
        <f>'Stavební rozpočet'!J2</f>
        <v>Město Stochov</v>
      </c>
      <c r="G2" s="111"/>
      <c r="H2" s="110" t="s">
        <v>1403</v>
      </c>
      <c r="I2" s="112" t="s">
        <v>1404</v>
      </c>
    </row>
    <row r="3" spans="1:9" ht="15" customHeight="1" x14ac:dyDescent="0.25">
      <c r="A3" s="120"/>
      <c r="B3" s="90"/>
      <c r="C3" s="125"/>
      <c r="D3" s="125"/>
      <c r="E3" s="90"/>
      <c r="F3" s="90"/>
      <c r="G3" s="90"/>
      <c r="H3" s="90"/>
      <c r="I3" s="113"/>
    </row>
    <row r="4" spans="1:9" x14ac:dyDescent="0.25">
      <c r="A4" s="121" t="s">
        <v>6</v>
      </c>
      <c r="B4" s="90"/>
      <c r="C4" s="89" t="str">
        <f>'Stavební rozpočet'!D4</f>
        <v>Stavební úpravy šatnového a sociálního zázemí areálu TS Stochov</v>
      </c>
      <c r="D4" s="90"/>
      <c r="E4" s="89" t="s">
        <v>9</v>
      </c>
      <c r="F4" s="89" t="str">
        <f>'Stavební rozpočet'!J4</f>
        <v>ARIPROS s.r.o.</v>
      </c>
      <c r="G4" s="90"/>
      <c r="H4" s="89" t="s">
        <v>1403</v>
      </c>
      <c r="I4" s="113" t="s">
        <v>1405</v>
      </c>
    </row>
    <row r="5" spans="1:9" ht="15" customHeight="1" x14ac:dyDescent="0.25">
      <c r="A5" s="120"/>
      <c r="B5" s="90"/>
      <c r="C5" s="90"/>
      <c r="D5" s="90"/>
      <c r="E5" s="90"/>
      <c r="F5" s="90"/>
      <c r="G5" s="90"/>
      <c r="H5" s="90"/>
      <c r="I5" s="113"/>
    </row>
    <row r="6" spans="1:9" x14ac:dyDescent="0.25">
      <c r="A6" s="121" t="s">
        <v>11</v>
      </c>
      <c r="B6" s="90"/>
      <c r="C6" s="89" t="str">
        <f>'Stavební rozpočet'!D6</f>
        <v>Honické náměstí 163, 272 03 Stochov</v>
      </c>
      <c r="D6" s="90"/>
      <c r="E6" s="89" t="s">
        <v>14</v>
      </c>
      <c r="F6" s="89" t="str">
        <f>'Stavební rozpočet'!J6</f>
        <v>Dle výběrového řízení</v>
      </c>
      <c r="G6" s="90"/>
      <c r="H6" s="89" t="s">
        <v>1403</v>
      </c>
      <c r="I6" s="113" t="s">
        <v>55</v>
      </c>
    </row>
    <row r="7" spans="1:9" ht="15" customHeight="1" x14ac:dyDescent="0.25">
      <c r="A7" s="120"/>
      <c r="B7" s="90"/>
      <c r="C7" s="90"/>
      <c r="D7" s="90"/>
      <c r="E7" s="90"/>
      <c r="F7" s="90"/>
      <c r="G7" s="90"/>
      <c r="H7" s="90"/>
      <c r="I7" s="113"/>
    </row>
    <row r="8" spans="1:9" x14ac:dyDescent="0.25">
      <c r="A8" s="121" t="s">
        <v>8</v>
      </c>
      <c r="B8" s="90"/>
      <c r="C8" s="89" t="str">
        <f>'Stavební rozpočet'!H4</f>
        <v xml:space="preserve"> </v>
      </c>
      <c r="D8" s="90"/>
      <c r="E8" s="89" t="s">
        <v>13</v>
      </c>
      <c r="F8" s="89" t="str">
        <f>'Stavební rozpočet'!H6</f>
        <v xml:space="preserve"> </v>
      </c>
      <c r="G8" s="90"/>
      <c r="H8" s="90" t="s">
        <v>1406</v>
      </c>
      <c r="I8" s="165">
        <v>390</v>
      </c>
    </row>
    <row r="9" spans="1:9" x14ac:dyDescent="0.25">
      <c r="A9" s="120"/>
      <c r="B9" s="90"/>
      <c r="C9" s="90"/>
      <c r="D9" s="90"/>
      <c r="E9" s="90"/>
      <c r="F9" s="90"/>
      <c r="G9" s="90"/>
      <c r="H9" s="90"/>
      <c r="I9" s="113"/>
    </row>
    <row r="10" spans="1:9" x14ac:dyDescent="0.25">
      <c r="A10" s="121" t="s">
        <v>16</v>
      </c>
      <c r="B10" s="90"/>
      <c r="C10" s="89" t="str">
        <f>'Stavební rozpočet'!D8</f>
        <v>80129</v>
      </c>
      <c r="D10" s="90"/>
      <c r="E10" s="89" t="s">
        <v>19</v>
      </c>
      <c r="F10" s="89">
        <f>'Stavební rozpočet'!J8</f>
        <v>0</v>
      </c>
      <c r="G10" s="90"/>
      <c r="H10" s="90" t="s">
        <v>1407</v>
      </c>
      <c r="I10" s="127">
        <f>'Stavební rozpočet'!H8</f>
        <v>0</v>
      </c>
    </row>
    <row r="11" spans="1:9" x14ac:dyDescent="0.25">
      <c r="A11" s="163"/>
      <c r="B11" s="162"/>
      <c r="C11" s="162"/>
      <c r="D11" s="162"/>
      <c r="E11" s="162"/>
      <c r="F11" s="162"/>
      <c r="G11" s="162"/>
      <c r="H11" s="162"/>
      <c r="I11" s="158"/>
    </row>
    <row r="13" spans="1:9" ht="15.75" x14ac:dyDescent="0.25">
      <c r="A13" s="175" t="s">
        <v>1449</v>
      </c>
      <c r="B13" s="175"/>
      <c r="C13" s="175"/>
      <c r="D13" s="175"/>
      <c r="E13" s="175"/>
    </row>
    <row r="14" spans="1:9" x14ac:dyDescent="0.25">
      <c r="A14" s="176" t="s">
        <v>1450</v>
      </c>
      <c r="B14" s="177"/>
      <c r="C14" s="177"/>
      <c r="D14" s="177"/>
      <c r="E14" s="178"/>
      <c r="F14" s="66" t="s">
        <v>1451</v>
      </c>
      <c r="G14" s="66" t="s">
        <v>29</v>
      </c>
      <c r="H14" s="66" t="s">
        <v>1452</v>
      </c>
      <c r="I14" s="66" t="s">
        <v>1451</v>
      </c>
    </row>
    <row r="15" spans="1:9" x14ac:dyDescent="0.25">
      <c r="A15" s="182" t="s">
        <v>1417</v>
      </c>
      <c r="B15" s="183"/>
      <c r="C15" s="183"/>
      <c r="D15" s="183"/>
      <c r="E15" s="184"/>
      <c r="F15" s="67">
        <v>0</v>
      </c>
      <c r="G15" s="68" t="s">
        <v>55</v>
      </c>
      <c r="H15" s="68" t="s">
        <v>55</v>
      </c>
      <c r="I15" s="67">
        <f>F15</f>
        <v>0</v>
      </c>
    </row>
    <row r="16" spans="1:9" x14ac:dyDescent="0.25">
      <c r="A16" s="182" t="s">
        <v>1419</v>
      </c>
      <c r="B16" s="183"/>
      <c r="C16" s="183"/>
      <c r="D16" s="183"/>
      <c r="E16" s="184"/>
      <c r="F16" s="67">
        <v>0</v>
      </c>
      <c r="G16" s="68" t="s">
        <v>55</v>
      </c>
      <c r="H16" s="68" t="s">
        <v>55</v>
      </c>
      <c r="I16" s="67">
        <f>F16</f>
        <v>0</v>
      </c>
    </row>
    <row r="17" spans="1:9" x14ac:dyDescent="0.25">
      <c r="A17" s="179" t="s">
        <v>1422</v>
      </c>
      <c r="B17" s="180"/>
      <c r="C17" s="180"/>
      <c r="D17" s="180"/>
      <c r="E17" s="181"/>
      <c r="F17" s="69">
        <v>0</v>
      </c>
      <c r="G17" s="70" t="s">
        <v>55</v>
      </c>
      <c r="H17" s="70" t="s">
        <v>55</v>
      </c>
      <c r="I17" s="69">
        <f>F17</f>
        <v>0</v>
      </c>
    </row>
    <row r="18" spans="1:9" x14ac:dyDescent="0.25">
      <c r="A18" s="166" t="s">
        <v>1453</v>
      </c>
      <c r="B18" s="167"/>
      <c r="C18" s="167"/>
      <c r="D18" s="167"/>
      <c r="E18" s="168"/>
      <c r="F18" s="71" t="s">
        <v>55</v>
      </c>
      <c r="G18" s="72" t="s">
        <v>55</v>
      </c>
      <c r="H18" s="72" t="s">
        <v>55</v>
      </c>
      <c r="I18" s="73">
        <f>SUM(I15:I17)</f>
        <v>0</v>
      </c>
    </row>
    <row r="20" spans="1:9" x14ac:dyDescent="0.25">
      <c r="A20" s="176" t="s">
        <v>1414</v>
      </c>
      <c r="B20" s="177"/>
      <c r="C20" s="177"/>
      <c r="D20" s="177"/>
      <c r="E20" s="178"/>
      <c r="F20" s="66" t="s">
        <v>1451</v>
      </c>
      <c r="G20" s="66" t="s">
        <v>29</v>
      </c>
      <c r="H20" s="66" t="s">
        <v>1452</v>
      </c>
      <c r="I20" s="66" t="s">
        <v>1451</v>
      </c>
    </row>
    <row r="21" spans="1:9" x14ac:dyDescent="0.25">
      <c r="A21" s="182" t="s">
        <v>1418</v>
      </c>
      <c r="B21" s="183"/>
      <c r="C21" s="183"/>
      <c r="D21" s="183"/>
      <c r="E21" s="184"/>
      <c r="F21" s="67">
        <v>35200</v>
      </c>
      <c r="G21" s="68" t="s">
        <v>55</v>
      </c>
      <c r="H21" s="68" t="s">
        <v>55</v>
      </c>
      <c r="I21" s="67">
        <f t="shared" ref="I21:I26" si="0">F21</f>
        <v>35200</v>
      </c>
    </row>
    <row r="22" spans="1:9" x14ac:dyDescent="0.25">
      <c r="A22" s="182" t="s">
        <v>1420</v>
      </c>
      <c r="B22" s="183"/>
      <c r="C22" s="183"/>
      <c r="D22" s="183"/>
      <c r="E22" s="184"/>
      <c r="F22" s="67">
        <v>10450</v>
      </c>
      <c r="G22" s="68" t="s">
        <v>55</v>
      </c>
      <c r="H22" s="68" t="s">
        <v>55</v>
      </c>
      <c r="I22" s="67">
        <f t="shared" si="0"/>
        <v>10450</v>
      </c>
    </row>
    <row r="23" spans="1:9" x14ac:dyDescent="0.25">
      <c r="A23" s="182" t="s">
        <v>1423</v>
      </c>
      <c r="B23" s="183"/>
      <c r="C23" s="183"/>
      <c r="D23" s="183"/>
      <c r="E23" s="184"/>
      <c r="F23" s="67">
        <v>0</v>
      </c>
      <c r="G23" s="68" t="s">
        <v>55</v>
      </c>
      <c r="H23" s="68" t="s">
        <v>55</v>
      </c>
      <c r="I23" s="67">
        <f t="shared" si="0"/>
        <v>0</v>
      </c>
    </row>
    <row r="24" spans="1:9" x14ac:dyDescent="0.25">
      <c r="A24" s="182" t="s">
        <v>1424</v>
      </c>
      <c r="B24" s="183"/>
      <c r="C24" s="183"/>
      <c r="D24" s="183"/>
      <c r="E24" s="184"/>
      <c r="F24" s="67">
        <v>0</v>
      </c>
      <c r="G24" s="68" t="s">
        <v>55</v>
      </c>
      <c r="H24" s="68" t="s">
        <v>55</v>
      </c>
      <c r="I24" s="67">
        <f t="shared" si="0"/>
        <v>0</v>
      </c>
    </row>
    <row r="25" spans="1:9" x14ac:dyDescent="0.25">
      <c r="A25" s="182" t="s">
        <v>1426</v>
      </c>
      <c r="B25" s="183"/>
      <c r="C25" s="183"/>
      <c r="D25" s="183"/>
      <c r="E25" s="184"/>
      <c r="F25" s="67">
        <v>2560</v>
      </c>
      <c r="G25" s="68" t="s">
        <v>55</v>
      </c>
      <c r="H25" s="68" t="s">
        <v>55</v>
      </c>
      <c r="I25" s="67">
        <f t="shared" si="0"/>
        <v>2560</v>
      </c>
    </row>
    <row r="26" spans="1:9" x14ac:dyDescent="0.25">
      <c r="A26" s="179" t="s">
        <v>1427</v>
      </c>
      <c r="B26" s="180"/>
      <c r="C26" s="180"/>
      <c r="D26" s="180"/>
      <c r="E26" s="181"/>
      <c r="F26" s="69">
        <v>0</v>
      </c>
      <c r="G26" s="70" t="s">
        <v>55</v>
      </c>
      <c r="H26" s="70" t="s">
        <v>55</v>
      </c>
      <c r="I26" s="69">
        <f t="shared" si="0"/>
        <v>0</v>
      </c>
    </row>
    <row r="27" spans="1:9" x14ac:dyDescent="0.25">
      <c r="A27" s="166" t="s">
        <v>1454</v>
      </c>
      <c r="B27" s="167"/>
      <c r="C27" s="167"/>
      <c r="D27" s="167"/>
      <c r="E27" s="168"/>
      <c r="F27" s="71" t="s">
        <v>55</v>
      </c>
      <c r="G27" s="72" t="s">
        <v>55</v>
      </c>
      <c r="H27" s="72" t="s">
        <v>55</v>
      </c>
      <c r="I27" s="73">
        <f>SUM(I21:I26)</f>
        <v>48210</v>
      </c>
    </row>
    <row r="29" spans="1:9" ht="15.75" x14ac:dyDescent="0.25">
      <c r="A29" s="169" t="s">
        <v>1455</v>
      </c>
      <c r="B29" s="170"/>
      <c r="C29" s="170"/>
      <c r="D29" s="170"/>
      <c r="E29" s="171"/>
      <c r="F29" s="172">
        <f>I18+I27</f>
        <v>48210</v>
      </c>
      <c r="G29" s="173"/>
      <c r="H29" s="173"/>
      <c r="I29" s="174"/>
    </row>
    <row r="33" spans="1:9" ht="15.75" x14ac:dyDescent="0.25">
      <c r="A33" s="175" t="s">
        <v>1456</v>
      </c>
      <c r="B33" s="175"/>
      <c r="C33" s="175"/>
      <c r="D33" s="175"/>
      <c r="E33" s="175"/>
    </row>
    <row r="34" spans="1:9" x14ac:dyDescent="0.25">
      <c r="A34" s="176" t="s">
        <v>1457</v>
      </c>
      <c r="B34" s="177"/>
      <c r="C34" s="177"/>
      <c r="D34" s="177"/>
      <c r="E34" s="178"/>
      <c r="F34" s="66" t="s">
        <v>1451</v>
      </c>
      <c r="G34" s="66" t="s">
        <v>29</v>
      </c>
      <c r="H34" s="66" t="s">
        <v>1452</v>
      </c>
      <c r="I34" s="66" t="s">
        <v>1451</v>
      </c>
    </row>
    <row r="35" spans="1:9" x14ac:dyDescent="0.25">
      <c r="A35" s="179" t="s">
        <v>55</v>
      </c>
      <c r="B35" s="180"/>
      <c r="C35" s="180"/>
      <c r="D35" s="180"/>
      <c r="E35" s="181"/>
      <c r="F35" s="69">
        <v>0</v>
      </c>
      <c r="G35" s="70" t="s">
        <v>55</v>
      </c>
      <c r="H35" s="70" t="s">
        <v>55</v>
      </c>
      <c r="I35" s="69">
        <f>F35</f>
        <v>0</v>
      </c>
    </row>
    <row r="36" spans="1:9" x14ac:dyDescent="0.25">
      <c r="A36" s="166" t="s">
        <v>1458</v>
      </c>
      <c r="B36" s="167"/>
      <c r="C36" s="167"/>
      <c r="D36" s="167"/>
      <c r="E36" s="168"/>
      <c r="F36" s="71" t="s">
        <v>55</v>
      </c>
      <c r="G36" s="72" t="s">
        <v>55</v>
      </c>
      <c r="H36" s="72" t="s">
        <v>55</v>
      </c>
      <c r="I36" s="73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2025-06-09T10:55:48Z</cp:lastPrinted>
  <dcterms:created xsi:type="dcterms:W3CDTF">2021-06-10T20:06:38Z</dcterms:created>
  <dcterms:modified xsi:type="dcterms:W3CDTF">2025-06-09T11:15:40Z</dcterms:modified>
</cp:coreProperties>
</file>